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2.xml" ContentType="application/vnd.openxmlformats-officedocument.spreadsheetml.comments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omments3.xml" ContentType="application/vnd.openxmlformats-officedocument.spreadsheetml.comments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mienmarov\Documents\! Financials\"/>
    </mc:Choice>
  </mc:AlternateContent>
  <bookViews>
    <workbookView xWindow="0" yWindow="0" windowWidth="18980" windowHeight="7027" tabRatio="850" firstSheet="1" activeTab="14"/>
  </bookViews>
  <sheets>
    <sheet name="Summary" sheetId="26" state="hidden" r:id="rId1"/>
    <sheet name="Invoices" sheetId="1" r:id="rId2"/>
    <sheet name="Cash Flow" sheetId="61" r:id="rId3"/>
    <sheet name="Sub Contractor Cost" sheetId="32" r:id="rId4"/>
    <sheet name="L1 Summary Pivot" sheetId="62" r:id="rId5"/>
    <sheet name="Xero Data" sheetId="2" r:id="rId6"/>
    <sheet name="2BLK-12" sheetId="40" state="hidden" r:id="rId7"/>
    <sheet name="NBN Minor Works Win Loss" sheetId="49" r:id="rId8"/>
    <sheet name="NBN NS Inv 2016-17" sheetId="39" state="hidden" r:id="rId9"/>
    <sheet name="NBN Gfields 2016-17" sheetId="41" state="hidden" r:id="rId10"/>
    <sheet name="NBN Gfields WIn  Loss" sheetId="50" r:id="rId11"/>
    <sheet name="SStream Inv 2016-17" sheetId="35" state="hidden" r:id="rId12"/>
    <sheet name="MWA_MWI Pivot" sheetId="65" state="hidden" r:id="rId13"/>
    <sheet name="Pipe Invoices 2016-17" sheetId="48" state="hidden" r:id="rId14"/>
    <sheet name="NBN_MWI &amp; Pipe Data" sheetId="73" r:id="rId15"/>
    <sheet name="FttC Costing" sheetId="76" r:id="rId16"/>
    <sheet name="Pivots" sheetId="75" r:id="rId17"/>
    <sheet name="PC &amp; Payment Dates New Devs" sheetId="71" r:id="rId18"/>
    <sheet name="PC &amp; Payment NBN Assurance" sheetId="72" r:id="rId19"/>
    <sheet name="Overhead" sheetId="6" r:id="rId20"/>
    <sheet name="Indirect DJC" sheetId="74" r:id="rId21"/>
    <sheet name="Syndeticom Hours" sheetId="51" state="hidden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</externalReferences>
  <definedNames>
    <definedName name="__________NSW1" localSheetId="7" hidden="1">{#N/A,#N/A,FALSE,"RESULTS";#N/A,#N/A,FALSE,"FORECAST";#N/A,#N/A,FALSE,"ProvGraph";#N/A,#N/A,FALSE,"FittGraph";#N/A,#N/A,FALSE,"NEG PROV";#N/A,#N/A,FALSE,"PROVCOSTGRAPH";#N/A,#N/A,FALSE,"HireGraph"}</definedName>
    <definedName name="__________NSW1" localSheetId="8" hidden="1">{#N/A,#N/A,FALSE,"RESULTS";#N/A,#N/A,FALSE,"FORECAST";#N/A,#N/A,FALSE,"ProvGraph";#N/A,#N/A,FALSE,"FittGraph";#N/A,#N/A,FALSE,"NEG PROV";#N/A,#N/A,FALSE,"PROVCOSTGRAPH";#N/A,#N/A,FALSE,"HireGraph"}</definedName>
    <definedName name="__________NSW1" localSheetId="14" hidden="1">{#N/A,#N/A,FALSE,"RESULTS";#N/A,#N/A,FALSE,"FORECAST";#N/A,#N/A,FALSE,"ProvGraph";#N/A,#N/A,FALSE,"FittGraph";#N/A,#N/A,FALSE,"NEG PROV";#N/A,#N/A,FALSE,"PROVCOSTGRAPH";#N/A,#N/A,FALSE,"HireGraph"}</definedName>
    <definedName name="__________NSW1" localSheetId="17" hidden="1">{#N/A,#N/A,FALSE,"RESULTS";#N/A,#N/A,FALSE,"FORECAST";#N/A,#N/A,FALSE,"ProvGraph";#N/A,#N/A,FALSE,"FittGraph";#N/A,#N/A,FALSE,"NEG PROV";#N/A,#N/A,FALSE,"PROVCOSTGRAPH";#N/A,#N/A,FALSE,"HireGraph"}</definedName>
    <definedName name="__________NSW1" localSheetId="18" hidden="1">{#N/A,#N/A,FALSE,"RESULTS";#N/A,#N/A,FALSE,"FORECAST";#N/A,#N/A,FALSE,"ProvGraph";#N/A,#N/A,FALSE,"FittGraph";#N/A,#N/A,FALSE,"NEG PROV";#N/A,#N/A,FALSE,"PROVCOSTGRAPH";#N/A,#N/A,FALSE,"HireGraph"}</definedName>
    <definedName name="__________NSW1" localSheetId="11" hidden="1">{#N/A,#N/A,FALSE,"RESULTS";#N/A,#N/A,FALSE,"FORECAST";#N/A,#N/A,FALSE,"ProvGraph";#N/A,#N/A,FALSE,"FittGraph";#N/A,#N/A,FALSE,"NEG PROV";#N/A,#N/A,FALSE,"PROVCOSTGRAPH";#N/A,#N/A,FALSE,"HireGraph"}</definedName>
    <definedName name="__________NSW1" hidden="1">{#N/A,#N/A,FALSE,"RESULTS";#N/A,#N/A,FALSE,"FORECAST";#N/A,#N/A,FALSE,"ProvGraph";#N/A,#N/A,FALSE,"FittGraph";#N/A,#N/A,FALSE,"NEG PROV";#N/A,#N/A,FALSE,"PROVCOSTGRAPH";#N/A,#N/A,FALSE,"HireGraph"}</definedName>
    <definedName name="__________OH1" localSheetId="7" hidden="1">{#N/A,#N/A,FALSE,"RESULTS";#N/A,#N/A,FALSE,"FORECAST";#N/A,#N/A,FALSE,"ProvGraph";#N/A,#N/A,FALSE,"NEG PROV";#N/A,#N/A,FALSE,"PROVCOSTGRAPH";#N/A,#N/A,FALSE,"FittGraph";#N/A,#N/A,FALSE,"HireGraph"}</definedName>
    <definedName name="__________OH1" localSheetId="8" hidden="1">{#N/A,#N/A,FALSE,"RESULTS";#N/A,#N/A,FALSE,"FORECAST";#N/A,#N/A,FALSE,"ProvGraph";#N/A,#N/A,FALSE,"NEG PROV";#N/A,#N/A,FALSE,"PROVCOSTGRAPH";#N/A,#N/A,FALSE,"FittGraph";#N/A,#N/A,FALSE,"HireGraph"}</definedName>
    <definedName name="__________OH1" localSheetId="14" hidden="1">{#N/A,#N/A,FALSE,"RESULTS";#N/A,#N/A,FALSE,"FORECAST";#N/A,#N/A,FALSE,"ProvGraph";#N/A,#N/A,FALSE,"NEG PROV";#N/A,#N/A,FALSE,"PROVCOSTGRAPH";#N/A,#N/A,FALSE,"FittGraph";#N/A,#N/A,FALSE,"HireGraph"}</definedName>
    <definedName name="__________OH1" localSheetId="17" hidden="1">{#N/A,#N/A,FALSE,"RESULTS";#N/A,#N/A,FALSE,"FORECAST";#N/A,#N/A,FALSE,"ProvGraph";#N/A,#N/A,FALSE,"NEG PROV";#N/A,#N/A,FALSE,"PROVCOSTGRAPH";#N/A,#N/A,FALSE,"FittGraph";#N/A,#N/A,FALSE,"HireGraph"}</definedName>
    <definedName name="__________OH1" localSheetId="18" hidden="1">{#N/A,#N/A,FALSE,"RESULTS";#N/A,#N/A,FALSE,"FORECAST";#N/A,#N/A,FALSE,"ProvGraph";#N/A,#N/A,FALSE,"NEG PROV";#N/A,#N/A,FALSE,"PROVCOSTGRAPH";#N/A,#N/A,FALSE,"FittGraph";#N/A,#N/A,FALSE,"HireGraph"}</definedName>
    <definedName name="__________OH1" localSheetId="11" hidden="1">{#N/A,#N/A,FALSE,"RESULTS";#N/A,#N/A,FALSE,"FORECAST";#N/A,#N/A,FALSE,"ProvGraph";#N/A,#N/A,FALSE,"NEG PROV";#N/A,#N/A,FALSE,"PROVCOSTGRAPH";#N/A,#N/A,FALSE,"FittGraph";#N/A,#N/A,FALSE,"HireGraph"}</definedName>
    <definedName name="__________OH1" hidden="1">{#N/A,#N/A,FALSE,"RESULTS";#N/A,#N/A,FALSE,"FORECAST";#N/A,#N/A,FALSE,"ProvGraph";#N/A,#N/A,FALSE,"NEG PROV";#N/A,#N/A,FALSE,"PROVCOSTGRAPH";#N/A,#N/A,FALSE,"FittGraph";#N/A,#N/A,FALSE,"HireGraph"}</definedName>
    <definedName name="__________OHO1" localSheetId="7" hidden="1">{#N/A,#N/A,FALSE,"RESULTS";#N/A,#N/A,FALSE,"FORECAST";#N/A,#N/A,FALSE,"ProvGraph";#N/A,#N/A,FALSE,"FittGraph";#N/A,#N/A,FALSE,"NEG PROV";#N/A,#N/A,FALSE,"PROVCOSTGRAPH";#N/A,#N/A,FALSE,"HireGraph"}</definedName>
    <definedName name="__________OHO1" localSheetId="8" hidden="1">{#N/A,#N/A,FALSE,"RESULTS";#N/A,#N/A,FALSE,"FORECAST";#N/A,#N/A,FALSE,"ProvGraph";#N/A,#N/A,FALSE,"FittGraph";#N/A,#N/A,FALSE,"NEG PROV";#N/A,#N/A,FALSE,"PROVCOSTGRAPH";#N/A,#N/A,FALSE,"HireGraph"}</definedName>
    <definedName name="__________OHO1" localSheetId="14" hidden="1">{#N/A,#N/A,FALSE,"RESULTS";#N/A,#N/A,FALSE,"FORECAST";#N/A,#N/A,FALSE,"ProvGraph";#N/A,#N/A,FALSE,"FittGraph";#N/A,#N/A,FALSE,"NEG PROV";#N/A,#N/A,FALSE,"PROVCOSTGRAPH";#N/A,#N/A,FALSE,"HireGraph"}</definedName>
    <definedName name="__________OHO1" localSheetId="17" hidden="1">{#N/A,#N/A,FALSE,"RESULTS";#N/A,#N/A,FALSE,"FORECAST";#N/A,#N/A,FALSE,"ProvGraph";#N/A,#N/A,FALSE,"FittGraph";#N/A,#N/A,FALSE,"NEG PROV";#N/A,#N/A,FALSE,"PROVCOSTGRAPH";#N/A,#N/A,FALSE,"HireGraph"}</definedName>
    <definedName name="__________OHO1" localSheetId="18" hidden="1">{#N/A,#N/A,FALSE,"RESULTS";#N/A,#N/A,FALSE,"FORECAST";#N/A,#N/A,FALSE,"ProvGraph";#N/A,#N/A,FALSE,"FittGraph";#N/A,#N/A,FALSE,"NEG PROV";#N/A,#N/A,FALSE,"PROVCOSTGRAPH";#N/A,#N/A,FALSE,"HireGraph"}</definedName>
    <definedName name="__________OHO1" localSheetId="11" hidden="1">{#N/A,#N/A,FALSE,"RESULTS";#N/A,#N/A,FALSE,"FORECAST";#N/A,#N/A,FALSE,"ProvGraph";#N/A,#N/A,FALSE,"FittGraph";#N/A,#N/A,FALSE,"NEG PROV";#N/A,#N/A,FALSE,"PROVCOSTGRAPH";#N/A,#N/A,FALSE,"HireGraph"}</definedName>
    <definedName name="__________OHO1" hidden="1">{#N/A,#N/A,FALSE,"RESULTS";#N/A,#N/A,FALSE,"FORECAST";#N/A,#N/A,FALSE,"ProvGraph";#N/A,#N/A,FALSE,"FittGraph";#N/A,#N/A,FALSE,"NEG PROV";#N/A,#N/A,FALSE,"PROVCOSTGRAPH";#N/A,#N/A,FALSE,"HireGraph"}</definedName>
    <definedName name="__________OHO2" localSheetId="7" hidden="1">{#N/A,#N/A,FALSE,"RESULTS";#N/A,#N/A,FALSE,"FORECAST";#N/A,#N/A,FALSE,"ProvGraph";#N/A,#N/A,FALSE,"NEG PROV";#N/A,#N/A,FALSE,"PROVCOSTGRAPH";#N/A,#N/A,FALSE,"FittGraph";#N/A,#N/A,FALSE,"HireGraph"}</definedName>
    <definedName name="__________OHO2" localSheetId="8" hidden="1">{#N/A,#N/A,FALSE,"RESULTS";#N/A,#N/A,FALSE,"FORECAST";#N/A,#N/A,FALSE,"ProvGraph";#N/A,#N/A,FALSE,"NEG PROV";#N/A,#N/A,FALSE,"PROVCOSTGRAPH";#N/A,#N/A,FALSE,"FittGraph";#N/A,#N/A,FALSE,"HireGraph"}</definedName>
    <definedName name="__________OHO2" localSheetId="14" hidden="1">{#N/A,#N/A,FALSE,"RESULTS";#N/A,#N/A,FALSE,"FORECAST";#N/A,#N/A,FALSE,"ProvGraph";#N/A,#N/A,FALSE,"NEG PROV";#N/A,#N/A,FALSE,"PROVCOSTGRAPH";#N/A,#N/A,FALSE,"FittGraph";#N/A,#N/A,FALSE,"HireGraph"}</definedName>
    <definedName name="__________OHO2" localSheetId="17" hidden="1">{#N/A,#N/A,FALSE,"RESULTS";#N/A,#N/A,FALSE,"FORECAST";#N/A,#N/A,FALSE,"ProvGraph";#N/A,#N/A,FALSE,"NEG PROV";#N/A,#N/A,FALSE,"PROVCOSTGRAPH";#N/A,#N/A,FALSE,"FittGraph";#N/A,#N/A,FALSE,"HireGraph"}</definedName>
    <definedName name="__________OHO2" localSheetId="18" hidden="1">{#N/A,#N/A,FALSE,"RESULTS";#N/A,#N/A,FALSE,"FORECAST";#N/A,#N/A,FALSE,"ProvGraph";#N/A,#N/A,FALSE,"NEG PROV";#N/A,#N/A,FALSE,"PROVCOSTGRAPH";#N/A,#N/A,FALSE,"FittGraph";#N/A,#N/A,FALSE,"HireGraph"}</definedName>
    <definedName name="__________OHO2" localSheetId="11" hidden="1">{#N/A,#N/A,FALSE,"RESULTS";#N/A,#N/A,FALSE,"FORECAST";#N/A,#N/A,FALSE,"ProvGraph";#N/A,#N/A,FALSE,"NEG PROV";#N/A,#N/A,FALSE,"PROVCOSTGRAPH";#N/A,#N/A,FALSE,"FittGraph";#N/A,#N/A,FALSE,"HireGraph"}</definedName>
    <definedName name="__________OHO2" hidden="1">{#N/A,#N/A,FALSE,"RESULTS";#N/A,#N/A,FALSE,"FORECAST";#N/A,#N/A,FALSE,"ProvGraph";#N/A,#N/A,FALSE,"NEG PROV";#N/A,#N/A,FALSE,"PROVCOSTGRAPH";#N/A,#N/A,FALSE,"FittGraph";#N/A,#N/A,FALSE,"HireGraph"}</definedName>
    <definedName name="________JUN09" localSheetId="7" hidden="1">{#N/A,#N/A,FALSE,"RESULTS";#N/A,#N/A,FALSE,"FORECAST";#N/A,#N/A,FALSE,"ProvGraph";#N/A,#N/A,FALSE,"NEG PROV";#N/A,#N/A,FALSE,"PROVCOSTGRAPH";#N/A,#N/A,FALSE,"FittGraph";#N/A,#N/A,FALSE,"HireGraph"}</definedName>
    <definedName name="________JUN09" localSheetId="8" hidden="1">{#N/A,#N/A,FALSE,"RESULTS";#N/A,#N/A,FALSE,"FORECAST";#N/A,#N/A,FALSE,"ProvGraph";#N/A,#N/A,FALSE,"NEG PROV";#N/A,#N/A,FALSE,"PROVCOSTGRAPH";#N/A,#N/A,FALSE,"FittGraph";#N/A,#N/A,FALSE,"HireGraph"}</definedName>
    <definedName name="________JUN09" localSheetId="14" hidden="1">{#N/A,#N/A,FALSE,"RESULTS";#N/A,#N/A,FALSE,"FORECAST";#N/A,#N/A,FALSE,"ProvGraph";#N/A,#N/A,FALSE,"NEG PROV";#N/A,#N/A,FALSE,"PROVCOSTGRAPH";#N/A,#N/A,FALSE,"FittGraph";#N/A,#N/A,FALSE,"HireGraph"}</definedName>
    <definedName name="________JUN09" localSheetId="17" hidden="1">{#N/A,#N/A,FALSE,"RESULTS";#N/A,#N/A,FALSE,"FORECAST";#N/A,#N/A,FALSE,"ProvGraph";#N/A,#N/A,FALSE,"NEG PROV";#N/A,#N/A,FALSE,"PROVCOSTGRAPH";#N/A,#N/A,FALSE,"FittGraph";#N/A,#N/A,FALSE,"HireGraph"}</definedName>
    <definedName name="________JUN09" localSheetId="18" hidden="1">{#N/A,#N/A,FALSE,"RESULTS";#N/A,#N/A,FALSE,"FORECAST";#N/A,#N/A,FALSE,"ProvGraph";#N/A,#N/A,FALSE,"NEG PROV";#N/A,#N/A,FALSE,"PROVCOSTGRAPH";#N/A,#N/A,FALSE,"FittGraph";#N/A,#N/A,FALSE,"HireGraph"}</definedName>
    <definedName name="________JUN09" localSheetId="11" hidden="1">{#N/A,#N/A,FALSE,"RESULTS";#N/A,#N/A,FALSE,"FORECAST";#N/A,#N/A,FALSE,"ProvGraph";#N/A,#N/A,FALSE,"NEG PROV";#N/A,#N/A,FALSE,"PROVCOSTGRAPH";#N/A,#N/A,FALSE,"FittGraph";#N/A,#N/A,FALSE,"HireGraph"}</definedName>
    <definedName name="________JUN09" hidden="1">{#N/A,#N/A,FALSE,"RESULTS";#N/A,#N/A,FALSE,"FORECAST";#N/A,#N/A,FALSE,"ProvGraph";#N/A,#N/A,FALSE,"NEG PROV";#N/A,#N/A,FALSE,"PROVCOSTGRAPH";#N/A,#N/A,FALSE,"FittGraph";#N/A,#N/A,FALSE,"HireGraph"}</definedName>
    <definedName name="________NSW1" localSheetId="7" hidden="1">{#N/A,#N/A,FALSE,"RESULTS";#N/A,#N/A,FALSE,"FORECAST";#N/A,#N/A,FALSE,"ProvGraph";#N/A,#N/A,FALSE,"FittGraph";#N/A,#N/A,FALSE,"NEG PROV";#N/A,#N/A,FALSE,"PROVCOSTGRAPH";#N/A,#N/A,FALSE,"HireGraph"}</definedName>
    <definedName name="________NSW1" localSheetId="8" hidden="1">{#N/A,#N/A,FALSE,"RESULTS";#N/A,#N/A,FALSE,"FORECAST";#N/A,#N/A,FALSE,"ProvGraph";#N/A,#N/A,FALSE,"FittGraph";#N/A,#N/A,FALSE,"NEG PROV";#N/A,#N/A,FALSE,"PROVCOSTGRAPH";#N/A,#N/A,FALSE,"HireGraph"}</definedName>
    <definedName name="________NSW1" localSheetId="14" hidden="1">{#N/A,#N/A,FALSE,"RESULTS";#N/A,#N/A,FALSE,"FORECAST";#N/A,#N/A,FALSE,"ProvGraph";#N/A,#N/A,FALSE,"FittGraph";#N/A,#N/A,FALSE,"NEG PROV";#N/A,#N/A,FALSE,"PROVCOSTGRAPH";#N/A,#N/A,FALSE,"HireGraph"}</definedName>
    <definedName name="________NSW1" localSheetId="17" hidden="1">{#N/A,#N/A,FALSE,"RESULTS";#N/A,#N/A,FALSE,"FORECAST";#N/A,#N/A,FALSE,"ProvGraph";#N/A,#N/A,FALSE,"FittGraph";#N/A,#N/A,FALSE,"NEG PROV";#N/A,#N/A,FALSE,"PROVCOSTGRAPH";#N/A,#N/A,FALSE,"HireGraph"}</definedName>
    <definedName name="________NSW1" localSheetId="18" hidden="1">{#N/A,#N/A,FALSE,"RESULTS";#N/A,#N/A,FALSE,"FORECAST";#N/A,#N/A,FALSE,"ProvGraph";#N/A,#N/A,FALSE,"FittGraph";#N/A,#N/A,FALSE,"NEG PROV";#N/A,#N/A,FALSE,"PROVCOSTGRAPH";#N/A,#N/A,FALSE,"HireGraph"}</definedName>
    <definedName name="________NSW1" localSheetId="11" hidden="1">{#N/A,#N/A,FALSE,"RESULTS";#N/A,#N/A,FALSE,"FORECAST";#N/A,#N/A,FALSE,"ProvGraph";#N/A,#N/A,FALSE,"FittGraph";#N/A,#N/A,FALSE,"NEG PROV";#N/A,#N/A,FALSE,"PROVCOSTGRAPH";#N/A,#N/A,FALSE,"HireGraph"}</definedName>
    <definedName name="________NSW1" hidden="1">{#N/A,#N/A,FALSE,"RESULTS";#N/A,#N/A,FALSE,"FORECAST";#N/A,#N/A,FALSE,"ProvGraph";#N/A,#N/A,FALSE,"FittGraph";#N/A,#N/A,FALSE,"NEG PROV";#N/A,#N/A,FALSE,"PROVCOSTGRAPH";#N/A,#N/A,FALSE,"HireGraph"}</definedName>
    <definedName name="________OH1" localSheetId="7" hidden="1">{#N/A,#N/A,FALSE,"RESULTS";#N/A,#N/A,FALSE,"FORECAST";#N/A,#N/A,FALSE,"ProvGraph";#N/A,#N/A,FALSE,"NEG PROV";#N/A,#N/A,FALSE,"PROVCOSTGRAPH";#N/A,#N/A,FALSE,"FittGraph";#N/A,#N/A,FALSE,"HireGraph"}</definedName>
    <definedName name="________OH1" localSheetId="8" hidden="1">{#N/A,#N/A,FALSE,"RESULTS";#N/A,#N/A,FALSE,"FORECAST";#N/A,#N/A,FALSE,"ProvGraph";#N/A,#N/A,FALSE,"NEG PROV";#N/A,#N/A,FALSE,"PROVCOSTGRAPH";#N/A,#N/A,FALSE,"FittGraph";#N/A,#N/A,FALSE,"HireGraph"}</definedName>
    <definedName name="________OH1" localSheetId="14" hidden="1">{#N/A,#N/A,FALSE,"RESULTS";#N/A,#N/A,FALSE,"FORECAST";#N/A,#N/A,FALSE,"ProvGraph";#N/A,#N/A,FALSE,"NEG PROV";#N/A,#N/A,FALSE,"PROVCOSTGRAPH";#N/A,#N/A,FALSE,"FittGraph";#N/A,#N/A,FALSE,"HireGraph"}</definedName>
    <definedName name="________OH1" localSheetId="17" hidden="1">{#N/A,#N/A,FALSE,"RESULTS";#N/A,#N/A,FALSE,"FORECAST";#N/A,#N/A,FALSE,"ProvGraph";#N/A,#N/A,FALSE,"NEG PROV";#N/A,#N/A,FALSE,"PROVCOSTGRAPH";#N/A,#N/A,FALSE,"FittGraph";#N/A,#N/A,FALSE,"HireGraph"}</definedName>
    <definedName name="________OH1" localSheetId="18" hidden="1">{#N/A,#N/A,FALSE,"RESULTS";#N/A,#N/A,FALSE,"FORECAST";#N/A,#N/A,FALSE,"ProvGraph";#N/A,#N/A,FALSE,"NEG PROV";#N/A,#N/A,FALSE,"PROVCOSTGRAPH";#N/A,#N/A,FALSE,"FittGraph";#N/A,#N/A,FALSE,"HireGraph"}</definedName>
    <definedName name="________OH1" localSheetId="11" hidden="1">{#N/A,#N/A,FALSE,"RESULTS";#N/A,#N/A,FALSE,"FORECAST";#N/A,#N/A,FALSE,"ProvGraph";#N/A,#N/A,FALSE,"NEG PROV";#N/A,#N/A,FALSE,"PROVCOSTGRAPH";#N/A,#N/A,FALSE,"FittGraph";#N/A,#N/A,FALSE,"HireGraph"}</definedName>
    <definedName name="________OH1" hidden="1">{#N/A,#N/A,FALSE,"RESULTS";#N/A,#N/A,FALSE,"FORECAST";#N/A,#N/A,FALSE,"ProvGraph";#N/A,#N/A,FALSE,"NEG PROV";#N/A,#N/A,FALSE,"PROVCOSTGRAPH";#N/A,#N/A,FALSE,"FittGraph";#N/A,#N/A,FALSE,"HireGraph"}</definedName>
    <definedName name="________OHO1" localSheetId="7" hidden="1">{#N/A,#N/A,FALSE,"RESULTS";#N/A,#N/A,FALSE,"FORECAST";#N/A,#N/A,FALSE,"ProvGraph";#N/A,#N/A,FALSE,"FittGraph";#N/A,#N/A,FALSE,"NEG PROV";#N/A,#N/A,FALSE,"PROVCOSTGRAPH";#N/A,#N/A,FALSE,"HireGraph"}</definedName>
    <definedName name="________OHO1" localSheetId="8" hidden="1">{#N/A,#N/A,FALSE,"RESULTS";#N/A,#N/A,FALSE,"FORECAST";#N/A,#N/A,FALSE,"ProvGraph";#N/A,#N/A,FALSE,"FittGraph";#N/A,#N/A,FALSE,"NEG PROV";#N/A,#N/A,FALSE,"PROVCOSTGRAPH";#N/A,#N/A,FALSE,"HireGraph"}</definedName>
    <definedName name="________OHO1" localSheetId="14" hidden="1">{#N/A,#N/A,FALSE,"RESULTS";#N/A,#N/A,FALSE,"FORECAST";#N/A,#N/A,FALSE,"ProvGraph";#N/A,#N/A,FALSE,"FittGraph";#N/A,#N/A,FALSE,"NEG PROV";#N/A,#N/A,FALSE,"PROVCOSTGRAPH";#N/A,#N/A,FALSE,"HireGraph"}</definedName>
    <definedName name="________OHO1" localSheetId="17" hidden="1">{#N/A,#N/A,FALSE,"RESULTS";#N/A,#N/A,FALSE,"FORECAST";#N/A,#N/A,FALSE,"ProvGraph";#N/A,#N/A,FALSE,"FittGraph";#N/A,#N/A,FALSE,"NEG PROV";#N/A,#N/A,FALSE,"PROVCOSTGRAPH";#N/A,#N/A,FALSE,"HireGraph"}</definedName>
    <definedName name="________OHO1" localSheetId="18" hidden="1">{#N/A,#N/A,FALSE,"RESULTS";#N/A,#N/A,FALSE,"FORECAST";#N/A,#N/A,FALSE,"ProvGraph";#N/A,#N/A,FALSE,"FittGraph";#N/A,#N/A,FALSE,"NEG PROV";#N/A,#N/A,FALSE,"PROVCOSTGRAPH";#N/A,#N/A,FALSE,"HireGraph"}</definedName>
    <definedName name="________OHO1" localSheetId="11" hidden="1">{#N/A,#N/A,FALSE,"RESULTS";#N/A,#N/A,FALSE,"FORECAST";#N/A,#N/A,FALSE,"ProvGraph";#N/A,#N/A,FALSE,"FittGraph";#N/A,#N/A,FALSE,"NEG PROV";#N/A,#N/A,FALSE,"PROVCOSTGRAPH";#N/A,#N/A,FALSE,"HireGraph"}</definedName>
    <definedName name="________OHO1" hidden="1">{#N/A,#N/A,FALSE,"RESULTS";#N/A,#N/A,FALSE,"FORECAST";#N/A,#N/A,FALSE,"ProvGraph";#N/A,#N/A,FALSE,"FittGraph";#N/A,#N/A,FALSE,"NEG PROV";#N/A,#N/A,FALSE,"PROVCOSTGRAPH";#N/A,#N/A,FALSE,"HireGraph"}</definedName>
    <definedName name="________OHO2" localSheetId="7" hidden="1">{#N/A,#N/A,FALSE,"RESULTS";#N/A,#N/A,FALSE,"FORECAST";#N/A,#N/A,FALSE,"ProvGraph";#N/A,#N/A,FALSE,"NEG PROV";#N/A,#N/A,FALSE,"PROVCOSTGRAPH";#N/A,#N/A,FALSE,"FittGraph";#N/A,#N/A,FALSE,"HireGraph"}</definedName>
    <definedName name="________OHO2" localSheetId="8" hidden="1">{#N/A,#N/A,FALSE,"RESULTS";#N/A,#N/A,FALSE,"FORECAST";#N/A,#N/A,FALSE,"ProvGraph";#N/A,#N/A,FALSE,"NEG PROV";#N/A,#N/A,FALSE,"PROVCOSTGRAPH";#N/A,#N/A,FALSE,"FittGraph";#N/A,#N/A,FALSE,"HireGraph"}</definedName>
    <definedName name="________OHO2" localSheetId="14" hidden="1">{#N/A,#N/A,FALSE,"RESULTS";#N/A,#N/A,FALSE,"FORECAST";#N/A,#N/A,FALSE,"ProvGraph";#N/A,#N/A,FALSE,"NEG PROV";#N/A,#N/A,FALSE,"PROVCOSTGRAPH";#N/A,#N/A,FALSE,"FittGraph";#N/A,#N/A,FALSE,"HireGraph"}</definedName>
    <definedName name="________OHO2" localSheetId="17" hidden="1">{#N/A,#N/A,FALSE,"RESULTS";#N/A,#N/A,FALSE,"FORECAST";#N/A,#N/A,FALSE,"ProvGraph";#N/A,#N/A,FALSE,"NEG PROV";#N/A,#N/A,FALSE,"PROVCOSTGRAPH";#N/A,#N/A,FALSE,"FittGraph";#N/A,#N/A,FALSE,"HireGraph"}</definedName>
    <definedName name="________OHO2" localSheetId="18" hidden="1">{#N/A,#N/A,FALSE,"RESULTS";#N/A,#N/A,FALSE,"FORECAST";#N/A,#N/A,FALSE,"ProvGraph";#N/A,#N/A,FALSE,"NEG PROV";#N/A,#N/A,FALSE,"PROVCOSTGRAPH";#N/A,#N/A,FALSE,"FittGraph";#N/A,#N/A,FALSE,"HireGraph"}</definedName>
    <definedName name="________OHO2" localSheetId="11" hidden="1">{#N/A,#N/A,FALSE,"RESULTS";#N/A,#N/A,FALSE,"FORECAST";#N/A,#N/A,FALSE,"ProvGraph";#N/A,#N/A,FALSE,"NEG PROV";#N/A,#N/A,FALSE,"PROVCOSTGRAPH";#N/A,#N/A,FALSE,"FittGraph";#N/A,#N/A,FALSE,"HireGraph"}</definedName>
    <definedName name="________OHO2" hidden="1">{#N/A,#N/A,FALSE,"RESULTS";#N/A,#N/A,FALSE,"FORECAST";#N/A,#N/A,FALSE,"ProvGraph";#N/A,#N/A,FALSE,"NEG PROV";#N/A,#N/A,FALSE,"PROVCOSTGRAPH";#N/A,#N/A,FALSE,"FittGraph";#N/A,#N/A,FALSE,"HireGraph"}</definedName>
    <definedName name="______JUN09" localSheetId="7" hidden="1">{#N/A,#N/A,FALSE,"RESULTS";#N/A,#N/A,FALSE,"FORECAST";#N/A,#N/A,FALSE,"ProvGraph";#N/A,#N/A,FALSE,"NEG PROV";#N/A,#N/A,FALSE,"PROVCOSTGRAPH";#N/A,#N/A,FALSE,"FittGraph";#N/A,#N/A,FALSE,"HireGraph"}</definedName>
    <definedName name="______JUN09" localSheetId="8" hidden="1">{#N/A,#N/A,FALSE,"RESULTS";#N/A,#N/A,FALSE,"FORECAST";#N/A,#N/A,FALSE,"ProvGraph";#N/A,#N/A,FALSE,"NEG PROV";#N/A,#N/A,FALSE,"PROVCOSTGRAPH";#N/A,#N/A,FALSE,"FittGraph";#N/A,#N/A,FALSE,"HireGraph"}</definedName>
    <definedName name="______JUN09" localSheetId="14" hidden="1">{#N/A,#N/A,FALSE,"RESULTS";#N/A,#N/A,FALSE,"FORECAST";#N/A,#N/A,FALSE,"ProvGraph";#N/A,#N/A,FALSE,"NEG PROV";#N/A,#N/A,FALSE,"PROVCOSTGRAPH";#N/A,#N/A,FALSE,"FittGraph";#N/A,#N/A,FALSE,"HireGraph"}</definedName>
    <definedName name="______JUN09" localSheetId="17" hidden="1">{#N/A,#N/A,FALSE,"RESULTS";#N/A,#N/A,FALSE,"FORECAST";#N/A,#N/A,FALSE,"ProvGraph";#N/A,#N/A,FALSE,"NEG PROV";#N/A,#N/A,FALSE,"PROVCOSTGRAPH";#N/A,#N/A,FALSE,"FittGraph";#N/A,#N/A,FALSE,"HireGraph"}</definedName>
    <definedName name="______JUN09" localSheetId="18" hidden="1">{#N/A,#N/A,FALSE,"RESULTS";#N/A,#N/A,FALSE,"FORECAST";#N/A,#N/A,FALSE,"ProvGraph";#N/A,#N/A,FALSE,"NEG PROV";#N/A,#N/A,FALSE,"PROVCOSTGRAPH";#N/A,#N/A,FALSE,"FittGraph";#N/A,#N/A,FALSE,"HireGraph"}</definedName>
    <definedName name="______JUN09" localSheetId="11" hidden="1">{#N/A,#N/A,FALSE,"RESULTS";#N/A,#N/A,FALSE,"FORECAST";#N/A,#N/A,FALSE,"ProvGraph";#N/A,#N/A,FALSE,"NEG PROV";#N/A,#N/A,FALSE,"PROVCOSTGRAPH";#N/A,#N/A,FALSE,"FittGraph";#N/A,#N/A,FALSE,"HireGraph"}</definedName>
    <definedName name="______JUN09" hidden="1">{#N/A,#N/A,FALSE,"RESULTS";#N/A,#N/A,FALSE,"FORECAST";#N/A,#N/A,FALSE,"ProvGraph";#N/A,#N/A,FALSE,"NEG PROV";#N/A,#N/A,FALSE,"PROVCOSTGRAPH";#N/A,#N/A,FALSE,"FittGraph";#N/A,#N/A,FALSE,"HireGraph"}</definedName>
    <definedName name="______NSW1" localSheetId="7" hidden="1">{#N/A,#N/A,FALSE,"RESULTS";#N/A,#N/A,FALSE,"FORECAST";#N/A,#N/A,FALSE,"ProvGraph";#N/A,#N/A,FALSE,"FittGraph";#N/A,#N/A,FALSE,"NEG PROV";#N/A,#N/A,FALSE,"PROVCOSTGRAPH";#N/A,#N/A,FALSE,"HireGraph"}</definedName>
    <definedName name="______NSW1" localSheetId="8" hidden="1">{#N/A,#N/A,FALSE,"RESULTS";#N/A,#N/A,FALSE,"FORECAST";#N/A,#N/A,FALSE,"ProvGraph";#N/A,#N/A,FALSE,"FittGraph";#N/A,#N/A,FALSE,"NEG PROV";#N/A,#N/A,FALSE,"PROVCOSTGRAPH";#N/A,#N/A,FALSE,"HireGraph"}</definedName>
    <definedName name="______NSW1" localSheetId="14" hidden="1">{#N/A,#N/A,FALSE,"RESULTS";#N/A,#N/A,FALSE,"FORECAST";#N/A,#N/A,FALSE,"ProvGraph";#N/A,#N/A,FALSE,"FittGraph";#N/A,#N/A,FALSE,"NEG PROV";#N/A,#N/A,FALSE,"PROVCOSTGRAPH";#N/A,#N/A,FALSE,"HireGraph"}</definedName>
    <definedName name="______NSW1" localSheetId="17" hidden="1">{#N/A,#N/A,FALSE,"RESULTS";#N/A,#N/A,FALSE,"FORECAST";#N/A,#N/A,FALSE,"ProvGraph";#N/A,#N/A,FALSE,"FittGraph";#N/A,#N/A,FALSE,"NEG PROV";#N/A,#N/A,FALSE,"PROVCOSTGRAPH";#N/A,#N/A,FALSE,"HireGraph"}</definedName>
    <definedName name="______NSW1" localSheetId="18" hidden="1">{#N/A,#N/A,FALSE,"RESULTS";#N/A,#N/A,FALSE,"FORECAST";#N/A,#N/A,FALSE,"ProvGraph";#N/A,#N/A,FALSE,"FittGraph";#N/A,#N/A,FALSE,"NEG PROV";#N/A,#N/A,FALSE,"PROVCOSTGRAPH";#N/A,#N/A,FALSE,"HireGraph"}</definedName>
    <definedName name="______NSW1" localSheetId="11" hidden="1">{#N/A,#N/A,FALSE,"RESULTS";#N/A,#N/A,FALSE,"FORECAST";#N/A,#N/A,FALSE,"ProvGraph";#N/A,#N/A,FALSE,"FittGraph";#N/A,#N/A,FALSE,"NEG PROV";#N/A,#N/A,FALSE,"PROVCOSTGRAPH";#N/A,#N/A,FALSE,"HireGraph"}</definedName>
    <definedName name="______NSW1" hidden="1">{#N/A,#N/A,FALSE,"RESULTS";#N/A,#N/A,FALSE,"FORECAST";#N/A,#N/A,FALSE,"ProvGraph";#N/A,#N/A,FALSE,"FittGraph";#N/A,#N/A,FALSE,"NEG PROV";#N/A,#N/A,FALSE,"PROVCOSTGRAPH";#N/A,#N/A,FALSE,"HireGraph"}</definedName>
    <definedName name="______OH1" localSheetId="7" hidden="1">{#N/A,#N/A,FALSE,"RESULTS";#N/A,#N/A,FALSE,"FORECAST";#N/A,#N/A,FALSE,"ProvGraph";#N/A,#N/A,FALSE,"NEG PROV";#N/A,#N/A,FALSE,"PROVCOSTGRAPH";#N/A,#N/A,FALSE,"FittGraph";#N/A,#N/A,FALSE,"HireGraph"}</definedName>
    <definedName name="______OH1" localSheetId="8" hidden="1">{#N/A,#N/A,FALSE,"RESULTS";#N/A,#N/A,FALSE,"FORECAST";#N/A,#N/A,FALSE,"ProvGraph";#N/A,#N/A,FALSE,"NEG PROV";#N/A,#N/A,FALSE,"PROVCOSTGRAPH";#N/A,#N/A,FALSE,"FittGraph";#N/A,#N/A,FALSE,"HireGraph"}</definedName>
    <definedName name="______OH1" localSheetId="14" hidden="1">{#N/A,#N/A,FALSE,"RESULTS";#N/A,#N/A,FALSE,"FORECAST";#N/A,#N/A,FALSE,"ProvGraph";#N/A,#N/A,FALSE,"NEG PROV";#N/A,#N/A,FALSE,"PROVCOSTGRAPH";#N/A,#N/A,FALSE,"FittGraph";#N/A,#N/A,FALSE,"HireGraph"}</definedName>
    <definedName name="______OH1" localSheetId="17" hidden="1">{#N/A,#N/A,FALSE,"RESULTS";#N/A,#N/A,FALSE,"FORECAST";#N/A,#N/A,FALSE,"ProvGraph";#N/A,#N/A,FALSE,"NEG PROV";#N/A,#N/A,FALSE,"PROVCOSTGRAPH";#N/A,#N/A,FALSE,"FittGraph";#N/A,#N/A,FALSE,"HireGraph"}</definedName>
    <definedName name="______OH1" localSheetId="18" hidden="1">{#N/A,#N/A,FALSE,"RESULTS";#N/A,#N/A,FALSE,"FORECAST";#N/A,#N/A,FALSE,"ProvGraph";#N/A,#N/A,FALSE,"NEG PROV";#N/A,#N/A,FALSE,"PROVCOSTGRAPH";#N/A,#N/A,FALSE,"FittGraph";#N/A,#N/A,FALSE,"HireGraph"}</definedName>
    <definedName name="______OH1" localSheetId="11" hidden="1">{#N/A,#N/A,FALSE,"RESULTS";#N/A,#N/A,FALSE,"FORECAST";#N/A,#N/A,FALSE,"ProvGraph";#N/A,#N/A,FALSE,"NEG PROV";#N/A,#N/A,FALSE,"PROVCOSTGRAPH";#N/A,#N/A,FALSE,"FittGraph";#N/A,#N/A,FALSE,"HireGraph"}</definedName>
    <definedName name="______OH1" hidden="1">{#N/A,#N/A,FALSE,"RESULTS";#N/A,#N/A,FALSE,"FORECAST";#N/A,#N/A,FALSE,"ProvGraph";#N/A,#N/A,FALSE,"NEG PROV";#N/A,#N/A,FALSE,"PROVCOSTGRAPH";#N/A,#N/A,FALSE,"FittGraph";#N/A,#N/A,FALSE,"HireGraph"}</definedName>
    <definedName name="______OHO1" localSheetId="7" hidden="1">{#N/A,#N/A,FALSE,"RESULTS";#N/A,#N/A,FALSE,"FORECAST";#N/A,#N/A,FALSE,"ProvGraph";#N/A,#N/A,FALSE,"FittGraph";#N/A,#N/A,FALSE,"NEG PROV";#N/A,#N/A,FALSE,"PROVCOSTGRAPH";#N/A,#N/A,FALSE,"HireGraph"}</definedName>
    <definedName name="______OHO1" localSheetId="8" hidden="1">{#N/A,#N/A,FALSE,"RESULTS";#N/A,#N/A,FALSE,"FORECAST";#N/A,#N/A,FALSE,"ProvGraph";#N/A,#N/A,FALSE,"FittGraph";#N/A,#N/A,FALSE,"NEG PROV";#N/A,#N/A,FALSE,"PROVCOSTGRAPH";#N/A,#N/A,FALSE,"HireGraph"}</definedName>
    <definedName name="______OHO1" localSheetId="14" hidden="1">{#N/A,#N/A,FALSE,"RESULTS";#N/A,#N/A,FALSE,"FORECAST";#N/A,#N/A,FALSE,"ProvGraph";#N/A,#N/A,FALSE,"FittGraph";#N/A,#N/A,FALSE,"NEG PROV";#N/A,#N/A,FALSE,"PROVCOSTGRAPH";#N/A,#N/A,FALSE,"HireGraph"}</definedName>
    <definedName name="______OHO1" localSheetId="17" hidden="1">{#N/A,#N/A,FALSE,"RESULTS";#N/A,#N/A,FALSE,"FORECAST";#N/A,#N/A,FALSE,"ProvGraph";#N/A,#N/A,FALSE,"FittGraph";#N/A,#N/A,FALSE,"NEG PROV";#N/A,#N/A,FALSE,"PROVCOSTGRAPH";#N/A,#N/A,FALSE,"HireGraph"}</definedName>
    <definedName name="______OHO1" localSheetId="18" hidden="1">{#N/A,#N/A,FALSE,"RESULTS";#N/A,#N/A,FALSE,"FORECAST";#N/A,#N/A,FALSE,"ProvGraph";#N/A,#N/A,FALSE,"FittGraph";#N/A,#N/A,FALSE,"NEG PROV";#N/A,#N/A,FALSE,"PROVCOSTGRAPH";#N/A,#N/A,FALSE,"HireGraph"}</definedName>
    <definedName name="______OHO1" localSheetId="11" hidden="1">{#N/A,#N/A,FALSE,"RESULTS";#N/A,#N/A,FALSE,"FORECAST";#N/A,#N/A,FALSE,"ProvGraph";#N/A,#N/A,FALSE,"FittGraph";#N/A,#N/A,FALSE,"NEG PROV";#N/A,#N/A,FALSE,"PROVCOSTGRAPH";#N/A,#N/A,FALSE,"HireGraph"}</definedName>
    <definedName name="______OHO1" hidden="1">{#N/A,#N/A,FALSE,"RESULTS";#N/A,#N/A,FALSE,"FORECAST";#N/A,#N/A,FALSE,"ProvGraph";#N/A,#N/A,FALSE,"FittGraph";#N/A,#N/A,FALSE,"NEG PROV";#N/A,#N/A,FALSE,"PROVCOSTGRAPH";#N/A,#N/A,FALSE,"HireGraph"}</definedName>
    <definedName name="______OHO2" localSheetId="7" hidden="1">{#N/A,#N/A,FALSE,"RESULTS";#N/A,#N/A,FALSE,"FORECAST";#N/A,#N/A,FALSE,"ProvGraph";#N/A,#N/A,FALSE,"NEG PROV";#N/A,#N/A,FALSE,"PROVCOSTGRAPH";#N/A,#N/A,FALSE,"FittGraph";#N/A,#N/A,FALSE,"HireGraph"}</definedName>
    <definedName name="______OHO2" localSheetId="8" hidden="1">{#N/A,#N/A,FALSE,"RESULTS";#N/A,#N/A,FALSE,"FORECAST";#N/A,#N/A,FALSE,"ProvGraph";#N/A,#N/A,FALSE,"NEG PROV";#N/A,#N/A,FALSE,"PROVCOSTGRAPH";#N/A,#N/A,FALSE,"FittGraph";#N/A,#N/A,FALSE,"HireGraph"}</definedName>
    <definedName name="______OHO2" localSheetId="14" hidden="1">{#N/A,#N/A,FALSE,"RESULTS";#N/A,#N/A,FALSE,"FORECAST";#N/A,#N/A,FALSE,"ProvGraph";#N/A,#N/A,FALSE,"NEG PROV";#N/A,#N/A,FALSE,"PROVCOSTGRAPH";#N/A,#N/A,FALSE,"FittGraph";#N/A,#N/A,FALSE,"HireGraph"}</definedName>
    <definedName name="______OHO2" localSheetId="17" hidden="1">{#N/A,#N/A,FALSE,"RESULTS";#N/A,#N/A,FALSE,"FORECAST";#N/A,#N/A,FALSE,"ProvGraph";#N/A,#N/A,FALSE,"NEG PROV";#N/A,#N/A,FALSE,"PROVCOSTGRAPH";#N/A,#N/A,FALSE,"FittGraph";#N/A,#N/A,FALSE,"HireGraph"}</definedName>
    <definedName name="______OHO2" localSheetId="18" hidden="1">{#N/A,#N/A,FALSE,"RESULTS";#N/A,#N/A,FALSE,"FORECAST";#N/A,#N/A,FALSE,"ProvGraph";#N/A,#N/A,FALSE,"NEG PROV";#N/A,#N/A,FALSE,"PROVCOSTGRAPH";#N/A,#N/A,FALSE,"FittGraph";#N/A,#N/A,FALSE,"HireGraph"}</definedName>
    <definedName name="______OHO2" localSheetId="11" hidden="1">{#N/A,#N/A,FALSE,"RESULTS";#N/A,#N/A,FALSE,"FORECAST";#N/A,#N/A,FALSE,"ProvGraph";#N/A,#N/A,FALSE,"NEG PROV";#N/A,#N/A,FALSE,"PROVCOSTGRAPH";#N/A,#N/A,FALSE,"FittGraph";#N/A,#N/A,FALSE,"HireGraph"}</definedName>
    <definedName name="______OHO2" hidden="1">{#N/A,#N/A,FALSE,"RESULTS";#N/A,#N/A,FALSE,"FORECAST";#N/A,#N/A,FALSE,"ProvGraph";#N/A,#N/A,FALSE,"NEG PROV";#N/A,#N/A,FALSE,"PROVCOSTGRAPH";#N/A,#N/A,FALSE,"FittGraph";#N/A,#N/A,FALSE,"HireGraph"}</definedName>
    <definedName name="_____NSW1" localSheetId="7" hidden="1">{#N/A,#N/A,FALSE,"RESULTS";#N/A,#N/A,FALSE,"FORECAST";#N/A,#N/A,FALSE,"ProvGraph";#N/A,#N/A,FALSE,"FittGraph";#N/A,#N/A,FALSE,"NEG PROV";#N/A,#N/A,FALSE,"PROVCOSTGRAPH";#N/A,#N/A,FALSE,"HireGraph"}</definedName>
    <definedName name="_____NSW1" localSheetId="8" hidden="1">{#N/A,#N/A,FALSE,"RESULTS";#N/A,#N/A,FALSE,"FORECAST";#N/A,#N/A,FALSE,"ProvGraph";#N/A,#N/A,FALSE,"FittGraph";#N/A,#N/A,FALSE,"NEG PROV";#N/A,#N/A,FALSE,"PROVCOSTGRAPH";#N/A,#N/A,FALSE,"HireGraph"}</definedName>
    <definedName name="_____NSW1" localSheetId="14" hidden="1">{#N/A,#N/A,FALSE,"RESULTS";#N/A,#N/A,FALSE,"FORECAST";#N/A,#N/A,FALSE,"ProvGraph";#N/A,#N/A,FALSE,"FittGraph";#N/A,#N/A,FALSE,"NEG PROV";#N/A,#N/A,FALSE,"PROVCOSTGRAPH";#N/A,#N/A,FALSE,"HireGraph"}</definedName>
    <definedName name="_____NSW1" localSheetId="17" hidden="1">{#N/A,#N/A,FALSE,"RESULTS";#N/A,#N/A,FALSE,"FORECAST";#N/A,#N/A,FALSE,"ProvGraph";#N/A,#N/A,FALSE,"FittGraph";#N/A,#N/A,FALSE,"NEG PROV";#N/A,#N/A,FALSE,"PROVCOSTGRAPH";#N/A,#N/A,FALSE,"HireGraph"}</definedName>
    <definedName name="_____NSW1" localSheetId="18" hidden="1">{#N/A,#N/A,FALSE,"RESULTS";#N/A,#N/A,FALSE,"FORECAST";#N/A,#N/A,FALSE,"ProvGraph";#N/A,#N/A,FALSE,"FittGraph";#N/A,#N/A,FALSE,"NEG PROV";#N/A,#N/A,FALSE,"PROVCOSTGRAPH";#N/A,#N/A,FALSE,"HireGraph"}</definedName>
    <definedName name="_____NSW1" localSheetId="11" hidden="1">{#N/A,#N/A,FALSE,"RESULTS";#N/A,#N/A,FALSE,"FORECAST";#N/A,#N/A,FALSE,"ProvGraph";#N/A,#N/A,FALSE,"FittGraph";#N/A,#N/A,FALSE,"NEG PROV";#N/A,#N/A,FALSE,"PROVCOSTGRAPH";#N/A,#N/A,FALSE,"HireGraph"}</definedName>
    <definedName name="_____NSW1" hidden="1">{#N/A,#N/A,FALSE,"RESULTS";#N/A,#N/A,FALSE,"FORECAST";#N/A,#N/A,FALSE,"ProvGraph";#N/A,#N/A,FALSE,"FittGraph";#N/A,#N/A,FALSE,"NEG PROV";#N/A,#N/A,FALSE,"PROVCOSTGRAPH";#N/A,#N/A,FALSE,"HireGraph"}</definedName>
    <definedName name="_____OH1" localSheetId="7" hidden="1">{#N/A,#N/A,FALSE,"RESULTS";#N/A,#N/A,FALSE,"FORECAST";#N/A,#N/A,FALSE,"ProvGraph";#N/A,#N/A,FALSE,"NEG PROV";#N/A,#N/A,FALSE,"PROVCOSTGRAPH";#N/A,#N/A,FALSE,"FittGraph";#N/A,#N/A,FALSE,"HireGraph"}</definedName>
    <definedName name="_____OH1" localSheetId="8" hidden="1">{#N/A,#N/A,FALSE,"RESULTS";#N/A,#N/A,FALSE,"FORECAST";#N/A,#N/A,FALSE,"ProvGraph";#N/A,#N/A,FALSE,"NEG PROV";#N/A,#N/A,FALSE,"PROVCOSTGRAPH";#N/A,#N/A,FALSE,"FittGraph";#N/A,#N/A,FALSE,"HireGraph"}</definedName>
    <definedName name="_____OH1" localSheetId="14" hidden="1">{#N/A,#N/A,FALSE,"RESULTS";#N/A,#N/A,FALSE,"FORECAST";#N/A,#N/A,FALSE,"ProvGraph";#N/A,#N/A,FALSE,"NEG PROV";#N/A,#N/A,FALSE,"PROVCOSTGRAPH";#N/A,#N/A,FALSE,"FittGraph";#N/A,#N/A,FALSE,"HireGraph"}</definedName>
    <definedName name="_____OH1" localSheetId="17" hidden="1">{#N/A,#N/A,FALSE,"RESULTS";#N/A,#N/A,FALSE,"FORECAST";#N/A,#N/A,FALSE,"ProvGraph";#N/A,#N/A,FALSE,"NEG PROV";#N/A,#N/A,FALSE,"PROVCOSTGRAPH";#N/A,#N/A,FALSE,"FittGraph";#N/A,#N/A,FALSE,"HireGraph"}</definedName>
    <definedName name="_____OH1" localSheetId="18" hidden="1">{#N/A,#N/A,FALSE,"RESULTS";#N/A,#N/A,FALSE,"FORECAST";#N/A,#N/A,FALSE,"ProvGraph";#N/A,#N/A,FALSE,"NEG PROV";#N/A,#N/A,FALSE,"PROVCOSTGRAPH";#N/A,#N/A,FALSE,"FittGraph";#N/A,#N/A,FALSE,"HireGraph"}</definedName>
    <definedName name="_____OH1" localSheetId="11" hidden="1">{#N/A,#N/A,FALSE,"RESULTS";#N/A,#N/A,FALSE,"FORECAST";#N/A,#N/A,FALSE,"ProvGraph";#N/A,#N/A,FALSE,"NEG PROV";#N/A,#N/A,FALSE,"PROVCOSTGRAPH";#N/A,#N/A,FALSE,"FittGraph";#N/A,#N/A,FALSE,"HireGraph"}</definedName>
    <definedName name="_____OH1" hidden="1">{#N/A,#N/A,FALSE,"RESULTS";#N/A,#N/A,FALSE,"FORECAST";#N/A,#N/A,FALSE,"ProvGraph";#N/A,#N/A,FALSE,"NEG PROV";#N/A,#N/A,FALSE,"PROVCOSTGRAPH";#N/A,#N/A,FALSE,"FittGraph";#N/A,#N/A,FALSE,"HireGraph"}</definedName>
    <definedName name="_____OHO1" localSheetId="7" hidden="1">{#N/A,#N/A,FALSE,"RESULTS";#N/A,#N/A,FALSE,"FORECAST";#N/A,#N/A,FALSE,"ProvGraph";#N/A,#N/A,FALSE,"FittGraph";#N/A,#N/A,FALSE,"NEG PROV";#N/A,#N/A,FALSE,"PROVCOSTGRAPH";#N/A,#N/A,FALSE,"HireGraph"}</definedName>
    <definedName name="_____OHO1" localSheetId="8" hidden="1">{#N/A,#N/A,FALSE,"RESULTS";#N/A,#N/A,FALSE,"FORECAST";#N/A,#N/A,FALSE,"ProvGraph";#N/A,#N/A,FALSE,"FittGraph";#N/A,#N/A,FALSE,"NEG PROV";#N/A,#N/A,FALSE,"PROVCOSTGRAPH";#N/A,#N/A,FALSE,"HireGraph"}</definedName>
    <definedName name="_____OHO1" localSheetId="14" hidden="1">{#N/A,#N/A,FALSE,"RESULTS";#N/A,#N/A,FALSE,"FORECAST";#N/A,#N/A,FALSE,"ProvGraph";#N/A,#N/A,FALSE,"FittGraph";#N/A,#N/A,FALSE,"NEG PROV";#N/A,#N/A,FALSE,"PROVCOSTGRAPH";#N/A,#N/A,FALSE,"HireGraph"}</definedName>
    <definedName name="_____OHO1" localSheetId="17" hidden="1">{#N/A,#N/A,FALSE,"RESULTS";#N/A,#N/A,FALSE,"FORECAST";#N/A,#N/A,FALSE,"ProvGraph";#N/A,#N/A,FALSE,"FittGraph";#N/A,#N/A,FALSE,"NEG PROV";#N/A,#N/A,FALSE,"PROVCOSTGRAPH";#N/A,#N/A,FALSE,"HireGraph"}</definedName>
    <definedName name="_____OHO1" localSheetId="18" hidden="1">{#N/A,#N/A,FALSE,"RESULTS";#N/A,#N/A,FALSE,"FORECAST";#N/A,#N/A,FALSE,"ProvGraph";#N/A,#N/A,FALSE,"FittGraph";#N/A,#N/A,FALSE,"NEG PROV";#N/A,#N/A,FALSE,"PROVCOSTGRAPH";#N/A,#N/A,FALSE,"HireGraph"}</definedName>
    <definedName name="_____OHO1" localSheetId="11" hidden="1">{#N/A,#N/A,FALSE,"RESULTS";#N/A,#N/A,FALSE,"FORECAST";#N/A,#N/A,FALSE,"ProvGraph";#N/A,#N/A,FALSE,"FittGraph";#N/A,#N/A,FALSE,"NEG PROV";#N/A,#N/A,FALSE,"PROVCOSTGRAPH";#N/A,#N/A,FALSE,"HireGraph"}</definedName>
    <definedName name="_____OHO1" hidden="1">{#N/A,#N/A,FALSE,"RESULTS";#N/A,#N/A,FALSE,"FORECAST";#N/A,#N/A,FALSE,"ProvGraph";#N/A,#N/A,FALSE,"FittGraph";#N/A,#N/A,FALSE,"NEG PROV";#N/A,#N/A,FALSE,"PROVCOSTGRAPH";#N/A,#N/A,FALSE,"HireGraph"}</definedName>
    <definedName name="_____OHO2" localSheetId="7" hidden="1">{#N/A,#N/A,FALSE,"RESULTS";#N/A,#N/A,FALSE,"FORECAST";#N/A,#N/A,FALSE,"ProvGraph";#N/A,#N/A,FALSE,"NEG PROV";#N/A,#N/A,FALSE,"PROVCOSTGRAPH";#N/A,#N/A,FALSE,"FittGraph";#N/A,#N/A,FALSE,"HireGraph"}</definedName>
    <definedName name="_____OHO2" localSheetId="8" hidden="1">{#N/A,#N/A,FALSE,"RESULTS";#N/A,#N/A,FALSE,"FORECAST";#N/A,#N/A,FALSE,"ProvGraph";#N/A,#N/A,FALSE,"NEG PROV";#N/A,#N/A,FALSE,"PROVCOSTGRAPH";#N/A,#N/A,FALSE,"FittGraph";#N/A,#N/A,FALSE,"HireGraph"}</definedName>
    <definedName name="_____OHO2" localSheetId="14" hidden="1">{#N/A,#N/A,FALSE,"RESULTS";#N/A,#N/A,FALSE,"FORECAST";#N/A,#N/A,FALSE,"ProvGraph";#N/A,#N/A,FALSE,"NEG PROV";#N/A,#N/A,FALSE,"PROVCOSTGRAPH";#N/A,#N/A,FALSE,"FittGraph";#N/A,#N/A,FALSE,"HireGraph"}</definedName>
    <definedName name="_____OHO2" localSheetId="17" hidden="1">{#N/A,#N/A,FALSE,"RESULTS";#N/A,#N/A,FALSE,"FORECAST";#N/A,#N/A,FALSE,"ProvGraph";#N/A,#N/A,FALSE,"NEG PROV";#N/A,#N/A,FALSE,"PROVCOSTGRAPH";#N/A,#N/A,FALSE,"FittGraph";#N/A,#N/A,FALSE,"HireGraph"}</definedName>
    <definedName name="_____OHO2" localSheetId="18" hidden="1">{#N/A,#N/A,FALSE,"RESULTS";#N/A,#N/A,FALSE,"FORECAST";#N/A,#N/A,FALSE,"ProvGraph";#N/A,#N/A,FALSE,"NEG PROV";#N/A,#N/A,FALSE,"PROVCOSTGRAPH";#N/A,#N/A,FALSE,"FittGraph";#N/A,#N/A,FALSE,"HireGraph"}</definedName>
    <definedName name="_____OHO2" localSheetId="11" hidden="1">{#N/A,#N/A,FALSE,"RESULTS";#N/A,#N/A,FALSE,"FORECAST";#N/A,#N/A,FALSE,"ProvGraph";#N/A,#N/A,FALSE,"NEG PROV";#N/A,#N/A,FALSE,"PROVCOSTGRAPH";#N/A,#N/A,FALSE,"FittGraph";#N/A,#N/A,FALSE,"HireGraph"}</definedName>
    <definedName name="_____OHO2" hidden="1">{#N/A,#N/A,FALSE,"RESULTS";#N/A,#N/A,FALSE,"FORECAST";#N/A,#N/A,FALSE,"ProvGraph";#N/A,#N/A,FALSE,"NEG PROV";#N/A,#N/A,FALSE,"PROVCOSTGRAPH";#N/A,#N/A,FALSE,"FittGraph";#N/A,#N/A,FALSE,"HireGraph"}</definedName>
    <definedName name="____JUN09" localSheetId="7" hidden="1">{#N/A,#N/A,FALSE,"RESULTS";#N/A,#N/A,FALSE,"FORECAST";#N/A,#N/A,FALSE,"ProvGraph";#N/A,#N/A,FALSE,"NEG PROV";#N/A,#N/A,FALSE,"PROVCOSTGRAPH";#N/A,#N/A,FALSE,"FittGraph";#N/A,#N/A,FALSE,"HireGraph"}</definedName>
    <definedName name="____JUN09" localSheetId="8" hidden="1">{#N/A,#N/A,FALSE,"RESULTS";#N/A,#N/A,FALSE,"FORECAST";#N/A,#N/A,FALSE,"ProvGraph";#N/A,#N/A,FALSE,"NEG PROV";#N/A,#N/A,FALSE,"PROVCOSTGRAPH";#N/A,#N/A,FALSE,"FittGraph";#N/A,#N/A,FALSE,"HireGraph"}</definedName>
    <definedName name="____JUN09" localSheetId="14" hidden="1">{#N/A,#N/A,FALSE,"RESULTS";#N/A,#N/A,FALSE,"FORECAST";#N/A,#N/A,FALSE,"ProvGraph";#N/A,#N/A,FALSE,"NEG PROV";#N/A,#N/A,FALSE,"PROVCOSTGRAPH";#N/A,#N/A,FALSE,"FittGraph";#N/A,#N/A,FALSE,"HireGraph"}</definedName>
    <definedName name="____JUN09" localSheetId="17" hidden="1">{#N/A,#N/A,FALSE,"RESULTS";#N/A,#N/A,FALSE,"FORECAST";#N/A,#N/A,FALSE,"ProvGraph";#N/A,#N/A,FALSE,"NEG PROV";#N/A,#N/A,FALSE,"PROVCOSTGRAPH";#N/A,#N/A,FALSE,"FittGraph";#N/A,#N/A,FALSE,"HireGraph"}</definedName>
    <definedName name="____JUN09" localSheetId="18" hidden="1">{#N/A,#N/A,FALSE,"RESULTS";#N/A,#N/A,FALSE,"FORECAST";#N/A,#N/A,FALSE,"ProvGraph";#N/A,#N/A,FALSE,"NEG PROV";#N/A,#N/A,FALSE,"PROVCOSTGRAPH";#N/A,#N/A,FALSE,"FittGraph";#N/A,#N/A,FALSE,"HireGraph"}</definedName>
    <definedName name="____JUN09" localSheetId="11" hidden="1">{#N/A,#N/A,FALSE,"RESULTS";#N/A,#N/A,FALSE,"FORECAST";#N/A,#N/A,FALSE,"ProvGraph";#N/A,#N/A,FALSE,"NEG PROV";#N/A,#N/A,FALSE,"PROVCOSTGRAPH";#N/A,#N/A,FALSE,"FittGraph";#N/A,#N/A,FALSE,"HireGraph"}</definedName>
    <definedName name="____JUN09" hidden="1">{#N/A,#N/A,FALSE,"RESULTS";#N/A,#N/A,FALSE,"FORECAST";#N/A,#N/A,FALSE,"ProvGraph";#N/A,#N/A,FALSE,"NEG PROV";#N/A,#N/A,FALSE,"PROVCOSTGRAPH";#N/A,#N/A,FALSE,"FittGraph";#N/A,#N/A,FALSE,"HireGraph"}</definedName>
    <definedName name="____NSW1" localSheetId="7" hidden="1">{#N/A,#N/A,FALSE,"RESULTS";#N/A,#N/A,FALSE,"FORECAST";#N/A,#N/A,FALSE,"ProvGraph";#N/A,#N/A,FALSE,"FittGraph";#N/A,#N/A,FALSE,"NEG PROV";#N/A,#N/A,FALSE,"PROVCOSTGRAPH";#N/A,#N/A,FALSE,"HireGraph"}</definedName>
    <definedName name="____NSW1" localSheetId="8" hidden="1">{#N/A,#N/A,FALSE,"RESULTS";#N/A,#N/A,FALSE,"FORECAST";#N/A,#N/A,FALSE,"ProvGraph";#N/A,#N/A,FALSE,"FittGraph";#N/A,#N/A,FALSE,"NEG PROV";#N/A,#N/A,FALSE,"PROVCOSTGRAPH";#N/A,#N/A,FALSE,"HireGraph"}</definedName>
    <definedName name="____NSW1" localSheetId="14" hidden="1">{#N/A,#N/A,FALSE,"RESULTS";#N/A,#N/A,FALSE,"FORECAST";#N/A,#N/A,FALSE,"ProvGraph";#N/A,#N/A,FALSE,"FittGraph";#N/A,#N/A,FALSE,"NEG PROV";#N/A,#N/A,FALSE,"PROVCOSTGRAPH";#N/A,#N/A,FALSE,"HireGraph"}</definedName>
    <definedName name="____NSW1" localSheetId="17" hidden="1">{#N/A,#N/A,FALSE,"RESULTS";#N/A,#N/A,FALSE,"FORECAST";#N/A,#N/A,FALSE,"ProvGraph";#N/A,#N/A,FALSE,"FittGraph";#N/A,#N/A,FALSE,"NEG PROV";#N/A,#N/A,FALSE,"PROVCOSTGRAPH";#N/A,#N/A,FALSE,"HireGraph"}</definedName>
    <definedName name="____NSW1" localSheetId="18" hidden="1">{#N/A,#N/A,FALSE,"RESULTS";#N/A,#N/A,FALSE,"FORECAST";#N/A,#N/A,FALSE,"ProvGraph";#N/A,#N/A,FALSE,"FittGraph";#N/A,#N/A,FALSE,"NEG PROV";#N/A,#N/A,FALSE,"PROVCOSTGRAPH";#N/A,#N/A,FALSE,"HireGraph"}</definedName>
    <definedName name="____NSW1" localSheetId="11" hidden="1">{#N/A,#N/A,FALSE,"RESULTS";#N/A,#N/A,FALSE,"FORECAST";#N/A,#N/A,FALSE,"ProvGraph";#N/A,#N/A,FALSE,"FittGraph";#N/A,#N/A,FALSE,"NEG PROV";#N/A,#N/A,FALSE,"PROVCOSTGRAPH";#N/A,#N/A,FALSE,"HireGraph"}</definedName>
    <definedName name="____NSW1" hidden="1">{#N/A,#N/A,FALSE,"RESULTS";#N/A,#N/A,FALSE,"FORECAST";#N/A,#N/A,FALSE,"ProvGraph";#N/A,#N/A,FALSE,"FittGraph";#N/A,#N/A,FALSE,"NEG PROV";#N/A,#N/A,FALSE,"PROVCOSTGRAPH";#N/A,#N/A,FALSE,"HireGraph"}</definedName>
    <definedName name="____OH1" localSheetId="7" hidden="1">{#N/A,#N/A,FALSE,"RESULTS";#N/A,#N/A,FALSE,"FORECAST";#N/A,#N/A,FALSE,"ProvGraph";#N/A,#N/A,FALSE,"NEG PROV";#N/A,#N/A,FALSE,"PROVCOSTGRAPH";#N/A,#N/A,FALSE,"FittGraph";#N/A,#N/A,FALSE,"HireGraph"}</definedName>
    <definedName name="____OH1" localSheetId="8" hidden="1">{#N/A,#N/A,FALSE,"RESULTS";#N/A,#N/A,FALSE,"FORECAST";#N/A,#N/A,FALSE,"ProvGraph";#N/A,#N/A,FALSE,"NEG PROV";#N/A,#N/A,FALSE,"PROVCOSTGRAPH";#N/A,#N/A,FALSE,"FittGraph";#N/A,#N/A,FALSE,"HireGraph"}</definedName>
    <definedName name="____OH1" localSheetId="14" hidden="1">{#N/A,#N/A,FALSE,"RESULTS";#N/A,#N/A,FALSE,"FORECAST";#N/A,#N/A,FALSE,"ProvGraph";#N/A,#N/A,FALSE,"NEG PROV";#N/A,#N/A,FALSE,"PROVCOSTGRAPH";#N/A,#N/A,FALSE,"FittGraph";#N/A,#N/A,FALSE,"HireGraph"}</definedName>
    <definedName name="____OH1" localSheetId="17" hidden="1">{#N/A,#N/A,FALSE,"RESULTS";#N/A,#N/A,FALSE,"FORECAST";#N/A,#N/A,FALSE,"ProvGraph";#N/A,#N/A,FALSE,"NEG PROV";#N/A,#N/A,FALSE,"PROVCOSTGRAPH";#N/A,#N/A,FALSE,"FittGraph";#N/A,#N/A,FALSE,"HireGraph"}</definedName>
    <definedName name="____OH1" localSheetId="18" hidden="1">{#N/A,#N/A,FALSE,"RESULTS";#N/A,#N/A,FALSE,"FORECAST";#N/A,#N/A,FALSE,"ProvGraph";#N/A,#N/A,FALSE,"NEG PROV";#N/A,#N/A,FALSE,"PROVCOSTGRAPH";#N/A,#N/A,FALSE,"FittGraph";#N/A,#N/A,FALSE,"HireGraph"}</definedName>
    <definedName name="____OH1" localSheetId="11" hidden="1">{#N/A,#N/A,FALSE,"RESULTS";#N/A,#N/A,FALSE,"FORECAST";#N/A,#N/A,FALSE,"ProvGraph";#N/A,#N/A,FALSE,"NEG PROV";#N/A,#N/A,FALSE,"PROVCOSTGRAPH";#N/A,#N/A,FALSE,"FittGraph";#N/A,#N/A,FALSE,"HireGraph"}</definedName>
    <definedName name="____OH1" hidden="1">{#N/A,#N/A,FALSE,"RESULTS";#N/A,#N/A,FALSE,"FORECAST";#N/A,#N/A,FALSE,"ProvGraph";#N/A,#N/A,FALSE,"NEG PROV";#N/A,#N/A,FALSE,"PROVCOSTGRAPH";#N/A,#N/A,FALSE,"FittGraph";#N/A,#N/A,FALSE,"HireGraph"}</definedName>
    <definedName name="____OHO1" localSheetId="7" hidden="1">{#N/A,#N/A,FALSE,"RESULTS";#N/A,#N/A,FALSE,"FORECAST";#N/A,#N/A,FALSE,"ProvGraph";#N/A,#N/A,FALSE,"FittGraph";#N/A,#N/A,FALSE,"NEG PROV";#N/A,#N/A,FALSE,"PROVCOSTGRAPH";#N/A,#N/A,FALSE,"HireGraph"}</definedName>
    <definedName name="____OHO1" localSheetId="8" hidden="1">{#N/A,#N/A,FALSE,"RESULTS";#N/A,#N/A,FALSE,"FORECAST";#N/A,#N/A,FALSE,"ProvGraph";#N/A,#N/A,FALSE,"FittGraph";#N/A,#N/A,FALSE,"NEG PROV";#N/A,#N/A,FALSE,"PROVCOSTGRAPH";#N/A,#N/A,FALSE,"HireGraph"}</definedName>
    <definedName name="____OHO1" localSheetId="14" hidden="1">{#N/A,#N/A,FALSE,"RESULTS";#N/A,#N/A,FALSE,"FORECAST";#N/A,#N/A,FALSE,"ProvGraph";#N/A,#N/A,FALSE,"FittGraph";#N/A,#N/A,FALSE,"NEG PROV";#N/A,#N/A,FALSE,"PROVCOSTGRAPH";#N/A,#N/A,FALSE,"HireGraph"}</definedName>
    <definedName name="____OHO1" localSheetId="17" hidden="1">{#N/A,#N/A,FALSE,"RESULTS";#N/A,#N/A,FALSE,"FORECAST";#N/A,#N/A,FALSE,"ProvGraph";#N/A,#N/A,FALSE,"FittGraph";#N/A,#N/A,FALSE,"NEG PROV";#N/A,#N/A,FALSE,"PROVCOSTGRAPH";#N/A,#N/A,FALSE,"HireGraph"}</definedName>
    <definedName name="____OHO1" localSheetId="18" hidden="1">{#N/A,#N/A,FALSE,"RESULTS";#N/A,#N/A,FALSE,"FORECAST";#N/A,#N/A,FALSE,"ProvGraph";#N/A,#N/A,FALSE,"FittGraph";#N/A,#N/A,FALSE,"NEG PROV";#N/A,#N/A,FALSE,"PROVCOSTGRAPH";#N/A,#N/A,FALSE,"HireGraph"}</definedName>
    <definedName name="____OHO1" localSheetId="11" hidden="1">{#N/A,#N/A,FALSE,"RESULTS";#N/A,#N/A,FALSE,"FORECAST";#N/A,#N/A,FALSE,"ProvGraph";#N/A,#N/A,FALSE,"FittGraph";#N/A,#N/A,FALSE,"NEG PROV";#N/A,#N/A,FALSE,"PROVCOSTGRAPH";#N/A,#N/A,FALSE,"HireGraph"}</definedName>
    <definedName name="____OHO1" hidden="1">{#N/A,#N/A,FALSE,"RESULTS";#N/A,#N/A,FALSE,"FORECAST";#N/A,#N/A,FALSE,"ProvGraph";#N/A,#N/A,FALSE,"FittGraph";#N/A,#N/A,FALSE,"NEG PROV";#N/A,#N/A,FALSE,"PROVCOSTGRAPH";#N/A,#N/A,FALSE,"HireGraph"}</definedName>
    <definedName name="____OHO2" localSheetId="7" hidden="1">{#N/A,#N/A,FALSE,"RESULTS";#N/A,#N/A,FALSE,"FORECAST";#N/A,#N/A,FALSE,"ProvGraph";#N/A,#N/A,FALSE,"NEG PROV";#N/A,#N/A,FALSE,"PROVCOSTGRAPH";#N/A,#N/A,FALSE,"FittGraph";#N/A,#N/A,FALSE,"HireGraph"}</definedName>
    <definedName name="____OHO2" localSheetId="8" hidden="1">{#N/A,#N/A,FALSE,"RESULTS";#N/A,#N/A,FALSE,"FORECAST";#N/A,#N/A,FALSE,"ProvGraph";#N/A,#N/A,FALSE,"NEG PROV";#N/A,#N/A,FALSE,"PROVCOSTGRAPH";#N/A,#N/A,FALSE,"FittGraph";#N/A,#N/A,FALSE,"HireGraph"}</definedName>
    <definedName name="____OHO2" localSheetId="14" hidden="1">{#N/A,#N/A,FALSE,"RESULTS";#N/A,#N/A,FALSE,"FORECAST";#N/A,#N/A,FALSE,"ProvGraph";#N/A,#N/A,FALSE,"NEG PROV";#N/A,#N/A,FALSE,"PROVCOSTGRAPH";#N/A,#N/A,FALSE,"FittGraph";#N/A,#N/A,FALSE,"HireGraph"}</definedName>
    <definedName name="____OHO2" localSheetId="17" hidden="1">{#N/A,#N/A,FALSE,"RESULTS";#N/A,#N/A,FALSE,"FORECAST";#N/A,#N/A,FALSE,"ProvGraph";#N/A,#N/A,FALSE,"NEG PROV";#N/A,#N/A,FALSE,"PROVCOSTGRAPH";#N/A,#N/A,FALSE,"FittGraph";#N/A,#N/A,FALSE,"HireGraph"}</definedName>
    <definedName name="____OHO2" localSheetId="18" hidden="1">{#N/A,#N/A,FALSE,"RESULTS";#N/A,#N/A,FALSE,"FORECAST";#N/A,#N/A,FALSE,"ProvGraph";#N/A,#N/A,FALSE,"NEG PROV";#N/A,#N/A,FALSE,"PROVCOSTGRAPH";#N/A,#N/A,FALSE,"FittGraph";#N/A,#N/A,FALSE,"HireGraph"}</definedName>
    <definedName name="____OHO2" localSheetId="11" hidden="1">{#N/A,#N/A,FALSE,"RESULTS";#N/A,#N/A,FALSE,"FORECAST";#N/A,#N/A,FALSE,"ProvGraph";#N/A,#N/A,FALSE,"NEG PROV";#N/A,#N/A,FALSE,"PROVCOSTGRAPH";#N/A,#N/A,FALSE,"FittGraph";#N/A,#N/A,FALSE,"HireGraph"}</definedName>
    <definedName name="____OHO2" hidden="1">{#N/A,#N/A,FALSE,"RESULTS";#N/A,#N/A,FALSE,"FORECAST";#N/A,#N/A,FALSE,"ProvGraph";#N/A,#N/A,FALSE,"NEG PROV";#N/A,#N/A,FALSE,"PROVCOSTGRAPH";#N/A,#N/A,FALSE,"FittGraph";#N/A,#N/A,FALSE,"HireGraph"}</definedName>
    <definedName name="___JUN09" localSheetId="7" hidden="1">{#N/A,#N/A,FALSE,"RESULTS";#N/A,#N/A,FALSE,"FORECAST";#N/A,#N/A,FALSE,"ProvGraph";#N/A,#N/A,FALSE,"NEG PROV";#N/A,#N/A,FALSE,"PROVCOSTGRAPH";#N/A,#N/A,FALSE,"FittGraph";#N/A,#N/A,FALSE,"HireGraph"}</definedName>
    <definedName name="___JUN09" localSheetId="8" hidden="1">{#N/A,#N/A,FALSE,"RESULTS";#N/A,#N/A,FALSE,"FORECAST";#N/A,#N/A,FALSE,"ProvGraph";#N/A,#N/A,FALSE,"NEG PROV";#N/A,#N/A,FALSE,"PROVCOSTGRAPH";#N/A,#N/A,FALSE,"FittGraph";#N/A,#N/A,FALSE,"HireGraph"}</definedName>
    <definedName name="___JUN09" localSheetId="14" hidden="1">{#N/A,#N/A,FALSE,"RESULTS";#N/A,#N/A,FALSE,"FORECAST";#N/A,#N/A,FALSE,"ProvGraph";#N/A,#N/A,FALSE,"NEG PROV";#N/A,#N/A,FALSE,"PROVCOSTGRAPH";#N/A,#N/A,FALSE,"FittGraph";#N/A,#N/A,FALSE,"HireGraph"}</definedName>
    <definedName name="___JUN09" localSheetId="17" hidden="1">{#N/A,#N/A,FALSE,"RESULTS";#N/A,#N/A,FALSE,"FORECAST";#N/A,#N/A,FALSE,"ProvGraph";#N/A,#N/A,FALSE,"NEG PROV";#N/A,#N/A,FALSE,"PROVCOSTGRAPH";#N/A,#N/A,FALSE,"FittGraph";#N/A,#N/A,FALSE,"HireGraph"}</definedName>
    <definedName name="___JUN09" localSheetId="18" hidden="1">{#N/A,#N/A,FALSE,"RESULTS";#N/A,#N/A,FALSE,"FORECAST";#N/A,#N/A,FALSE,"ProvGraph";#N/A,#N/A,FALSE,"NEG PROV";#N/A,#N/A,FALSE,"PROVCOSTGRAPH";#N/A,#N/A,FALSE,"FittGraph";#N/A,#N/A,FALSE,"HireGraph"}</definedName>
    <definedName name="___JUN09" localSheetId="11" hidden="1">{#N/A,#N/A,FALSE,"RESULTS";#N/A,#N/A,FALSE,"FORECAST";#N/A,#N/A,FALSE,"ProvGraph";#N/A,#N/A,FALSE,"NEG PROV";#N/A,#N/A,FALSE,"PROVCOSTGRAPH";#N/A,#N/A,FALSE,"FittGraph";#N/A,#N/A,FALSE,"HireGraph"}</definedName>
    <definedName name="___JUN09" hidden="1">{#N/A,#N/A,FALSE,"RESULTS";#N/A,#N/A,FALSE,"FORECAST";#N/A,#N/A,FALSE,"ProvGraph";#N/A,#N/A,FALSE,"NEG PROV";#N/A,#N/A,FALSE,"PROVCOSTGRAPH";#N/A,#N/A,FALSE,"FittGraph";#N/A,#N/A,FALSE,"HireGraph"}</definedName>
    <definedName name="__123Graph_A" hidden="1">'[1]Guarantee Sched'!$AE$11:$AE$45</definedName>
    <definedName name="__123Graph_B" hidden="1">'[1]Guarantee Sched'!$AF$11:$AF$45</definedName>
    <definedName name="__123Graph_C" hidden="1">'[1]Guarantee Sched'!$AG$11:$AG$45</definedName>
    <definedName name="__123Graph_D" hidden="1">'[1]Guarantee Sched'!$AH$11:$AH$45</definedName>
    <definedName name="__123Graph_E" hidden="1">'[1]Guarantee Sched'!$AI$11:$AI$45</definedName>
    <definedName name="__123Graph_F" hidden="1">'[1]Guarantee Sched'!$AJ$11:$AJ$45</definedName>
    <definedName name="__123Graph_X" hidden="1">'[1]Guarantee Sched'!$AD$11:$AD$46</definedName>
    <definedName name="__JUN09" localSheetId="7" hidden="1">{#N/A,#N/A,FALSE,"RESULTS";#N/A,#N/A,FALSE,"FORECAST";#N/A,#N/A,FALSE,"ProvGraph";#N/A,#N/A,FALSE,"NEG PROV";#N/A,#N/A,FALSE,"PROVCOSTGRAPH";#N/A,#N/A,FALSE,"FittGraph";#N/A,#N/A,FALSE,"HireGraph"}</definedName>
    <definedName name="__JUN09" localSheetId="8" hidden="1">{#N/A,#N/A,FALSE,"RESULTS";#N/A,#N/A,FALSE,"FORECAST";#N/A,#N/A,FALSE,"ProvGraph";#N/A,#N/A,FALSE,"NEG PROV";#N/A,#N/A,FALSE,"PROVCOSTGRAPH";#N/A,#N/A,FALSE,"FittGraph";#N/A,#N/A,FALSE,"HireGraph"}</definedName>
    <definedName name="__JUN09" localSheetId="14" hidden="1">{#N/A,#N/A,FALSE,"RESULTS";#N/A,#N/A,FALSE,"FORECAST";#N/A,#N/A,FALSE,"ProvGraph";#N/A,#N/A,FALSE,"NEG PROV";#N/A,#N/A,FALSE,"PROVCOSTGRAPH";#N/A,#N/A,FALSE,"FittGraph";#N/A,#N/A,FALSE,"HireGraph"}</definedName>
    <definedName name="__JUN09" localSheetId="17" hidden="1">{#N/A,#N/A,FALSE,"RESULTS";#N/A,#N/A,FALSE,"FORECAST";#N/A,#N/A,FALSE,"ProvGraph";#N/A,#N/A,FALSE,"NEG PROV";#N/A,#N/A,FALSE,"PROVCOSTGRAPH";#N/A,#N/A,FALSE,"FittGraph";#N/A,#N/A,FALSE,"HireGraph"}</definedName>
    <definedName name="__JUN09" localSheetId="18" hidden="1">{#N/A,#N/A,FALSE,"RESULTS";#N/A,#N/A,FALSE,"FORECAST";#N/A,#N/A,FALSE,"ProvGraph";#N/A,#N/A,FALSE,"NEG PROV";#N/A,#N/A,FALSE,"PROVCOSTGRAPH";#N/A,#N/A,FALSE,"FittGraph";#N/A,#N/A,FALSE,"HireGraph"}</definedName>
    <definedName name="__JUN09" localSheetId="11" hidden="1">{#N/A,#N/A,FALSE,"RESULTS";#N/A,#N/A,FALSE,"FORECAST";#N/A,#N/A,FALSE,"ProvGraph";#N/A,#N/A,FALSE,"NEG PROV";#N/A,#N/A,FALSE,"PROVCOSTGRAPH";#N/A,#N/A,FALSE,"FittGraph";#N/A,#N/A,FALSE,"HireGraph"}</definedName>
    <definedName name="__JUN09" hidden="1">{#N/A,#N/A,FALSE,"RESULTS";#N/A,#N/A,FALSE,"FORECAST";#N/A,#N/A,FALSE,"ProvGraph";#N/A,#N/A,FALSE,"NEG PROV";#N/A,#N/A,FALSE,"PROVCOSTGRAPH";#N/A,#N/A,FALSE,"FittGraph";#N/A,#N/A,FALSE,"HireGraph"}</definedName>
    <definedName name="__NSW1" localSheetId="7" hidden="1">{#N/A,#N/A,FALSE,"RESULTS";#N/A,#N/A,FALSE,"FORECAST";#N/A,#N/A,FALSE,"ProvGraph";#N/A,#N/A,FALSE,"FittGraph";#N/A,#N/A,FALSE,"NEG PROV";#N/A,#N/A,FALSE,"PROVCOSTGRAPH";#N/A,#N/A,FALSE,"HireGraph"}</definedName>
    <definedName name="__NSW1" localSheetId="8" hidden="1">{#N/A,#N/A,FALSE,"RESULTS";#N/A,#N/A,FALSE,"FORECAST";#N/A,#N/A,FALSE,"ProvGraph";#N/A,#N/A,FALSE,"FittGraph";#N/A,#N/A,FALSE,"NEG PROV";#N/A,#N/A,FALSE,"PROVCOSTGRAPH";#N/A,#N/A,FALSE,"HireGraph"}</definedName>
    <definedName name="__NSW1" localSheetId="14" hidden="1">{#N/A,#N/A,FALSE,"RESULTS";#N/A,#N/A,FALSE,"FORECAST";#N/A,#N/A,FALSE,"ProvGraph";#N/A,#N/A,FALSE,"FittGraph";#N/A,#N/A,FALSE,"NEG PROV";#N/A,#N/A,FALSE,"PROVCOSTGRAPH";#N/A,#N/A,FALSE,"HireGraph"}</definedName>
    <definedName name="__NSW1" localSheetId="17" hidden="1">{#N/A,#N/A,FALSE,"RESULTS";#N/A,#N/A,FALSE,"FORECAST";#N/A,#N/A,FALSE,"ProvGraph";#N/A,#N/A,FALSE,"FittGraph";#N/A,#N/A,FALSE,"NEG PROV";#N/A,#N/A,FALSE,"PROVCOSTGRAPH";#N/A,#N/A,FALSE,"HireGraph"}</definedName>
    <definedName name="__NSW1" localSheetId="18" hidden="1">{#N/A,#N/A,FALSE,"RESULTS";#N/A,#N/A,FALSE,"FORECAST";#N/A,#N/A,FALSE,"ProvGraph";#N/A,#N/A,FALSE,"FittGraph";#N/A,#N/A,FALSE,"NEG PROV";#N/A,#N/A,FALSE,"PROVCOSTGRAPH";#N/A,#N/A,FALSE,"HireGraph"}</definedName>
    <definedName name="__NSW1" localSheetId="11" hidden="1">{#N/A,#N/A,FALSE,"RESULTS";#N/A,#N/A,FALSE,"FORECAST";#N/A,#N/A,FALSE,"ProvGraph";#N/A,#N/A,FALSE,"FittGraph";#N/A,#N/A,FALSE,"NEG PROV";#N/A,#N/A,FALSE,"PROVCOSTGRAPH";#N/A,#N/A,FALSE,"HireGraph"}</definedName>
    <definedName name="__NSW1" hidden="1">{#N/A,#N/A,FALSE,"RESULTS";#N/A,#N/A,FALSE,"FORECAST";#N/A,#N/A,FALSE,"ProvGraph";#N/A,#N/A,FALSE,"FittGraph";#N/A,#N/A,FALSE,"NEG PROV";#N/A,#N/A,FALSE,"PROVCOSTGRAPH";#N/A,#N/A,FALSE,"HireGraph"}</definedName>
    <definedName name="__OH1" localSheetId="7" hidden="1">{#N/A,#N/A,FALSE,"RESULTS";#N/A,#N/A,FALSE,"FORECAST";#N/A,#N/A,FALSE,"ProvGraph";#N/A,#N/A,FALSE,"NEG PROV";#N/A,#N/A,FALSE,"PROVCOSTGRAPH";#N/A,#N/A,FALSE,"FittGraph";#N/A,#N/A,FALSE,"HireGraph"}</definedName>
    <definedName name="__OH1" localSheetId="8" hidden="1">{#N/A,#N/A,FALSE,"RESULTS";#N/A,#N/A,FALSE,"FORECAST";#N/A,#N/A,FALSE,"ProvGraph";#N/A,#N/A,FALSE,"NEG PROV";#N/A,#N/A,FALSE,"PROVCOSTGRAPH";#N/A,#N/A,FALSE,"FittGraph";#N/A,#N/A,FALSE,"HireGraph"}</definedName>
    <definedName name="__OH1" localSheetId="14" hidden="1">{#N/A,#N/A,FALSE,"RESULTS";#N/A,#N/A,FALSE,"FORECAST";#N/A,#N/A,FALSE,"ProvGraph";#N/A,#N/A,FALSE,"NEG PROV";#N/A,#N/A,FALSE,"PROVCOSTGRAPH";#N/A,#N/A,FALSE,"FittGraph";#N/A,#N/A,FALSE,"HireGraph"}</definedName>
    <definedName name="__OH1" localSheetId="17" hidden="1">{#N/A,#N/A,FALSE,"RESULTS";#N/A,#N/A,FALSE,"FORECAST";#N/A,#N/A,FALSE,"ProvGraph";#N/A,#N/A,FALSE,"NEG PROV";#N/A,#N/A,FALSE,"PROVCOSTGRAPH";#N/A,#N/A,FALSE,"FittGraph";#N/A,#N/A,FALSE,"HireGraph"}</definedName>
    <definedName name="__OH1" localSheetId="18" hidden="1">{#N/A,#N/A,FALSE,"RESULTS";#N/A,#N/A,FALSE,"FORECAST";#N/A,#N/A,FALSE,"ProvGraph";#N/A,#N/A,FALSE,"NEG PROV";#N/A,#N/A,FALSE,"PROVCOSTGRAPH";#N/A,#N/A,FALSE,"FittGraph";#N/A,#N/A,FALSE,"HireGraph"}</definedName>
    <definedName name="__OH1" localSheetId="11" hidden="1">{#N/A,#N/A,FALSE,"RESULTS";#N/A,#N/A,FALSE,"FORECAST";#N/A,#N/A,FALSE,"ProvGraph";#N/A,#N/A,FALSE,"NEG PROV";#N/A,#N/A,FALSE,"PROVCOSTGRAPH";#N/A,#N/A,FALSE,"FittGraph";#N/A,#N/A,FALSE,"HireGraph"}</definedName>
    <definedName name="__OH1" hidden="1">{#N/A,#N/A,FALSE,"RESULTS";#N/A,#N/A,FALSE,"FORECAST";#N/A,#N/A,FALSE,"ProvGraph";#N/A,#N/A,FALSE,"NEG PROV";#N/A,#N/A,FALSE,"PROVCOSTGRAPH";#N/A,#N/A,FALSE,"FittGraph";#N/A,#N/A,FALSE,"HireGraph"}</definedName>
    <definedName name="__OHO1" localSheetId="7" hidden="1">{#N/A,#N/A,FALSE,"RESULTS";#N/A,#N/A,FALSE,"FORECAST";#N/A,#N/A,FALSE,"ProvGraph";#N/A,#N/A,FALSE,"FittGraph";#N/A,#N/A,FALSE,"NEG PROV";#N/A,#N/A,FALSE,"PROVCOSTGRAPH";#N/A,#N/A,FALSE,"HireGraph"}</definedName>
    <definedName name="__OHO1" localSheetId="8" hidden="1">{#N/A,#N/A,FALSE,"RESULTS";#N/A,#N/A,FALSE,"FORECAST";#N/A,#N/A,FALSE,"ProvGraph";#N/A,#N/A,FALSE,"FittGraph";#N/A,#N/A,FALSE,"NEG PROV";#N/A,#N/A,FALSE,"PROVCOSTGRAPH";#N/A,#N/A,FALSE,"HireGraph"}</definedName>
    <definedName name="__OHO1" localSheetId="14" hidden="1">{#N/A,#N/A,FALSE,"RESULTS";#N/A,#N/A,FALSE,"FORECAST";#N/A,#N/A,FALSE,"ProvGraph";#N/A,#N/A,FALSE,"FittGraph";#N/A,#N/A,FALSE,"NEG PROV";#N/A,#N/A,FALSE,"PROVCOSTGRAPH";#N/A,#N/A,FALSE,"HireGraph"}</definedName>
    <definedName name="__OHO1" localSheetId="17" hidden="1">{#N/A,#N/A,FALSE,"RESULTS";#N/A,#N/A,FALSE,"FORECAST";#N/A,#N/A,FALSE,"ProvGraph";#N/A,#N/A,FALSE,"FittGraph";#N/A,#N/A,FALSE,"NEG PROV";#N/A,#N/A,FALSE,"PROVCOSTGRAPH";#N/A,#N/A,FALSE,"HireGraph"}</definedName>
    <definedName name="__OHO1" localSheetId="18" hidden="1">{#N/A,#N/A,FALSE,"RESULTS";#N/A,#N/A,FALSE,"FORECAST";#N/A,#N/A,FALSE,"ProvGraph";#N/A,#N/A,FALSE,"FittGraph";#N/A,#N/A,FALSE,"NEG PROV";#N/A,#N/A,FALSE,"PROVCOSTGRAPH";#N/A,#N/A,FALSE,"HireGraph"}</definedName>
    <definedName name="__OHO1" localSheetId="11" hidden="1">{#N/A,#N/A,FALSE,"RESULTS";#N/A,#N/A,FALSE,"FORECAST";#N/A,#N/A,FALSE,"ProvGraph";#N/A,#N/A,FALSE,"FittGraph";#N/A,#N/A,FALSE,"NEG PROV";#N/A,#N/A,FALSE,"PROVCOSTGRAPH";#N/A,#N/A,FALSE,"HireGraph"}</definedName>
    <definedName name="__OHO1" hidden="1">{#N/A,#N/A,FALSE,"RESULTS";#N/A,#N/A,FALSE,"FORECAST";#N/A,#N/A,FALSE,"ProvGraph";#N/A,#N/A,FALSE,"FittGraph";#N/A,#N/A,FALSE,"NEG PROV";#N/A,#N/A,FALSE,"PROVCOSTGRAPH";#N/A,#N/A,FALSE,"HireGraph"}</definedName>
    <definedName name="__OHO2" localSheetId="7" hidden="1">{#N/A,#N/A,FALSE,"RESULTS";#N/A,#N/A,FALSE,"FORECAST";#N/A,#N/A,FALSE,"ProvGraph";#N/A,#N/A,FALSE,"NEG PROV";#N/A,#N/A,FALSE,"PROVCOSTGRAPH";#N/A,#N/A,FALSE,"FittGraph";#N/A,#N/A,FALSE,"HireGraph"}</definedName>
    <definedName name="__OHO2" localSheetId="8" hidden="1">{#N/A,#N/A,FALSE,"RESULTS";#N/A,#N/A,FALSE,"FORECAST";#N/A,#N/A,FALSE,"ProvGraph";#N/A,#N/A,FALSE,"NEG PROV";#N/A,#N/A,FALSE,"PROVCOSTGRAPH";#N/A,#N/A,FALSE,"FittGraph";#N/A,#N/A,FALSE,"HireGraph"}</definedName>
    <definedName name="__OHO2" localSheetId="14" hidden="1">{#N/A,#N/A,FALSE,"RESULTS";#N/A,#N/A,FALSE,"FORECAST";#N/A,#N/A,FALSE,"ProvGraph";#N/A,#N/A,FALSE,"NEG PROV";#N/A,#N/A,FALSE,"PROVCOSTGRAPH";#N/A,#N/A,FALSE,"FittGraph";#N/A,#N/A,FALSE,"HireGraph"}</definedName>
    <definedName name="__OHO2" localSheetId="17" hidden="1">{#N/A,#N/A,FALSE,"RESULTS";#N/A,#N/A,FALSE,"FORECAST";#N/A,#N/A,FALSE,"ProvGraph";#N/A,#N/A,FALSE,"NEG PROV";#N/A,#N/A,FALSE,"PROVCOSTGRAPH";#N/A,#N/A,FALSE,"FittGraph";#N/A,#N/A,FALSE,"HireGraph"}</definedName>
    <definedName name="__OHO2" localSheetId="18" hidden="1">{#N/A,#N/A,FALSE,"RESULTS";#N/A,#N/A,FALSE,"FORECAST";#N/A,#N/A,FALSE,"ProvGraph";#N/A,#N/A,FALSE,"NEG PROV";#N/A,#N/A,FALSE,"PROVCOSTGRAPH";#N/A,#N/A,FALSE,"FittGraph";#N/A,#N/A,FALSE,"HireGraph"}</definedName>
    <definedName name="__OHO2" localSheetId="11" hidden="1">{#N/A,#N/A,FALSE,"RESULTS";#N/A,#N/A,FALSE,"FORECAST";#N/A,#N/A,FALSE,"ProvGraph";#N/A,#N/A,FALSE,"NEG PROV";#N/A,#N/A,FALSE,"PROVCOSTGRAPH";#N/A,#N/A,FALSE,"FittGraph";#N/A,#N/A,FALSE,"HireGraph"}</definedName>
    <definedName name="__OHO2" hidden="1">{#N/A,#N/A,FALSE,"RESULTS";#N/A,#N/A,FALSE,"FORECAST";#N/A,#N/A,FALSE,"ProvGraph";#N/A,#N/A,FALSE,"NEG PROV";#N/A,#N/A,FALSE,"PROVCOSTGRAPH";#N/A,#N/A,FALSE,"FittGraph";#N/A,#N/A,FALSE,"HireGraph"}</definedName>
    <definedName name="_1__123Graph_ACHART_1" localSheetId="6" hidden="1">'[2]Shift Totals'!#REF!</definedName>
    <definedName name="_1__123Graph_ACHART_1" localSheetId="2" hidden="1">'[2]Shift Totals'!#REF!</definedName>
    <definedName name="_1__123Graph_ACHART_1" localSheetId="7" hidden="1">'[2]Shift Totals'!#REF!</definedName>
    <definedName name="_1__123Graph_ACHART_1" localSheetId="8" hidden="1">'[2]Shift Totals'!#REF!</definedName>
    <definedName name="_1__123Graph_ACHART_1" localSheetId="14" hidden="1">'[2]Shift Totals'!#REF!</definedName>
    <definedName name="_1__123Graph_ACHART_1" localSheetId="17" hidden="1">'[2]Shift Totals'!#REF!</definedName>
    <definedName name="_1__123Graph_ACHART_1" localSheetId="18" hidden="1">'[2]Shift Totals'!#REF!</definedName>
    <definedName name="_1__123Graph_ACHART_1" localSheetId="13" hidden="1">'[2]Shift Totals'!#REF!</definedName>
    <definedName name="_1__123Graph_ACHART_1" localSheetId="11" hidden="1">'[2]Shift Totals'!#REF!</definedName>
    <definedName name="_1__123Graph_ACHART_1" hidden="1">'[2]Shift Totals'!#REF!</definedName>
    <definedName name="_10__123Graph_BCHART_2" localSheetId="6" hidden="1">'[3]Target Data'!#REF!</definedName>
    <definedName name="_10__123Graph_BCHART_2" localSheetId="2" hidden="1">'[3]Target Data'!#REF!</definedName>
    <definedName name="_10__123Graph_BCHART_2" localSheetId="7" hidden="1">'[3]Target Data'!#REF!</definedName>
    <definedName name="_10__123Graph_BCHART_2" localSheetId="8" hidden="1">'[3]Target Data'!#REF!</definedName>
    <definedName name="_10__123Graph_BCHART_2" localSheetId="14" hidden="1">'[3]Target Data'!#REF!</definedName>
    <definedName name="_10__123Graph_BCHART_2" localSheetId="17" hidden="1">'[3]Target Data'!#REF!</definedName>
    <definedName name="_10__123Graph_BCHART_2" localSheetId="18" hidden="1">'[3]Target Data'!#REF!</definedName>
    <definedName name="_10__123Graph_BCHART_2" localSheetId="13" hidden="1">'[3]Target Data'!#REF!</definedName>
    <definedName name="_10__123Graph_BCHART_2" localSheetId="11" hidden="1">'[3]Target Data'!#REF!</definedName>
    <definedName name="_10__123Graph_BCHART_2" hidden="1">'[3]Target Data'!#REF!</definedName>
    <definedName name="_11__123Graph_BCHART_4" localSheetId="6" hidden="1">'[3]Target Data'!#REF!</definedName>
    <definedName name="_11__123Graph_BCHART_4" localSheetId="2" hidden="1">'[3]Target Data'!#REF!</definedName>
    <definedName name="_11__123Graph_BCHART_4" localSheetId="7" hidden="1">'[3]Target Data'!#REF!</definedName>
    <definedName name="_11__123Graph_BCHART_4" localSheetId="8" hidden="1">'[3]Target Data'!#REF!</definedName>
    <definedName name="_11__123Graph_BCHART_4" localSheetId="14" hidden="1">'[3]Target Data'!#REF!</definedName>
    <definedName name="_11__123Graph_BCHART_4" localSheetId="17" hidden="1">'[3]Target Data'!#REF!</definedName>
    <definedName name="_11__123Graph_BCHART_4" localSheetId="18" hidden="1">'[3]Target Data'!#REF!</definedName>
    <definedName name="_11__123Graph_BCHART_4" localSheetId="13" hidden="1">'[3]Target Data'!#REF!</definedName>
    <definedName name="_11__123Graph_BCHART_4" localSheetId="11" hidden="1">'[3]Target Data'!#REF!</definedName>
    <definedName name="_11__123Graph_BCHART_4" hidden="1">'[3]Target Data'!#REF!</definedName>
    <definedName name="_12__123Graph_ACHART_4" localSheetId="6" hidden="1">'[3]Target Data'!#REF!</definedName>
    <definedName name="_12__123Graph_ACHART_4" localSheetId="2" hidden="1">'[3]Target Data'!#REF!</definedName>
    <definedName name="_12__123Graph_ACHART_4" localSheetId="7" hidden="1">'[3]Target Data'!#REF!</definedName>
    <definedName name="_12__123Graph_ACHART_4" localSheetId="8" hidden="1">'[3]Target Data'!#REF!</definedName>
    <definedName name="_12__123Graph_ACHART_4" localSheetId="14" hidden="1">'[3]Target Data'!#REF!</definedName>
    <definedName name="_12__123Graph_ACHART_4" localSheetId="17" hidden="1">'[3]Target Data'!#REF!</definedName>
    <definedName name="_12__123Graph_ACHART_4" localSheetId="18" hidden="1">'[3]Target Data'!#REF!</definedName>
    <definedName name="_12__123Graph_ACHART_4" localSheetId="13" hidden="1">'[3]Target Data'!#REF!</definedName>
    <definedName name="_12__123Graph_ACHART_4" localSheetId="11" hidden="1">'[3]Target Data'!#REF!</definedName>
    <definedName name="_12__123Graph_ACHART_4" hidden="1">'[3]Target Data'!#REF!</definedName>
    <definedName name="_12__123Graph_BCHART_5" localSheetId="6" hidden="1">'[3]Target Data'!#REF!</definedName>
    <definedName name="_12__123Graph_BCHART_5" localSheetId="2" hidden="1">'[3]Target Data'!#REF!</definedName>
    <definedName name="_12__123Graph_BCHART_5" localSheetId="7" hidden="1">'[3]Target Data'!#REF!</definedName>
    <definedName name="_12__123Graph_BCHART_5" localSheetId="8" hidden="1">'[3]Target Data'!#REF!</definedName>
    <definedName name="_12__123Graph_BCHART_5" localSheetId="14" hidden="1">'[3]Target Data'!#REF!</definedName>
    <definedName name="_12__123Graph_BCHART_5" localSheetId="17" hidden="1">'[3]Target Data'!#REF!</definedName>
    <definedName name="_12__123Graph_BCHART_5" localSheetId="18" hidden="1">'[3]Target Data'!#REF!</definedName>
    <definedName name="_12__123Graph_BCHART_5" localSheetId="13" hidden="1">'[3]Target Data'!#REF!</definedName>
    <definedName name="_12__123Graph_BCHART_5" localSheetId="11" hidden="1">'[3]Target Data'!#REF!</definedName>
    <definedName name="_12__123Graph_BCHART_5" hidden="1">'[3]Target Data'!#REF!</definedName>
    <definedName name="_13__123Graph_BCHART_7" localSheetId="6" hidden="1">'[3]Target Data'!#REF!</definedName>
    <definedName name="_13__123Graph_BCHART_7" localSheetId="2" hidden="1">'[3]Target Data'!#REF!</definedName>
    <definedName name="_13__123Graph_BCHART_7" localSheetId="7" hidden="1">'[3]Target Data'!#REF!</definedName>
    <definedName name="_13__123Graph_BCHART_7" localSheetId="8" hidden="1">'[3]Target Data'!#REF!</definedName>
    <definedName name="_13__123Graph_BCHART_7" localSheetId="14" hidden="1">'[3]Target Data'!#REF!</definedName>
    <definedName name="_13__123Graph_BCHART_7" localSheetId="17" hidden="1">'[3]Target Data'!#REF!</definedName>
    <definedName name="_13__123Graph_BCHART_7" localSheetId="18" hidden="1">'[3]Target Data'!#REF!</definedName>
    <definedName name="_13__123Graph_BCHART_7" localSheetId="13" hidden="1">'[3]Target Data'!#REF!</definedName>
    <definedName name="_13__123Graph_BCHART_7" localSheetId="11" hidden="1">'[3]Target Data'!#REF!</definedName>
    <definedName name="_13__123Graph_BCHART_7" hidden="1">'[3]Target Data'!#REF!</definedName>
    <definedName name="_14__123Graph_BCHART_8" localSheetId="6" hidden="1">'[3]Target Data'!#REF!</definedName>
    <definedName name="_14__123Graph_BCHART_8" localSheetId="2" hidden="1">'[3]Target Data'!#REF!</definedName>
    <definedName name="_14__123Graph_BCHART_8" localSheetId="7" hidden="1">'[3]Target Data'!#REF!</definedName>
    <definedName name="_14__123Graph_BCHART_8" localSheetId="8" hidden="1">'[3]Target Data'!#REF!</definedName>
    <definedName name="_14__123Graph_BCHART_8" localSheetId="14" hidden="1">'[3]Target Data'!#REF!</definedName>
    <definedName name="_14__123Graph_BCHART_8" localSheetId="17" hidden="1">'[3]Target Data'!#REF!</definedName>
    <definedName name="_14__123Graph_BCHART_8" localSheetId="18" hidden="1">'[3]Target Data'!#REF!</definedName>
    <definedName name="_14__123Graph_BCHART_8" localSheetId="13" hidden="1">'[3]Target Data'!#REF!</definedName>
    <definedName name="_14__123Graph_BCHART_8" localSheetId="11" hidden="1">'[3]Target Data'!#REF!</definedName>
    <definedName name="_14__123Graph_BCHART_8" hidden="1">'[3]Target Data'!#REF!</definedName>
    <definedName name="_15__123Graph_ACHART_5" localSheetId="6" hidden="1">'[3]Target Data'!#REF!</definedName>
    <definedName name="_15__123Graph_ACHART_5" localSheetId="2" hidden="1">'[3]Target Data'!#REF!</definedName>
    <definedName name="_15__123Graph_ACHART_5" localSheetId="7" hidden="1">'[3]Target Data'!#REF!</definedName>
    <definedName name="_15__123Graph_ACHART_5" localSheetId="8" hidden="1">'[3]Target Data'!#REF!</definedName>
    <definedName name="_15__123Graph_ACHART_5" localSheetId="14" hidden="1">'[3]Target Data'!#REF!</definedName>
    <definedName name="_15__123Graph_ACHART_5" localSheetId="17" hidden="1">'[3]Target Data'!#REF!</definedName>
    <definedName name="_15__123Graph_ACHART_5" localSheetId="18" hidden="1">'[3]Target Data'!#REF!</definedName>
    <definedName name="_15__123Graph_ACHART_5" localSheetId="13" hidden="1">'[3]Target Data'!#REF!</definedName>
    <definedName name="_15__123Graph_ACHART_5" localSheetId="11" hidden="1">'[3]Target Data'!#REF!</definedName>
    <definedName name="_15__123Graph_ACHART_5" hidden="1">'[3]Target Data'!#REF!</definedName>
    <definedName name="_15__123Graph_CCHART_16" localSheetId="6" hidden="1">'[2]Shift Totals'!#REF!</definedName>
    <definedName name="_15__123Graph_CCHART_16" localSheetId="2" hidden="1">'[2]Shift Totals'!#REF!</definedName>
    <definedName name="_15__123Graph_CCHART_16" localSheetId="7" hidden="1">'[2]Shift Totals'!#REF!</definedName>
    <definedName name="_15__123Graph_CCHART_16" localSheetId="8" hidden="1">'[2]Shift Totals'!#REF!</definedName>
    <definedName name="_15__123Graph_CCHART_16" localSheetId="14" hidden="1">'[2]Shift Totals'!#REF!</definedName>
    <definedName name="_15__123Graph_CCHART_16" localSheetId="17" hidden="1">'[2]Shift Totals'!#REF!</definedName>
    <definedName name="_15__123Graph_CCHART_16" localSheetId="18" hidden="1">'[2]Shift Totals'!#REF!</definedName>
    <definedName name="_15__123Graph_CCHART_16" localSheetId="13" hidden="1">'[2]Shift Totals'!#REF!</definedName>
    <definedName name="_15__123Graph_CCHART_16" localSheetId="11" hidden="1">'[2]Shift Totals'!#REF!</definedName>
    <definedName name="_15__123Graph_CCHART_16" hidden="1">'[2]Shift Totals'!#REF!</definedName>
    <definedName name="_16__123Graph_DCHART_1" localSheetId="6" hidden="1">'[2]Shift Totals'!#REF!</definedName>
    <definedName name="_16__123Graph_DCHART_1" localSheetId="2" hidden="1">'[2]Shift Totals'!#REF!</definedName>
    <definedName name="_16__123Graph_DCHART_1" localSheetId="7" hidden="1">'[2]Shift Totals'!#REF!</definedName>
    <definedName name="_16__123Graph_DCHART_1" localSheetId="8" hidden="1">'[2]Shift Totals'!#REF!</definedName>
    <definedName name="_16__123Graph_DCHART_1" localSheetId="14" hidden="1">'[2]Shift Totals'!#REF!</definedName>
    <definedName name="_16__123Graph_DCHART_1" localSheetId="17" hidden="1">'[2]Shift Totals'!#REF!</definedName>
    <definedName name="_16__123Graph_DCHART_1" localSheetId="18" hidden="1">'[2]Shift Totals'!#REF!</definedName>
    <definedName name="_16__123Graph_DCHART_1" localSheetId="13" hidden="1">'[2]Shift Totals'!#REF!</definedName>
    <definedName name="_16__123Graph_DCHART_1" localSheetId="11" hidden="1">'[2]Shift Totals'!#REF!</definedName>
    <definedName name="_16__123Graph_DCHART_1" hidden="1">'[2]Shift Totals'!#REF!</definedName>
    <definedName name="_17__123Graph_DCHART_16" localSheetId="6" hidden="1">'[2]Shift Totals'!#REF!</definedName>
    <definedName name="_17__123Graph_DCHART_16" localSheetId="2" hidden="1">'[2]Shift Totals'!#REF!</definedName>
    <definedName name="_17__123Graph_DCHART_16" localSheetId="7" hidden="1">'[2]Shift Totals'!#REF!</definedName>
    <definedName name="_17__123Graph_DCHART_16" localSheetId="8" hidden="1">'[2]Shift Totals'!#REF!</definedName>
    <definedName name="_17__123Graph_DCHART_16" localSheetId="14" hidden="1">'[2]Shift Totals'!#REF!</definedName>
    <definedName name="_17__123Graph_DCHART_16" localSheetId="17" hidden="1">'[2]Shift Totals'!#REF!</definedName>
    <definedName name="_17__123Graph_DCHART_16" localSheetId="18" hidden="1">'[2]Shift Totals'!#REF!</definedName>
    <definedName name="_17__123Graph_DCHART_16" localSheetId="13" hidden="1">'[2]Shift Totals'!#REF!</definedName>
    <definedName name="_17__123Graph_DCHART_16" localSheetId="11" hidden="1">'[2]Shift Totals'!#REF!</definedName>
    <definedName name="_17__123Graph_DCHART_16" hidden="1">'[2]Shift Totals'!#REF!</definedName>
    <definedName name="_18__123Graph_ACHART_7" localSheetId="6" hidden="1">'[3]Target Data'!#REF!</definedName>
    <definedName name="_18__123Graph_ACHART_7" localSheetId="2" hidden="1">'[3]Target Data'!#REF!</definedName>
    <definedName name="_18__123Graph_ACHART_7" localSheetId="7" hidden="1">'[3]Target Data'!#REF!</definedName>
    <definedName name="_18__123Graph_ACHART_7" localSheetId="8" hidden="1">'[3]Target Data'!#REF!</definedName>
    <definedName name="_18__123Graph_ACHART_7" localSheetId="14" hidden="1">'[3]Target Data'!#REF!</definedName>
    <definedName name="_18__123Graph_ACHART_7" localSheetId="17" hidden="1">'[3]Target Data'!#REF!</definedName>
    <definedName name="_18__123Graph_ACHART_7" localSheetId="18" hidden="1">'[3]Target Data'!#REF!</definedName>
    <definedName name="_18__123Graph_ACHART_7" localSheetId="13" hidden="1">'[3]Target Data'!#REF!</definedName>
    <definedName name="_18__123Graph_ACHART_7" localSheetId="11" hidden="1">'[3]Target Data'!#REF!</definedName>
    <definedName name="_18__123Graph_ACHART_7" hidden="1">'[3]Target Data'!#REF!</definedName>
    <definedName name="_18__123Graph_ECHART_1" localSheetId="6" hidden="1">'[2]Shift Totals'!#REF!</definedName>
    <definedName name="_18__123Graph_ECHART_1" localSheetId="2" hidden="1">'[2]Shift Totals'!#REF!</definedName>
    <definedName name="_18__123Graph_ECHART_1" localSheetId="7" hidden="1">'[2]Shift Totals'!#REF!</definedName>
    <definedName name="_18__123Graph_ECHART_1" localSheetId="8" hidden="1">'[2]Shift Totals'!#REF!</definedName>
    <definedName name="_18__123Graph_ECHART_1" localSheetId="14" hidden="1">'[2]Shift Totals'!#REF!</definedName>
    <definedName name="_18__123Graph_ECHART_1" localSheetId="17" hidden="1">'[2]Shift Totals'!#REF!</definedName>
    <definedName name="_18__123Graph_ECHART_1" localSheetId="18" hidden="1">'[2]Shift Totals'!#REF!</definedName>
    <definedName name="_18__123Graph_ECHART_1" localSheetId="13" hidden="1">'[2]Shift Totals'!#REF!</definedName>
    <definedName name="_18__123Graph_ECHART_1" localSheetId="11" hidden="1">'[2]Shift Totals'!#REF!</definedName>
    <definedName name="_18__123Graph_ECHART_1" hidden="1">'[2]Shift Totals'!#REF!</definedName>
    <definedName name="_19__123Graph_LBL_ACHART_1" localSheetId="6" hidden="1">'[2]Shift Totals'!#REF!</definedName>
    <definedName name="_19__123Graph_LBL_ACHART_1" localSheetId="2" hidden="1">'[2]Shift Totals'!#REF!</definedName>
    <definedName name="_19__123Graph_LBL_ACHART_1" localSheetId="7" hidden="1">'[2]Shift Totals'!#REF!</definedName>
    <definedName name="_19__123Graph_LBL_ACHART_1" localSheetId="8" hidden="1">'[2]Shift Totals'!#REF!</definedName>
    <definedName name="_19__123Graph_LBL_ACHART_1" localSheetId="14" hidden="1">'[2]Shift Totals'!#REF!</definedName>
    <definedName name="_19__123Graph_LBL_ACHART_1" localSheetId="17" hidden="1">'[2]Shift Totals'!#REF!</definedName>
    <definedName name="_19__123Graph_LBL_ACHART_1" localSheetId="18" hidden="1">'[2]Shift Totals'!#REF!</definedName>
    <definedName name="_19__123Graph_LBL_ACHART_1" localSheetId="13" hidden="1">'[2]Shift Totals'!#REF!</definedName>
    <definedName name="_19__123Graph_LBL_ACHART_1" localSheetId="11" hidden="1">'[2]Shift Totals'!#REF!</definedName>
    <definedName name="_19__123Graph_LBL_ACHART_1" hidden="1">'[2]Shift Totals'!#REF!</definedName>
    <definedName name="_2__123Graph_ACHART_16" localSheetId="6" hidden="1">'[2]Shift Totals'!#REF!</definedName>
    <definedName name="_2__123Graph_ACHART_16" localSheetId="2" hidden="1">'[2]Shift Totals'!#REF!</definedName>
    <definedName name="_2__123Graph_ACHART_16" localSheetId="7" hidden="1">'[2]Shift Totals'!#REF!</definedName>
    <definedName name="_2__123Graph_ACHART_16" localSheetId="8" hidden="1">'[2]Shift Totals'!#REF!</definedName>
    <definedName name="_2__123Graph_ACHART_16" localSheetId="14" hidden="1">'[2]Shift Totals'!#REF!</definedName>
    <definedName name="_2__123Graph_ACHART_16" localSheetId="17" hidden="1">'[2]Shift Totals'!#REF!</definedName>
    <definedName name="_2__123Graph_ACHART_16" localSheetId="18" hidden="1">'[2]Shift Totals'!#REF!</definedName>
    <definedName name="_2__123Graph_ACHART_16" localSheetId="13" hidden="1">'[2]Shift Totals'!#REF!</definedName>
    <definedName name="_2__123Graph_ACHART_16" localSheetId="11" hidden="1">'[2]Shift Totals'!#REF!</definedName>
    <definedName name="_2__123Graph_ACHART_16" hidden="1">'[2]Shift Totals'!#REF!</definedName>
    <definedName name="_20__123Graph_LBL_ACHART_16" localSheetId="6" hidden="1">'[2]Shift Totals'!#REF!</definedName>
    <definedName name="_20__123Graph_LBL_ACHART_16" localSheetId="2" hidden="1">'[2]Shift Totals'!#REF!</definedName>
    <definedName name="_20__123Graph_LBL_ACHART_16" localSheetId="7" hidden="1">'[2]Shift Totals'!#REF!</definedName>
    <definedName name="_20__123Graph_LBL_ACHART_16" localSheetId="8" hidden="1">'[2]Shift Totals'!#REF!</definedName>
    <definedName name="_20__123Graph_LBL_ACHART_16" localSheetId="14" hidden="1">'[2]Shift Totals'!#REF!</definedName>
    <definedName name="_20__123Graph_LBL_ACHART_16" localSheetId="17" hidden="1">'[2]Shift Totals'!#REF!</definedName>
    <definedName name="_20__123Graph_LBL_ACHART_16" localSheetId="18" hidden="1">'[2]Shift Totals'!#REF!</definedName>
    <definedName name="_20__123Graph_LBL_ACHART_16" localSheetId="13" hidden="1">'[2]Shift Totals'!#REF!</definedName>
    <definedName name="_20__123Graph_LBL_ACHART_16" localSheetId="11" hidden="1">'[2]Shift Totals'!#REF!</definedName>
    <definedName name="_20__123Graph_LBL_ACHART_16" hidden="1">'[2]Shift Totals'!#REF!</definedName>
    <definedName name="_21__123Graph_ACHART_8" localSheetId="6" hidden="1">'[3]Target Data'!#REF!</definedName>
    <definedName name="_21__123Graph_ACHART_8" localSheetId="2" hidden="1">'[3]Target Data'!#REF!</definedName>
    <definedName name="_21__123Graph_ACHART_8" localSheetId="7" hidden="1">'[3]Target Data'!#REF!</definedName>
    <definedName name="_21__123Graph_ACHART_8" localSheetId="8" hidden="1">'[3]Target Data'!#REF!</definedName>
    <definedName name="_21__123Graph_ACHART_8" localSheetId="14" hidden="1">'[3]Target Data'!#REF!</definedName>
    <definedName name="_21__123Graph_ACHART_8" localSheetId="17" hidden="1">'[3]Target Data'!#REF!</definedName>
    <definedName name="_21__123Graph_ACHART_8" localSheetId="18" hidden="1">'[3]Target Data'!#REF!</definedName>
    <definedName name="_21__123Graph_ACHART_8" localSheetId="13" hidden="1">'[3]Target Data'!#REF!</definedName>
    <definedName name="_21__123Graph_ACHART_8" localSheetId="11" hidden="1">'[3]Target Data'!#REF!</definedName>
    <definedName name="_21__123Graph_ACHART_8" hidden="1">'[3]Target Data'!#REF!</definedName>
    <definedName name="_21__123Graph_LBL_ACHART_4" localSheetId="6" hidden="1">'[3]Target Data'!#REF!</definedName>
    <definedName name="_21__123Graph_LBL_ACHART_4" localSheetId="2" hidden="1">'[3]Target Data'!#REF!</definedName>
    <definedName name="_21__123Graph_LBL_ACHART_4" localSheetId="7" hidden="1">'[3]Target Data'!#REF!</definedName>
    <definedName name="_21__123Graph_LBL_ACHART_4" localSheetId="8" hidden="1">'[3]Target Data'!#REF!</definedName>
    <definedName name="_21__123Graph_LBL_ACHART_4" localSheetId="14" hidden="1">'[3]Target Data'!#REF!</definedName>
    <definedName name="_21__123Graph_LBL_ACHART_4" localSheetId="17" hidden="1">'[3]Target Data'!#REF!</definedName>
    <definedName name="_21__123Graph_LBL_ACHART_4" localSheetId="18" hidden="1">'[3]Target Data'!#REF!</definedName>
    <definedName name="_21__123Graph_LBL_ACHART_4" localSheetId="13" hidden="1">'[3]Target Data'!#REF!</definedName>
    <definedName name="_21__123Graph_LBL_ACHART_4" localSheetId="11" hidden="1">'[3]Target Data'!#REF!</definedName>
    <definedName name="_21__123Graph_LBL_ACHART_4" hidden="1">'[3]Target Data'!#REF!</definedName>
    <definedName name="_22__123Graph_LBL_ACHART_5" localSheetId="6" hidden="1">'[3]Target Data'!#REF!</definedName>
    <definedName name="_22__123Graph_LBL_ACHART_5" localSheetId="2" hidden="1">'[3]Target Data'!#REF!</definedName>
    <definedName name="_22__123Graph_LBL_ACHART_5" localSheetId="7" hidden="1">'[3]Target Data'!#REF!</definedName>
    <definedName name="_22__123Graph_LBL_ACHART_5" localSheetId="8" hidden="1">'[3]Target Data'!#REF!</definedName>
    <definedName name="_22__123Graph_LBL_ACHART_5" localSheetId="14" hidden="1">'[3]Target Data'!#REF!</definedName>
    <definedName name="_22__123Graph_LBL_ACHART_5" localSheetId="17" hidden="1">'[3]Target Data'!#REF!</definedName>
    <definedName name="_22__123Graph_LBL_ACHART_5" localSheetId="18" hidden="1">'[3]Target Data'!#REF!</definedName>
    <definedName name="_22__123Graph_LBL_ACHART_5" localSheetId="13" hidden="1">'[3]Target Data'!#REF!</definedName>
    <definedName name="_22__123Graph_LBL_ACHART_5" localSheetId="11" hidden="1">'[3]Target Data'!#REF!</definedName>
    <definedName name="_22__123Graph_LBL_ACHART_5" hidden="1">'[3]Target Data'!#REF!</definedName>
    <definedName name="_23__123Graph_LBL_BCHART_1" localSheetId="6" hidden="1">'[2]Shift Totals'!#REF!</definedName>
    <definedName name="_23__123Graph_LBL_BCHART_1" localSheetId="2" hidden="1">'[2]Shift Totals'!#REF!</definedName>
    <definedName name="_23__123Graph_LBL_BCHART_1" localSheetId="7" hidden="1">'[2]Shift Totals'!#REF!</definedName>
    <definedName name="_23__123Graph_LBL_BCHART_1" localSheetId="8" hidden="1">'[2]Shift Totals'!#REF!</definedName>
    <definedName name="_23__123Graph_LBL_BCHART_1" localSheetId="14" hidden="1">'[2]Shift Totals'!#REF!</definedName>
    <definedName name="_23__123Graph_LBL_BCHART_1" localSheetId="17" hidden="1">'[2]Shift Totals'!#REF!</definedName>
    <definedName name="_23__123Graph_LBL_BCHART_1" localSheetId="18" hidden="1">'[2]Shift Totals'!#REF!</definedName>
    <definedName name="_23__123Graph_LBL_BCHART_1" localSheetId="13" hidden="1">'[2]Shift Totals'!#REF!</definedName>
    <definedName name="_23__123Graph_LBL_BCHART_1" localSheetId="11" hidden="1">'[2]Shift Totals'!#REF!</definedName>
    <definedName name="_23__123Graph_LBL_BCHART_1" hidden="1">'[2]Shift Totals'!#REF!</definedName>
    <definedName name="_24__123Graph_BCHART_1" localSheetId="6" hidden="1">'[2]Shift Totals'!#REF!</definedName>
    <definedName name="_24__123Graph_BCHART_1" localSheetId="2" hidden="1">'[2]Shift Totals'!#REF!</definedName>
    <definedName name="_24__123Graph_BCHART_1" localSheetId="7" hidden="1">'[2]Shift Totals'!#REF!</definedName>
    <definedName name="_24__123Graph_BCHART_1" localSheetId="8" hidden="1">'[2]Shift Totals'!#REF!</definedName>
    <definedName name="_24__123Graph_BCHART_1" localSheetId="14" hidden="1">'[2]Shift Totals'!#REF!</definedName>
    <definedName name="_24__123Graph_BCHART_1" localSheetId="17" hidden="1">'[2]Shift Totals'!#REF!</definedName>
    <definedName name="_24__123Graph_BCHART_1" localSheetId="18" hidden="1">'[2]Shift Totals'!#REF!</definedName>
    <definedName name="_24__123Graph_BCHART_1" localSheetId="13" hidden="1">'[2]Shift Totals'!#REF!</definedName>
    <definedName name="_24__123Graph_BCHART_1" localSheetId="11" hidden="1">'[2]Shift Totals'!#REF!</definedName>
    <definedName name="_24__123Graph_BCHART_1" hidden="1">'[2]Shift Totals'!#REF!</definedName>
    <definedName name="_24__123Graph_LBL_BCHART_16" localSheetId="6" hidden="1">'[2]Shift Totals'!#REF!</definedName>
    <definedName name="_24__123Graph_LBL_BCHART_16" localSheetId="2" hidden="1">'[2]Shift Totals'!#REF!</definedName>
    <definedName name="_24__123Graph_LBL_BCHART_16" localSheetId="7" hidden="1">'[2]Shift Totals'!#REF!</definedName>
    <definedName name="_24__123Graph_LBL_BCHART_16" localSheetId="8" hidden="1">'[2]Shift Totals'!#REF!</definedName>
    <definedName name="_24__123Graph_LBL_BCHART_16" localSheetId="14" hidden="1">'[2]Shift Totals'!#REF!</definedName>
    <definedName name="_24__123Graph_LBL_BCHART_16" localSheetId="17" hidden="1">'[2]Shift Totals'!#REF!</definedName>
    <definedName name="_24__123Graph_LBL_BCHART_16" localSheetId="18" hidden="1">'[2]Shift Totals'!#REF!</definedName>
    <definedName name="_24__123Graph_LBL_BCHART_16" localSheetId="13" hidden="1">'[2]Shift Totals'!#REF!</definedName>
    <definedName name="_24__123Graph_LBL_BCHART_16" localSheetId="11" hidden="1">'[2]Shift Totals'!#REF!</definedName>
    <definedName name="_24__123Graph_LBL_BCHART_16" hidden="1">'[2]Shift Totals'!#REF!</definedName>
    <definedName name="_25__123Graph_LBL_BCHART_4" localSheetId="6" hidden="1">'[3]Target Data'!#REF!</definedName>
    <definedName name="_25__123Graph_LBL_BCHART_4" localSheetId="2" hidden="1">'[3]Target Data'!#REF!</definedName>
    <definedName name="_25__123Graph_LBL_BCHART_4" localSheetId="7" hidden="1">'[3]Target Data'!#REF!</definedName>
    <definedName name="_25__123Graph_LBL_BCHART_4" localSheetId="8" hidden="1">'[3]Target Data'!#REF!</definedName>
    <definedName name="_25__123Graph_LBL_BCHART_4" localSheetId="14" hidden="1">'[3]Target Data'!#REF!</definedName>
    <definedName name="_25__123Graph_LBL_BCHART_4" localSheetId="17" hidden="1">'[3]Target Data'!#REF!</definedName>
    <definedName name="_25__123Graph_LBL_BCHART_4" localSheetId="18" hidden="1">'[3]Target Data'!#REF!</definedName>
    <definedName name="_25__123Graph_LBL_BCHART_4" localSheetId="13" hidden="1">'[3]Target Data'!#REF!</definedName>
    <definedName name="_25__123Graph_LBL_BCHART_4" localSheetId="11" hidden="1">'[3]Target Data'!#REF!</definedName>
    <definedName name="_25__123Graph_LBL_BCHART_4" hidden="1">'[3]Target Data'!#REF!</definedName>
    <definedName name="_26__123Graph_LBL_BCHART_5" localSheetId="6" hidden="1">'[3]Target Data'!#REF!</definedName>
    <definedName name="_26__123Graph_LBL_BCHART_5" localSheetId="2" hidden="1">'[3]Target Data'!#REF!</definedName>
    <definedName name="_26__123Graph_LBL_BCHART_5" localSheetId="7" hidden="1">'[3]Target Data'!#REF!</definedName>
    <definedName name="_26__123Graph_LBL_BCHART_5" localSheetId="8" hidden="1">'[3]Target Data'!#REF!</definedName>
    <definedName name="_26__123Graph_LBL_BCHART_5" localSheetId="14" hidden="1">'[3]Target Data'!#REF!</definedName>
    <definedName name="_26__123Graph_LBL_BCHART_5" localSheetId="17" hidden="1">'[3]Target Data'!#REF!</definedName>
    <definedName name="_26__123Graph_LBL_BCHART_5" localSheetId="18" hidden="1">'[3]Target Data'!#REF!</definedName>
    <definedName name="_26__123Graph_LBL_BCHART_5" localSheetId="13" hidden="1">'[3]Target Data'!#REF!</definedName>
    <definedName name="_26__123Graph_LBL_BCHART_5" localSheetId="11" hidden="1">'[3]Target Data'!#REF!</definedName>
    <definedName name="_26__123Graph_LBL_BCHART_5" hidden="1">'[3]Target Data'!#REF!</definedName>
    <definedName name="_27__123Graph_BCHART_16" localSheetId="6" hidden="1">'[2]Shift Totals'!#REF!</definedName>
    <definedName name="_27__123Graph_BCHART_16" localSheetId="2" hidden="1">'[2]Shift Totals'!#REF!</definedName>
    <definedName name="_27__123Graph_BCHART_16" localSheetId="7" hidden="1">'[2]Shift Totals'!#REF!</definedName>
    <definedName name="_27__123Graph_BCHART_16" localSheetId="8" hidden="1">'[2]Shift Totals'!#REF!</definedName>
    <definedName name="_27__123Graph_BCHART_16" localSheetId="14" hidden="1">'[2]Shift Totals'!#REF!</definedName>
    <definedName name="_27__123Graph_BCHART_16" localSheetId="17" hidden="1">'[2]Shift Totals'!#REF!</definedName>
    <definedName name="_27__123Graph_BCHART_16" localSheetId="18" hidden="1">'[2]Shift Totals'!#REF!</definedName>
    <definedName name="_27__123Graph_BCHART_16" localSheetId="13" hidden="1">'[2]Shift Totals'!#REF!</definedName>
    <definedName name="_27__123Graph_BCHART_16" localSheetId="11" hidden="1">'[2]Shift Totals'!#REF!</definedName>
    <definedName name="_27__123Graph_BCHART_16" hidden="1">'[2]Shift Totals'!#REF!</definedName>
    <definedName name="_27__123Graph_LBL_CCHART_16" localSheetId="6" hidden="1">'[2]Shift Totals'!#REF!</definedName>
    <definedName name="_27__123Graph_LBL_CCHART_16" localSheetId="2" hidden="1">'[2]Shift Totals'!#REF!</definedName>
    <definedName name="_27__123Graph_LBL_CCHART_16" localSheetId="7" hidden="1">'[2]Shift Totals'!#REF!</definedName>
    <definedName name="_27__123Graph_LBL_CCHART_16" localSheetId="8" hidden="1">'[2]Shift Totals'!#REF!</definedName>
    <definedName name="_27__123Graph_LBL_CCHART_16" localSheetId="14" hidden="1">'[2]Shift Totals'!#REF!</definedName>
    <definedName name="_27__123Graph_LBL_CCHART_16" localSheetId="17" hidden="1">'[2]Shift Totals'!#REF!</definedName>
    <definedName name="_27__123Graph_LBL_CCHART_16" localSheetId="18" hidden="1">'[2]Shift Totals'!#REF!</definedName>
    <definedName name="_27__123Graph_LBL_CCHART_16" localSheetId="13" hidden="1">'[2]Shift Totals'!#REF!</definedName>
    <definedName name="_27__123Graph_LBL_CCHART_16" localSheetId="11" hidden="1">'[2]Shift Totals'!#REF!</definedName>
    <definedName name="_27__123Graph_LBL_CCHART_16" hidden="1">'[2]Shift Totals'!#REF!</definedName>
    <definedName name="_28__123Graph_LBL_DCHART_1" localSheetId="6" hidden="1">'[2]Shift Totals'!#REF!</definedName>
    <definedName name="_28__123Graph_LBL_DCHART_1" localSheetId="2" hidden="1">'[2]Shift Totals'!#REF!</definedName>
    <definedName name="_28__123Graph_LBL_DCHART_1" localSheetId="7" hidden="1">'[2]Shift Totals'!#REF!</definedName>
    <definedName name="_28__123Graph_LBL_DCHART_1" localSheetId="8" hidden="1">'[2]Shift Totals'!#REF!</definedName>
    <definedName name="_28__123Graph_LBL_DCHART_1" localSheetId="14" hidden="1">'[2]Shift Totals'!#REF!</definedName>
    <definedName name="_28__123Graph_LBL_DCHART_1" localSheetId="17" hidden="1">'[2]Shift Totals'!#REF!</definedName>
    <definedName name="_28__123Graph_LBL_DCHART_1" localSheetId="18" hidden="1">'[2]Shift Totals'!#REF!</definedName>
    <definedName name="_28__123Graph_LBL_DCHART_1" localSheetId="13" hidden="1">'[2]Shift Totals'!#REF!</definedName>
    <definedName name="_28__123Graph_LBL_DCHART_1" localSheetId="11" hidden="1">'[2]Shift Totals'!#REF!</definedName>
    <definedName name="_28__123Graph_LBL_DCHART_1" hidden="1">'[2]Shift Totals'!#REF!</definedName>
    <definedName name="_29__123Graph_LBL_DCHART_16" localSheetId="6" hidden="1">'[2]Shift Totals'!#REF!</definedName>
    <definedName name="_29__123Graph_LBL_DCHART_16" localSheetId="2" hidden="1">'[2]Shift Totals'!#REF!</definedName>
    <definedName name="_29__123Graph_LBL_DCHART_16" localSheetId="7" hidden="1">'[2]Shift Totals'!#REF!</definedName>
    <definedName name="_29__123Graph_LBL_DCHART_16" localSheetId="8" hidden="1">'[2]Shift Totals'!#REF!</definedName>
    <definedName name="_29__123Graph_LBL_DCHART_16" localSheetId="14" hidden="1">'[2]Shift Totals'!#REF!</definedName>
    <definedName name="_29__123Graph_LBL_DCHART_16" localSheetId="17" hidden="1">'[2]Shift Totals'!#REF!</definedName>
    <definedName name="_29__123Graph_LBL_DCHART_16" localSheetId="18" hidden="1">'[2]Shift Totals'!#REF!</definedName>
    <definedName name="_29__123Graph_LBL_DCHART_16" localSheetId="13" hidden="1">'[2]Shift Totals'!#REF!</definedName>
    <definedName name="_29__123Graph_LBL_DCHART_16" localSheetId="11" hidden="1">'[2]Shift Totals'!#REF!</definedName>
    <definedName name="_29__123Graph_LBL_DCHART_16" hidden="1">'[2]Shift Totals'!#REF!</definedName>
    <definedName name="_3__123Graph_ACHART_1" localSheetId="6" hidden="1">'[2]Shift Totals'!#REF!</definedName>
    <definedName name="_3__123Graph_ACHART_1" localSheetId="2" hidden="1">'[2]Shift Totals'!#REF!</definedName>
    <definedName name="_3__123Graph_ACHART_1" localSheetId="7" hidden="1">'[2]Shift Totals'!#REF!</definedName>
    <definedName name="_3__123Graph_ACHART_1" localSheetId="8" hidden="1">'[2]Shift Totals'!#REF!</definedName>
    <definedName name="_3__123Graph_ACHART_1" localSheetId="14" hidden="1">'[2]Shift Totals'!#REF!</definedName>
    <definedName name="_3__123Graph_ACHART_1" localSheetId="17" hidden="1">'[2]Shift Totals'!#REF!</definedName>
    <definedName name="_3__123Graph_ACHART_1" localSheetId="18" hidden="1">'[2]Shift Totals'!#REF!</definedName>
    <definedName name="_3__123Graph_ACHART_1" localSheetId="13" hidden="1">'[2]Shift Totals'!#REF!</definedName>
    <definedName name="_3__123Graph_ACHART_1" localSheetId="11" hidden="1">'[2]Shift Totals'!#REF!</definedName>
    <definedName name="_3__123Graph_ACHART_1" hidden="1">'[2]Shift Totals'!#REF!</definedName>
    <definedName name="_3__123Graph_ACHART_2" localSheetId="6" hidden="1">'[3]Target Data'!#REF!</definedName>
    <definedName name="_3__123Graph_ACHART_2" localSheetId="2" hidden="1">'[3]Target Data'!#REF!</definedName>
    <definedName name="_3__123Graph_ACHART_2" localSheetId="7" hidden="1">'[3]Target Data'!#REF!</definedName>
    <definedName name="_3__123Graph_ACHART_2" localSheetId="8" hidden="1">'[3]Target Data'!#REF!</definedName>
    <definedName name="_3__123Graph_ACHART_2" localSheetId="14" hidden="1">'[3]Target Data'!#REF!</definedName>
    <definedName name="_3__123Graph_ACHART_2" localSheetId="17" hidden="1">'[3]Target Data'!#REF!</definedName>
    <definedName name="_3__123Graph_ACHART_2" localSheetId="18" hidden="1">'[3]Target Data'!#REF!</definedName>
    <definedName name="_3__123Graph_ACHART_2" localSheetId="13" hidden="1">'[3]Target Data'!#REF!</definedName>
    <definedName name="_3__123Graph_ACHART_2" localSheetId="11" hidden="1">'[3]Target Data'!#REF!</definedName>
    <definedName name="_3__123Graph_ACHART_2" hidden="1">'[3]Target Data'!#REF!</definedName>
    <definedName name="_30__123Graph_BCHART_2" localSheetId="6" hidden="1">'[3]Target Data'!#REF!</definedName>
    <definedName name="_30__123Graph_BCHART_2" localSheetId="2" hidden="1">'[3]Target Data'!#REF!</definedName>
    <definedName name="_30__123Graph_BCHART_2" localSheetId="7" hidden="1">'[3]Target Data'!#REF!</definedName>
    <definedName name="_30__123Graph_BCHART_2" localSheetId="8" hidden="1">'[3]Target Data'!#REF!</definedName>
    <definedName name="_30__123Graph_BCHART_2" localSheetId="14" hidden="1">'[3]Target Data'!#REF!</definedName>
    <definedName name="_30__123Graph_BCHART_2" localSheetId="17" hidden="1">'[3]Target Data'!#REF!</definedName>
    <definedName name="_30__123Graph_BCHART_2" localSheetId="18" hidden="1">'[3]Target Data'!#REF!</definedName>
    <definedName name="_30__123Graph_BCHART_2" localSheetId="13" hidden="1">'[3]Target Data'!#REF!</definedName>
    <definedName name="_30__123Graph_BCHART_2" localSheetId="11" hidden="1">'[3]Target Data'!#REF!</definedName>
    <definedName name="_30__123Graph_BCHART_2" hidden="1">'[3]Target Data'!#REF!</definedName>
    <definedName name="_30__123Graph_XCHART_5" localSheetId="6" hidden="1">'[3]Target Data'!#REF!</definedName>
    <definedName name="_30__123Graph_XCHART_5" localSheetId="2" hidden="1">'[3]Target Data'!#REF!</definedName>
    <definedName name="_30__123Graph_XCHART_5" localSheetId="7" hidden="1">'[3]Target Data'!#REF!</definedName>
    <definedName name="_30__123Graph_XCHART_5" localSheetId="8" hidden="1">'[3]Target Data'!#REF!</definedName>
    <definedName name="_30__123Graph_XCHART_5" localSheetId="14" hidden="1">'[3]Target Data'!#REF!</definedName>
    <definedName name="_30__123Graph_XCHART_5" localSheetId="17" hidden="1">'[3]Target Data'!#REF!</definedName>
    <definedName name="_30__123Graph_XCHART_5" localSheetId="18" hidden="1">'[3]Target Data'!#REF!</definedName>
    <definedName name="_30__123Graph_XCHART_5" localSheetId="13" hidden="1">'[3]Target Data'!#REF!</definedName>
    <definedName name="_30__123Graph_XCHART_5" localSheetId="11" hidden="1">'[3]Target Data'!#REF!</definedName>
    <definedName name="_30__123Graph_XCHART_5" hidden="1">'[3]Target Data'!#REF!</definedName>
    <definedName name="_31__123Graph_XCHART_7" localSheetId="6" hidden="1">'[3]Target Data'!#REF!</definedName>
    <definedName name="_31__123Graph_XCHART_7" localSheetId="2" hidden="1">'[3]Target Data'!#REF!</definedName>
    <definedName name="_31__123Graph_XCHART_7" localSheetId="7" hidden="1">'[3]Target Data'!#REF!</definedName>
    <definedName name="_31__123Graph_XCHART_7" localSheetId="8" hidden="1">'[3]Target Data'!#REF!</definedName>
    <definedName name="_31__123Graph_XCHART_7" localSheetId="14" hidden="1">'[3]Target Data'!#REF!</definedName>
    <definedName name="_31__123Graph_XCHART_7" localSheetId="17" hidden="1">'[3]Target Data'!#REF!</definedName>
    <definedName name="_31__123Graph_XCHART_7" localSheetId="18" hidden="1">'[3]Target Data'!#REF!</definedName>
    <definedName name="_31__123Graph_XCHART_7" localSheetId="13" hidden="1">'[3]Target Data'!#REF!</definedName>
    <definedName name="_31__123Graph_XCHART_7" localSheetId="11" hidden="1">'[3]Target Data'!#REF!</definedName>
    <definedName name="_31__123Graph_XCHART_7" hidden="1">'[3]Target Data'!#REF!</definedName>
    <definedName name="_32__123Graph_XCHART_8" localSheetId="6" hidden="1">'[3]Target Data'!#REF!</definedName>
    <definedName name="_32__123Graph_XCHART_8" localSheetId="2" hidden="1">'[3]Target Data'!#REF!</definedName>
    <definedName name="_32__123Graph_XCHART_8" localSheetId="7" hidden="1">'[3]Target Data'!#REF!</definedName>
    <definedName name="_32__123Graph_XCHART_8" localSheetId="8" hidden="1">'[3]Target Data'!#REF!</definedName>
    <definedName name="_32__123Graph_XCHART_8" localSheetId="14" hidden="1">'[3]Target Data'!#REF!</definedName>
    <definedName name="_32__123Graph_XCHART_8" localSheetId="17" hidden="1">'[3]Target Data'!#REF!</definedName>
    <definedName name="_32__123Graph_XCHART_8" localSheetId="18" hidden="1">'[3]Target Data'!#REF!</definedName>
    <definedName name="_32__123Graph_XCHART_8" localSheetId="13" hidden="1">'[3]Target Data'!#REF!</definedName>
    <definedName name="_32__123Graph_XCHART_8" localSheetId="11" hidden="1">'[3]Target Data'!#REF!</definedName>
    <definedName name="_32__123Graph_XCHART_8" hidden="1">'[3]Target Data'!#REF!</definedName>
    <definedName name="_33__123Graph_BCHART_4" localSheetId="6" hidden="1">'[3]Target Data'!#REF!</definedName>
    <definedName name="_33__123Graph_BCHART_4" localSheetId="2" hidden="1">'[3]Target Data'!#REF!</definedName>
    <definedName name="_33__123Graph_BCHART_4" localSheetId="7" hidden="1">'[3]Target Data'!#REF!</definedName>
    <definedName name="_33__123Graph_BCHART_4" localSheetId="8" hidden="1">'[3]Target Data'!#REF!</definedName>
    <definedName name="_33__123Graph_BCHART_4" localSheetId="14" hidden="1">'[3]Target Data'!#REF!</definedName>
    <definedName name="_33__123Graph_BCHART_4" localSheetId="17" hidden="1">'[3]Target Data'!#REF!</definedName>
    <definedName name="_33__123Graph_BCHART_4" localSheetId="18" hidden="1">'[3]Target Data'!#REF!</definedName>
    <definedName name="_33__123Graph_BCHART_4" localSheetId="13" hidden="1">'[3]Target Data'!#REF!</definedName>
    <definedName name="_33__123Graph_BCHART_4" localSheetId="11" hidden="1">'[3]Target Data'!#REF!</definedName>
    <definedName name="_33__123Graph_BCHART_4" hidden="1">'[3]Target Data'!#REF!</definedName>
    <definedName name="_36__123Graph_BCHART_5" localSheetId="6" hidden="1">'[3]Target Data'!#REF!</definedName>
    <definedName name="_36__123Graph_BCHART_5" localSheetId="2" hidden="1">'[3]Target Data'!#REF!</definedName>
    <definedName name="_36__123Graph_BCHART_5" localSheetId="7" hidden="1">'[3]Target Data'!#REF!</definedName>
    <definedName name="_36__123Graph_BCHART_5" localSheetId="8" hidden="1">'[3]Target Data'!#REF!</definedName>
    <definedName name="_36__123Graph_BCHART_5" localSheetId="14" hidden="1">'[3]Target Data'!#REF!</definedName>
    <definedName name="_36__123Graph_BCHART_5" localSheetId="17" hidden="1">'[3]Target Data'!#REF!</definedName>
    <definedName name="_36__123Graph_BCHART_5" localSheetId="18" hidden="1">'[3]Target Data'!#REF!</definedName>
    <definedName name="_36__123Graph_BCHART_5" localSheetId="13" hidden="1">'[3]Target Data'!#REF!</definedName>
    <definedName name="_36__123Graph_BCHART_5" localSheetId="11" hidden="1">'[3]Target Data'!#REF!</definedName>
    <definedName name="_36__123Graph_BCHART_5" hidden="1">'[3]Target Data'!#REF!</definedName>
    <definedName name="_39__123Graph_BCHART_7" localSheetId="6" hidden="1">'[3]Target Data'!#REF!</definedName>
    <definedName name="_39__123Graph_BCHART_7" localSheetId="2" hidden="1">'[3]Target Data'!#REF!</definedName>
    <definedName name="_39__123Graph_BCHART_7" localSheetId="7" hidden="1">'[3]Target Data'!#REF!</definedName>
    <definedName name="_39__123Graph_BCHART_7" localSheetId="8" hidden="1">'[3]Target Data'!#REF!</definedName>
    <definedName name="_39__123Graph_BCHART_7" localSheetId="14" hidden="1">'[3]Target Data'!#REF!</definedName>
    <definedName name="_39__123Graph_BCHART_7" localSheetId="17" hidden="1">'[3]Target Data'!#REF!</definedName>
    <definedName name="_39__123Graph_BCHART_7" localSheetId="18" hidden="1">'[3]Target Data'!#REF!</definedName>
    <definedName name="_39__123Graph_BCHART_7" localSheetId="13" hidden="1">'[3]Target Data'!#REF!</definedName>
    <definedName name="_39__123Graph_BCHART_7" localSheetId="11" hidden="1">'[3]Target Data'!#REF!</definedName>
    <definedName name="_39__123Graph_BCHART_7" hidden="1">'[3]Target Data'!#REF!</definedName>
    <definedName name="_4__123Graph_ACHART_4" localSheetId="6" hidden="1">'[3]Target Data'!#REF!</definedName>
    <definedName name="_4__123Graph_ACHART_4" localSheetId="2" hidden="1">'[3]Target Data'!#REF!</definedName>
    <definedName name="_4__123Graph_ACHART_4" localSheetId="7" hidden="1">'[3]Target Data'!#REF!</definedName>
    <definedName name="_4__123Graph_ACHART_4" localSheetId="8" hidden="1">'[3]Target Data'!#REF!</definedName>
    <definedName name="_4__123Graph_ACHART_4" localSheetId="14" hidden="1">'[3]Target Data'!#REF!</definedName>
    <definedName name="_4__123Graph_ACHART_4" localSheetId="17" hidden="1">'[3]Target Data'!#REF!</definedName>
    <definedName name="_4__123Graph_ACHART_4" localSheetId="18" hidden="1">'[3]Target Data'!#REF!</definedName>
    <definedName name="_4__123Graph_ACHART_4" localSheetId="13" hidden="1">'[3]Target Data'!#REF!</definedName>
    <definedName name="_4__123Graph_ACHART_4" localSheetId="11" hidden="1">'[3]Target Data'!#REF!</definedName>
    <definedName name="_4__123Graph_ACHART_4" hidden="1">'[3]Target Data'!#REF!</definedName>
    <definedName name="_42__123Graph_BCHART_8" localSheetId="6" hidden="1">'[3]Target Data'!#REF!</definedName>
    <definedName name="_42__123Graph_BCHART_8" localSheetId="2" hidden="1">'[3]Target Data'!#REF!</definedName>
    <definedName name="_42__123Graph_BCHART_8" localSheetId="7" hidden="1">'[3]Target Data'!#REF!</definedName>
    <definedName name="_42__123Graph_BCHART_8" localSheetId="8" hidden="1">'[3]Target Data'!#REF!</definedName>
    <definedName name="_42__123Graph_BCHART_8" localSheetId="14" hidden="1">'[3]Target Data'!#REF!</definedName>
    <definedName name="_42__123Graph_BCHART_8" localSheetId="17" hidden="1">'[3]Target Data'!#REF!</definedName>
    <definedName name="_42__123Graph_BCHART_8" localSheetId="18" hidden="1">'[3]Target Data'!#REF!</definedName>
    <definedName name="_42__123Graph_BCHART_8" localSheetId="13" hidden="1">'[3]Target Data'!#REF!</definedName>
    <definedName name="_42__123Graph_BCHART_8" localSheetId="11" hidden="1">'[3]Target Data'!#REF!</definedName>
    <definedName name="_42__123Graph_BCHART_8" hidden="1">'[3]Target Data'!#REF!</definedName>
    <definedName name="_45__123Graph_CCHART_16" localSheetId="6" hidden="1">'[2]Shift Totals'!#REF!</definedName>
    <definedName name="_45__123Graph_CCHART_16" localSheetId="2" hidden="1">'[2]Shift Totals'!#REF!</definedName>
    <definedName name="_45__123Graph_CCHART_16" localSheetId="7" hidden="1">'[2]Shift Totals'!#REF!</definedName>
    <definedName name="_45__123Graph_CCHART_16" localSheetId="8" hidden="1">'[2]Shift Totals'!#REF!</definedName>
    <definedName name="_45__123Graph_CCHART_16" localSheetId="14" hidden="1">'[2]Shift Totals'!#REF!</definedName>
    <definedName name="_45__123Graph_CCHART_16" localSheetId="17" hidden="1">'[2]Shift Totals'!#REF!</definedName>
    <definedName name="_45__123Graph_CCHART_16" localSheetId="18" hidden="1">'[2]Shift Totals'!#REF!</definedName>
    <definedName name="_45__123Graph_CCHART_16" localSheetId="13" hidden="1">'[2]Shift Totals'!#REF!</definedName>
    <definedName name="_45__123Graph_CCHART_16" localSheetId="11" hidden="1">'[2]Shift Totals'!#REF!</definedName>
    <definedName name="_45__123Graph_CCHART_16" hidden="1">'[2]Shift Totals'!#REF!</definedName>
    <definedName name="_48__123Graph_DCHART_1" localSheetId="6" hidden="1">'[2]Shift Totals'!#REF!</definedName>
    <definedName name="_48__123Graph_DCHART_1" localSheetId="2" hidden="1">'[2]Shift Totals'!#REF!</definedName>
    <definedName name="_48__123Graph_DCHART_1" localSheetId="7" hidden="1">'[2]Shift Totals'!#REF!</definedName>
    <definedName name="_48__123Graph_DCHART_1" localSheetId="8" hidden="1">'[2]Shift Totals'!#REF!</definedName>
    <definedName name="_48__123Graph_DCHART_1" localSheetId="14" hidden="1">'[2]Shift Totals'!#REF!</definedName>
    <definedName name="_48__123Graph_DCHART_1" localSheetId="17" hidden="1">'[2]Shift Totals'!#REF!</definedName>
    <definedName name="_48__123Graph_DCHART_1" localSheetId="18" hidden="1">'[2]Shift Totals'!#REF!</definedName>
    <definedName name="_48__123Graph_DCHART_1" localSheetId="13" hidden="1">'[2]Shift Totals'!#REF!</definedName>
    <definedName name="_48__123Graph_DCHART_1" localSheetId="11" hidden="1">'[2]Shift Totals'!#REF!</definedName>
    <definedName name="_48__123Graph_DCHART_1" hidden="1">'[2]Shift Totals'!#REF!</definedName>
    <definedName name="_5__123Graph_ACHART_5" localSheetId="6" hidden="1">'[3]Target Data'!#REF!</definedName>
    <definedName name="_5__123Graph_ACHART_5" localSheetId="2" hidden="1">'[3]Target Data'!#REF!</definedName>
    <definedName name="_5__123Graph_ACHART_5" localSheetId="7" hidden="1">'[3]Target Data'!#REF!</definedName>
    <definedName name="_5__123Graph_ACHART_5" localSheetId="8" hidden="1">'[3]Target Data'!#REF!</definedName>
    <definedName name="_5__123Graph_ACHART_5" localSheetId="14" hidden="1">'[3]Target Data'!#REF!</definedName>
    <definedName name="_5__123Graph_ACHART_5" localSheetId="17" hidden="1">'[3]Target Data'!#REF!</definedName>
    <definedName name="_5__123Graph_ACHART_5" localSheetId="18" hidden="1">'[3]Target Data'!#REF!</definedName>
    <definedName name="_5__123Graph_ACHART_5" localSheetId="13" hidden="1">'[3]Target Data'!#REF!</definedName>
    <definedName name="_5__123Graph_ACHART_5" localSheetId="11" hidden="1">'[3]Target Data'!#REF!</definedName>
    <definedName name="_5__123Graph_ACHART_5" hidden="1">'[3]Target Data'!#REF!</definedName>
    <definedName name="_51__123Graph_DCHART_16" localSheetId="6" hidden="1">'[2]Shift Totals'!#REF!</definedName>
    <definedName name="_51__123Graph_DCHART_16" localSheetId="2" hidden="1">'[2]Shift Totals'!#REF!</definedName>
    <definedName name="_51__123Graph_DCHART_16" localSheetId="7" hidden="1">'[2]Shift Totals'!#REF!</definedName>
    <definedName name="_51__123Graph_DCHART_16" localSheetId="8" hidden="1">'[2]Shift Totals'!#REF!</definedName>
    <definedName name="_51__123Graph_DCHART_16" localSheetId="14" hidden="1">'[2]Shift Totals'!#REF!</definedName>
    <definedName name="_51__123Graph_DCHART_16" localSheetId="17" hidden="1">'[2]Shift Totals'!#REF!</definedName>
    <definedName name="_51__123Graph_DCHART_16" localSheetId="18" hidden="1">'[2]Shift Totals'!#REF!</definedName>
    <definedName name="_51__123Graph_DCHART_16" localSheetId="13" hidden="1">'[2]Shift Totals'!#REF!</definedName>
    <definedName name="_51__123Graph_DCHART_16" localSheetId="11" hidden="1">'[2]Shift Totals'!#REF!</definedName>
    <definedName name="_51__123Graph_DCHART_16" hidden="1">'[2]Shift Totals'!#REF!</definedName>
    <definedName name="_54__123Graph_ECHART_1" localSheetId="6" hidden="1">'[2]Shift Totals'!#REF!</definedName>
    <definedName name="_54__123Graph_ECHART_1" localSheetId="2" hidden="1">'[2]Shift Totals'!#REF!</definedName>
    <definedName name="_54__123Graph_ECHART_1" localSheetId="7" hidden="1">'[2]Shift Totals'!#REF!</definedName>
    <definedName name="_54__123Graph_ECHART_1" localSheetId="8" hidden="1">'[2]Shift Totals'!#REF!</definedName>
    <definedName name="_54__123Graph_ECHART_1" localSheetId="14" hidden="1">'[2]Shift Totals'!#REF!</definedName>
    <definedName name="_54__123Graph_ECHART_1" localSheetId="17" hidden="1">'[2]Shift Totals'!#REF!</definedName>
    <definedName name="_54__123Graph_ECHART_1" localSheetId="18" hidden="1">'[2]Shift Totals'!#REF!</definedName>
    <definedName name="_54__123Graph_ECHART_1" localSheetId="13" hidden="1">'[2]Shift Totals'!#REF!</definedName>
    <definedName name="_54__123Graph_ECHART_1" localSheetId="11" hidden="1">'[2]Shift Totals'!#REF!</definedName>
    <definedName name="_54__123Graph_ECHART_1" hidden="1">'[2]Shift Totals'!#REF!</definedName>
    <definedName name="_57__123Graph_LBL_ACHART_1" localSheetId="6" hidden="1">'[2]Shift Totals'!#REF!</definedName>
    <definedName name="_57__123Graph_LBL_ACHART_1" localSheetId="2" hidden="1">'[2]Shift Totals'!#REF!</definedName>
    <definedName name="_57__123Graph_LBL_ACHART_1" localSheetId="7" hidden="1">'[2]Shift Totals'!#REF!</definedName>
    <definedName name="_57__123Graph_LBL_ACHART_1" localSheetId="8" hidden="1">'[2]Shift Totals'!#REF!</definedName>
    <definedName name="_57__123Graph_LBL_ACHART_1" localSheetId="14" hidden="1">'[2]Shift Totals'!#REF!</definedName>
    <definedName name="_57__123Graph_LBL_ACHART_1" localSheetId="17" hidden="1">'[2]Shift Totals'!#REF!</definedName>
    <definedName name="_57__123Graph_LBL_ACHART_1" localSheetId="18" hidden="1">'[2]Shift Totals'!#REF!</definedName>
    <definedName name="_57__123Graph_LBL_ACHART_1" localSheetId="13" hidden="1">'[2]Shift Totals'!#REF!</definedName>
    <definedName name="_57__123Graph_LBL_ACHART_1" localSheetId="11" hidden="1">'[2]Shift Totals'!#REF!</definedName>
    <definedName name="_57__123Graph_LBL_ACHART_1" hidden="1">'[2]Shift Totals'!#REF!</definedName>
    <definedName name="_6__123Graph_ACHART_16" localSheetId="6" hidden="1">'[2]Shift Totals'!#REF!</definedName>
    <definedName name="_6__123Graph_ACHART_16" localSheetId="2" hidden="1">'[2]Shift Totals'!#REF!</definedName>
    <definedName name="_6__123Graph_ACHART_16" localSheetId="7" hidden="1">'[2]Shift Totals'!#REF!</definedName>
    <definedName name="_6__123Graph_ACHART_16" localSheetId="8" hidden="1">'[2]Shift Totals'!#REF!</definedName>
    <definedName name="_6__123Graph_ACHART_16" localSheetId="14" hidden="1">'[2]Shift Totals'!#REF!</definedName>
    <definedName name="_6__123Graph_ACHART_16" localSheetId="17" hidden="1">'[2]Shift Totals'!#REF!</definedName>
    <definedName name="_6__123Graph_ACHART_16" localSheetId="18" hidden="1">'[2]Shift Totals'!#REF!</definedName>
    <definedName name="_6__123Graph_ACHART_16" localSheetId="13" hidden="1">'[2]Shift Totals'!#REF!</definedName>
    <definedName name="_6__123Graph_ACHART_16" localSheetId="11" hidden="1">'[2]Shift Totals'!#REF!</definedName>
    <definedName name="_6__123Graph_ACHART_16" hidden="1">'[2]Shift Totals'!#REF!</definedName>
    <definedName name="_6__123Graph_ACHART_7" localSheetId="6" hidden="1">'[3]Target Data'!#REF!</definedName>
    <definedName name="_6__123Graph_ACHART_7" localSheetId="2" hidden="1">'[3]Target Data'!#REF!</definedName>
    <definedName name="_6__123Graph_ACHART_7" localSheetId="7" hidden="1">'[3]Target Data'!#REF!</definedName>
    <definedName name="_6__123Graph_ACHART_7" localSheetId="8" hidden="1">'[3]Target Data'!#REF!</definedName>
    <definedName name="_6__123Graph_ACHART_7" localSheetId="14" hidden="1">'[3]Target Data'!#REF!</definedName>
    <definedName name="_6__123Graph_ACHART_7" localSheetId="17" hidden="1">'[3]Target Data'!#REF!</definedName>
    <definedName name="_6__123Graph_ACHART_7" localSheetId="18" hidden="1">'[3]Target Data'!#REF!</definedName>
    <definedName name="_6__123Graph_ACHART_7" localSheetId="13" hidden="1">'[3]Target Data'!#REF!</definedName>
    <definedName name="_6__123Graph_ACHART_7" localSheetId="11" hidden="1">'[3]Target Data'!#REF!</definedName>
    <definedName name="_6__123Graph_ACHART_7" hidden="1">'[3]Target Data'!#REF!</definedName>
    <definedName name="_60__123Graph_LBL_ACHART_16" localSheetId="6" hidden="1">'[2]Shift Totals'!#REF!</definedName>
    <definedName name="_60__123Graph_LBL_ACHART_16" localSheetId="2" hidden="1">'[2]Shift Totals'!#REF!</definedName>
    <definedName name="_60__123Graph_LBL_ACHART_16" localSheetId="7" hidden="1">'[2]Shift Totals'!#REF!</definedName>
    <definedName name="_60__123Graph_LBL_ACHART_16" localSheetId="8" hidden="1">'[2]Shift Totals'!#REF!</definedName>
    <definedName name="_60__123Graph_LBL_ACHART_16" localSheetId="14" hidden="1">'[2]Shift Totals'!#REF!</definedName>
    <definedName name="_60__123Graph_LBL_ACHART_16" localSheetId="17" hidden="1">'[2]Shift Totals'!#REF!</definedName>
    <definedName name="_60__123Graph_LBL_ACHART_16" localSheetId="18" hidden="1">'[2]Shift Totals'!#REF!</definedName>
    <definedName name="_60__123Graph_LBL_ACHART_16" localSheetId="13" hidden="1">'[2]Shift Totals'!#REF!</definedName>
    <definedName name="_60__123Graph_LBL_ACHART_16" localSheetId="11" hidden="1">'[2]Shift Totals'!#REF!</definedName>
    <definedName name="_60__123Graph_LBL_ACHART_16" hidden="1">'[2]Shift Totals'!#REF!</definedName>
    <definedName name="_63__123Graph_LBL_ACHART_4" localSheetId="6" hidden="1">'[3]Target Data'!#REF!</definedName>
    <definedName name="_63__123Graph_LBL_ACHART_4" localSheetId="2" hidden="1">'[3]Target Data'!#REF!</definedName>
    <definedName name="_63__123Graph_LBL_ACHART_4" localSheetId="7" hidden="1">'[3]Target Data'!#REF!</definedName>
    <definedName name="_63__123Graph_LBL_ACHART_4" localSheetId="8" hidden="1">'[3]Target Data'!#REF!</definedName>
    <definedName name="_63__123Graph_LBL_ACHART_4" localSheetId="14" hidden="1">'[3]Target Data'!#REF!</definedName>
    <definedName name="_63__123Graph_LBL_ACHART_4" localSheetId="17" hidden="1">'[3]Target Data'!#REF!</definedName>
    <definedName name="_63__123Graph_LBL_ACHART_4" localSheetId="18" hidden="1">'[3]Target Data'!#REF!</definedName>
    <definedName name="_63__123Graph_LBL_ACHART_4" localSheetId="13" hidden="1">'[3]Target Data'!#REF!</definedName>
    <definedName name="_63__123Graph_LBL_ACHART_4" localSheetId="11" hidden="1">'[3]Target Data'!#REF!</definedName>
    <definedName name="_63__123Graph_LBL_ACHART_4" hidden="1">'[3]Target Data'!#REF!</definedName>
    <definedName name="_66__123Graph_LBL_ACHART_5" localSheetId="6" hidden="1">'[3]Target Data'!#REF!</definedName>
    <definedName name="_66__123Graph_LBL_ACHART_5" localSheetId="2" hidden="1">'[3]Target Data'!#REF!</definedName>
    <definedName name="_66__123Graph_LBL_ACHART_5" localSheetId="7" hidden="1">'[3]Target Data'!#REF!</definedName>
    <definedName name="_66__123Graph_LBL_ACHART_5" localSheetId="8" hidden="1">'[3]Target Data'!#REF!</definedName>
    <definedName name="_66__123Graph_LBL_ACHART_5" localSheetId="14" hidden="1">'[3]Target Data'!#REF!</definedName>
    <definedName name="_66__123Graph_LBL_ACHART_5" localSheetId="17" hidden="1">'[3]Target Data'!#REF!</definedName>
    <definedName name="_66__123Graph_LBL_ACHART_5" localSheetId="18" hidden="1">'[3]Target Data'!#REF!</definedName>
    <definedName name="_66__123Graph_LBL_ACHART_5" localSheetId="13" hidden="1">'[3]Target Data'!#REF!</definedName>
    <definedName name="_66__123Graph_LBL_ACHART_5" localSheetId="11" hidden="1">'[3]Target Data'!#REF!</definedName>
    <definedName name="_66__123Graph_LBL_ACHART_5" hidden="1">'[3]Target Data'!#REF!</definedName>
    <definedName name="_69__123Graph_LBL_BCHART_1" localSheetId="6" hidden="1">'[2]Shift Totals'!#REF!</definedName>
    <definedName name="_69__123Graph_LBL_BCHART_1" localSheetId="2" hidden="1">'[2]Shift Totals'!#REF!</definedName>
    <definedName name="_69__123Graph_LBL_BCHART_1" localSheetId="7" hidden="1">'[2]Shift Totals'!#REF!</definedName>
    <definedName name="_69__123Graph_LBL_BCHART_1" localSheetId="8" hidden="1">'[2]Shift Totals'!#REF!</definedName>
    <definedName name="_69__123Graph_LBL_BCHART_1" localSheetId="14" hidden="1">'[2]Shift Totals'!#REF!</definedName>
    <definedName name="_69__123Graph_LBL_BCHART_1" localSheetId="17" hidden="1">'[2]Shift Totals'!#REF!</definedName>
    <definedName name="_69__123Graph_LBL_BCHART_1" localSheetId="18" hidden="1">'[2]Shift Totals'!#REF!</definedName>
    <definedName name="_69__123Graph_LBL_BCHART_1" localSheetId="13" hidden="1">'[2]Shift Totals'!#REF!</definedName>
    <definedName name="_69__123Graph_LBL_BCHART_1" localSheetId="11" hidden="1">'[2]Shift Totals'!#REF!</definedName>
    <definedName name="_69__123Graph_LBL_BCHART_1" hidden="1">'[2]Shift Totals'!#REF!</definedName>
    <definedName name="_7__123Graph_ACHART_8" localSheetId="6" hidden="1">'[3]Target Data'!#REF!</definedName>
    <definedName name="_7__123Graph_ACHART_8" localSheetId="2" hidden="1">'[3]Target Data'!#REF!</definedName>
    <definedName name="_7__123Graph_ACHART_8" localSheetId="7" hidden="1">'[3]Target Data'!#REF!</definedName>
    <definedName name="_7__123Graph_ACHART_8" localSheetId="8" hidden="1">'[3]Target Data'!#REF!</definedName>
    <definedName name="_7__123Graph_ACHART_8" localSheetId="14" hidden="1">'[3]Target Data'!#REF!</definedName>
    <definedName name="_7__123Graph_ACHART_8" localSheetId="17" hidden="1">'[3]Target Data'!#REF!</definedName>
    <definedName name="_7__123Graph_ACHART_8" localSheetId="18" hidden="1">'[3]Target Data'!#REF!</definedName>
    <definedName name="_7__123Graph_ACHART_8" localSheetId="13" hidden="1">'[3]Target Data'!#REF!</definedName>
    <definedName name="_7__123Graph_ACHART_8" localSheetId="11" hidden="1">'[3]Target Data'!#REF!</definedName>
    <definedName name="_7__123Graph_ACHART_8" hidden="1">'[3]Target Data'!#REF!</definedName>
    <definedName name="_72__123Graph_LBL_BCHART_16" localSheetId="6" hidden="1">'[2]Shift Totals'!#REF!</definedName>
    <definedName name="_72__123Graph_LBL_BCHART_16" localSheetId="2" hidden="1">'[2]Shift Totals'!#REF!</definedName>
    <definedName name="_72__123Graph_LBL_BCHART_16" localSheetId="7" hidden="1">'[2]Shift Totals'!#REF!</definedName>
    <definedName name="_72__123Graph_LBL_BCHART_16" localSheetId="8" hidden="1">'[2]Shift Totals'!#REF!</definedName>
    <definedName name="_72__123Graph_LBL_BCHART_16" localSheetId="14" hidden="1">'[2]Shift Totals'!#REF!</definedName>
    <definedName name="_72__123Graph_LBL_BCHART_16" localSheetId="17" hidden="1">'[2]Shift Totals'!#REF!</definedName>
    <definedName name="_72__123Graph_LBL_BCHART_16" localSheetId="18" hidden="1">'[2]Shift Totals'!#REF!</definedName>
    <definedName name="_72__123Graph_LBL_BCHART_16" localSheetId="13" hidden="1">'[2]Shift Totals'!#REF!</definedName>
    <definedName name="_72__123Graph_LBL_BCHART_16" localSheetId="11" hidden="1">'[2]Shift Totals'!#REF!</definedName>
    <definedName name="_72__123Graph_LBL_BCHART_16" hidden="1">'[2]Shift Totals'!#REF!</definedName>
    <definedName name="_75__123Graph_LBL_BCHART_4" localSheetId="6" hidden="1">'[3]Target Data'!#REF!</definedName>
    <definedName name="_75__123Graph_LBL_BCHART_4" localSheetId="2" hidden="1">'[3]Target Data'!#REF!</definedName>
    <definedName name="_75__123Graph_LBL_BCHART_4" localSheetId="7" hidden="1">'[3]Target Data'!#REF!</definedName>
    <definedName name="_75__123Graph_LBL_BCHART_4" localSheetId="8" hidden="1">'[3]Target Data'!#REF!</definedName>
    <definedName name="_75__123Graph_LBL_BCHART_4" localSheetId="14" hidden="1">'[3]Target Data'!#REF!</definedName>
    <definedName name="_75__123Graph_LBL_BCHART_4" localSheetId="17" hidden="1">'[3]Target Data'!#REF!</definedName>
    <definedName name="_75__123Graph_LBL_BCHART_4" localSheetId="18" hidden="1">'[3]Target Data'!#REF!</definedName>
    <definedName name="_75__123Graph_LBL_BCHART_4" localSheetId="13" hidden="1">'[3]Target Data'!#REF!</definedName>
    <definedName name="_75__123Graph_LBL_BCHART_4" localSheetId="11" hidden="1">'[3]Target Data'!#REF!</definedName>
    <definedName name="_75__123Graph_LBL_BCHART_4" hidden="1">'[3]Target Data'!#REF!</definedName>
    <definedName name="_78__123Graph_LBL_BCHART_5" localSheetId="6" hidden="1">'[3]Target Data'!#REF!</definedName>
    <definedName name="_78__123Graph_LBL_BCHART_5" localSheetId="2" hidden="1">'[3]Target Data'!#REF!</definedName>
    <definedName name="_78__123Graph_LBL_BCHART_5" localSheetId="7" hidden="1">'[3]Target Data'!#REF!</definedName>
    <definedName name="_78__123Graph_LBL_BCHART_5" localSheetId="8" hidden="1">'[3]Target Data'!#REF!</definedName>
    <definedName name="_78__123Graph_LBL_BCHART_5" localSheetId="14" hidden="1">'[3]Target Data'!#REF!</definedName>
    <definedName name="_78__123Graph_LBL_BCHART_5" localSheetId="17" hidden="1">'[3]Target Data'!#REF!</definedName>
    <definedName name="_78__123Graph_LBL_BCHART_5" localSheetId="18" hidden="1">'[3]Target Data'!#REF!</definedName>
    <definedName name="_78__123Graph_LBL_BCHART_5" localSheetId="13" hidden="1">'[3]Target Data'!#REF!</definedName>
    <definedName name="_78__123Graph_LBL_BCHART_5" localSheetId="11" hidden="1">'[3]Target Data'!#REF!</definedName>
    <definedName name="_78__123Graph_LBL_BCHART_5" hidden="1">'[3]Target Data'!#REF!</definedName>
    <definedName name="_8__123Graph_BCHART_1" localSheetId="6" hidden="1">'[2]Shift Totals'!#REF!</definedName>
    <definedName name="_8__123Graph_BCHART_1" localSheetId="2" hidden="1">'[2]Shift Totals'!#REF!</definedName>
    <definedName name="_8__123Graph_BCHART_1" localSheetId="7" hidden="1">'[2]Shift Totals'!#REF!</definedName>
    <definedName name="_8__123Graph_BCHART_1" localSheetId="8" hidden="1">'[2]Shift Totals'!#REF!</definedName>
    <definedName name="_8__123Graph_BCHART_1" localSheetId="14" hidden="1">'[2]Shift Totals'!#REF!</definedName>
    <definedName name="_8__123Graph_BCHART_1" localSheetId="17" hidden="1">'[2]Shift Totals'!#REF!</definedName>
    <definedName name="_8__123Graph_BCHART_1" localSheetId="18" hidden="1">'[2]Shift Totals'!#REF!</definedName>
    <definedName name="_8__123Graph_BCHART_1" localSheetId="13" hidden="1">'[2]Shift Totals'!#REF!</definedName>
    <definedName name="_8__123Graph_BCHART_1" localSheetId="11" hidden="1">'[2]Shift Totals'!#REF!</definedName>
    <definedName name="_8__123Graph_BCHART_1" hidden="1">'[2]Shift Totals'!#REF!</definedName>
    <definedName name="_81__123Graph_LBL_CCHART_16" localSheetId="6" hidden="1">'[2]Shift Totals'!#REF!</definedName>
    <definedName name="_81__123Graph_LBL_CCHART_16" localSheetId="2" hidden="1">'[2]Shift Totals'!#REF!</definedName>
    <definedName name="_81__123Graph_LBL_CCHART_16" localSheetId="7" hidden="1">'[2]Shift Totals'!#REF!</definedName>
    <definedName name="_81__123Graph_LBL_CCHART_16" localSheetId="8" hidden="1">'[2]Shift Totals'!#REF!</definedName>
    <definedName name="_81__123Graph_LBL_CCHART_16" localSheetId="14" hidden="1">'[2]Shift Totals'!#REF!</definedName>
    <definedName name="_81__123Graph_LBL_CCHART_16" localSheetId="17" hidden="1">'[2]Shift Totals'!#REF!</definedName>
    <definedName name="_81__123Graph_LBL_CCHART_16" localSheetId="18" hidden="1">'[2]Shift Totals'!#REF!</definedName>
    <definedName name="_81__123Graph_LBL_CCHART_16" localSheetId="13" hidden="1">'[2]Shift Totals'!#REF!</definedName>
    <definedName name="_81__123Graph_LBL_CCHART_16" localSheetId="11" hidden="1">'[2]Shift Totals'!#REF!</definedName>
    <definedName name="_81__123Graph_LBL_CCHART_16" hidden="1">'[2]Shift Totals'!#REF!</definedName>
    <definedName name="_84__123Graph_LBL_DCHART_1" localSheetId="6" hidden="1">'[2]Shift Totals'!#REF!</definedName>
    <definedName name="_84__123Graph_LBL_DCHART_1" localSheetId="2" hidden="1">'[2]Shift Totals'!#REF!</definedName>
    <definedName name="_84__123Graph_LBL_DCHART_1" localSheetId="7" hidden="1">'[2]Shift Totals'!#REF!</definedName>
    <definedName name="_84__123Graph_LBL_DCHART_1" localSheetId="8" hidden="1">'[2]Shift Totals'!#REF!</definedName>
    <definedName name="_84__123Graph_LBL_DCHART_1" localSheetId="14" hidden="1">'[2]Shift Totals'!#REF!</definedName>
    <definedName name="_84__123Graph_LBL_DCHART_1" localSheetId="17" hidden="1">'[2]Shift Totals'!#REF!</definedName>
    <definedName name="_84__123Graph_LBL_DCHART_1" localSheetId="18" hidden="1">'[2]Shift Totals'!#REF!</definedName>
    <definedName name="_84__123Graph_LBL_DCHART_1" localSheetId="13" hidden="1">'[2]Shift Totals'!#REF!</definedName>
    <definedName name="_84__123Graph_LBL_DCHART_1" localSheetId="11" hidden="1">'[2]Shift Totals'!#REF!</definedName>
    <definedName name="_84__123Graph_LBL_DCHART_1" hidden="1">'[2]Shift Totals'!#REF!</definedName>
    <definedName name="_87__123Graph_LBL_DCHART_16" localSheetId="6" hidden="1">'[2]Shift Totals'!#REF!</definedName>
    <definedName name="_87__123Graph_LBL_DCHART_16" localSheetId="2" hidden="1">'[2]Shift Totals'!#REF!</definedName>
    <definedName name="_87__123Graph_LBL_DCHART_16" localSheetId="7" hidden="1">'[2]Shift Totals'!#REF!</definedName>
    <definedName name="_87__123Graph_LBL_DCHART_16" localSheetId="8" hidden="1">'[2]Shift Totals'!#REF!</definedName>
    <definedName name="_87__123Graph_LBL_DCHART_16" localSheetId="14" hidden="1">'[2]Shift Totals'!#REF!</definedName>
    <definedName name="_87__123Graph_LBL_DCHART_16" localSheetId="17" hidden="1">'[2]Shift Totals'!#REF!</definedName>
    <definedName name="_87__123Graph_LBL_DCHART_16" localSheetId="18" hidden="1">'[2]Shift Totals'!#REF!</definedName>
    <definedName name="_87__123Graph_LBL_DCHART_16" localSheetId="13" hidden="1">'[2]Shift Totals'!#REF!</definedName>
    <definedName name="_87__123Graph_LBL_DCHART_16" localSheetId="11" hidden="1">'[2]Shift Totals'!#REF!</definedName>
    <definedName name="_87__123Graph_LBL_DCHART_16" hidden="1">'[2]Shift Totals'!#REF!</definedName>
    <definedName name="_9__123Graph_ACHART_2" localSheetId="6" hidden="1">'[3]Target Data'!#REF!</definedName>
    <definedName name="_9__123Graph_ACHART_2" localSheetId="2" hidden="1">'[3]Target Data'!#REF!</definedName>
    <definedName name="_9__123Graph_ACHART_2" localSheetId="7" hidden="1">'[3]Target Data'!#REF!</definedName>
    <definedName name="_9__123Graph_ACHART_2" localSheetId="8" hidden="1">'[3]Target Data'!#REF!</definedName>
    <definedName name="_9__123Graph_ACHART_2" localSheetId="14" hidden="1">'[3]Target Data'!#REF!</definedName>
    <definedName name="_9__123Graph_ACHART_2" localSheetId="17" hidden="1">'[3]Target Data'!#REF!</definedName>
    <definedName name="_9__123Graph_ACHART_2" localSheetId="18" hidden="1">'[3]Target Data'!#REF!</definedName>
    <definedName name="_9__123Graph_ACHART_2" localSheetId="13" hidden="1">'[3]Target Data'!#REF!</definedName>
    <definedName name="_9__123Graph_ACHART_2" localSheetId="11" hidden="1">'[3]Target Data'!#REF!</definedName>
    <definedName name="_9__123Graph_ACHART_2" hidden="1">'[3]Target Data'!#REF!</definedName>
    <definedName name="_9__123Graph_BCHART_16" localSheetId="6" hidden="1">'[2]Shift Totals'!#REF!</definedName>
    <definedName name="_9__123Graph_BCHART_16" localSheetId="2" hidden="1">'[2]Shift Totals'!#REF!</definedName>
    <definedName name="_9__123Graph_BCHART_16" localSheetId="7" hidden="1">'[2]Shift Totals'!#REF!</definedName>
    <definedName name="_9__123Graph_BCHART_16" localSheetId="8" hidden="1">'[2]Shift Totals'!#REF!</definedName>
    <definedName name="_9__123Graph_BCHART_16" localSheetId="14" hidden="1">'[2]Shift Totals'!#REF!</definedName>
    <definedName name="_9__123Graph_BCHART_16" localSheetId="17" hidden="1">'[2]Shift Totals'!#REF!</definedName>
    <definedName name="_9__123Graph_BCHART_16" localSheetId="18" hidden="1">'[2]Shift Totals'!#REF!</definedName>
    <definedName name="_9__123Graph_BCHART_16" localSheetId="13" hidden="1">'[2]Shift Totals'!#REF!</definedName>
    <definedName name="_9__123Graph_BCHART_16" localSheetId="11" hidden="1">'[2]Shift Totals'!#REF!</definedName>
    <definedName name="_9__123Graph_BCHART_16" hidden="1">'[2]Shift Totals'!#REF!</definedName>
    <definedName name="_90__123Graph_XCHART_5" localSheetId="6" hidden="1">'[3]Target Data'!#REF!</definedName>
    <definedName name="_90__123Graph_XCHART_5" localSheetId="2" hidden="1">'[3]Target Data'!#REF!</definedName>
    <definedName name="_90__123Graph_XCHART_5" localSheetId="7" hidden="1">'[3]Target Data'!#REF!</definedName>
    <definedName name="_90__123Graph_XCHART_5" localSheetId="8" hidden="1">'[3]Target Data'!#REF!</definedName>
    <definedName name="_90__123Graph_XCHART_5" localSheetId="14" hidden="1">'[3]Target Data'!#REF!</definedName>
    <definedName name="_90__123Graph_XCHART_5" localSheetId="17" hidden="1">'[3]Target Data'!#REF!</definedName>
    <definedName name="_90__123Graph_XCHART_5" localSheetId="18" hidden="1">'[3]Target Data'!#REF!</definedName>
    <definedName name="_90__123Graph_XCHART_5" localSheetId="13" hidden="1">'[3]Target Data'!#REF!</definedName>
    <definedName name="_90__123Graph_XCHART_5" localSheetId="11" hidden="1">'[3]Target Data'!#REF!</definedName>
    <definedName name="_90__123Graph_XCHART_5" hidden="1">'[3]Target Data'!#REF!</definedName>
    <definedName name="_93__123Graph_XCHART_7" localSheetId="6" hidden="1">'[3]Target Data'!#REF!</definedName>
    <definedName name="_93__123Graph_XCHART_7" localSheetId="2" hidden="1">'[3]Target Data'!#REF!</definedName>
    <definedName name="_93__123Graph_XCHART_7" localSheetId="7" hidden="1">'[3]Target Data'!#REF!</definedName>
    <definedName name="_93__123Graph_XCHART_7" localSheetId="8" hidden="1">'[3]Target Data'!#REF!</definedName>
    <definedName name="_93__123Graph_XCHART_7" localSheetId="14" hidden="1">'[3]Target Data'!#REF!</definedName>
    <definedName name="_93__123Graph_XCHART_7" localSheetId="17" hidden="1">'[3]Target Data'!#REF!</definedName>
    <definedName name="_93__123Graph_XCHART_7" localSheetId="18" hidden="1">'[3]Target Data'!#REF!</definedName>
    <definedName name="_93__123Graph_XCHART_7" localSheetId="13" hidden="1">'[3]Target Data'!#REF!</definedName>
    <definedName name="_93__123Graph_XCHART_7" localSheetId="11" hidden="1">'[3]Target Data'!#REF!</definedName>
    <definedName name="_93__123Graph_XCHART_7" hidden="1">'[3]Target Data'!#REF!</definedName>
    <definedName name="_96__123Graph_XCHART_8" localSheetId="6" hidden="1">'[3]Target Data'!#REF!</definedName>
    <definedName name="_96__123Graph_XCHART_8" localSheetId="2" hidden="1">'[3]Target Data'!#REF!</definedName>
    <definedName name="_96__123Graph_XCHART_8" localSheetId="7" hidden="1">'[3]Target Data'!#REF!</definedName>
    <definedName name="_96__123Graph_XCHART_8" localSheetId="8" hidden="1">'[3]Target Data'!#REF!</definedName>
    <definedName name="_96__123Graph_XCHART_8" localSheetId="14" hidden="1">'[3]Target Data'!#REF!</definedName>
    <definedName name="_96__123Graph_XCHART_8" localSheetId="17" hidden="1">'[3]Target Data'!#REF!</definedName>
    <definedName name="_96__123Graph_XCHART_8" localSheetId="18" hidden="1">'[3]Target Data'!#REF!</definedName>
    <definedName name="_96__123Graph_XCHART_8" localSheetId="13" hidden="1">'[3]Target Data'!#REF!</definedName>
    <definedName name="_96__123Graph_XCHART_8" localSheetId="11" hidden="1">'[3]Target Data'!#REF!</definedName>
    <definedName name="_96__123Graph_XCHART_8" hidden="1">'[3]Target Data'!#REF!</definedName>
    <definedName name="_Fill" localSheetId="6" hidden="1">'[2] Raw Data'!#REF!</definedName>
    <definedName name="_Fill" localSheetId="2" hidden="1">'[2] Raw Data'!#REF!</definedName>
    <definedName name="_Fill" localSheetId="7" hidden="1">'[2] Raw Data'!#REF!</definedName>
    <definedName name="_Fill" localSheetId="8" hidden="1">'[2] Raw Data'!#REF!</definedName>
    <definedName name="_Fill" localSheetId="14" hidden="1">'[2] Raw Data'!#REF!</definedName>
    <definedName name="_Fill" localSheetId="17" hidden="1">'[2] Raw Data'!#REF!</definedName>
    <definedName name="_Fill" localSheetId="18" hidden="1">'[2] Raw Data'!#REF!</definedName>
    <definedName name="_Fill" localSheetId="13" hidden="1">'[2] Raw Data'!#REF!</definedName>
    <definedName name="_Fill" localSheetId="11" hidden="1">'[2] Raw Data'!#REF!</definedName>
    <definedName name="_Fill" hidden="1">'[2] Raw Data'!#REF!</definedName>
    <definedName name="_xlnm._FilterDatabase" localSheetId="6" hidden="1">'2BLK-12'!$A$2:$M$271</definedName>
    <definedName name="_xlnm._FilterDatabase" localSheetId="1" hidden="1">Invoices!$A$1:$I$309</definedName>
    <definedName name="_xlnm._FilterDatabase" localSheetId="9" hidden="1">'NBN Gfields 2016-17'!$B$1:$AM$77</definedName>
    <definedName name="_xlnm._FilterDatabase" localSheetId="10" hidden="1">'NBN Gfields WIn  Loss'!$A$2:$P$124</definedName>
    <definedName name="_xlnm._FilterDatabase" localSheetId="7" hidden="1">'NBN Minor Works Win Loss'!$A$1:$L$11</definedName>
    <definedName name="_xlnm._FilterDatabase" localSheetId="8" hidden="1">'NBN NS Inv 2016-17'!$A$1:$TT$758</definedName>
    <definedName name="_xlnm._FilterDatabase" localSheetId="14" hidden="1">'NBN_MWI &amp; Pipe Data'!$A$1:$AT$583</definedName>
    <definedName name="_xlnm._FilterDatabase" localSheetId="17" hidden="1">'PC &amp; Payment Dates New Devs'!$A$1:$L$249</definedName>
    <definedName name="_xlnm._FilterDatabase" localSheetId="18" hidden="1">'PC &amp; Payment NBN Assurance'!$A$1:$K$31</definedName>
    <definedName name="_xlnm._FilterDatabase" localSheetId="13" hidden="1">'Pipe Invoices 2016-17'!$B$59:$L$99</definedName>
    <definedName name="_xlnm._FilterDatabase" localSheetId="11" hidden="1">'SStream Inv 2016-17'!$B$1:$BG$101</definedName>
    <definedName name="_xlnm._FilterDatabase" localSheetId="21" hidden="1">'Syndeticom Hours'!$B$4:$H$72</definedName>
    <definedName name="_xlnm._FilterDatabase" localSheetId="5" hidden="1">'Xero Data'!$A$1:$N$347</definedName>
    <definedName name="_JUN09" localSheetId="7" hidden="1">{#N/A,#N/A,FALSE,"RESULTS";#N/A,#N/A,FALSE,"FORECAST";#N/A,#N/A,FALSE,"ProvGraph";#N/A,#N/A,FALSE,"NEG PROV";#N/A,#N/A,FALSE,"PROVCOSTGRAPH";#N/A,#N/A,FALSE,"FittGraph";#N/A,#N/A,FALSE,"HireGraph"}</definedName>
    <definedName name="_JUN09" localSheetId="8" hidden="1">{#N/A,#N/A,FALSE,"RESULTS";#N/A,#N/A,FALSE,"FORECAST";#N/A,#N/A,FALSE,"ProvGraph";#N/A,#N/A,FALSE,"NEG PROV";#N/A,#N/A,FALSE,"PROVCOSTGRAPH";#N/A,#N/A,FALSE,"FittGraph";#N/A,#N/A,FALSE,"HireGraph"}</definedName>
    <definedName name="_JUN09" localSheetId="14" hidden="1">{#N/A,#N/A,FALSE,"RESULTS";#N/A,#N/A,FALSE,"FORECAST";#N/A,#N/A,FALSE,"ProvGraph";#N/A,#N/A,FALSE,"NEG PROV";#N/A,#N/A,FALSE,"PROVCOSTGRAPH";#N/A,#N/A,FALSE,"FittGraph";#N/A,#N/A,FALSE,"HireGraph"}</definedName>
    <definedName name="_JUN09" localSheetId="17" hidden="1">{#N/A,#N/A,FALSE,"RESULTS";#N/A,#N/A,FALSE,"FORECAST";#N/A,#N/A,FALSE,"ProvGraph";#N/A,#N/A,FALSE,"NEG PROV";#N/A,#N/A,FALSE,"PROVCOSTGRAPH";#N/A,#N/A,FALSE,"FittGraph";#N/A,#N/A,FALSE,"HireGraph"}</definedName>
    <definedName name="_JUN09" localSheetId="18" hidden="1">{#N/A,#N/A,FALSE,"RESULTS";#N/A,#N/A,FALSE,"FORECAST";#N/A,#N/A,FALSE,"ProvGraph";#N/A,#N/A,FALSE,"NEG PROV";#N/A,#N/A,FALSE,"PROVCOSTGRAPH";#N/A,#N/A,FALSE,"FittGraph";#N/A,#N/A,FALSE,"HireGraph"}</definedName>
    <definedName name="_JUN09" localSheetId="11" hidden="1">{#N/A,#N/A,FALSE,"RESULTS";#N/A,#N/A,FALSE,"FORECAST";#N/A,#N/A,FALSE,"ProvGraph";#N/A,#N/A,FALSE,"NEG PROV";#N/A,#N/A,FALSE,"PROVCOSTGRAPH";#N/A,#N/A,FALSE,"FittGraph";#N/A,#N/A,FALSE,"HireGraph"}</definedName>
    <definedName name="_JUN09" hidden="1">{#N/A,#N/A,FALSE,"RESULTS";#N/A,#N/A,FALSE,"FORECAST";#N/A,#N/A,FALSE,"ProvGraph";#N/A,#N/A,FALSE,"NEG PROV";#N/A,#N/A,FALSE,"PROVCOSTGRAPH";#N/A,#N/A,FALSE,"FittGraph";#N/A,#N/A,FALSE,"HireGraph"}</definedName>
    <definedName name="_Key1" hidden="1">'[1]Guarantee Sched'!$AA$163</definedName>
    <definedName name="_key2" localSheetId="6" hidden="1">'[4]D &amp; B'!#REF!</definedName>
    <definedName name="_key2" localSheetId="2" hidden="1">'[4]D &amp; B'!#REF!</definedName>
    <definedName name="_key2" localSheetId="7" hidden="1">'[4]D &amp; B'!#REF!</definedName>
    <definedName name="_key2" localSheetId="8" hidden="1">'[4]D &amp; B'!#REF!</definedName>
    <definedName name="_key2" localSheetId="14" hidden="1">'[4]D &amp; B'!#REF!</definedName>
    <definedName name="_key2" localSheetId="17" hidden="1">'[4]D &amp; B'!#REF!</definedName>
    <definedName name="_key2" localSheetId="18" hidden="1">'[4]D &amp; B'!#REF!</definedName>
    <definedName name="_key2" localSheetId="13" hidden="1">'[4]D &amp; B'!#REF!</definedName>
    <definedName name="_key2" localSheetId="11" hidden="1">'[4]D &amp; B'!#REF!</definedName>
    <definedName name="_key2" hidden="1">'[4]D &amp; B'!#REF!</definedName>
    <definedName name="_NSW1" localSheetId="7" hidden="1">{#N/A,#N/A,FALSE,"RESULTS";#N/A,#N/A,FALSE,"FORECAST";#N/A,#N/A,FALSE,"ProvGraph";#N/A,#N/A,FALSE,"FittGraph";#N/A,#N/A,FALSE,"NEG PROV";#N/A,#N/A,FALSE,"PROVCOSTGRAPH";#N/A,#N/A,FALSE,"HireGraph"}</definedName>
    <definedName name="_NSW1" localSheetId="8" hidden="1">{#N/A,#N/A,FALSE,"RESULTS";#N/A,#N/A,FALSE,"FORECAST";#N/A,#N/A,FALSE,"ProvGraph";#N/A,#N/A,FALSE,"FittGraph";#N/A,#N/A,FALSE,"NEG PROV";#N/A,#N/A,FALSE,"PROVCOSTGRAPH";#N/A,#N/A,FALSE,"HireGraph"}</definedName>
    <definedName name="_NSW1" localSheetId="14" hidden="1">{#N/A,#N/A,FALSE,"RESULTS";#N/A,#N/A,FALSE,"FORECAST";#N/A,#N/A,FALSE,"ProvGraph";#N/A,#N/A,FALSE,"FittGraph";#N/A,#N/A,FALSE,"NEG PROV";#N/A,#N/A,FALSE,"PROVCOSTGRAPH";#N/A,#N/A,FALSE,"HireGraph"}</definedName>
    <definedName name="_NSW1" localSheetId="17" hidden="1">{#N/A,#N/A,FALSE,"RESULTS";#N/A,#N/A,FALSE,"FORECAST";#N/A,#N/A,FALSE,"ProvGraph";#N/A,#N/A,FALSE,"FittGraph";#N/A,#N/A,FALSE,"NEG PROV";#N/A,#N/A,FALSE,"PROVCOSTGRAPH";#N/A,#N/A,FALSE,"HireGraph"}</definedName>
    <definedName name="_NSW1" localSheetId="18" hidden="1">{#N/A,#N/A,FALSE,"RESULTS";#N/A,#N/A,FALSE,"FORECAST";#N/A,#N/A,FALSE,"ProvGraph";#N/A,#N/A,FALSE,"FittGraph";#N/A,#N/A,FALSE,"NEG PROV";#N/A,#N/A,FALSE,"PROVCOSTGRAPH";#N/A,#N/A,FALSE,"HireGraph"}</definedName>
    <definedName name="_NSW1" localSheetId="11" hidden="1">{#N/A,#N/A,FALSE,"RESULTS";#N/A,#N/A,FALSE,"FORECAST";#N/A,#N/A,FALSE,"ProvGraph";#N/A,#N/A,FALSE,"FittGraph";#N/A,#N/A,FALSE,"NEG PROV";#N/A,#N/A,FALSE,"PROVCOSTGRAPH";#N/A,#N/A,FALSE,"HireGraph"}</definedName>
    <definedName name="_NSW1" hidden="1">{#N/A,#N/A,FALSE,"RESULTS";#N/A,#N/A,FALSE,"FORECAST";#N/A,#N/A,FALSE,"ProvGraph";#N/A,#N/A,FALSE,"FittGraph";#N/A,#N/A,FALSE,"NEG PROV";#N/A,#N/A,FALSE,"PROVCOSTGRAPH";#N/A,#N/A,FALSE,"HireGraph"}</definedName>
    <definedName name="_NSW1123123" localSheetId="7" hidden="1">{#N/A,#N/A,FALSE,"RESULTS";#N/A,#N/A,FALSE,"FORECAST";#N/A,#N/A,FALSE,"ProvGraph";#N/A,#N/A,FALSE,"FittGraph";#N/A,#N/A,FALSE,"NEG PROV";#N/A,#N/A,FALSE,"PROVCOSTGRAPH";#N/A,#N/A,FALSE,"HireGraph"}</definedName>
    <definedName name="_NSW1123123" localSheetId="8" hidden="1">{#N/A,#N/A,FALSE,"RESULTS";#N/A,#N/A,FALSE,"FORECAST";#N/A,#N/A,FALSE,"ProvGraph";#N/A,#N/A,FALSE,"FittGraph";#N/A,#N/A,FALSE,"NEG PROV";#N/A,#N/A,FALSE,"PROVCOSTGRAPH";#N/A,#N/A,FALSE,"HireGraph"}</definedName>
    <definedName name="_NSW1123123" localSheetId="14" hidden="1">{#N/A,#N/A,FALSE,"RESULTS";#N/A,#N/A,FALSE,"FORECAST";#N/A,#N/A,FALSE,"ProvGraph";#N/A,#N/A,FALSE,"FittGraph";#N/A,#N/A,FALSE,"NEG PROV";#N/A,#N/A,FALSE,"PROVCOSTGRAPH";#N/A,#N/A,FALSE,"HireGraph"}</definedName>
    <definedName name="_NSW1123123" localSheetId="17" hidden="1">{#N/A,#N/A,FALSE,"RESULTS";#N/A,#N/A,FALSE,"FORECAST";#N/A,#N/A,FALSE,"ProvGraph";#N/A,#N/A,FALSE,"FittGraph";#N/A,#N/A,FALSE,"NEG PROV";#N/A,#N/A,FALSE,"PROVCOSTGRAPH";#N/A,#N/A,FALSE,"HireGraph"}</definedName>
    <definedName name="_NSW1123123" localSheetId="18" hidden="1">{#N/A,#N/A,FALSE,"RESULTS";#N/A,#N/A,FALSE,"FORECAST";#N/A,#N/A,FALSE,"ProvGraph";#N/A,#N/A,FALSE,"FittGraph";#N/A,#N/A,FALSE,"NEG PROV";#N/A,#N/A,FALSE,"PROVCOSTGRAPH";#N/A,#N/A,FALSE,"HireGraph"}</definedName>
    <definedName name="_NSW1123123" localSheetId="11" hidden="1">{#N/A,#N/A,FALSE,"RESULTS";#N/A,#N/A,FALSE,"FORECAST";#N/A,#N/A,FALSE,"ProvGraph";#N/A,#N/A,FALSE,"FittGraph";#N/A,#N/A,FALSE,"NEG PROV";#N/A,#N/A,FALSE,"PROVCOSTGRAPH";#N/A,#N/A,FALSE,"HireGraph"}</definedName>
    <definedName name="_NSW1123123" hidden="1">{#N/A,#N/A,FALSE,"RESULTS";#N/A,#N/A,FALSE,"FORECAST";#N/A,#N/A,FALSE,"ProvGraph";#N/A,#N/A,FALSE,"FittGraph";#N/A,#N/A,FALSE,"NEG PROV";#N/A,#N/A,FALSE,"PROVCOSTGRAPH";#N/A,#N/A,FALSE,"HireGraph"}</definedName>
    <definedName name="_OH1" localSheetId="7" hidden="1">{#N/A,#N/A,FALSE,"RESULTS";#N/A,#N/A,FALSE,"FORECAST";#N/A,#N/A,FALSE,"ProvGraph";#N/A,#N/A,FALSE,"NEG PROV";#N/A,#N/A,FALSE,"PROVCOSTGRAPH";#N/A,#N/A,FALSE,"FittGraph";#N/A,#N/A,FALSE,"HireGraph"}</definedName>
    <definedName name="_OH1" localSheetId="8" hidden="1">{#N/A,#N/A,FALSE,"RESULTS";#N/A,#N/A,FALSE,"FORECAST";#N/A,#N/A,FALSE,"ProvGraph";#N/A,#N/A,FALSE,"NEG PROV";#N/A,#N/A,FALSE,"PROVCOSTGRAPH";#N/A,#N/A,FALSE,"FittGraph";#N/A,#N/A,FALSE,"HireGraph"}</definedName>
    <definedName name="_OH1" localSheetId="14" hidden="1">{#N/A,#N/A,FALSE,"RESULTS";#N/A,#N/A,FALSE,"FORECAST";#N/A,#N/A,FALSE,"ProvGraph";#N/A,#N/A,FALSE,"NEG PROV";#N/A,#N/A,FALSE,"PROVCOSTGRAPH";#N/A,#N/A,FALSE,"FittGraph";#N/A,#N/A,FALSE,"HireGraph"}</definedName>
    <definedName name="_OH1" localSheetId="17" hidden="1">{#N/A,#N/A,FALSE,"RESULTS";#N/A,#N/A,FALSE,"FORECAST";#N/A,#N/A,FALSE,"ProvGraph";#N/A,#N/A,FALSE,"NEG PROV";#N/A,#N/A,FALSE,"PROVCOSTGRAPH";#N/A,#N/A,FALSE,"FittGraph";#N/A,#N/A,FALSE,"HireGraph"}</definedName>
    <definedName name="_OH1" localSheetId="18" hidden="1">{#N/A,#N/A,FALSE,"RESULTS";#N/A,#N/A,FALSE,"FORECAST";#N/A,#N/A,FALSE,"ProvGraph";#N/A,#N/A,FALSE,"NEG PROV";#N/A,#N/A,FALSE,"PROVCOSTGRAPH";#N/A,#N/A,FALSE,"FittGraph";#N/A,#N/A,FALSE,"HireGraph"}</definedName>
    <definedName name="_OH1" localSheetId="11" hidden="1">{#N/A,#N/A,FALSE,"RESULTS";#N/A,#N/A,FALSE,"FORECAST";#N/A,#N/A,FALSE,"ProvGraph";#N/A,#N/A,FALSE,"NEG PROV";#N/A,#N/A,FALSE,"PROVCOSTGRAPH";#N/A,#N/A,FALSE,"FittGraph";#N/A,#N/A,FALSE,"HireGraph"}</definedName>
    <definedName name="_OH1" hidden="1">{#N/A,#N/A,FALSE,"RESULTS";#N/A,#N/A,FALSE,"FORECAST";#N/A,#N/A,FALSE,"ProvGraph";#N/A,#N/A,FALSE,"NEG PROV";#N/A,#N/A,FALSE,"PROVCOSTGRAPH";#N/A,#N/A,FALSE,"FittGraph";#N/A,#N/A,FALSE,"HireGraph"}</definedName>
    <definedName name="_OHO1" localSheetId="7" hidden="1">{#N/A,#N/A,FALSE,"RESULTS";#N/A,#N/A,FALSE,"FORECAST";#N/A,#N/A,FALSE,"ProvGraph";#N/A,#N/A,FALSE,"FittGraph";#N/A,#N/A,FALSE,"NEG PROV";#N/A,#N/A,FALSE,"PROVCOSTGRAPH";#N/A,#N/A,FALSE,"HireGraph"}</definedName>
    <definedName name="_OHO1" localSheetId="8" hidden="1">{#N/A,#N/A,FALSE,"RESULTS";#N/A,#N/A,FALSE,"FORECAST";#N/A,#N/A,FALSE,"ProvGraph";#N/A,#N/A,FALSE,"FittGraph";#N/A,#N/A,FALSE,"NEG PROV";#N/A,#N/A,FALSE,"PROVCOSTGRAPH";#N/A,#N/A,FALSE,"HireGraph"}</definedName>
    <definedName name="_OHO1" localSheetId="14" hidden="1">{#N/A,#N/A,FALSE,"RESULTS";#N/A,#N/A,FALSE,"FORECAST";#N/A,#N/A,FALSE,"ProvGraph";#N/A,#N/A,FALSE,"FittGraph";#N/A,#N/A,FALSE,"NEG PROV";#N/A,#N/A,FALSE,"PROVCOSTGRAPH";#N/A,#N/A,FALSE,"HireGraph"}</definedName>
    <definedName name="_OHO1" localSheetId="17" hidden="1">{#N/A,#N/A,FALSE,"RESULTS";#N/A,#N/A,FALSE,"FORECAST";#N/A,#N/A,FALSE,"ProvGraph";#N/A,#N/A,FALSE,"FittGraph";#N/A,#N/A,FALSE,"NEG PROV";#N/A,#N/A,FALSE,"PROVCOSTGRAPH";#N/A,#N/A,FALSE,"HireGraph"}</definedName>
    <definedName name="_OHO1" localSheetId="18" hidden="1">{#N/A,#N/A,FALSE,"RESULTS";#N/A,#N/A,FALSE,"FORECAST";#N/A,#N/A,FALSE,"ProvGraph";#N/A,#N/A,FALSE,"FittGraph";#N/A,#N/A,FALSE,"NEG PROV";#N/A,#N/A,FALSE,"PROVCOSTGRAPH";#N/A,#N/A,FALSE,"HireGraph"}</definedName>
    <definedName name="_OHO1" localSheetId="11" hidden="1">{#N/A,#N/A,FALSE,"RESULTS";#N/A,#N/A,FALSE,"FORECAST";#N/A,#N/A,FALSE,"ProvGraph";#N/A,#N/A,FALSE,"FittGraph";#N/A,#N/A,FALSE,"NEG PROV";#N/A,#N/A,FALSE,"PROVCOSTGRAPH";#N/A,#N/A,FALSE,"HireGraph"}</definedName>
    <definedName name="_OHO1" hidden="1">{#N/A,#N/A,FALSE,"RESULTS";#N/A,#N/A,FALSE,"FORECAST";#N/A,#N/A,FALSE,"ProvGraph";#N/A,#N/A,FALSE,"FittGraph";#N/A,#N/A,FALSE,"NEG PROV";#N/A,#N/A,FALSE,"PROVCOSTGRAPH";#N/A,#N/A,FALSE,"HireGraph"}</definedName>
    <definedName name="_OHO2" localSheetId="7" hidden="1">{#N/A,#N/A,FALSE,"RESULTS";#N/A,#N/A,FALSE,"FORECAST";#N/A,#N/A,FALSE,"ProvGraph";#N/A,#N/A,FALSE,"NEG PROV";#N/A,#N/A,FALSE,"PROVCOSTGRAPH";#N/A,#N/A,FALSE,"FittGraph";#N/A,#N/A,FALSE,"HireGraph"}</definedName>
    <definedName name="_OHO2" localSheetId="8" hidden="1">{#N/A,#N/A,FALSE,"RESULTS";#N/A,#N/A,FALSE,"FORECAST";#N/A,#N/A,FALSE,"ProvGraph";#N/A,#N/A,FALSE,"NEG PROV";#N/A,#N/A,FALSE,"PROVCOSTGRAPH";#N/A,#N/A,FALSE,"FittGraph";#N/A,#N/A,FALSE,"HireGraph"}</definedName>
    <definedName name="_OHO2" localSheetId="14" hidden="1">{#N/A,#N/A,FALSE,"RESULTS";#N/A,#N/A,FALSE,"FORECAST";#N/A,#N/A,FALSE,"ProvGraph";#N/A,#N/A,FALSE,"NEG PROV";#N/A,#N/A,FALSE,"PROVCOSTGRAPH";#N/A,#N/A,FALSE,"FittGraph";#N/A,#N/A,FALSE,"HireGraph"}</definedName>
    <definedName name="_OHO2" localSheetId="17" hidden="1">{#N/A,#N/A,FALSE,"RESULTS";#N/A,#N/A,FALSE,"FORECAST";#N/A,#N/A,FALSE,"ProvGraph";#N/A,#N/A,FALSE,"NEG PROV";#N/A,#N/A,FALSE,"PROVCOSTGRAPH";#N/A,#N/A,FALSE,"FittGraph";#N/A,#N/A,FALSE,"HireGraph"}</definedName>
    <definedName name="_OHO2" localSheetId="18" hidden="1">{#N/A,#N/A,FALSE,"RESULTS";#N/A,#N/A,FALSE,"FORECAST";#N/A,#N/A,FALSE,"ProvGraph";#N/A,#N/A,FALSE,"NEG PROV";#N/A,#N/A,FALSE,"PROVCOSTGRAPH";#N/A,#N/A,FALSE,"FittGraph";#N/A,#N/A,FALSE,"HireGraph"}</definedName>
    <definedName name="_OHO2" localSheetId="11" hidden="1">{#N/A,#N/A,FALSE,"RESULTS";#N/A,#N/A,FALSE,"FORECAST";#N/A,#N/A,FALSE,"ProvGraph";#N/A,#N/A,FALSE,"NEG PROV";#N/A,#N/A,FALSE,"PROVCOSTGRAPH";#N/A,#N/A,FALSE,"FittGraph";#N/A,#N/A,FALSE,"HireGraph"}</definedName>
    <definedName name="_OHO2" hidden="1">{#N/A,#N/A,FALSE,"RESULTS";#N/A,#N/A,FALSE,"FORECAST";#N/A,#N/A,FALSE,"ProvGraph";#N/A,#N/A,FALSE,"NEG PROV";#N/A,#N/A,FALSE,"PROVCOSTGRAPH";#N/A,#N/A,FALSE,"FittGraph";#N/A,#N/A,FALSE,"HireGraph"}</definedName>
    <definedName name="_Order1" hidden="1">255</definedName>
    <definedName name="_Order2" hidden="1">255</definedName>
    <definedName name="_Sort" localSheetId="6" hidden="1">#REF!</definedName>
    <definedName name="_Sort" localSheetId="2" hidden="1">#REF!</definedName>
    <definedName name="_Sort" localSheetId="7" hidden="1">#REF!</definedName>
    <definedName name="_Sort" localSheetId="8" hidden="1">#REF!</definedName>
    <definedName name="_Sort" localSheetId="14" hidden="1">#REF!</definedName>
    <definedName name="_Sort" localSheetId="17" hidden="1">#REF!</definedName>
    <definedName name="_Sort" localSheetId="18" hidden="1">#REF!</definedName>
    <definedName name="_Sort" localSheetId="13" hidden="1">#REF!</definedName>
    <definedName name="_Sort" localSheetId="11" hidden="1">#REF!</definedName>
    <definedName name="_Sort" hidden="1">#REF!</definedName>
    <definedName name="_Table1_In1" localSheetId="6" hidden="1">#REF!</definedName>
    <definedName name="_Table1_In1" localSheetId="2" hidden="1">#REF!</definedName>
    <definedName name="_Table1_In1" localSheetId="7" hidden="1">#REF!</definedName>
    <definedName name="_Table1_In1" localSheetId="8" hidden="1">#REF!</definedName>
    <definedName name="_Table1_In1" localSheetId="14" hidden="1">#REF!</definedName>
    <definedName name="_Table1_In1" localSheetId="17" hidden="1">#REF!</definedName>
    <definedName name="_Table1_In1" localSheetId="18" hidden="1">#REF!</definedName>
    <definedName name="_Table1_In1" localSheetId="13" hidden="1">#REF!</definedName>
    <definedName name="_Table1_In1" localSheetId="11" hidden="1">#REF!</definedName>
    <definedName name="_Table1_In1" hidden="1">#REF!</definedName>
    <definedName name="_Table1_Out" localSheetId="6" hidden="1">#REF!</definedName>
    <definedName name="_Table1_Out" localSheetId="2" hidden="1">#REF!</definedName>
    <definedName name="_Table1_Out" localSheetId="7" hidden="1">#REF!</definedName>
    <definedName name="_Table1_Out" localSheetId="8" hidden="1">#REF!</definedName>
    <definedName name="_Table1_Out" localSheetId="14" hidden="1">#REF!</definedName>
    <definedName name="_Table1_Out" localSheetId="17" hidden="1">#REF!</definedName>
    <definedName name="_Table1_Out" localSheetId="18" hidden="1">#REF!</definedName>
    <definedName name="_Table1_Out" localSheetId="13" hidden="1">#REF!</definedName>
    <definedName name="_Table1_Out" localSheetId="11" hidden="1">#REF!</definedName>
    <definedName name="_Table1_Out" hidden="1">#REF!</definedName>
    <definedName name="_VAL036601" localSheetId="6">'[5]DTSJV - Jan 13'!#REF!</definedName>
    <definedName name="_VAL036601" localSheetId="2">'[5]DTSJV - Jan 13'!#REF!</definedName>
    <definedName name="_VAL036601" localSheetId="7">'[5]DTSJV - Jan 13'!#REF!</definedName>
    <definedName name="_VAL036601" localSheetId="8">'[5]DTSJV - Jan 13'!#REF!</definedName>
    <definedName name="_VAL036601" localSheetId="14">'[5]DTSJV - Jan 13'!#REF!</definedName>
    <definedName name="_VAL036601" localSheetId="17">'[5]DTSJV - Jan 13'!#REF!</definedName>
    <definedName name="_VAL036601" localSheetId="18">'[5]DTSJV - Jan 13'!#REF!</definedName>
    <definedName name="_VAL036601" localSheetId="13">'[5]DTSJV - Jan 13'!#REF!</definedName>
    <definedName name="_VAL036601" localSheetId="11">'[5]DTSJV - Jan 13'!#REF!</definedName>
    <definedName name="_VAL036601">'[5]DTSJV - Jan 13'!#REF!</definedName>
    <definedName name="_VAL036876" localSheetId="6">'[5]DTSJV - Jan 13'!#REF!</definedName>
    <definedName name="_VAL036876" localSheetId="2">'[5]DTSJV - Jan 13'!#REF!</definedName>
    <definedName name="_VAL036876" localSheetId="7">'[5]DTSJV - Jan 13'!#REF!</definedName>
    <definedName name="_VAL036876" localSheetId="8">'[5]DTSJV - Jan 13'!#REF!</definedName>
    <definedName name="_VAL036876" localSheetId="14">'[5]DTSJV - Jan 13'!#REF!</definedName>
    <definedName name="_VAL036876" localSheetId="17">'[5]DTSJV - Jan 13'!#REF!</definedName>
    <definedName name="_VAL036876" localSheetId="18">'[5]DTSJV - Jan 13'!#REF!</definedName>
    <definedName name="_VAL036876" localSheetId="13">'[5]DTSJV - Jan 13'!#REF!</definedName>
    <definedName name="_VAL036876" localSheetId="11">'[5]DTSJV - Jan 13'!#REF!</definedName>
    <definedName name="_VAL036876">'[5]DTSJV - Jan 13'!#REF!</definedName>
    <definedName name="a" hidden="1">'[6]Guarantee Sched'!$AE$11:$AE$45</definedName>
    <definedName name="aa" localSheetId="7" hidden="1">{#N/A,#N/A,FALSE,"RESULTS";#N/A,#N/A,FALSE,"FORECAST";#N/A,#N/A,FALSE,"ProvGraph";#N/A,#N/A,FALSE,"NEG PROV";#N/A,#N/A,FALSE,"PROVCOSTGRAPH";#N/A,#N/A,FALSE,"FittGraph";#N/A,#N/A,FALSE,"HireGraph"}</definedName>
    <definedName name="aa" localSheetId="8" hidden="1">{#N/A,#N/A,FALSE,"RESULTS";#N/A,#N/A,FALSE,"FORECAST";#N/A,#N/A,FALSE,"ProvGraph";#N/A,#N/A,FALSE,"NEG PROV";#N/A,#N/A,FALSE,"PROVCOSTGRAPH";#N/A,#N/A,FALSE,"FittGraph";#N/A,#N/A,FALSE,"HireGraph"}</definedName>
    <definedName name="aa" localSheetId="14" hidden="1">{#N/A,#N/A,FALSE,"RESULTS";#N/A,#N/A,FALSE,"FORECAST";#N/A,#N/A,FALSE,"ProvGraph";#N/A,#N/A,FALSE,"NEG PROV";#N/A,#N/A,FALSE,"PROVCOSTGRAPH";#N/A,#N/A,FALSE,"FittGraph";#N/A,#N/A,FALSE,"HireGraph"}</definedName>
    <definedName name="aa" localSheetId="17" hidden="1">{#N/A,#N/A,FALSE,"RESULTS";#N/A,#N/A,FALSE,"FORECAST";#N/A,#N/A,FALSE,"ProvGraph";#N/A,#N/A,FALSE,"NEG PROV";#N/A,#N/A,FALSE,"PROVCOSTGRAPH";#N/A,#N/A,FALSE,"FittGraph";#N/A,#N/A,FALSE,"HireGraph"}</definedName>
    <definedName name="aa" localSheetId="18" hidden="1">{#N/A,#N/A,FALSE,"RESULTS";#N/A,#N/A,FALSE,"FORECAST";#N/A,#N/A,FALSE,"ProvGraph";#N/A,#N/A,FALSE,"NEG PROV";#N/A,#N/A,FALSE,"PROVCOSTGRAPH";#N/A,#N/A,FALSE,"FittGraph";#N/A,#N/A,FALSE,"HireGraph"}</definedName>
    <definedName name="aa" localSheetId="11" hidden="1">{#N/A,#N/A,FALSE,"RESULTS";#N/A,#N/A,FALSE,"FORECAST";#N/A,#N/A,FALSE,"ProvGraph";#N/A,#N/A,FALSE,"NEG PROV";#N/A,#N/A,FALSE,"PROVCOSTGRAPH";#N/A,#N/A,FALSE,"FittGraph";#N/A,#N/A,FALSE,"HireGraph"}</definedName>
    <definedName name="aa" hidden="1">{#N/A,#N/A,FALSE,"RESULTS";#N/A,#N/A,FALSE,"FORECAST";#N/A,#N/A,FALSE,"ProvGraph";#N/A,#N/A,FALSE,"NEG PROV";#N/A,#N/A,FALSE,"PROVCOSTGRAPH";#N/A,#N/A,FALSE,"FittGraph";#N/A,#N/A,FALSE,"HireGraph"}</definedName>
    <definedName name="abc" localSheetId="7" hidden="1">{#N/A,#N/A,FALSE,"RESULTS";#N/A,#N/A,FALSE,"FORECAST";#N/A,#N/A,FALSE,"ProvGraph";#N/A,#N/A,FALSE,"FittGraph";#N/A,#N/A,FALSE,"NEG PROV";#N/A,#N/A,FALSE,"PROVCOSTGRAPH";#N/A,#N/A,FALSE,"HireGraph"}</definedName>
    <definedName name="abc" localSheetId="8" hidden="1">{#N/A,#N/A,FALSE,"RESULTS";#N/A,#N/A,FALSE,"FORECAST";#N/A,#N/A,FALSE,"ProvGraph";#N/A,#N/A,FALSE,"FittGraph";#N/A,#N/A,FALSE,"NEG PROV";#N/A,#N/A,FALSE,"PROVCOSTGRAPH";#N/A,#N/A,FALSE,"HireGraph"}</definedName>
    <definedName name="abc" localSheetId="14" hidden="1">{#N/A,#N/A,FALSE,"RESULTS";#N/A,#N/A,FALSE,"FORECAST";#N/A,#N/A,FALSE,"ProvGraph";#N/A,#N/A,FALSE,"FittGraph";#N/A,#N/A,FALSE,"NEG PROV";#N/A,#N/A,FALSE,"PROVCOSTGRAPH";#N/A,#N/A,FALSE,"HireGraph"}</definedName>
    <definedName name="abc" localSheetId="17" hidden="1">{#N/A,#N/A,FALSE,"RESULTS";#N/A,#N/A,FALSE,"FORECAST";#N/A,#N/A,FALSE,"ProvGraph";#N/A,#N/A,FALSE,"FittGraph";#N/A,#N/A,FALSE,"NEG PROV";#N/A,#N/A,FALSE,"PROVCOSTGRAPH";#N/A,#N/A,FALSE,"HireGraph"}</definedName>
    <definedName name="abc" localSheetId="18" hidden="1">{#N/A,#N/A,FALSE,"RESULTS";#N/A,#N/A,FALSE,"FORECAST";#N/A,#N/A,FALSE,"ProvGraph";#N/A,#N/A,FALSE,"FittGraph";#N/A,#N/A,FALSE,"NEG PROV";#N/A,#N/A,FALSE,"PROVCOSTGRAPH";#N/A,#N/A,FALSE,"HireGraph"}</definedName>
    <definedName name="abc" localSheetId="11" hidden="1">{#N/A,#N/A,FALSE,"RESULTS";#N/A,#N/A,FALSE,"FORECAST";#N/A,#N/A,FALSE,"ProvGraph";#N/A,#N/A,FALSE,"FittGraph";#N/A,#N/A,FALSE,"NEG PROV";#N/A,#N/A,FALSE,"PROVCOSTGRAPH";#N/A,#N/A,FALSE,"HireGraph"}</definedName>
    <definedName name="abc" hidden="1">{#N/A,#N/A,FALSE,"RESULTS";#N/A,#N/A,FALSE,"FORECAST";#N/A,#N/A,FALSE,"ProvGraph";#N/A,#N/A,FALSE,"FittGraph";#N/A,#N/A,FALSE,"NEG PROV";#N/A,#N/A,FALSE,"PROVCOSTGRAPH";#N/A,#N/A,FALSE,"HireGraph"}</definedName>
    <definedName name="ACCGRPH2" localSheetId="7" hidden="1">{#N/A,#N/A,FALSE,"RESULTS";#N/A,#N/A,FALSE,"FORECAST";#N/A,#N/A,FALSE,"ProvGraph";#N/A,#N/A,FALSE,"FittGraph";#N/A,#N/A,FALSE,"NEG PROV";#N/A,#N/A,FALSE,"PROVCOSTGRAPH";#N/A,#N/A,FALSE,"HireGraph"}</definedName>
    <definedName name="ACCGRPH2" localSheetId="8" hidden="1">{#N/A,#N/A,FALSE,"RESULTS";#N/A,#N/A,FALSE,"FORECAST";#N/A,#N/A,FALSE,"ProvGraph";#N/A,#N/A,FALSE,"FittGraph";#N/A,#N/A,FALSE,"NEG PROV";#N/A,#N/A,FALSE,"PROVCOSTGRAPH";#N/A,#N/A,FALSE,"HireGraph"}</definedName>
    <definedName name="ACCGRPH2" localSheetId="14" hidden="1">{#N/A,#N/A,FALSE,"RESULTS";#N/A,#N/A,FALSE,"FORECAST";#N/A,#N/A,FALSE,"ProvGraph";#N/A,#N/A,FALSE,"FittGraph";#N/A,#N/A,FALSE,"NEG PROV";#N/A,#N/A,FALSE,"PROVCOSTGRAPH";#N/A,#N/A,FALSE,"HireGraph"}</definedName>
    <definedName name="ACCGRPH2" localSheetId="17" hidden="1">{#N/A,#N/A,FALSE,"RESULTS";#N/A,#N/A,FALSE,"FORECAST";#N/A,#N/A,FALSE,"ProvGraph";#N/A,#N/A,FALSE,"FittGraph";#N/A,#N/A,FALSE,"NEG PROV";#N/A,#N/A,FALSE,"PROVCOSTGRAPH";#N/A,#N/A,FALSE,"HireGraph"}</definedName>
    <definedName name="ACCGRPH2" localSheetId="18" hidden="1">{#N/A,#N/A,FALSE,"RESULTS";#N/A,#N/A,FALSE,"FORECAST";#N/A,#N/A,FALSE,"ProvGraph";#N/A,#N/A,FALSE,"FittGraph";#N/A,#N/A,FALSE,"NEG PROV";#N/A,#N/A,FALSE,"PROVCOSTGRAPH";#N/A,#N/A,FALSE,"HireGraph"}</definedName>
    <definedName name="ACCGRPH2" localSheetId="11" hidden="1">{#N/A,#N/A,FALSE,"RESULTS";#N/A,#N/A,FALSE,"FORECAST";#N/A,#N/A,FALSE,"ProvGraph";#N/A,#N/A,FALSE,"FittGraph";#N/A,#N/A,FALSE,"NEG PROV";#N/A,#N/A,FALSE,"PROVCOSTGRAPH";#N/A,#N/A,FALSE,"HireGraph"}</definedName>
    <definedName name="ACCGRPH2" hidden="1">{#N/A,#N/A,FALSE,"RESULTS";#N/A,#N/A,FALSE,"FORECAST";#N/A,#N/A,FALSE,"ProvGraph";#N/A,#N/A,FALSE,"FittGraph";#N/A,#N/A,FALSE,"NEG PROV";#N/A,#N/A,FALSE,"PROVCOSTGRAPH";#N/A,#N/A,FALSE,"HireGraph"}</definedName>
    <definedName name="Actuals">'[7]Import JDE Actuals'!$A$1:$C$403</definedName>
    <definedName name="ad" localSheetId="7" hidden="1">{#N/A,#N/A,FALSE,"RESULTS";#N/A,#N/A,FALSE,"FORECAST";#N/A,#N/A,FALSE,"ProvGraph";#N/A,#N/A,FALSE,"NEG PROV";#N/A,#N/A,FALSE,"PROVCOSTGRAPH";#N/A,#N/A,FALSE,"FittGraph";#N/A,#N/A,FALSE,"HireGraph"}</definedName>
    <definedName name="ad" localSheetId="8" hidden="1">{#N/A,#N/A,FALSE,"RESULTS";#N/A,#N/A,FALSE,"FORECAST";#N/A,#N/A,FALSE,"ProvGraph";#N/A,#N/A,FALSE,"NEG PROV";#N/A,#N/A,FALSE,"PROVCOSTGRAPH";#N/A,#N/A,FALSE,"FittGraph";#N/A,#N/A,FALSE,"HireGraph"}</definedName>
    <definedName name="ad" localSheetId="14" hidden="1">{#N/A,#N/A,FALSE,"RESULTS";#N/A,#N/A,FALSE,"FORECAST";#N/A,#N/A,FALSE,"ProvGraph";#N/A,#N/A,FALSE,"NEG PROV";#N/A,#N/A,FALSE,"PROVCOSTGRAPH";#N/A,#N/A,FALSE,"FittGraph";#N/A,#N/A,FALSE,"HireGraph"}</definedName>
    <definedName name="ad" localSheetId="17" hidden="1">{#N/A,#N/A,FALSE,"RESULTS";#N/A,#N/A,FALSE,"FORECAST";#N/A,#N/A,FALSE,"ProvGraph";#N/A,#N/A,FALSE,"NEG PROV";#N/A,#N/A,FALSE,"PROVCOSTGRAPH";#N/A,#N/A,FALSE,"FittGraph";#N/A,#N/A,FALSE,"HireGraph"}</definedName>
    <definedName name="ad" localSheetId="18" hidden="1">{#N/A,#N/A,FALSE,"RESULTS";#N/A,#N/A,FALSE,"FORECAST";#N/A,#N/A,FALSE,"ProvGraph";#N/A,#N/A,FALSE,"NEG PROV";#N/A,#N/A,FALSE,"PROVCOSTGRAPH";#N/A,#N/A,FALSE,"FittGraph";#N/A,#N/A,FALSE,"HireGraph"}</definedName>
    <definedName name="ad" localSheetId="11" hidden="1">{#N/A,#N/A,FALSE,"RESULTS";#N/A,#N/A,FALSE,"FORECAST";#N/A,#N/A,FALSE,"ProvGraph";#N/A,#N/A,FALSE,"NEG PROV";#N/A,#N/A,FALSE,"PROVCOSTGRAPH";#N/A,#N/A,FALSE,"FittGraph";#N/A,#N/A,FALSE,"HireGraph"}</definedName>
    <definedName name="ad" hidden="1">{#N/A,#N/A,FALSE,"RESULTS";#N/A,#N/A,FALSE,"FORECAST";#N/A,#N/A,FALSE,"ProvGraph";#N/A,#N/A,FALSE,"NEG PROV";#N/A,#N/A,FALSE,"PROVCOSTGRAPH";#N/A,#N/A,FALSE,"FittGraph";#N/A,#N/A,FALSE,"HireGraph"}</definedName>
    <definedName name="AerialMultiport">[8]Front_Cover!$F$38</definedName>
    <definedName name="Allwaste" localSheetId="6">#REF!</definedName>
    <definedName name="Allwaste" localSheetId="2">#REF!</definedName>
    <definedName name="Allwaste" localSheetId="7">#REF!</definedName>
    <definedName name="Allwaste" localSheetId="8">#REF!</definedName>
    <definedName name="Allwaste" localSheetId="14">#REF!</definedName>
    <definedName name="Allwaste" localSheetId="17">#REF!</definedName>
    <definedName name="Allwaste" localSheetId="18">#REF!</definedName>
    <definedName name="Allwaste" localSheetId="13">#REF!</definedName>
    <definedName name="Allwaste" localSheetId="11">#REF!</definedName>
    <definedName name="Allwaste">#REF!</definedName>
    <definedName name="AllwasteTotal" localSheetId="6">#REF!</definedName>
    <definedName name="AllwasteTotal" localSheetId="2">#REF!</definedName>
    <definedName name="AllwasteTotal" localSheetId="7">#REF!</definedName>
    <definedName name="AllwasteTotal" localSheetId="8">#REF!</definedName>
    <definedName name="AllwasteTotal" localSheetId="14">#REF!</definedName>
    <definedName name="AllwasteTotal" localSheetId="17">#REF!</definedName>
    <definedName name="AllwasteTotal" localSheetId="18">#REF!</definedName>
    <definedName name="AllwasteTotal" localSheetId="13">#REF!</definedName>
    <definedName name="AllwasteTotal" localSheetId="11">#REF!</definedName>
    <definedName name="AllwasteTotal">#REF!</definedName>
    <definedName name="anscount" hidden="1">1</definedName>
    <definedName name="b" hidden="1">'[1]Guarantee Sched'!$AF$11:$AF$45</definedName>
    <definedName name="BandAPivot">'[9]Bgt and Act Pivot'!$A$3</definedName>
    <definedName name="bbv" localSheetId="7" hidden="1">{"gyprint",#N/A,FALSE,"Goonyella";"rvprint",#N/A,FALSE,"Riverside"}</definedName>
    <definedName name="bbv" localSheetId="8" hidden="1">{"gyprint",#N/A,FALSE,"Goonyella";"rvprint",#N/A,FALSE,"Riverside"}</definedName>
    <definedName name="bbv" localSheetId="14" hidden="1">{"gyprint",#N/A,FALSE,"Goonyella";"rvprint",#N/A,FALSE,"Riverside"}</definedName>
    <definedName name="bbv" localSheetId="17" hidden="1">{"gyprint",#N/A,FALSE,"Goonyella";"rvprint",#N/A,FALSE,"Riverside"}</definedName>
    <definedName name="bbv" localSheetId="18" hidden="1">{"gyprint",#N/A,FALSE,"Goonyella";"rvprint",#N/A,FALSE,"Riverside"}</definedName>
    <definedName name="bbv" localSheetId="11" hidden="1">{"gyprint",#N/A,FALSE,"Goonyella";"rvprint",#N/A,FALSE,"Riverside"}</definedName>
    <definedName name="bbv" hidden="1">{"gyprint",#N/A,FALSE,"Goonyella";"rvprint",#N/A,FALSE,"Riverside"}</definedName>
    <definedName name="bline" localSheetId="6">#REF!</definedName>
    <definedName name="bline" localSheetId="2">#REF!</definedName>
    <definedName name="bline" localSheetId="7">#REF!</definedName>
    <definedName name="bline" localSheetId="8">#REF!</definedName>
    <definedName name="bline" localSheetId="14">#REF!</definedName>
    <definedName name="bline" localSheetId="17">#REF!</definedName>
    <definedName name="bline" localSheetId="18">#REF!</definedName>
    <definedName name="bline" localSheetId="13">#REF!</definedName>
    <definedName name="bline" localSheetId="11">#REF!</definedName>
    <definedName name="bline">#REF!</definedName>
    <definedName name="CATS.Project" hidden="1">"N3001U"</definedName>
    <definedName name="CLAIMDATA" localSheetId="6">#REF!</definedName>
    <definedName name="CLAIMDATA" localSheetId="2">#REF!</definedName>
    <definedName name="CLAIMDATA" localSheetId="7">#REF!</definedName>
    <definedName name="CLAIMDATA" localSheetId="8">#REF!</definedName>
    <definedName name="CLAIMDATA" localSheetId="14">#REF!</definedName>
    <definedName name="CLAIMDATA" localSheetId="17">#REF!</definedName>
    <definedName name="CLAIMDATA" localSheetId="18">#REF!</definedName>
    <definedName name="CLAIMDATA" localSheetId="13">#REF!</definedName>
    <definedName name="CLAIMDATA" localSheetId="11">#REF!</definedName>
    <definedName name="CLAIMDATA">#REF!</definedName>
    <definedName name="ClaimReport" localSheetId="6">#REF!</definedName>
    <definedName name="ClaimReport" localSheetId="2">#REF!</definedName>
    <definedName name="ClaimReport" localSheetId="7">#REF!</definedName>
    <definedName name="ClaimReport" localSheetId="8">#REF!</definedName>
    <definedName name="ClaimReport" localSheetId="14">#REF!</definedName>
    <definedName name="ClaimReport" localSheetId="17">#REF!</definedName>
    <definedName name="ClaimReport" localSheetId="18">#REF!</definedName>
    <definedName name="ClaimReport" localSheetId="13">#REF!</definedName>
    <definedName name="ClaimReport" localSheetId="11">#REF!</definedName>
    <definedName name="ClaimReport">#REF!</definedName>
    <definedName name="CLAIMS" localSheetId="6">#REF!</definedName>
    <definedName name="CLAIMS" localSheetId="2">#REF!</definedName>
    <definedName name="CLAIMS" localSheetId="7">#REF!</definedName>
    <definedName name="CLAIMS" localSheetId="8">#REF!</definedName>
    <definedName name="CLAIMS" localSheetId="14">#REF!</definedName>
    <definedName name="CLAIMS" localSheetId="17">#REF!</definedName>
    <definedName name="CLAIMS" localSheetId="18">#REF!</definedName>
    <definedName name="CLAIMS" localSheetId="13">#REF!</definedName>
    <definedName name="CLAIMS" localSheetId="11">#REF!</definedName>
    <definedName name="CLAIMS">#REF!</definedName>
    <definedName name="cline" localSheetId="6">#REF!</definedName>
    <definedName name="cline" localSheetId="2">#REF!</definedName>
    <definedName name="cline" localSheetId="7">#REF!</definedName>
    <definedName name="cline" localSheetId="8">#REF!</definedName>
    <definedName name="cline" localSheetId="14">#REF!</definedName>
    <definedName name="cline" localSheetId="17">#REF!</definedName>
    <definedName name="cline" localSheetId="18">#REF!</definedName>
    <definedName name="cline" localSheetId="13">#REF!</definedName>
    <definedName name="cline" localSheetId="11">#REF!</definedName>
    <definedName name="cline">#REF!</definedName>
    <definedName name="cock" localSheetId="7" hidden="1">{"gyprint",#N/A,FALSE,"Goonyella";"rvprint",#N/A,FALSE,"Riverside"}</definedName>
    <definedName name="cock" localSheetId="8" hidden="1">{"gyprint",#N/A,FALSE,"Goonyella";"rvprint",#N/A,FALSE,"Riverside"}</definedName>
    <definedName name="cock" localSheetId="14" hidden="1">{"gyprint",#N/A,FALSE,"Goonyella";"rvprint",#N/A,FALSE,"Riverside"}</definedName>
    <definedName name="cock" localSheetId="17" hidden="1">{"gyprint",#N/A,FALSE,"Goonyella";"rvprint",#N/A,FALSE,"Riverside"}</definedName>
    <definedName name="cock" localSheetId="18" hidden="1">{"gyprint",#N/A,FALSE,"Goonyella";"rvprint",#N/A,FALSE,"Riverside"}</definedName>
    <definedName name="cock" localSheetId="11" hidden="1">{"gyprint",#N/A,FALSE,"Goonyella";"rvprint",#N/A,FALSE,"Riverside"}</definedName>
    <definedName name="cock" hidden="1">{"gyprint",#N/A,FALSE,"Goonyella";"rvprint",#N/A,FALSE,"Riverside"}</definedName>
    <definedName name="cock1" localSheetId="7" hidden="1">{"gyprint",#N/A,FALSE,"Goonyella";"rvprint",#N/A,FALSE,"Riverside"}</definedName>
    <definedName name="cock1" localSheetId="8" hidden="1">{"gyprint",#N/A,FALSE,"Goonyella";"rvprint",#N/A,FALSE,"Riverside"}</definedName>
    <definedName name="cock1" localSheetId="14" hidden="1">{"gyprint",#N/A,FALSE,"Goonyella";"rvprint",#N/A,FALSE,"Riverside"}</definedName>
    <definedName name="cock1" localSheetId="17" hidden="1">{"gyprint",#N/A,FALSE,"Goonyella";"rvprint",#N/A,FALSE,"Riverside"}</definedName>
    <definedName name="cock1" localSheetId="18" hidden="1">{"gyprint",#N/A,FALSE,"Goonyella";"rvprint",#N/A,FALSE,"Riverside"}</definedName>
    <definedName name="cock1" localSheetId="11" hidden="1">{"gyprint",#N/A,FALSE,"Goonyella";"rvprint",#N/A,FALSE,"Riverside"}</definedName>
    <definedName name="cock1" hidden="1">{"gyprint",#N/A,FALSE,"Goonyella";"rvprint",#N/A,FALSE,"Riverside"}</definedName>
    <definedName name="cock2" localSheetId="7" hidden="1">{"gyprint",#N/A,FALSE,"Goonyella";"rvprint",#N/A,FALSE,"Riverside"}</definedName>
    <definedName name="cock2" localSheetId="8" hidden="1">{"gyprint",#N/A,FALSE,"Goonyella";"rvprint",#N/A,FALSE,"Riverside"}</definedName>
    <definedName name="cock2" localSheetId="14" hidden="1">{"gyprint",#N/A,FALSE,"Goonyella";"rvprint",#N/A,FALSE,"Riverside"}</definedName>
    <definedName name="cock2" localSheetId="17" hidden="1">{"gyprint",#N/A,FALSE,"Goonyella";"rvprint",#N/A,FALSE,"Riverside"}</definedName>
    <definedName name="cock2" localSheetId="18" hidden="1">{"gyprint",#N/A,FALSE,"Goonyella";"rvprint",#N/A,FALSE,"Riverside"}</definedName>
    <definedName name="cock2" localSheetId="11" hidden="1">{"gyprint",#N/A,FALSE,"Goonyella";"rvprint",#N/A,FALSE,"Riverside"}</definedName>
    <definedName name="cock2" hidden="1">{"gyprint",#N/A,FALSE,"Goonyella";"rvprint",#N/A,FALSE,"Riverside"}</definedName>
    <definedName name="cock3" localSheetId="7" hidden="1">{"gyprint",#N/A,FALSE,"Goonyella";"rvprint",#N/A,FALSE,"Riverside"}</definedName>
    <definedName name="cock3" localSheetId="8" hidden="1">{"gyprint",#N/A,FALSE,"Goonyella";"rvprint",#N/A,FALSE,"Riverside"}</definedName>
    <definedName name="cock3" localSheetId="14" hidden="1">{"gyprint",#N/A,FALSE,"Goonyella";"rvprint",#N/A,FALSE,"Riverside"}</definedName>
    <definedName name="cock3" localSheetId="17" hidden="1">{"gyprint",#N/A,FALSE,"Goonyella";"rvprint",#N/A,FALSE,"Riverside"}</definedName>
    <definedName name="cock3" localSheetId="18" hidden="1">{"gyprint",#N/A,FALSE,"Goonyella";"rvprint",#N/A,FALSE,"Riverside"}</definedName>
    <definedName name="cock3" localSheetId="11" hidden="1">{"gyprint",#N/A,FALSE,"Goonyella";"rvprint",#N/A,FALSE,"Riverside"}</definedName>
    <definedName name="cock3" hidden="1">{"gyprint",#N/A,FALSE,"Goonyella";"rvprint",#N/A,FALSE,"Riverside"}</definedName>
    <definedName name="Communications" localSheetId="6">#REF!</definedName>
    <definedName name="Communications" localSheetId="2">#REF!</definedName>
    <definedName name="Communications" localSheetId="7">#REF!</definedName>
    <definedName name="Communications" localSheetId="8">#REF!</definedName>
    <definedName name="Communications" localSheetId="14">#REF!</definedName>
    <definedName name="Communications" localSheetId="17">#REF!</definedName>
    <definedName name="Communications" localSheetId="18">#REF!</definedName>
    <definedName name="Communications" localSheetId="13">#REF!</definedName>
    <definedName name="Communications" localSheetId="11">#REF!</definedName>
    <definedName name="Communications">#REF!</definedName>
    <definedName name="ConstructionEV">'[9]Construction EV'!$A$1:$C$191</definedName>
    <definedName name="CostClear" localSheetId="6">#REF!</definedName>
    <definedName name="CostClear" localSheetId="2">#REF!</definedName>
    <definedName name="CostClear" localSheetId="7">#REF!</definedName>
    <definedName name="CostClear" localSheetId="8">#REF!</definedName>
    <definedName name="CostClear" localSheetId="14">#REF!</definedName>
    <definedName name="CostClear" localSheetId="17">#REF!</definedName>
    <definedName name="CostClear" localSheetId="18">#REF!</definedName>
    <definedName name="CostClear" localSheetId="13">#REF!</definedName>
    <definedName name="CostClear" localSheetId="11">#REF!</definedName>
    <definedName name="CostClear">#REF!</definedName>
    <definedName name="CostRev" localSheetId="6">#REF!</definedName>
    <definedName name="CostRev" localSheetId="2">#REF!</definedName>
    <definedName name="CostRev" localSheetId="7">#REF!</definedName>
    <definedName name="CostRev" localSheetId="8">#REF!</definedName>
    <definedName name="CostRev" localSheetId="14">#REF!</definedName>
    <definedName name="CostRev" localSheetId="17">#REF!</definedName>
    <definedName name="CostRev" localSheetId="18">#REF!</definedName>
    <definedName name="CostRev" localSheetId="13">#REF!</definedName>
    <definedName name="CostRev" localSheetId="11">#REF!</definedName>
    <definedName name="CostRev">#REF!</definedName>
    <definedName name="CostRevData" localSheetId="6">#REF!</definedName>
    <definedName name="CostRevData" localSheetId="2">#REF!</definedName>
    <definedName name="CostRevData" localSheetId="7">#REF!</definedName>
    <definedName name="CostRevData" localSheetId="8">#REF!</definedName>
    <definedName name="CostRevData" localSheetId="14">#REF!</definedName>
    <definedName name="CostRevData" localSheetId="17">#REF!</definedName>
    <definedName name="CostRevData" localSheetId="18">#REF!</definedName>
    <definedName name="CostRevData" localSheetId="13">#REF!</definedName>
    <definedName name="CostRevData" localSheetId="11">#REF!</definedName>
    <definedName name="CostRevData">#REF!</definedName>
    <definedName name="d" hidden="1">'[6]Guarantee Sched'!$AG$11:$AG$45</definedName>
    <definedName name="da" localSheetId="7" hidden="1">{#N/A,#N/A,FALSE,"RESULTS";#N/A,#N/A,FALSE,"FORECAST";#N/A,#N/A,FALSE,"ProvGraph";#N/A,#N/A,FALSE,"FittGraph";#N/A,#N/A,FALSE,"NEG PROV";#N/A,#N/A,FALSE,"PROVCOSTGRAPH";#N/A,#N/A,FALSE,"HireGraph"}</definedName>
    <definedName name="da" localSheetId="8" hidden="1">{#N/A,#N/A,FALSE,"RESULTS";#N/A,#N/A,FALSE,"FORECAST";#N/A,#N/A,FALSE,"ProvGraph";#N/A,#N/A,FALSE,"FittGraph";#N/A,#N/A,FALSE,"NEG PROV";#N/A,#N/A,FALSE,"PROVCOSTGRAPH";#N/A,#N/A,FALSE,"HireGraph"}</definedName>
    <definedName name="da" localSheetId="14" hidden="1">{#N/A,#N/A,FALSE,"RESULTS";#N/A,#N/A,FALSE,"FORECAST";#N/A,#N/A,FALSE,"ProvGraph";#N/A,#N/A,FALSE,"FittGraph";#N/A,#N/A,FALSE,"NEG PROV";#N/A,#N/A,FALSE,"PROVCOSTGRAPH";#N/A,#N/A,FALSE,"HireGraph"}</definedName>
    <definedName name="da" localSheetId="17" hidden="1">{#N/A,#N/A,FALSE,"RESULTS";#N/A,#N/A,FALSE,"FORECAST";#N/A,#N/A,FALSE,"ProvGraph";#N/A,#N/A,FALSE,"FittGraph";#N/A,#N/A,FALSE,"NEG PROV";#N/A,#N/A,FALSE,"PROVCOSTGRAPH";#N/A,#N/A,FALSE,"HireGraph"}</definedName>
    <definedName name="da" localSheetId="18" hidden="1">{#N/A,#N/A,FALSE,"RESULTS";#N/A,#N/A,FALSE,"FORECAST";#N/A,#N/A,FALSE,"ProvGraph";#N/A,#N/A,FALSE,"FittGraph";#N/A,#N/A,FALSE,"NEG PROV";#N/A,#N/A,FALSE,"PROVCOSTGRAPH";#N/A,#N/A,FALSE,"HireGraph"}</definedName>
    <definedName name="da" localSheetId="11" hidden="1">{#N/A,#N/A,FALSE,"RESULTS";#N/A,#N/A,FALSE,"FORECAST";#N/A,#N/A,FALSE,"ProvGraph";#N/A,#N/A,FALSE,"FittGraph";#N/A,#N/A,FALSE,"NEG PROV";#N/A,#N/A,FALSE,"PROVCOSTGRAPH";#N/A,#N/A,FALSE,"HireGraph"}</definedName>
    <definedName name="da" hidden="1">{#N/A,#N/A,FALSE,"RESULTS";#N/A,#N/A,FALSE,"FORECAST";#N/A,#N/A,FALSE,"ProvGraph";#N/A,#N/A,FALSE,"FittGraph";#N/A,#N/A,FALSE,"NEG PROV";#N/A,#N/A,FALSE,"PROVCOSTGRAPH";#N/A,#N/A,FALSE,"HireGraph"}</definedName>
    <definedName name="_xlnm.Database" localSheetId="6">#REF!</definedName>
    <definedName name="_xlnm.Database" localSheetId="2">#REF!</definedName>
    <definedName name="_xlnm.Database" localSheetId="7">#REF!</definedName>
    <definedName name="_xlnm.Database" localSheetId="8">#REF!</definedName>
    <definedName name="_xlnm.Database" localSheetId="14">#REF!</definedName>
    <definedName name="_xlnm.Database" localSheetId="17">#REF!</definedName>
    <definedName name="_xlnm.Database" localSheetId="18">#REF!</definedName>
    <definedName name="_xlnm.Database" localSheetId="13">#REF!</definedName>
    <definedName name="_xlnm.Database" localSheetId="11">#REF!</definedName>
    <definedName name="_xlnm.Database">#REF!</definedName>
    <definedName name="Date">[10]Macros!$B$1</definedName>
    <definedName name="ddd" localSheetId="7" hidden="1">{"gyprint",#N/A,FALSE,"Goonyella";"rvprint",#N/A,FALSE,"Riverside"}</definedName>
    <definedName name="ddd" localSheetId="8" hidden="1">{"gyprint",#N/A,FALSE,"Goonyella";"rvprint",#N/A,FALSE,"Riverside"}</definedName>
    <definedName name="ddd" localSheetId="14" hidden="1">{"gyprint",#N/A,FALSE,"Goonyella";"rvprint",#N/A,FALSE,"Riverside"}</definedName>
    <definedName name="ddd" localSheetId="17" hidden="1">{"gyprint",#N/A,FALSE,"Goonyella";"rvprint",#N/A,FALSE,"Riverside"}</definedName>
    <definedName name="ddd" localSheetId="18" hidden="1">{"gyprint",#N/A,FALSE,"Goonyella";"rvprint",#N/A,FALSE,"Riverside"}</definedName>
    <definedName name="ddd" localSheetId="11" hidden="1">{"gyprint",#N/A,FALSE,"Goonyella";"rvprint",#N/A,FALSE,"Riverside"}</definedName>
    <definedName name="ddd" hidden="1">{"gyprint",#N/A,FALSE,"Goonyella";"rvprint",#N/A,FALSE,"Riverside"}</definedName>
    <definedName name="DesignEV">'[9]Design EV'!$A$1:$C$224</definedName>
    <definedName name="Download1" localSheetId="6">#REF!</definedName>
    <definedName name="Download1" localSheetId="2">#REF!</definedName>
    <definedName name="Download1" localSheetId="7">#REF!</definedName>
    <definedName name="Download1" localSheetId="8">#REF!</definedName>
    <definedName name="Download1" localSheetId="14">#REF!</definedName>
    <definedName name="Download1" localSheetId="17">#REF!</definedName>
    <definedName name="Download1" localSheetId="18">#REF!</definedName>
    <definedName name="Download1" localSheetId="13">#REF!</definedName>
    <definedName name="Download1" localSheetId="11">#REF!</definedName>
    <definedName name="Download1">#REF!</definedName>
    <definedName name="Download2" localSheetId="6">#REF!</definedName>
    <definedName name="Download2" localSheetId="2">#REF!</definedName>
    <definedName name="Download2" localSheetId="7">#REF!</definedName>
    <definedName name="Download2" localSheetId="8">#REF!</definedName>
    <definedName name="Download2" localSheetId="14">#REF!</definedName>
    <definedName name="Download2" localSheetId="17">#REF!</definedName>
    <definedName name="Download2" localSheetId="18">#REF!</definedName>
    <definedName name="Download2" localSheetId="13">#REF!</definedName>
    <definedName name="Download2" localSheetId="11">#REF!</definedName>
    <definedName name="Download2">#REF!</definedName>
    <definedName name="e" hidden="1">'[6]Guarantee Sched'!$AH$11:$AH$45</definedName>
    <definedName name="Elements">'[11]Staff Summary'!$B$5:$B$14</definedName>
    <definedName name="EVData">'[7]EV Import'!$B$3:$K$305</definedName>
    <definedName name="f" hidden="1">'[6]Guarantee Sched'!$AI$11:$AI$45</definedName>
    <definedName name="FcastThisYear" localSheetId="6">#REF!</definedName>
    <definedName name="FcastThisYear" localSheetId="2">#REF!</definedName>
    <definedName name="FcastThisYear" localSheetId="7">#REF!</definedName>
    <definedName name="FcastThisYear" localSheetId="8">#REF!</definedName>
    <definedName name="FcastThisYear" localSheetId="14">#REF!</definedName>
    <definedName name="FcastThisYear" localSheetId="17">#REF!</definedName>
    <definedName name="FcastThisYear" localSheetId="18">#REF!</definedName>
    <definedName name="FcastThisYear" localSheetId="13">#REF!</definedName>
    <definedName name="FcastThisYear" localSheetId="11">#REF!</definedName>
    <definedName name="FcastThisYear">#REF!</definedName>
    <definedName name="FcastThisYearLM" localSheetId="6">#REF!</definedName>
    <definedName name="FcastThisYearLM" localSheetId="2">#REF!</definedName>
    <definedName name="FcastThisYearLM" localSheetId="7">#REF!</definedName>
    <definedName name="FcastThisYearLM" localSheetId="8">#REF!</definedName>
    <definedName name="FcastThisYearLM" localSheetId="14">#REF!</definedName>
    <definedName name="FcastThisYearLM" localSheetId="17">#REF!</definedName>
    <definedName name="FcastThisYearLM" localSheetId="18">#REF!</definedName>
    <definedName name="FcastThisYearLM" localSheetId="13">#REF!</definedName>
    <definedName name="FcastThisYearLM" localSheetId="11">#REF!</definedName>
    <definedName name="FcastThisYearLM">#REF!</definedName>
    <definedName name="ff" localSheetId="7" hidden="1">{"gyprint",#N/A,FALSE,"Goonyella";"rvprint",#N/A,FALSE,"Riverside"}</definedName>
    <definedName name="ff" localSheetId="8" hidden="1">{"gyprint",#N/A,FALSE,"Goonyella";"rvprint",#N/A,FALSE,"Riverside"}</definedName>
    <definedName name="ff" localSheetId="14" hidden="1">{"gyprint",#N/A,FALSE,"Goonyella";"rvprint",#N/A,FALSE,"Riverside"}</definedName>
    <definedName name="ff" localSheetId="17" hidden="1">{"gyprint",#N/A,FALSE,"Goonyella";"rvprint",#N/A,FALSE,"Riverside"}</definedName>
    <definedName name="ff" localSheetId="18" hidden="1">{"gyprint",#N/A,FALSE,"Goonyella";"rvprint",#N/A,FALSE,"Riverside"}</definedName>
    <definedName name="ff" localSheetId="11" hidden="1">{"gyprint",#N/A,FALSE,"Goonyella";"rvprint",#N/A,FALSE,"Riverside"}</definedName>
    <definedName name="ff" hidden="1">{"gyprint",#N/A,FALSE,"Goonyella";"rvprint",#N/A,FALSE,"Riverside"}</definedName>
    <definedName name="fff" localSheetId="7" hidden="1">{"gyprint",#N/A,FALSE,"Goonyella";"rvprint",#N/A,FALSE,"Riverside"}</definedName>
    <definedName name="fff" localSheetId="8" hidden="1">{"gyprint",#N/A,FALSE,"Goonyella";"rvprint",#N/A,FALSE,"Riverside"}</definedName>
    <definedName name="fff" localSheetId="14" hidden="1">{"gyprint",#N/A,FALSE,"Goonyella";"rvprint",#N/A,FALSE,"Riverside"}</definedName>
    <definedName name="fff" localSheetId="17" hidden="1">{"gyprint",#N/A,FALSE,"Goonyella";"rvprint",#N/A,FALSE,"Riverside"}</definedName>
    <definedName name="fff" localSheetId="18" hidden="1">{"gyprint",#N/A,FALSE,"Goonyella";"rvprint",#N/A,FALSE,"Riverside"}</definedName>
    <definedName name="fff" localSheetId="11" hidden="1">{"gyprint",#N/A,FALSE,"Goonyella";"rvprint",#N/A,FALSE,"Riverside"}</definedName>
    <definedName name="fff" hidden="1">{"gyprint",#N/A,FALSE,"Goonyella";"rvprint",#N/A,FALSE,"Riverside"}</definedName>
    <definedName name="ffff" localSheetId="7" hidden="1">{"gyprint",#N/A,FALSE,"Goonyella";"rvprint",#N/A,FALSE,"Riverside"}</definedName>
    <definedName name="ffff" localSheetId="8" hidden="1">{"gyprint",#N/A,FALSE,"Goonyella";"rvprint",#N/A,FALSE,"Riverside"}</definedName>
    <definedName name="ffff" localSheetId="14" hidden="1">{"gyprint",#N/A,FALSE,"Goonyella";"rvprint",#N/A,FALSE,"Riverside"}</definedName>
    <definedName name="ffff" localSheetId="17" hidden="1">{"gyprint",#N/A,FALSE,"Goonyella";"rvprint",#N/A,FALSE,"Riverside"}</definedName>
    <definedName name="ffff" localSheetId="18" hidden="1">{"gyprint",#N/A,FALSE,"Goonyella";"rvprint",#N/A,FALSE,"Riverside"}</definedName>
    <definedName name="ffff" localSheetId="11" hidden="1">{"gyprint",#N/A,FALSE,"Goonyella";"rvprint",#N/A,FALSE,"Riverside"}</definedName>
    <definedName name="ffff" hidden="1">{"gyprint",#N/A,FALSE,"Goonyella";"rvprint",#N/A,FALSE,"Riverside"}</definedName>
    <definedName name="fffff" localSheetId="7" hidden="1">{"gyprint",#N/A,FALSE,"Goonyella";"rvprint",#N/A,FALSE,"Riverside"}</definedName>
    <definedName name="fffff" localSheetId="8" hidden="1">{"gyprint",#N/A,FALSE,"Goonyella";"rvprint",#N/A,FALSE,"Riverside"}</definedName>
    <definedName name="fffff" localSheetId="14" hidden="1">{"gyprint",#N/A,FALSE,"Goonyella";"rvprint",#N/A,FALSE,"Riverside"}</definedName>
    <definedName name="fffff" localSheetId="17" hidden="1">{"gyprint",#N/A,FALSE,"Goonyella";"rvprint",#N/A,FALSE,"Riverside"}</definedName>
    <definedName name="fffff" localSheetId="18" hidden="1">{"gyprint",#N/A,FALSE,"Goonyella";"rvprint",#N/A,FALSE,"Riverside"}</definedName>
    <definedName name="fffff" localSheetId="11" hidden="1">{"gyprint",#N/A,FALSE,"Goonyella";"rvprint",#N/A,FALSE,"Riverside"}</definedName>
    <definedName name="fffff" hidden="1">{"gyprint",#N/A,FALSE,"Goonyella";"rvprint",#N/A,FALSE,"Riverside"}</definedName>
    <definedName name="fffffff" localSheetId="7" hidden="1">{"gyprint",#N/A,FALSE,"Goonyella";"rvprint",#N/A,FALSE,"Riverside"}</definedName>
    <definedName name="fffffff" localSheetId="8" hidden="1">{"gyprint",#N/A,FALSE,"Goonyella";"rvprint",#N/A,FALSE,"Riverside"}</definedName>
    <definedName name="fffffff" localSheetId="14" hidden="1">{"gyprint",#N/A,FALSE,"Goonyella";"rvprint",#N/A,FALSE,"Riverside"}</definedName>
    <definedName name="fffffff" localSheetId="17" hidden="1">{"gyprint",#N/A,FALSE,"Goonyella";"rvprint",#N/A,FALSE,"Riverside"}</definedName>
    <definedName name="fffffff" localSheetId="18" hidden="1">{"gyprint",#N/A,FALSE,"Goonyella";"rvprint",#N/A,FALSE,"Riverside"}</definedName>
    <definedName name="fffffff" localSheetId="11" hidden="1">{"gyprint",#N/A,FALSE,"Goonyella";"rvprint",#N/A,FALSE,"Riverside"}</definedName>
    <definedName name="fffffff" hidden="1">{"gyprint",#N/A,FALSE,"Goonyella";"rvprint",#N/A,FALSE,"Riverside"}</definedName>
    <definedName name="ffffffff" localSheetId="7" hidden="1">{"gyprint",#N/A,FALSE,"Goonyella";"rvprint",#N/A,FALSE,"Riverside"}</definedName>
    <definedName name="ffffffff" localSheetId="8" hidden="1">{"gyprint",#N/A,FALSE,"Goonyella";"rvprint",#N/A,FALSE,"Riverside"}</definedName>
    <definedName name="ffffffff" localSheetId="14" hidden="1">{"gyprint",#N/A,FALSE,"Goonyella";"rvprint",#N/A,FALSE,"Riverside"}</definedName>
    <definedName name="ffffffff" localSheetId="17" hidden="1">{"gyprint",#N/A,FALSE,"Goonyella";"rvprint",#N/A,FALSE,"Riverside"}</definedName>
    <definedName name="ffffffff" localSheetId="18" hidden="1">{"gyprint",#N/A,FALSE,"Goonyella";"rvprint",#N/A,FALSE,"Riverside"}</definedName>
    <definedName name="ffffffff" localSheetId="11" hidden="1">{"gyprint",#N/A,FALSE,"Goonyella";"rvprint",#N/A,FALSE,"Riverside"}</definedName>
    <definedName name="ffffffff" hidden="1">{"gyprint",#N/A,FALSE,"Goonyella";"rvprint",#N/A,FALSE,"Riverside"}</definedName>
    <definedName name="fgg" localSheetId="7" hidden="1">{"gyprint",#N/A,FALSE,"Goonyella";"rvprint",#N/A,FALSE,"Riverside"}</definedName>
    <definedName name="fgg" localSheetId="8" hidden="1">{"gyprint",#N/A,FALSE,"Goonyella";"rvprint",#N/A,FALSE,"Riverside"}</definedName>
    <definedName name="fgg" localSheetId="14" hidden="1">{"gyprint",#N/A,FALSE,"Goonyella";"rvprint",#N/A,FALSE,"Riverside"}</definedName>
    <definedName name="fgg" localSheetId="17" hidden="1">{"gyprint",#N/A,FALSE,"Goonyella";"rvprint",#N/A,FALSE,"Riverside"}</definedName>
    <definedName name="fgg" localSheetId="18" hidden="1">{"gyprint",#N/A,FALSE,"Goonyella";"rvprint",#N/A,FALSE,"Riverside"}</definedName>
    <definedName name="fgg" localSheetId="11" hidden="1">{"gyprint",#N/A,FALSE,"Goonyella";"rvprint",#N/A,FALSE,"Riverside"}</definedName>
    <definedName name="fgg" hidden="1">{"gyprint",#N/A,FALSE,"Goonyella";"rvprint",#N/A,FALSE,"Riverside"}</definedName>
    <definedName name="FlexDecData">'[10]Flex-Dec'!$B$10:$BA$211</definedName>
    <definedName name="FlexiRef" localSheetId="6">[10]Macros!#REF!</definedName>
    <definedName name="FlexiRef" localSheetId="2">[10]Macros!#REF!</definedName>
    <definedName name="FlexiRef" localSheetId="7">[10]Macros!#REF!</definedName>
    <definedName name="FlexiRef" localSheetId="8">[10]Macros!#REF!</definedName>
    <definedName name="FlexiRef" localSheetId="14">[10]Macros!#REF!</definedName>
    <definedName name="FlexiRef" localSheetId="17">[10]Macros!#REF!</definedName>
    <definedName name="FlexiRef" localSheetId="18">[10]Macros!#REF!</definedName>
    <definedName name="FlexiRef" localSheetId="13">[10]Macros!#REF!</definedName>
    <definedName name="FlexiRef" localSheetId="11">[10]Macros!#REF!</definedName>
    <definedName name="FlexiRef">[10]Macros!#REF!</definedName>
    <definedName name="FlexiSheets" localSheetId="6">[10]Macros!#REF!</definedName>
    <definedName name="FlexiSheets" localSheetId="2">[10]Macros!#REF!</definedName>
    <definedName name="FlexiSheets" localSheetId="7">[10]Macros!#REF!</definedName>
    <definedName name="FlexiSheets" localSheetId="8">[10]Macros!#REF!</definedName>
    <definedName name="FlexiSheets" localSheetId="14">[10]Macros!#REF!</definedName>
    <definedName name="FlexiSheets" localSheetId="17">[10]Macros!#REF!</definedName>
    <definedName name="FlexiSheets" localSheetId="18">[10]Macros!#REF!</definedName>
    <definedName name="FlexiSheets" localSheetId="13">[10]Macros!#REF!</definedName>
    <definedName name="FlexiSheets" localSheetId="11">[10]Macros!#REF!</definedName>
    <definedName name="FlexiSheets">[10]Macros!#REF!</definedName>
    <definedName name="FSAMDiary">'[7]Import Priced FSAM Diary'!$A$1:$E$120</definedName>
    <definedName name="FSAMDiaryQtyPivot">'[9]Import FSAM Diary Quants'!$A$3</definedName>
    <definedName name="g" hidden="1">'[6]Guarantee Sched'!$AJ$11:$AJ$45</definedName>
    <definedName name="GarrettsNorth" localSheetId="6">#REF!</definedName>
    <definedName name="GarrettsNorth" localSheetId="2">#REF!</definedName>
    <definedName name="GarrettsNorth" localSheetId="7">#REF!</definedName>
    <definedName name="GarrettsNorth" localSheetId="8">#REF!</definedName>
    <definedName name="GarrettsNorth" localSheetId="14">#REF!</definedName>
    <definedName name="GarrettsNorth" localSheetId="17">#REF!</definedName>
    <definedName name="GarrettsNorth" localSheetId="18">#REF!</definedName>
    <definedName name="GarrettsNorth" localSheetId="13">#REF!</definedName>
    <definedName name="GarrettsNorth" localSheetId="11">#REF!</definedName>
    <definedName name="GarrettsNorth">#REF!</definedName>
    <definedName name="GarrettsSouth" localSheetId="6">#REF!</definedName>
    <definedName name="GarrettsSouth" localSheetId="2">#REF!</definedName>
    <definedName name="GarrettsSouth" localSheetId="7">#REF!</definedName>
    <definedName name="GarrettsSouth" localSheetId="8">#REF!</definedName>
    <definedName name="GarrettsSouth" localSheetId="14">#REF!</definedName>
    <definedName name="GarrettsSouth" localSheetId="17">#REF!</definedName>
    <definedName name="GarrettsSouth" localSheetId="18">#REF!</definedName>
    <definedName name="GarrettsSouth" localSheetId="13">#REF!</definedName>
    <definedName name="GarrettsSouth" localSheetId="11">#REF!</definedName>
    <definedName name="GarrettsSouth">#REF!</definedName>
    <definedName name="ggggggggg" localSheetId="7" hidden="1">{"gyprint",#N/A,FALSE,"Goonyella";"rvprint",#N/A,FALSE,"Riverside"}</definedName>
    <definedName name="ggggggggg" localSheetId="8" hidden="1">{"gyprint",#N/A,FALSE,"Goonyella";"rvprint",#N/A,FALSE,"Riverside"}</definedName>
    <definedName name="ggggggggg" localSheetId="14" hidden="1">{"gyprint",#N/A,FALSE,"Goonyella";"rvprint",#N/A,FALSE,"Riverside"}</definedName>
    <definedName name="ggggggggg" localSheetId="17" hidden="1">{"gyprint",#N/A,FALSE,"Goonyella";"rvprint",#N/A,FALSE,"Riverside"}</definedName>
    <definedName name="ggggggggg" localSheetId="18" hidden="1">{"gyprint",#N/A,FALSE,"Goonyella";"rvprint",#N/A,FALSE,"Riverside"}</definedName>
    <definedName name="ggggggggg" localSheetId="11" hidden="1">{"gyprint",#N/A,FALSE,"Goonyella";"rvprint",#N/A,FALSE,"Riverside"}</definedName>
    <definedName name="ggggggggg" hidden="1">{"gyprint",#N/A,FALSE,"Goonyella";"rvprint",#N/A,FALSE,"Riverside"}</definedName>
    <definedName name="gggggggggggggg" localSheetId="7" hidden="1">{"gyprint",#N/A,FALSE,"Goonyella";"rvprint",#N/A,FALSE,"Riverside"}</definedName>
    <definedName name="gggggggggggggg" localSheetId="8" hidden="1">{"gyprint",#N/A,FALSE,"Goonyella";"rvprint",#N/A,FALSE,"Riverside"}</definedName>
    <definedName name="gggggggggggggg" localSheetId="14" hidden="1">{"gyprint",#N/A,FALSE,"Goonyella";"rvprint",#N/A,FALSE,"Riverside"}</definedName>
    <definedName name="gggggggggggggg" localSheetId="17" hidden="1">{"gyprint",#N/A,FALSE,"Goonyella";"rvprint",#N/A,FALSE,"Riverside"}</definedName>
    <definedName name="gggggggggggggg" localSheetId="18" hidden="1">{"gyprint",#N/A,FALSE,"Goonyella";"rvprint",#N/A,FALSE,"Riverside"}</definedName>
    <definedName name="gggggggggggggg" localSheetId="11" hidden="1">{"gyprint",#N/A,FALSE,"Goonyella";"rvprint",#N/A,FALSE,"Riverside"}</definedName>
    <definedName name="gggggggggggggg" hidden="1">{"gyprint",#N/A,FALSE,"Goonyella";"rvprint",#N/A,FALSE,"Riverside"}</definedName>
    <definedName name="h" hidden="1">'[6]Guarantee Sched'!$AD$11:$AD$46</definedName>
    <definedName name="Haul_Type">[8]Front_Cover!$S$3:$S$4</definedName>
    <definedName name="hhh" localSheetId="7" hidden="1">{"gyprint",#N/A,FALSE,"Goonyella";"rvprint",#N/A,FALSE,"Riverside"}</definedName>
    <definedName name="hhh" localSheetId="8" hidden="1">{"gyprint",#N/A,FALSE,"Goonyella";"rvprint",#N/A,FALSE,"Riverside"}</definedName>
    <definedName name="hhh" localSheetId="14" hidden="1">{"gyprint",#N/A,FALSE,"Goonyella";"rvprint",#N/A,FALSE,"Riverside"}</definedName>
    <definedName name="hhh" localSheetId="17" hidden="1">{"gyprint",#N/A,FALSE,"Goonyella";"rvprint",#N/A,FALSE,"Riverside"}</definedName>
    <definedName name="hhh" localSheetId="18" hidden="1">{"gyprint",#N/A,FALSE,"Goonyella";"rvprint",#N/A,FALSE,"Riverside"}</definedName>
    <definedName name="hhh" localSheetId="11" hidden="1">{"gyprint",#N/A,FALSE,"Goonyella";"rvprint",#N/A,FALSE,"Riverside"}</definedName>
    <definedName name="hhh" hidden="1">{"gyprint",#N/A,FALSE,"Goonyella";"rvprint",#N/A,FALSE,"Riverside"}</definedName>
    <definedName name="hhhhh" localSheetId="7" hidden="1">{"gyprint",#N/A,FALSE,"Goonyella";"rvprint",#N/A,FALSE,"Riverside"}</definedName>
    <definedName name="hhhhh" localSheetId="8" hidden="1">{"gyprint",#N/A,FALSE,"Goonyella";"rvprint",#N/A,FALSE,"Riverside"}</definedName>
    <definedName name="hhhhh" localSheetId="14" hidden="1">{"gyprint",#N/A,FALSE,"Goonyella";"rvprint",#N/A,FALSE,"Riverside"}</definedName>
    <definedName name="hhhhh" localSheetId="17" hidden="1">{"gyprint",#N/A,FALSE,"Goonyella";"rvprint",#N/A,FALSE,"Riverside"}</definedName>
    <definedName name="hhhhh" localSheetId="18" hidden="1">{"gyprint",#N/A,FALSE,"Goonyella";"rvprint",#N/A,FALSE,"Riverside"}</definedName>
    <definedName name="hhhhh" localSheetId="11" hidden="1">{"gyprint",#N/A,FALSE,"Goonyella";"rvprint",#N/A,FALSE,"Riverside"}</definedName>
    <definedName name="hhhhh" hidden="1">{"gyprint",#N/A,FALSE,"Goonyella";"rvprint",#N/A,FALSE,"Riverside"}</definedName>
    <definedName name="hhhhhhhhh" localSheetId="7" hidden="1">{"gyprint",#N/A,FALSE,"Goonyella";"rvprint",#N/A,FALSE,"Riverside"}</definedName>
    <definedName name="hhhhhhhhh" localSheetId="8" hidden="1">{"gyprint",#N/A,FALSE,"Goonyella";"rvprint",#N/A,FALSE,"Riverside"}</definedName>
    <definedName name="hhhhhhhhh" localSheetId="14" hidden="1">{"gyprint",#N/A,FALSE,"Goonyella";"rvprint",#N/A,FALSE,"Riverside"}</definedName>
    <definedName name="hhhhhhhhh" localSheetId="17" hidden="1">{"gyprint",#N/A,FALSE,"Goonyella";"rvprint",#N/A,FALSE,"Riverside"}</definedName>
    <definedName name="hhhhhhhhh" localSheetId="18" hidden="1">{"gyprint",#N/A,FALSE,"Goonyella";"rvprint",#N/A,FALSE,"Riverside"}</definedName>
    <definedName name="hhhhhhhhh" localSheetId="11" hidden="1">{"gyprint",#N/A,FALSE,"Goonyella";"rvprint",#N/A,FALSE,"Riverside"}</definedName>
    <definedName name="hhhhhhhhh" hidden="1">{"gyprint",#N/A,FALSE,"Goonyella";"rvprint",#N/A,FALSE,"Riverside"}</definedName>
    <definedName name="Hydro" localSheetId="6">#REF!</definedName>
    <definedName name="Hydro" localSheetId="2">#REF!</definedName>
    <definedName name="Hydro" localSheetId="7">#REF!</definedName>
    <definedName name="Hydro" localSheetId="8">#REF!</definedName>
    <definedName name="Hydro" localSheetId="14">#REF!</definedName>
    <definedName name="Hydro" localSheetId="17">#REF!</definedName>
    <definedName name="Hydro" localSheetId="18">#REF!</definedName>
    <definedName name="Hydro" localSheetId="13">#REF!</definedName>
    <definedName name="Hydro" localSheetId="11">#REF!</definedName>
    <definedName name="Hydro">#REF!</definedName>
    <definedName name="i" hidden="1">'[6]Guarantee Sched'!$AA$163</definedName>
    <definedName name="j" hidden="1">'[6]Guarantee Sched'!$AA$163:$AP$180</definedName>
    <definedName name="JDEDataDate">[7]Instructions!$F$4</definedName>
    <definedName name="jj" localSheetId="7" hidden="1">{"gyprint",#N/A,FALSE,"Goonyella";"rvprint",#N/A,FALSE,"Riverside"}</definedName>
    <definedName name="jj" localSheetId="8" hidden="1">{"gyprint",#N/A,FALSE,"Goonyella";"rvprint",#N/A,FALSE,"Riverside"}</definedName>
    <definedName name="jj" localSheetId="14" hidden="1">{"gyprint",#N/A,FALSE,"Goonyella";"rvprint",#N/A,FALSE,"Riverside"}</definedName>
    <definedName name="jj" localSheetId="17" hidden="1">{"gyprint",#N/A,FALSE,"Goonyella";"rvprint",#N/A,FALSE,"Riverside"}</definedName>
    <definedName name="jj" localSheetId="18" hidden="1">{"gyprint",#N/A,FALSE,"Goonyella";"rvprint",#N/A,FALSE,"Riverside"}</definedName>
    <definedName name="jj" localSheetId="11" hidden="1">{"gyprint",#N/A,FALSE,"Goonyella";"rvprint",#N/A,FALSE,"Riverside"}</definedName>
    <definedName name="jj" hidden="1">{"gyprint",#N/A,FALSE,"Goonyella";"rvprint",#N/A,FALSE,"Riverside"}</definedName>
    <definedName name="jjj" localSheetId="7" hidden="1">{"gyprint",#N/A,FALSE,"Goonyella";"rvprint",#N/A,FALSE,"Riverside"}</definedName>
    <definedName name="jjj" localSheetId="8" hidden="1">{"gyprint",#N/A,FALSE,"Goonyella";"rvprint",#N/A,FALSE,"Riverside"}</definedName>
    <definedName name="jjj" localSheetId="14" hidden="1">{"gyprint",#N/A,FALSE,"Goonyella";"rvprint",#N/A,FALSE,"Riverside"}</definedName>
    <definedName name="jjj" localSheetId="17" hidden="1">{"gyprint",#N/A,FALSE,"Goonyella";"rvprint",#N/A,FALSE,"Riverside"}</definedName>
    <definedName name="jjj" localSheetId="18" hidden="1">{"gyprint",#N/A,FALSE,"Goonyella";"rvprint",#N/A,FALSE,"Riverside"}</definedName>
    <definedName name="jjj" localSheetId="11" hidden="1">{"gyprint",#N/A,FALSE,"Goonyella";"rvprint",#N/A,FALSE,"Riverside"}</definedName>
    <definedName name="jjj" hidden="1">{"gyprint",#N/A,FALSE,"Goonyella";"rvprint",#N/A,FALSE,"Riverside"}</definedName>
    <definedName name="jjy" localSheetId="7" hidden="1">{"gyprint",#N/A,FALSE,"Goonyella";"rvprint",#N/A,FALSE,"Riverside"}</definedName>
    <definedName name="jjy" localSheetId="8" hidden="1">{"gyprint",#N/A,FALSE,"Goonyella";"rvprint",#N/A,FALSE,"Riverside"}</definedName>
    <definedName name="jjy" localSheetId="14" hidden="1">{"gyprint",#N/A,FALSE,"Goonyella";"rvprint",#N/A,FALSE,"Riverside"}</definedName>
    <definedName name="jjy" localSheetId="17" hidden="1">{"gyprint",#N/A,FALSE,"Goonyella";"rvprint",#N/A,FALSE,"Riverside"}</definedName>
    <definedName name="jjy" localSheetId="18" hidden="1">{"gyprint",#N/A,FALSE,"Goonyella";"rvprint",#N/A,FALSE,"Riverside"}</definedName>
    <definedName name="jjy" localSheetId="11" hidden="1">{"gyprint",#N/A,FALSE,"Goonyella";"rvprint",#N/A,FALSE,"Riverside"}</definedName>
    <definedName name="jjy" hidden="1">{"gyprint",#N/A,FALSE,"Goonyella";"rvprint",#N/A,FALSE,"Riverside"}</definedName>
    <definedName name="k" localSheetId="7" hidden="1">{#N/A,#N/A,FALSE,"RESULTS";#N/A,#N/A,FALSE,"FORECAST";#N/A,#N/A,FALSE,"ProvGraph";#N/A,#N/A,FALSE,"FittGraph";#N/A,#N/A,FALSE,"NEG PROV";#N/A,#N/A,FALSE,"PROVCOSTGRAPH";#N/A,#N/A,FALSE,"HireGraph"}</definedName>
    <definedName name="k" localSheetId="8" hidden="1">{#N/A,#N/A,FALSE,"RESULTS";#N/A,#N/A,FALSE,"FORECAST";#N/A,#N/A,FALSE,"ProvGraph";#N/A,#N/A,FALSE,"FittGraph";#N/A,#N/A,FALSE,"NEG PROV";#N/A,#N/A,FALSE,"PROVCOSTGRAPH";#N/A,#N/A,FALSE,"HireGraph"}</definedName>
    <definedName name="k" localSheetId="14" hidden="1">{#N/A,#N/A,FALSE,"RESULTS";#N/A,#N/A,FALSE,"FORECAST";#N/A,#N/A,FALSE,"ProvGraph";#N/A,#N/A,FALSE,"FittGraph";#N/A,#N/A,FALSE,"NEG PROV";#N/A,#N/A,FALSE,"PROVCOSTGRAPH";#N/A,#N/A,FALSE,"HireGraph"}</definedName>
    <definedName name="k" localSheetId="17" hidden="1">{#N/A,#N/A,FALSE,"RESULTS";#N/A,#N/A,FALSE,"FORECAST";#N/A,#N/A,FALSE,"ProvGraph";#N/A,#N/A,FALSE,"FittGraph";#N/A,#N/A,FALSE,"NEG PROV";#N/A,#N/A,FALSE,"PROVCOSTGRAPH";#N/A,#N/A,FALSE,"HireGraph"}</definedName>
    <definedName name="k" localSheetId="18" hidden="1">{#N/A,#N/A,FALSE,"RESULTS";#N/A,#N/A,FALSE,"FORECAST";#N/A,#N/A,FALSE,"ProvGraph";#N/A,#N/A,FALSE,"FittGraph";#N/A,#N/A,FALSE,"NEG PROV";#N/A,#N/A,FALSE,"PROVCOSTGRAPH";#N/A,#N/A,FALSE,"HireGraph"}</definedName>
    <definedName name="k" localSheetId="11" hidden="1">{#N/A,#N/A,FALSE,"RESULTS";#N/A,#N/A,FALSE,"FORECAST";#N/A,#N/A,FALSE,"ProvGraph";#N/A,#N/A,FALSE,"FittGraph";#N/A,#N/A,FALSE,"NEG PROV";#N/A,#N/A,FALSE,"PROVCOSTGRAPH";#N/A,#N/A,FALSE,"HireGraph"}</definedName>
    <definedName name="k" hidden="1">{#N/A,#N/A,FALSE,"RESULTS";#N/A,#N/A,FALSE,"FORECAST";#N/A,#N/A,FALSE,"ProvGraph";#N/A,#N/A,FALSE,"FittGraph";#N/A,#N/A,FALSE,"NEG PROV";#N/A,#N/A,FALSE,"PROVCOSTGRAPH";#N/A,#N/A,FALSE,"HireGraph"}</definedName>
    <definedName name="kk" localSheetId="7" hidden="1">{"gyprint",#N/A,FALSE,"Goonyella";"rvprint",#N/A,FALSE,"Riverside"}</definedName>
    <definedName name="kk" localSheetId="8" hidden="1">{"gyprint",#N/A,FALSE,"Goonyella";"rvprint",#N/A,FALSE,"Riverside"}</definedName>
    <definedName name="kk" localSheetId="14" hidden="1">{"gyprint",#N/A,FALSE,"Goonyella";"rvprint",#N/A,FALSE,"Riverside"}</definedName>
    <definedName name="kk" localSheetId="17" hidden="1">{"gyprint",#N/A,FALSE,"Goonyella";"rvprint",#N/A,FALSE,"Riverside"}</definedName>
    <definedName name="kk" localSheetId="18" hidden="1">{"gyprint",#N/A,FALSE,"Goonyella";"rvprint",#N/A,FALSE,"Riverside"}</definedName>
    <definedName name="kk" localSheetId="11" hidden="1">{"gyprint",#N/A,FALSE,"Goonyella";"rvprint",#N/A,FALSE,"Riverside"}</definedName>
    <definedName name="kk" hidden="1">{"gyprint",#N/A,FALSE,"Goonyella";"rvprint",#N/A,FALSE,"Riverside"}</definedName>
    <definedName name="kkk" localSheetId="7" hidden="1">{"gyprint",#N/A,FALSE,"Goonyella";"rvprint",#N/A,FALSE,"Riverside"}</definedName>
    <definedName name="kkk" localSheetId="8" hidden="1">{"gyprint",#N/A,FALSE,"Goonyella";"rvprint",#N/A,FALSE,"Riverside"}</definedName>
    <definedName name="kkk" localSheetId="14" hidden="1">{"gyprint",#N/A,FALSE,"Goonyella";"rvprint",#N/A,FALSE,"Riverside"}</definedName>
    <definedName name="kkk" localSheetId="17" hidden="1">{"gyprint",#N/A,FALSE,"Goonyella";"rvprint",#N/A,FALSE,"Riverside"}</definedName>
    <definedName name="kkk" localSheetId="18" hidden="1">{"gyprint",#N/A,FALSE,"Goonyella";"rvprint",#N/A,FALSE,"Riverside"}</definedName>
    <definedName name="kkk" localSheetId="11" hidden="1">{"gyprint",#N/A,FALSE,"Goonyella";"rvprint",#N/A,FALSE,"Riverside"}</definedName>
    <definedName name="kkk" hidden="1">{"gyprint",#N/A,FALSE,"Goonyella";"rvprint",#N/A,FALSE,"Riverside"}</definedName>
    <definedName name="LastMonthPivot">'[12]Refresh Last Month Pivot'!$A$3</definedName>
    <definedName name="lineBudget" localSheetId="6">#REF!</definedName>
    <definedName name="lineBudget" localSheetId="2">#REF!</definedName>
    <definedName name="lineBudget" localSheetId="7">#REF!</definedName>
    <definedName name="lineBudget" localSheetId="8">#REF!</definedName>
    <definedName name="lineBudget" localSheetId="14">#REF!</definedName>
    <definedName name="lineBudget" localSheetId="17">#REF!</definedName>
    <definedName name="lineBudget" localSheetId="18">#REF!</definedName>
    <definedName name="lineBudget" localSheetId="13">#REF!</definedName>
    <definedName name="lineBudget" localSheetId="11">#REF!</definedName>
    <definedName name="lineBudget">#REF!</definedName>
    <definedName name="LOCATION_DESCRIPTION" localSheetId="6">#REF!</definedName>
    <definedName name="LOCATION_DESCRIPTION" localSheetId="2">#REF!</definedName>
    <definedName name="LOCATION_DESCRIPTION" localSheetId="7">#REF!</definedName>
    <definedName name="LOCATION_DESCRIPTION" localSheetId="8">#REF!</definedName>
    <definedName name="LOCATION_DESCRIPTION" localSheetId="14">#REF!</definedName>
    <definedName name="LOCATION_DESCRIPTION" localSheetId="17">#REF!</definedName>
    <definedName name="LOCATION_DESCRIPTION" localSheetId="18">#REF!</definedName>
    <definedName name="LOCATION_DESCRIPTION" localSheetId="13">#REF!</definedName>
    <definedName name="LOCATION_DESCRIPTION" localSheetId="11">#REF!</definedName>
    <definedName name="LOCATION_DESCRIPTION">#REF!</definedName>
    <definedName name="LOCATION_TABLE_LIST">[13]InputTables!$C$7:$D$12</definedName>
    <definedName name="MONTH" localSheetId="6">#REF!</definedName>
    <definedName name="MONTH" localSheetId="2">#REF!</definedName>
    <definedName name="MONTH" localSheetId="7">#REF!</definedName>
    <definedName name="MONTH" localSheetId="8">#REF!</definedName>
    <definedName name="MONTH" localSheetId="14">#REF!</definedName>
    <definedName name="MONTH" localSheetId="17">#REF!</definedName>
    <definedName name="MONTH" localSheetId="18">#REF!</definedName>
    <definedName name="MONTH" localSheetId="13">#REF!</definedName>
    <definedName name="MONTH" localSheetId="11">#REF!</definedName>
    <definedName name="MONTH">#REF!</definedName>
    <definedName name="MonthActual" localSheetId="6">#REF!</definedName>
    <definedName name="MonthActual" localSheetId="2">#REF!</definedName>
    <definedName name="MonthActual" localSheetId="7">#REF!</definedName>
    <definedName name="MonthActual" localSheetId="8">#REF!</definedName>
    <definedName name="MonthActual" localSheetId="14">#REF!</definedName>
    <definedName name="MonthActual" localSheetId="17">#REF!</definedName>
    <definedName name="MonthActual" localSheetId="18">#REF!</definedName>
    <definedName name="MonthActual" localSheetId="13">#REF!</definedName>
    <definedName name="MonthActual" localSheetId="11">#REF!</definedName>
    <definedName name="MonthActual">#REF!</definedName>
    <definedName name="MonthFlexRef" localSheetId="6">[10]Macros!#REF!</definedName>
    <definedName name="MonthFlexRef" localSheetId="2">[10]Macros!#REF!</definedName>
    <definedName name="MonthFlexRef" localSheetId="7">[10]Macros!#REF!</definedName>
    <definedName name="MonthFlexRef" localSheetId="8">[10]Macros!#REF!</definedName>
    <definedName name="MonthFlexRef" localSheetId="14">[10]Macros!#REF!</definedName>
    <definedName name="MonthFlexRef" localSheetId="17">[10]Macros!#REF!</definedName>
    <definedName name="MonthFlexRef" localSheetId="18">[10]Macros!#REF!</definedName>
    <definedName name="MonthFlexRef" localSheetId="13">[10]Macros!#REF!</definedName>
    <definedName name="MonthFlexRef" localSheetId="11">[10]Macros!#REF!</definedName>
    <definedName name="MonthFlexRef">[10]Macros!#REF!</definedName>
    <definedName name="MonthPrevious" localSheetId="6">#REF!</definedName>
    <definedName name="MonthPrevious" localSheetId="2">#REF!</definedName>
    <definedName name="MonthPrevious" localSheetId="7">#REF!</definedName>
    <definedName name="MonthPrevious" localSheetId="8">#REF!</definedName>
    <definedName name="MonthPrevious" localSheetId="14">#REF!</definedName>
    <definedName name="MonthPrevious" localSheetId="17">#REF!</definedName>
    <definedName name="MonthPrevious" localSheetId="18">#REF!</definedName>
    <definedName name="MonthPrevious" localSheetId="13">#REF!</definedName>
    <definedName name="MonthPrevious" localSheetId="11">#REF!</definedName>
    <definedName name="MonthPrevious">#REF!</definedName>
    <definedName name="MtceSJ" localSheetId="6">#REF!</definedName>
    <definedName name="MtceSJ" localSheetId="2">#REF!</definedName>
    <definedName name="MtceSJ" localSheetId="7">#REF!</definedName>
    <definedName name="MtceSJ" localSheetId="8">#REF!</definedName>
    <definedName name="MtceSJ" localSheetId="14">#REF!</definedName>
    <definedName name="MtceSJ" localSheetId="17">#REF!</definedName>
    <definedName name="MtceSJ" localSheetId="18">#REF!</definedName>
    <definedName name="MtceSJ" localSheetId="13">#REF!</definedName>
    <definedName name="MtceSJ" localSheetId="11">#REF!</definedName>
    <definedName name="MtceSJ">#REF!</definedName>
    <definedName name="Multinet" localSheetId="6">#REF!</definedName>
    <definedName name="Multinet" localSheetId="2">#REF!</definedName>
    <definedName name="Multinet" localSheetId="7">#REF!</definedName>
    <definedName name="Multinet" localSheetId="8">#REF!</definedName>
    <definedName name="Multinet" localSheetId="14">#REF!</definedName>
    <definedName name="Multinet" localSheetId="17">#REF!</definedName>
    <definedName name="Multinet" localSheetId="18">#REF!</definedName>
    <definedName name="Multinet" localSheetId="13">#REF!</definedName>
    <definedName name="Multinet" localSheetId="11">#REF!</definedName>
    <definedName name="Multinet">#REF!</definedName>
    <definedName name="MW" localSheetId="6">#REF!</definedName>
    <definedName name="MW" localSheetId="2">#REF!</definedName>
    <definedName name="MW" localSheetId="7">#REF!</definedName>
    <definedName name="MW" localSheetId="8">#REF!</definedName>
    <definedName name="MW" localSheetId="14">#REF!</definedName>
    <definedName name="MW" localSheetId="17">#REF!</definedName>
    <definedName name="MW" localSheetId="18">#REF!</definedName>
    <definedName name="MW" localSheetId="13">#REF!</definedName>
    <definedName name="MW" localSheetId="11">#REF!</definedName>
    <definedName name="MW">#REF!</definedName>
    <definedName name="NonWorkDays">[14]Calendar!$C$2:$C$24</definedName>
    <definedName name="NSW" localSheetId="7" hidden="1">{#N/A,#N/A,FALSE,"RESULTS";#N/A,#N/A,FALSE,"FORECAST";#N/A,#N/A,FALSE,"ProvGraph";#N/A,#N/A,FALSE,"FittGraph";#N/A,#N/A,FALSE,"NEG PROV";#N/A,#N/A,FALSE,"PROVCOSTGRAPH";#N/A,#N/A,FALSE,"HireGraph"}</definedName>
    <definedName name="NSW" localSheetId="8" hidden="1">{#N/A,#N/A,FALSE,"RESULTS";#N/A,#N/A,FALSE,"FORECAST";#N/A,#N/A,FALSE,"ProvGraph";#N/A,#N/A,FALSE,"FittGraph";#N/A,#N/A,FALSE,"NEG PROV";#N/A,#N/A,FALSE,"PROVCOSTGRAPH";#N/A,#N/A,FALSE,"HireGraph"}</definedName>
    <definedName name="NSW" localSheetId="14" hidden="1">{#N/A,#N/A,FALSE,"RESULTS";#N/A,#N/A,FALSE,"FORECAST";#N/A,#N/A,FALSE,"ProvGraph";#N/A,#N/A,FALSE,"FittGraph";#N/A,#N/A,FALSE,"NEG PROV";#N/A,#N/A,FALSE,"PROVCOSTGRAPH";#N/A,#N/A,FALSE,"HireGraph"}</definedName>
    <definedName name="NSW" localSheetId="17" hidden="1">{#N/A,#N/A,FALSE,"RESULTS";#N/A,#N/A,FALSE,"FORECAST";#N/A,#N/A,FALSE,"ProvGraph";#N/A,#N/A,FALSE,"FittGraph";#N/A,#N/A,FALSE,"NEG PROV";#N/A,#N/A,FALSE,"PROVCOSTGRAPH";#N/A,#N/A,FALSE,"HireGraph"}</definedName>
    <definedName name="NSW" localSheetId="18" hidden="1">{#N/A,#N/A,FALSE,"RESULTS";#N/A,#N/A,FALSE,"FORECAST";#N/A,#N/A,FALSE,"ProvGraph";#N/A,#N/A,FALSE,"FittGraph";#N/A,#N/A,FALSE,"NEG PROV";#N/A,#N/A,FALSE,"PROVCOSTGRAPH";#N/A,#N/A,FALSE,"HireGraph"}</definedName>
    <definedName name="NSW" localSheetId="11" hidden="1">{#N/A,#N/A,FALSE,"RESULTS";#N/A,#N/A,FALSE,"FORECAST";#N/A,#N/A,FALSE,"ProvGraph";#N/A,#N/A,FALSE,"FittGraph";#N/A,#N/A,FALSE,"NEG PROV";#N/A,#N/A,FALSE,"PROVCOSTGRAPH";#N/A,#N/A,FALSE,"HireGraph"}</definedName>
    <definedName name="NSW" hidden="1">{#N/A,#N/A,FALSE,"RESULTS";#N/A,#N/A,FALSE,"FORECAST";#N/A,#N/A,FALSE,"ProvGraph";#N/A,#N/A,FALSE,"FittGraph";#N/A,#N/A,FALSE,"NEG PROV";#N/A,#N/A,FALSE,"PROVCOSTGRAPH";#N/A,#N/A,FALSE,"HireGraph"}</definedName>
    <definedName name="NTONCOST" localSheetId="6">'[15]Oncost Rates'!#REF!</definedName>
    <definedName name="NTONCOST" localSheetId="2">'[15]Oncost Rates'!#REF!</definedName>
    <definedName name="NTONCOST" localSheetId="7">'[15]Oncost Rates'!#REF!</definedName>
    <definedName name="NTONCOST" localSheetId="8">'[15]Oncost Rates'!#REF!</definedName>
    <definedName name="NTONCOST" localSheetId="14">'[15]Oncost Rates'!#REF!</definedName>
    <definedName name="NTONCOST" localSheetId="17">'[15]Oncost Rates'!#REF!</definedName>
    <definedName name="NTONCOST" localSheetId="18">'[15]Oncost Rates'!#REF!</definedName>
    <definedName name="NTONCOST" localSheetId="13">'[15]Oncost Rates'!#REF!</definedName>
    <definedName name="NTONCOST" localSheetId="11">'[15]Oncost Rates'!#REF!</definedName>
    <definedName name="NTONCOST">'[15]Oncost Rates'!#REF!</definedName>
    <definedName name="numbering">'[16]2.1 Regional Priorities'!$E$45:$E$61</definedName>
    <definedName name="NZONCOST" localSheetId="6">'[15]Oncost Rates'!#REF!</definedName>
    <definedName name="NZONCOST" localSheetId="2">'[15]Oncost Rates'!#REF!</definedName>
    <definedName name="NZONCOST" localSheetId="7">'[15]Oncost Rates'!#REF!</definedName>
    <definedName name="NZONCOST" localSheetId="8">'[15]Oncost Rates'!#REF!</definedName>
    <definedName name="NZONCOST" localSheetId="14">'[15]Oncost Rates'!#REF!</definedName>
    <definedName name="NZONCOST" localSheetId="17">'[15]Oncost Rates'!#REF!</definedName>
    <definedName name="NZONCOST" localSheetId="18">'[15]Oncost Rates'!#REF!</definedName>
    <definedName name="NZONCOST" localSheetId="13">'[15]Oncost Rates'!#REF!</definedName>
    <definedName name="NZONCOST" localSheetId="11">'[15]Oncost Rates'!#REF!</definedName>
    <definedName name="NZONCOST">'[15]Oncost Rates'!#REF!</definedName>
    <definedName name="oline" localSheetId="6">#REF!</definedName>
    <definedName name="oline" localSheetId="2">#REF!</definedName>
    <definedName name="oline" localSheetId="7">#REF!</definedName>
    <definedName name="oline" localSheetId="8">#REF!</definedName>
    <definedName name="oline" localSheetId="14">#REF!</definedName>
    <definedName name="oline" localSheetId="17">#REF!</definedName>
    <definedName name="oline" localSheetId="18">#REF!</definedName>
    <definedName name="oline" localSheetId="13">#REF!</definedName>
    <definedName name="oline" localSheetId="11">#REF!</definedName>
    <definedName name="oline">#REF!</definedName>
    <definedName name="oooooooooooooooo" localSheetId="7" hidden="1">{#N/A,#N/A,FALSE,"RESULTS";#N/A,#N/A,FALSE,"FORECAST";#N/A,#N/A,FALSE,"ProvGraph";#N/A,#N/A,FALSE,"FittGraph";#N/A,#N/A,FALSE,"NEG PROV";#N/A,#N/A,FALSE,"PROVCOSTGRAPH";#N/A,#N/A,FALSE,"HireGraph"}</definedName>
    <definedName name="oooooooooooooooo" localSheetId="8" hidden="1">{#N/A,#N/A,FALSE,"RESULTS";#N/A,#N/A,FALSE,"FORECAST";#N/A,#N/A,FALSE,"ProvGraph";#N/A,#N/A,FALSE,"FittGraph";#N/A,#N/A,FALSE,"NEG PROV";#N/A,#N/A,FALSE,"PROVCOSTGRAPH";#N/A,#N/A,FALSE,"HireGraph"}</definedName>
    <definedName name="oooooooooooooooo" localSheetId="14" hidden="1">{#N/A,#N/A,FALSE,"RESULTS";#N/A,#N/A,FALSE,"FORECAST";#N/A,#N/A,FALSE,"ProvGraph";#N/A,#N/A,FALSE,"FittGraph";#N/A,#N/A,FALSE,"NEG PROV";#N/A,#N/A,FALSE,"PROVCOSTGRAPH";#N/A,#N/A,FALSE,"HireGraph"}</definedName>
    <definedName name="oooooooooooooooo" localSheetId="17" hidden="1">{#N/A,#N/A,FALSE,"RESULTS";#N/A,#N/A,FALSE,"FORECAST";#N/A,#N/A,FALSE,"ProvGraph";#N/A,#N/A,FALSE,"FittGraph";#N/A,#N/A,FALSE,"NEG PROV";#N/A,#N/A,FALSE,"PROVCOSTGRAPH";#N/A,#N/A,FALSE,"HireGraph"}</definedName>
    <definedName name="oooooooooooooooo" localSheetId="18" hidden="1">{#N/A,#N/A,FALSE,"RESULTS";#N/A,#N/A,FALSE,"FORECAST";#N/A,#N/A,FALSE,"ProvGraph";#N/A,#N/A,FALSE,"FittGraph";#N/A,#N/A,FALSE,"NEG PROV";#N/A,#N/A,FALSE,"PROVCOSTGRAPH";#N/A,#N/A,FALSE,"HireGraph"}</definedName>
    <definedName name="oooooooooooooooo" localSheetId="11" hidden="1">{#N/A,#N/A,FALSE,"RESULTS";#N/A,#N/A,FALSE,"FORECAST";#N/A,#N/A,FALSE,"ProvGraph";#N/A,#N/A,FALSE,"FittGraph";#N/A,#N/A,FALSE,"NEG PROV";#N/A,#N/A,FALSE,"PROVCOSTGRAPH";#N/A,#N/A,FALSE,"HireGraph"}</definedName>
    <definedName name="oooooooooooooooo" hidden="1">{#N/A,#N/A,FALSE,"RESULTS";#N/A,#N/A,FALSE,"FORECAST";#N/A,#N/A,FALSE,"ProvGraph";#N/A,#N/A,FALSE,"FittGraph";#N/A,#N/A,FALSE,"NEG PROV";#N/A,#N/A,FALSE,"PROVCOSTGRAPH";#N/A,#N/A,FALSE,"HireGraph"}</definedName>
    <definedName name="PayTerms">'[17]Payment Term Definitions'!$C$2:$F$7</definedName>
    <definedName name="PLAY" localSheetId="7" hidden="1">{#N/A,#N/A,FALSE,"RESULTS";#N/A,#N/A,FALSE,"FORECAST";#N/A,#N/A,FALSE,"ProvGraph";#N/A,#N/A,FALSE,"NEG PROV";#N/A,#N/A,FALSE,"PROVCOSTGRAPH";#N/A,#N/A,FALSE,"FittGraph";#N/A,#N/A,FALSE,"HireGraph"}</definedName>
    <definedName name="PLAY" localSheetId="8" hidden="1">{#N/A,#N/A,FALSE,"RESULTS";#N/A,#N/A,FALSE,"FORECAST";#N/A,#N/A,FALSE,"ProvGraph";#N/A,#N/A,FALSE,"NEG PROV";#N/A,#N/A,FALSE,"PROVCOSTGRAPH";#N/A,#N/A,FALSE,"FittGraph";#N/A,#N/A,FALSE,"HireGraph"}</definedName>
    <definedName name="PLAY" localSheetId="14" hidden="1">{#N/A,#N/A,FALSE,"RESULTS";#N/A,#N/A,FALSE,"FORECAST";#N/A,#N/A,FALSE,"ProvGraph";#N/A,#N/A,FALSE,"NEG PROV";#N/A,#N/A,FALSE,"PROVCOSTGRAPH";#N/A,#N/A,FALSE,"FittGraph";#N/A,#N/A,FALSE,"HireGraph"}</definedName>
    <definedName name="PLAY" localSheetId="17" hidden="1">{#N/A,#N/A,FALSE,"RESULTS";#N/A,#N/A,FALSE,"FORECAST";#N/A,#N/A,FALSE,"ProvGraph";#N/A,#N/A,FALSE,"NEG PROV";#N/A,#N/A,FALSE,"PROVCOSTGRAPH";#N/A,#N/A,FALSE,"FittGraph";#N/A,#N/A,FALSE,"HireGraph"}</definedName>
    <definedName name="PLAY" localSheetId="18" hidden="1">{#N/A,#N/A,FALSE,"RESULTS";#N/A,#N/A,FALSE,"FORECAST";#N/A,#N/A,FALSE,"ProvGraph";#N/A,#N/A,FALSE,"NEG PROV";#N/A,#N/A,FALSE,"PROVCOSTGRAPH";#N/A,#N/A,FALSE,"FittGraph";#N/A,#N/A,FALSE,"HireGraph"}</definedName>
    <definedName name="PLAY" localSheetId="11" hidden="1">{#N/A,#N/A,FALSE,"RESULTS";#N/A,#N/A,FALSE,"FORECAST";#N/A,#N/A,FALSE,"ProvGraph";#N/A,#N/A,FALSE,"NEG PROV";#N/A,#N/A,FALSE,"PROVCOSTGRAPH";#N/A,#N/A,FALSE,"FittGraph";#N/A,#N/A,FALSE,"HireGraph"}</definedName>
    <definedName name="PLAY" hidden="1">{#N/A,#N/A,FALSE,"RESULTS";#N/A,#N/A,FALSE,"FORECAST";#N/A,#N/A,FALSE,"ProvGraph";#N/A,#N/A,FALSE,"NEG PROV";#N/A,#N/A,FALSE,"PROVCOSTGRAPH";#N/A,#N/A,FALSE,"FittGraph";#N/A,#N/A,FALSE,"HireGraph"}</definedName>
    <definedName name="play1" localSheetId="7" hidden="1">{#N/A,#N/A,FALSE,"RESULTS";#N/A,#N/A,FALSE,"FORECAST";#N/A,#N/A,FALSE,"ProvGraph";#N/A,#N/A,FALSE,"NEG PROV";#N/A,#N/A,FALSE,"PROVCOSTGRAPH";#N/A,#N/A,FALSE,"FittGraph";#N/A,#N/A,FALSE,"HireGraph"}</definedName>
    <definedName name="play1" localSheetId="8" hidden="1">{#N/A,#N/A,FALSE,"RESULTS";#N/A,#N/A,FALSE,"FORECAST";#N/A,#N/A,FALSE,"ProvGraph";#N/A,#N/A,FALSE,"NEG PROV";#N/A,#N/A,FALSE,"PROVCOSTGRAPH";#N/A,#N/A,FALSE,"FittGraph";#N/A,#N/A,FALSE,"HireGraph"}</definedName>
    <definedName name="play1" localSheetId="14" hidden="1">{#N/A,#N/A,FALSE,"RESULTS";#N/A,#N/A,FALSE,"FORECAST";#N/A,#N/A,FALSE,"ProvGraph";#N/A,#N/A,FALSE,"NEG PROV";#N/A,#N/A,FALSE,"PROVCOSTGRAPH";#N/A,#N/A,FALSE,"FittGraph";#N/A,#N/A,FALSE,"HireGraph"}</definedName>
    <definedName name="play1" localSheetId="17" hidden="1">{#N/A,#N/A,FALSE,"RESULTS";#N/A,#N/A,FALSE,"FORECAST";#N/A,#N/A,FALSE,"ProvGraph";#N/A,#N/A,FALSE,"NEG PROV";#N/A,#N/A,FALSE,"PROVCOSTGRAPH";#N/A,#N/A,FALSE,"FittGraph";#N/A,#N/A,FALSE,"HireGraph"}</definedName>
    <definedName name="play1" localSheetId="18" hidden="1">{#N/A,#N/A,FALSE,"RESULTS";#N/A,#N/A,FALSE,"FORECAST";#N/A,#N/A,FALSE,"ProvGraph";#N/A,#N/A,FALSE,"NEG PROV";#N/A,#N/A,FALSE,"PROVCOSTGRAPH";#N/A,#N/A,FALSE,"FittGraph";#N/A,#N/A,FALSE,"HireGraph"}</definedName>
    <definedName name="play1" localSheetId="11" hidden="1">{#N/A,#N/A,FALSE,"RESULTS";#N/A,#N/A,FALSE,"FORECAST";#N/A,#N/A,FALSE,"ProvGraph";#N/A,#N/A,FALSE,"NEG PROV";#N/A,#N/A,FALSE,"PROVCOSTGRAPH";#N/A,#N/A,FALSE,"FittGraph";#N/A,#N/A,FALSE,"HireGraph"}</definedName>
    <definedName name="play1" hidden="1">{#N/A,#N/A,FALSE,"RESULTS";#N/A,#N/A,FALSE,"FORECAST";#N/A,#N/A,FALSE,"ProvGraph";#N/A,#N/A,FALSE,"NEG PROV";#N/A,#N/A,FALSE,"PROVCOSTGRAPH";#N/A,#N/A,FALSE,"FittGraph";#N/A,#N/A,FALSE,"HireGraph"}</definedName>
    <definedName name="POLGRPH" localSheetId="7" hidden="1">{#N/A,#N/A,FALSE,"RESULTS";#N/A,#N/A,FALSE,"FORECAST";#N/A,#N/A,FALSE,"ProvGraph";#N/A,#N/A,FALSE,"FittGraph";#N/A,#N/A,FALSE,"NEG PROV";#N/A,#N/A,FALSE,"PROVCOSTGRAPH";#N/A,#N/A,FALSE,"HireGraph"}</definedName>
    <definedName name="POLGRPH" localSheetId="8" hidden="1">{#N/A,#N/A,FALSE,"RESULTS";#N/A,#N/A,FALSE,"FORECAST";#N/A,#N/A,FALSE,"ProvGraph";#N/A,#N/A,FALSE,"FittGraph";#N/A,#N/A,FALSE,"NEG PROV";#N/A,#N/A,FALSE,"PROVCOSTGRAPH";#N/A,#N/A,FALSE,"HireGraph"}</definedName>
    <definedName name="POLGRPH" localSheetId="14" hidden="1">{#N/A,#N/A,FALSE,"RESULTS";#N/A,#N/A,FALSE,"FORECAST";#N/A,#N/A,FALSE,"ProvGraph";#N/A,#N/A,FALSE,"FittGraph";#N/A,#N/A,FALSE,"NEG PROV";#N/A,#N/A,FALSE,"PROVCOSTGRAPH";#N/A,#N/A,FALSE,"HireGraph"}</definedName>
    <definedName name="POLGRPH" localSheetId="17" hidden="1">{#N/A,#N/A,FALSE,"RESULTS";#N/A,#N/A,FALSE,"FORECAST";#N/A,#N/A,FALSE,"ProvGraph";#N/A,#N/A,FALSE,"FittGraph";#N/A,#N/A,FALSE,"NEG PROV";#N/A,#N/A,FALSE,"PROVCOSTGRAPH";#N/A,#N/A,FALSE,"HireGraph"}</definedName>
    <definedName name="POLGRPH" localSheetId="18" hidden="1">{#N/A,#N/A,FALSE,"RESULTS";#N/A,#N/A,FALSE,"FORECAST";#N/A,#N/A,FALSE,"ProvGraph";#N/A,#N/A,FALSE,"FittGraph";#N/A,#N/A,FALSE,"NEG PROV";#N/A,#N/A,FALSE,"PROVCOSTGRAPH";#N/A,#N/A,FALSE,"HireGraph"}</definedName>
    <definedName name="POLGRPH" localSheetId="11" hidden="1">{#N/A,#N/A,FALSE,"RESULTS";#N/A,#N/A,FALSE,"FORECAST";#N/A,#N/A,FALSE,"ProvGraph";#N/A,#N/A,FALSE,"FittGraph";#N/A,#N/A,FALSE,"NEG PROV";#N/A,#N/A,FALSE,"PROVCOSTGRAPH";#N/A,#N/A,FALSE,"HireGraph"}</definedName>
    <definedName name="POLGRPH" hidden="1">{#N/A,#N/A,FALSE,"RESULTS";#N/A,#N/A,FALSE,"FORECAST";#N/A,#N/A,FALSE,"ProvGraph";#N/A,#N/A,FALSE,"FittGraph";#N/A,#N/A,FALSE,"NEG PROV";#N/A,#N/A,FALSE,"PROVCOSTGRAPH";#N/A,#N/A,FALSE,"HireGraph"}</definedName>
    <definedName name="_xlnm.Print_Area" localSheetId="17">'PC &amp; Payment Dates New Devs'!$B$1:$L$1</definedName>
    <definedName name="_xlnm.Print_Area" localSheetId="18">'PC &amp; Payment NBN Assurance'!$B$1:$K$31</definedName>
    <definedName name="ProjectInfo">'[18]Project Info'!$B$1:$J$251</definedName>
    <definedName name="QLDONCOST">'[15]Oncost Rates'!$E$39</definedName>
    <definedName name="Remediation" localSheetId="6">#REF!</definedName>
    <definedName name="Remediation" localSheetId="2">#REF!</definedName>
    <definedName name="Remediation" localSheetId="7">#REF!</definedName>
    <definedName name="Remediation" localSheetId="8">#REF!</definedName>
    <definedName name="Remediation" localSheetId="14">#REF!</definedName>
    <definedName name="Remediation" localSheetId="17">#REF!</definedName>
    <definedName name="Remediation" localSheetId="18">#REF!</definedName>
    <definedName name="Remediation" localSheetId="13">#REF!</definedName>
    <definedName name="Remediation" localSheetId="11">#REF!</definedName>
    <definedName name="Remediation">#REF!</definedName>
    <definedName name="RevClear" localSheetId="6">#REF!</definedName>
    <definedName name="RevClear" localSheetId="2">#REF!</definedName>
    <definedName name="RevClear" localSheetId="7">#REF!</definedName>
    <definedName name="RevClear" localSheetId="8">#REF!</definedName>
    <definedName name="RevClear" localSheetId="14">#REF!</definedName>
    <definedName name="RevClear" localSheetId="17">#REF!</definedName>
    <definedName name="RevClear" localSheetId="18">#REF!</definedName>
    <definedName name="RevClear" localSheetId="13">#REF!</definedName>
    <definedName name="RevClear" localSheetId="11">#REF!</definedName>
    <definedName name="RevClear">#REF!</definedName>
    <definedName name="RevVar" localSheetId="7" hidden="1">{#N/A,#N/A,FALSE,"RESULTS";#N/A,#N/A,FALSE,"FORECAST";#N/A,#N/A,FALSE,"ProvGraph";#N/A,#N/A,FALSE,"NEG PROV";#N/A,#N/A,FALSE,"PROVCOSTGRAPH";#N/A,#N/A,FALSE,"FittGraph";#N/A,#N/A,FALSE,"HireGraph"}</definedName>
    <definedName name="RevVar" localSheetId="8" hidden="1">{#N/A,#N/A,FALSE,"RESULTS";#N/A,#N/A,FALSE,"FORECAST";#N/A,#N/A,FALSE,"ProvGraph";#N/A,#N/A,FALSE,"NEG PROV";#N/A,#N/A,FALSE,"PROVCOSTGRAPH";#N/A,#N/A,FALSE,"FittGraph";#N/A,#N/A,FALSE,"HireGraph"}</definedName>
    <definedName name="RevVar" localSheetId="14" hidden="1">{#N/A,#N/A,FALSE,"RESULTS";#N/A,#N/A,FALSE,"FORECAST";#N/A,#N/A,FALSE,"ProvGraph";#N/A,#N/A,FALSE,"NEG PROV";#N/A,#N/A,FALSE,"PROVCOSTGRAPH";#N/A,#N/A,FALSE,"FittGraph";#N/A,#N/A,FALSE,"HireGraph"}</definedName>
    <definedName name="RevVar" localSheetId="17" hidden="1">{#N/A,#N/A,FALSE,"RESULTS";#N/A,#N/A,FALSE,"FORECAST";#N/A,#N/A,FALSE,"ProvGraph";#N/A,#N/A,FALSE,"NEG PROV";#N/A,#N/A,FALSE,"PROVCOSTGRAPH";#N/A,#N/A,FALSE,"FittGraph";#N/A,#N/A,FALSE,"HireGraph"}</definedName>
    <definedName name="RevVar" localSheetId="18" hidden="1">{#N/A,#N/A,FALSE,"RESULTS";#N/A,#N/A,FALSE,"FORECAST";#N/A,#N/A,FALSE,"ProvGraph";#N/A,#N/A,FALSE,"NEG PROV";#N/A,#N/A,FALSE,"PROVCOSTGRAPH";#N/A,#N/A,FALSE,"FittGraph";#N/A,#N/A,FALSE,"HireGraph"}</definedName>
    <definedName name="RevVar" localSheetId="11" hidden="1">{#N/A,#N/A,FALSE,"RESULTS";#N/A,#N/A,FALSE,"FORECAST";#N/A,#N/A,FALSE,"ProvGraph";#N/A,#N/A,FALSE,"NEG PROV";#N/A,#N/A,FALSE,"PROVCOSTGRAPH";#N/A,#N/A,FALSE,"FittGraph";#N/A,#N/A,FALSE,"HireGraph"}</definedName>
    <definedName name="RevVar" hidden="1">{#N/A,#N/A,FALSE,"RESULTS";#N/A,#N/A,FALSE,"FORECAST";#N/A,#N/A,FALSE,"ProvGraph";#N/A,#N/A,FALSE,"NEG PROV";#N/A,#N/A,FALSE,"PROVCOSTGRAPH";#N/A,#N/A,FALSE,"FittGraph";#N/A,#N/A,FALSE,"HireGraph"}</definedName>
    <definedName name="RMISCodeDesc">'[9]Variance &amp; Risk Codes'!$F$2:$H$56</definedName>
    <definedName name="RunNo">[10]Macros!$B$5</definedName>
    <definedName name="SalesImport">'[7]Import JDE Budget'!$A$1:$E$333</definedName>
    <definedName name="SEWL" localSheetId="6">#REF!</definedName>
    <definedName name="SEWL" localSheetId="2">#REF!</definedName>
    <definedName name="SEWL" localSheetId="7">#REF!</definedName>
    <definedName name="SEWL" localSheetId="8">#REF!</definedName>
    <definedName name="SEWL" localSheetId="14">#REF!</definedName>
    <definedName name="SEWL" localSheetId="17">#REF!</definedName>
    <definedName name="SEWL" localSheetId="18">#REF!</definedName>
    <definedName name="SEWL" localSheetId="13">#REF!</definedName>
    <definedName name="SEWL" localSheetId="11">#REF!</definedName>
    <definedName name="SEWL">#REF!</definedName>
    <definedName name="SEWONCOST" localSheetId="6">'[15]Oncost Rates'!#REF!</definedName>
    <definedName name="SEWONCOST" localSheetId="2">'[15]Oncost Rates'!#REF!</definedName>
    <definedName name="SEWONCOST" localSheetId="7">'[15]Oncost Rates'!#REF!</definedName>
    <definedName name="SEWONCOST" localSheetId="8">'[15]Oncost Rates'!#REF!</definedName>
    <definedName name="SEWONCOST" localSheetId="14">'[15]Oncost Rates'!#REF!</definedName>
    <definedName name="SEWONCOST" localSheetId="17">'[15]Oncost Rates'!#REF!</definedName>
    <definedName name="SEWONCOST" localSheetId="18">'[15]Oncost Rates'!#REF!</definedName>
    <definedName name="SEWONCOST" localSheetId="13">'[15]Oncost Rates'!#REF!</definedName>
    <definedName name="SEWONCOST" localSheetId="11">'[15]Oncost Rates'!#REF!</definedName>
    <definedName name="SEWONCOST">'[15]Oncost Rates'!#REF!</definedName>
    <definedName name="snapper" localSheetId="7" hidden="1">{"gyprint",#N/A,FALSE,"Goonyella";"rvprint",#N/A,FALSE,"Riverside"}</definedName>
    <definedName name="snapper" localSheetId="8" hidden="1">{"gyprint",#N/A,FALSE,"Goonyella";"rvprint",#N/A,FALSE,"Riverside"}</definedName>
    <definedName name="snapper" localSheetId="14" hidden="1">{"gyprint",#N/A,FALSE,"Goonyella";"rvprint",#N/A,FALSE,"Riverside"}</definedName>
    <definedName name="snapper" localSheetId="17" hidden="1">{"gyprint",#N/A,FALSE,"Goonyella";"rvprint",#N/A,FALSE,"Riverside"}</definedName>
    <definedName name="snapper" localSheetId="18" hidden="1">{"gyprint",#N/A,FALSE,"Goonyella";"rvprint",#N/A,FALSE,"Riverside"}</definedName>
    <definedName name="snapper" localSheetId="11" hidden="1">{"gyprint",#N/A,FALSE,"Goonyella";"rvprint",#N/A,FALSE,"Riverside"}</definedName>
    <definedName name="snapper" hidden="1">{"gyprint",#N/A,FALSE,"Goonyella";"rvprint",#N/A,FALSE,"Riverside"}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0.000001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1</definedName>
    <definedName name="solver_val" hidden="1">0</definedName>
    <definedName name="STARTCASH" localSheetId="6">#REF!</definedName>
    <definedName name="STARTCASH" localSheetId="2">#REF!</definedName>
    <definedName name="STARTCASH" localSheetId="7">#REF!</definedName>
    <definedName name="STARTCASH" localSheetId="8">#REF!</definedName>
    <definedName name="STARTCASH" localSheetId="14">#REF!</definedName>
    <definedName name="STARTCASH" localSheetId="17">#REF!</definedName>
    <definedName name="STARTCASH" localSheetId="18">#REF!</definedName>
    <definedName name="STARTCASH" localSheetId="13">#REF!</definedName>
    <definedName name="STARTCASH" localSheetId="11">#REF!</definedName>
    <definedName name="STARTCASH">#REF!</definedName>
    <definedName name="StartClaim" localSheetId="6">#REF!</definedName>
    <definedName name="StartClaim" localSheetId="2">#REF!</definedName>
    <definedName name="StartClaim" localSheetId="7">#REF!</definedName>
    <definedName name="StartClaim" localSheetId="8">#REF!</definedName>
    <definedName name="StartClaim" localSheetId="14">#REF!</definedName>
    <definedName name="StartClaim" localSheetId="17">#REF!</definedName>
    <definedName name="StartClaim" localSheetId="18">#REF!</definedName>
    <definedName name="StartClaim" localSheetId="13">#REF!</definedName>
    <definedName name="StartClaim" localSheetId="11">#REF!</definedName>
    <definedName name="StartClaim">#REF!</definedName>
    <definedName name="StartCost" localSheetId="6">#REF!</definedName>
    <definedName name="StartCost" localSheetId="2">#REF!</definedName>
    <definedName name="StartCost" localSheetId="7">#REF!</definedName>
    <definedName name="StartCost" localSheetId="8">#REF!</definedName>
    <definedName name="StartCost" localSheetId="14">#REF!</definedName>
    <definedName name="StartCost" localSheetId="17">#REF!</definedName>
    <definedName name="StartCost" localSheetId="18">#REF!</definedName>
    <definedName name="StartCost" localSheetId="13">#REF!</definedName>
    <definedName name="StartCost" localSheetId="11">#REF!</definedName>
    <definedName name="StartCost">#REF!</definedName>
    <definedName name="StartCostRev" localSheetId="6">#REF!</definedName>
    <definedName name="StartCostRev" localSheetId="2">#REF!</definedName>
    <definedName name="StartCostRev" localSheetId="7">#REF!</definedName>
    <definedName name="StartCostRev" localSheetId="8">#REF!</definedName>
    <definedName name="StartCostRev" localSheetId="14">#REF!</definedName>
    <definedName name="StartCostRev" localSheetId="17">#REF!</definedName>
    <definedName name="StartCostRev" localSheetId="18">#REF!</definedName>
    <definedName name="StartCostRev" localSheetId="13">#REF!</definedName>
    <definedName name="StartCostRev" localSheetId="11">#REF!</definedName>
    <definedName name="StartCostRev">#REF!</definedName>
    <definedName name="StartRev" localSheetId="6">#REF!</definedName>
    <definedName name="StartRev" localSheetId="2">#REF!</definedName>
    <definedName name="StartRev" localSheetId="7">#REF!</definedName>
    <definedName name="StartRev" localSheetId="8">#REF!</definedName>
    <definedName name="StartRev" localSheetId="14">#REF!</definedName>
    <definedName name="StartRev" localSheetId="17">#REF!</definedName>
    <definedName name="StartRev" localSheetId="18">#REF!</definedName>
    <definedName name="StartRev" localSheetId="13">#REF!</definedName>
    <definedName name="StartRev" localSheetId="11">#REF!</definedName>
    <definedName name="StartRev">#REF!</definedName>
    <definedName name="Table19" localSheetId="6">'[19]SUMMARY - FSA'!#REF!</definedName>
    <definedName name="Table19" localSheetId="2">'[19]SUMMARY - FSA'!#REF!</definedName>
    <definedName name="Table19" localSheetId="7">'[19]SUMMARY - FSA'!#REF!</definedName>
    <definedName name="Table19" localSheetId="8">'[19]SUMMARY - FSA'!#REF!</definedName>
    <definedName name="Table19" localSheetId="14">'[19]SUMMARY - FSA'!#REF!</definedName>
    <definedName name="Table19" localSheetId="17">'[19]SUMMARY - FSA'!#REF!</definedName>
    <definedName name="Table19" localSheetId="18">'[19]SUMMARY - FSA'!#REF!</definedName>
    <definedName name="Table19" localSheetId="13">'[19]SUMMARY - FSA'!#REF!</definedName>
    <definedName name="Table19" localSheetId="11">'[19]SUMMARY - FSA'!#REF!</definedName>
    <definedName name="Table19">'[19]SUMMARY - FSA'!#REF!</definedName>
    <definedName name="Table20" localSheetId="6">'[19]SUMMARY - FSA'!#REF!</definedName>
    <definedName name="Table20" localSheetId="2">'[19]SUMMARY - FSA'!#REF!</definedName>
    <definedName name="Table20" localSheetId="7">'[19]SUMMARY - FSA'!#REF!</definedName>
    <definedName name="Table20" localSheetId="8">'[19]SUMMARY - FSA'!#REF!</definedName>
    <definedName name="Table20" localSheetId="14">'[19]SUMMARY - FSA'!#REF!</definedName>
    <definedName name="Table20" localSheetId="17">'[19]SUMMARY - FSA'!#REF!</definedName>
    <definedName name="Table20" localSheetId="18">'[19]SUMMARY - FSA'!#REF!</definedName>
    <definedName name="Table20" localSheetId="13">'[19]SUMMARY - FSA'!#REF!</definedName>
    <definedName name="Table20" localSheetId="11">'[19]SUMMARY - FSA'!#REF!</definedName>
    <definedName name="Table20">'[19]SUMMARY - FSA'!#REF!</definedName>
    <definedName name="Table30" localSheetId="6">'[19]SUMMARY - FSA'!#REF!</definedName>
    <definedName name="Table30" localSheetId="2">'[19]SUMMARY - FSA'!#REF!</definedName>
    <definedName name="Table30" localSheetId="7">'[19]SUMMARY - FSA'!#REF!</definedName>
    <definedName name="Table30" localSheetId="8">'[19]SUMMARY - FSA'!#REF!</definedName>
    <definedName name="Table30" localSheetId="14">'[19]SUMMARY - FSA'!#REF!</definedName>
    <definedName name="Table30" localSheetId="17">'[19]SUMMARY - FSA'!#REF!</definedName>
    <definedName name="Table30" localSheetId="18">'[19]SUMMARY - FSA'!#REF!</definedName>
    <definedName name="Table30" localSheetId="13">'[19]SUMMARY - FSA'!#REF!</definedName>
    <definedName name="Table30" localSheetId="11">'[19]SUMMARY - FSA'!#REF!</definedName>
    <definedName name="Table30">'[19]SUMMARY - FSA'!#REF!</definedName>
    <definedName name="Table40" localSheetId="6">#REF!</definedName>
    <definedName name="Table40" localSheetId="2">#REF!</definedName>
    <definedName name="Table40" localSheetId="7">#REF!</definedName>
    <definedName name="Table40" localSheetId="8">#REF!</definedName>
    <definedName name="Table40" localSheetId="14">#REF!</definedName>
    <definedName name="Table40" localSheetId="17">#REF!</definedName>
    <definedName name="Table40" localSheetId="18">#REF!</definedName>
    <definedName name="Table40" localSheetId="13">#REF!</definedName>
    <definedName name="Table40" localSheetId="11">#REF!</definedName>
    <definedName name="Table40">#REF!</definedName>
    <definedName name="Table50" localSheetId="6">#REF!</definedName>
    <definedName name="Table50" localSheetId="2">#REF!</definedName>
    <definedName name="Table50" localSheetId="7">#REF!</definedName>
    <definedName name="Table50" localSheetId="8">#REF!</definedName>
    <definedName name="Table50" localSheetId="14">#REF!</definedName>
    <definedName name="Table50" localSheetId="17">#REF!</definedName>
    <definedName name="Table50" localSheetId="18">#REF!</definedName>
    <definedName name="Table50" localSheetId="13">#REF!</definedName>
    <definedName name="Table50" localSheetId="11">#REF!</definedName>
    <definedName name="Table50">#REF!</definedName>
    <definedName name="Table60" localSheetId="6">#REF!</definedName>
    <definedName name="Table60" localSheetId="2">#REF!</definedName>
    <definedName name="Table60" localSheetId="7">#REF!</definedName>
    <definedName name="Table60" localSheetId="8">#REF!</definedName>
    <definedName name="Table60" localSheetId="14">#REF!</definedName>
    <definedName name="Table60" localSheetId="17">#REF!</definedName>
    <definedName name="Table60" localSheetId="18">#REF!</definedName>
    <definedName name="Table60" localSheetId="13">#REF!</definedName>
    <definedName name="Table60" localSheetId="11">#REF!</definedName>
    <definedName name="Table60">#REF!</definedName>
    <definedName name="Table70" localSheetId="6">#REF!</definedName>
    <definedName name="Table70" localSheetId="2">#REF!</definedName>
    <definedName name="Table70" localSheetId="7">#REF!</definedName>
    <definedName name="Table70" localSheetId="8">#REF!</definedName>
    <definedName name="Table70" localSheetId="14">#REF!</definedName>
    <definedName name="Table70" localSheetId="17">#REF!</definedName>
    <definedName name="Table70" localSheetId="18">#REF!</definedName>
    <definedName name="Table70" localSheetId="13">#REF!</definedName>
    <definedName name="Table70" localSheetId="11">#REF!</definedName>
    <definedName name="Table70">#REF!</definedName>
    <definedName name="Table80" localSheetId="6">#REF!</definedName>
    <definedName name="Table80" localSheetId="2">#REF!</definedName>
    <definedName name="Table80" localSheetId="7">#REF!</definedName>
    <definedName name="Table80" localSheetId="8">#REF!</definedName>
    <definedName name="Table80" localSheetId="14">#REF!</definedName>
    <definedName name="Table80" localSheetId="17">#REF!</definedName>
    <definedName name="Table80" localSheetId="18">#REF!</definedName>
    <definedName name="Table80" localSheetId="13">#REF!</definedName>
    <definedName name="Table80" localSheetId="11">#REF!</definedName>
    <definedName name="Table80">#REF!</definedName>
    <definedName name="Table90" localSheetId="6">#REF!</definedName>
    <definedName name="Table90" localSheetId="2">#REF!</definedName>
    <definedName name="Table90" localSheetId="7">#REF!</definedName>
    <definedName name="Table90" localSheetId="8">#REF!</definedName>
    <definedName name="Table90" localSheetId="14">#REF!</definedName>
    <definedName name="Table90" localSheetId="17">#REF!</definedName>
    <definedName name="Table90" localSheetId="18">#REF!</definedName>
    <definedName name="Table90" localSheetId="13">#REF!</definedName>
    <definedName name="Table90" localSheetId="11">#REF!</definedName>
    <definedName name="Table90">#REF!</definedName>
    <definedName name="TAllwaste" localSheetId="6">#REF!</definedName>
    <definedName name="TAllwaste" localSheetId="2">#REF!</definedName>
    <definedName name="TAllwaste" localSheetId="7">#REF!</definedName>
    <definedName name="TAllwaste" localSheetId="8">#REF!</definedName>
    <definedName name="TAllwaste" localSheetId="14">#REF!</definedName>
    <definedName name="TAllwaste" localSheetId="17">#REF!</definedName>
    <definedName name="TAllwaste" localSheetId="18">#REF!</definedName>
    <definedName name="TAllwaste" localSheetId="13">#REF!</definedName>
    <definedName name="TAllwaste" localSheetId="11">#REF!</definedName>
    <definedName name="TAllwaste">#REF!</definedName>
    <definedName name="TASONCOST" localSheetId="6">'[15]Oncost Rates'!#REF!</definedName>
    <definedName name="TASONCOST" localSheetId="2">'[15]Oncost Rates'!#REF!</definedName>
    <definedName name="TASONCOST" localSheetId="7">'[15]Oncost Rates'!#REF!</definedName>
    <definedName name="TASONCOST" localSheetId="8">'[15]Oncost Rates'!#REF!</definedName>
    <definedName name="TASONCOST" localSheetId="14">'[15]Oncost Rates'!#REF!</definedName>
    <definedName name="TASONCOST" localSheetId="17">'[15]Oncost Rates'!#REF!</definedName>
    <definedName name="TASONCOST" localSheetId="18">'[15]Oncost Rates'!#REF!</definedName>
    <definedName name="TASONCOST" localSheetId="13">'[15]Oncost Rates'!#REF!</definedName>
    <definedName name="TASONCOST" localSheetId="11">'[15]Oncost Rates'!#REF!</definedName>
    <definedName name="TASONCOST">'[15]Oncost Rates'!#REF!</definedName>
    <definedName name="TCommunications" localSheetId="6">#REF!</definedName>
    <definedName name="TCommunications" localSheetId="2">#REF!</definedName>
    <definedName name="TCommunications" localSheetId="7">#REF!</definedName>
    <definedName name="TCommunications" localSheetId="8">#REF!</definedName>
    <definedName name="TCommunications" localSheetId="14">#REF!</definedName>
    <definedName name="TCommunications" localSheetId="17">#REF!</definedName>
    <definedName name="TCommunications" localSheetId="18">#REF!</definedName>
    <definedName name="TCommunications" localSheetId="13">#REF!</definedName>
    <definedName name="TCommunications" localSheetId="11">#REF!</definedName>
    <definedName name="TCommunications">#REF!</definedName>
    <definedName name="testing" localSheetId="6">'[5]DTSJV - Jan 13'!#REF!</definedName>
    <definedName name="testing" localSheetId="2">'[5]DTSJV - Jan 13'!#REF!</definedName>
    <definedName name="testing" localSheetId="7">'[5]DTSJV - Jan 13'!#REF!</definedName>
    <definedName name="testing" localSheetId="8">'[5]DTSJV - Jan 13'!#REF!</definedName>
    <definedName name="testing" localSheetId="14">'[5]DTSJV - Jan 13'!#REF!</definedName>
    <definedName name="testing" localSheetId="17">'[5]DTSJV - Jan 13'!#REF!</definedName>
    <definedName name="testing" localSheetId="18">'[5]DTSJV - Jan 13'!#REF!</definedName>
    <definedName name="testing" localSheetId="13">'[5]DTSJV - Jan 13'!#REF!</definedName>
    <definedName name="testing" localSheetId="11">'[5]DTSJV - Jan 13'!#REF!</definedName>
    <definedName name="testing">'[5]DTSJV - Jan 13'!#REF!</definedName>
    <definedName name="TGarrettsNorth" localSheetId="6">#REF!</definedName>
    <definedName name="TGarrettsNorth" localSheetId="2">#REF!</definedName>
    <definedName name="TGarrettsNorth" localSheetId="7">#REF!</definedName>
    <definedName name="TGarrettsNorth" localSheetId="8">#REF!</definedName>
    <definedName name="TGarrettsNorth" localSheetId="14">#REF!</definedName>
    <definedName name="TGarrettsNorth" localSheetId="17">#REF!</definedName>
    <definedName name="TGarrettsNorth" localSheetId="18">#REF!</definedName>
    <definedName name="TGarrettsNorth" localSheetId="13">#REF!</definedName>
    <definedName name="TGarrettsNorth" localSheetId="11">#REF!</definedName>
    <definedName name="TGarrettsNorth">#REF!</definedName>
    <definedName name="TGarrettsSouth" localSheetId="6">#REF!</definedName>
    <definedName name="TGarrettsSouth" localSheetId="2">#REF!</definedName>
    <definedName name="TGarrettsSouth" localSheetId="7">#REF!</definedName>
    <definedName name="TGarrettsSouth" localSheetId="8">#REF!</definedName>
    <definedName name="TGarrettsSouth" localSheetId="14">#REF!</definedName>
    <definedName name="TGarrettsSouth" localSheetId="17">#REF!</definedName>
    <definedName name="TGarrettsSouth" localSheetId="18">#REF!</definedName>
    <definedName name="TGarrettsSouth" localSheetId="13">#REF!</definedName>
    <definedName name="TGarrettsSouth" localSheetId="11">#REF!</definedName>
    <definedName name="TGarrettsSouth">#REF!</definedName>
    <definedName name="THydro" localSheetId="6">#REF!</definedName>
    <definedName name="THydro" localSheetId="2">#REF!</definedName>
    <definedName name="THydro" localSheetId="7">#REF!</definedName>
    <definedName name="THydro" localSheetId="8">#REF!</definedName>
    <definedName name="THydro" localSheetId="14">#REF!</definedName>
    <definedName name="THydro" localSheetId="17">#REF!</definedName>
    <definedName name="THydro" localSheetId="18">#REF!</definedName>
    <definedName name="THydro" localSheetId="13">#REF!</definedName>
    <definedName name="THydro" localSheetId="11">#REF!</definedName>
    <definedName name="THydro">#REF!</definedName>
    <definedName name="TimeProPivot">[12]TimeProData!$A$2</definedName>
    <definedName name="TMtceSJ" localSheetId="6">#REF!</definedName>
    <definedName name="TMtceSJ" localSheetId="2">#REF!</definedName>
    <definedName name="TMtceSJ" localSheetId="7">#REF!</definedName>
    <definedName name="TMtceSJ" localSheetId="8">#REF!</definedName>
    <definedName name="TMtceSJ" localSheetId="14">#REF!</definedName>
    <definedName name="TMtceSJ" localSheetId="17">#REF!</definedName>
    <definedName name="TMtceSJ" localSheetId="18">#REF!</definedName>
    <definedName name="TMtceSJ" localSheetId="13">#REF!</definedName>
    <definedName name="TMtceSJ" localSheetId="11">#REF!</definedName>
    <definedName name="TMtceSJ">#REF!</definedName>
    <definedName name="TMultinet" localSheetId="6">#REF!</definedName>
    <definedName name="TMultinet" localSheetId="2">#REF!</definedName>
    <definedName name="TMultinet" localSheetId="7">#REF!</definedName>
    <definedName name="TMultinet" localSheetId="8">#REF!</definedName>
    <definedName name="TMultinet" localSheetId="14">#REF!</definedName>
    <definedName name="TMultinet" localSheetId="17">#REF!</definedName>
    <definedName name="TMultinet" localSheetId="18">#REF!</definedName>
    <definedName name="TMultinet" localSheetId="13">#REF!</definedName>
    <definedName name="TMultinet" localSheetId="11">#REF!</definedName>
    <definedName name="TMultinet">#REF!</definedName>
    <definedName name="TMW" localSheetId="6">#REF!</definedName>
    <definedName name="TMW" localSheetId="2">#REF!</definedName>
    <definedName name="TMW" localSheetId="7">#REF!</definedName>
    <definedName name="TMW" localSheetId="8">#REF!</definedName>
    <definedName name="TMW" localSheetId="14">#REF!</definedName>
    <definedName name="TMW" localSheetId="17">#REF!</definedName>
    <definedName name="TMW" localSheetId="18">#REF!</definedName>
    <definedName name="TMW" localSheetId="13">#REF!</definedName>
    <definedName name="TMW" localSheetId="11">#REF!</definedName>
    <definedName name="TMW">#REF!</definedName>
    <definedName name="TotalJobCurrMth" localSheetId="6">#REF!</definedName>
    <definedName name="TotalJobCurrMth" localSheetId="2">#REF!</definedName>
    <definedName name="TotalJobCurrMth" localSheetId="7">#REF!</definedName>
    <definedName name="TotalJobCurrMth" localSheetId="8">#REF!</definedName>
    <definedName name="TotalJobCurrMth" localSheetId="14">#REF!</definedName>
    <definedName name="TotalJobCurrMth" localSheetId="17">#REF!</definedName>
    <definedName name="TotalJobCurrMth" localSheetId="18">#REF!</definedName>
    <definedName name="TotalJobCurrMth" localSheetId="13">#REF!</definedName>
    <definedName name="TotalJobCurrMth" localSheetId="11">#REF!</definedName>
    <definedName name="TotalJobCurrMth">#REF!</definedName>
    <definedName name="TotalJobLastMth" localSheetId="6">#REF!</definedName>
    <definedName name="TotalJobLastMth" localSheetId="2">#REF!</definedName>
    <definedName name="TotalJobLastMth" localSheetId="7">#REF!</definedName>
    <definedName name="TotalJobLastMth" localSheetId="8">#REF!</definedName>
    <definedName name="TotalJobLastMth" localSheetId="14">#REF!</definedName>
    <definedName name="TotalJobLastMth" localSheetId="17">#REF!</definedName>
    <definedName name="TotalJobLastMth" localSheetId="18">#REF!</definedName>
    <definedName name="TotalJobLastMth" localSheetId="13">#REF!</definedName>
    <definedName name="TotalJobLastMth" localSheetId="11">#REF!</definedName>
    <definedName name="TotalJobLastMth">#REF!</definedName>
    <definedName name="TrCatInsert" localSheetId="6">'[10]Validation Tables'!#REF!</definedName>
    <definedName name="TrCatInsert" localSheetId="2">'[10]Validation Tables'!#REF!</definedName>
    <definedName name="TrCatInsert" localSheetId="7">'[10]Validation Tables'!#REF!</definedName>
    <definedName name="TrCatInsert" localSheetId="8">'[10]Validation Tables'!#REF!</definedName>
    <definedName name="TrCatInsert" localSheetId="14">'[10]Validation Tables'!#REF!</definedName>
    <definedName name="TrCatInsert" localSheetId="17">'[10]Validation Tables'!#REF!</definedName>
    <definedName name="TrCatInsert" localSheetId="18">'[10]Validation Tables'!#REF!</definedName>
    <definedName name="TrCatInsert" localSheetId="13">'[10]Validation Tables'!#REF!</definedName>
    <definedName name="TrCatInsert" localSheetId="11">'[10]Validation Tables'!#REF!</definedName>
    <definedName name="TrCatInsert">'[10]Validation Tables'!#REF!</definedName>
    <definedName name="TRemediation" localSheetId="6">#REF!</definedName>
    <definedName name="TRemediation" localSheetId="2">#REF!</definedName>
    <definedName name="TRemediation" localSheetId="7">#REF!</definedName>
    <definedName name="TRemediation" localSheetId="8">#REF!</definedName>
    <definedName name="TRemediation" localSheetId="14">#REF!</definedName>
    <definedName name="TRemediation" localSheetId="17">#REF!</definedName>
    <definedName name="TRemediation" localSheetId="18">#REF!</definedName>
    <definedName name="TRemediation" localSheetId="13">#REF!</definedName>
    <definedName name="TRemediation" localSheetId="11">#REF!</definedName>
    <definedName name="TRemediation">#REF!</definedName>
    <definedName name="TrSumCat">'[10]Validation Tables'!$E$11</definedName>
    <definedName name="TrSumNewLine" localSheetId="6">[10]Macros!#REF!</definedName>
    <definedName name="TrSumNewLine" localSheetId="2">[10]Macros!#REF!</definedName>
    <definedName name="TrSumNewLine" localSheetId="7">[10]Macros!#REF!</definedName>
    <definedName name="TrSumNewLine" localSheetId="8">[10]Macros!#REF!</definedName>
    <definedName name="TrSumNewLine" localSheetId="14">[10]Macros!#REF!</definedName>
    <definedName name="TrSumNewLine" localSheetId="17">[10]Macros!#REF!</definedName>
    <definedName name="TrSumNewLine" localSheetId="18">[10]Macros!#REF!</definedName>
    <definedName name="TrSumNewLine" localSheetId="13">[10]Macros!#REF!</definedName>
    <definedName name="TrSumNewLine" localSheetId="11">[10]Macros!#REF!</definedName>
    <definedName name="TrSumNewLine">[10]Macros!#REF!</definedName>
    <definedName name="TrSumType">'[10]Validation Tables'!$B$11:$D$24</definedName>
    <definedName name="TSEWL" localSheetId="6">#REF!</definedName>
    <definedName name="TSEWL" localSheetId="2">#REF!</definedName>
    <definedName name="TSEWL" localSheetId="7">#REF!</definedName>
    <definedName name="TSEWL" localSheetId="8">#REF!</definedName>
    <definedName name="TSEWL" localSheetId="14">#REF!</definedName>
    <definedName name="TSEWL" localSheetId="17">#REF!</definedName>
    <definedName name="TSEWL" localSheetId="18">#REF!</definedName>
    <definedName name="TSEWL" localSheetId="13">#REF!</definedName>
    <definedName name="TSEWL" localSheetId="11">#REF!</definedName>
    <definedName name="TSEWL">#REF!</definedName>
    <definedName name="tsum" localSheetId="6">#REF!</definedName>
    <definedName name="tsum" localSheetId="2">#REF!</definedName>
    <definedName name="tsum" localSheetId="7">#REF!</definedName>
    <definedName name="tsum" localSheetId="8">#REF!</definedName>
    <definedName name="tsum" localSheetId="14">#REF!</definedName>
    <definedName name="tsum" localSheetId="17">#REF!</definedName>
    <definedName name="tsum" localSheetId="18">#REF!</definedName>
    <definedName name="tsum" localSheetId="13">#REF!</definedName>
    <definedName name="tsum" localSheetId="11">#REF!</definedName>
    <definedName name="tsum">#REF!</definedName>
    <definedName name="tt" localSheetId="6">#REF!</definedName>
    <definedName name="tt" localSheetId="2">#REF!</definedName>
    <definedName name="tt" localSheetId="7">#REF!</definedName>
    <definedName name="tt" localSheetId="8">#REF!</definedName>
    <definedName name="tt" localSheetId="14">#REF!</definedName>
    <definedName name="tt" localSheetId="17">#REF!</definedName>
    <definedName name="tt" localSheetId="18">#REF!</definedName>
    <definedName name="tt" localSheetId="13">#REF!</definedName>
    <definedName name="tt" localSheetId="11">#REF!</definedName>
    <definedName name="tt">#REF!</definedName>
    <definedName name="ttttttt" localSheetId="7" hidden="1">{"gyprint",#N/A,FALSE,"Goonyella";"rvprint",#N/A,FALSE,"Riverside"}</definedName>
    <definedName name="ttttttt" localSheetId="8" hidden="1">{"gyprint",#N/A,FALSE,"Goonyella";"rvprint",#N/A,FALSE,"Riverside"}</definedName>
    <definedName name="ttttttt" localSheetId="14" hidden="1">{"gyprint",#N/A,FALSE,"Goonyella";"rvprint",#N/A,FALSE,"Riverside"}</definedName>
    <definedName name="ttttttt" localSheetId="17" hidden="1">{"gyprint",#N/A,FALSE,"Goonyella";"rvprint",#N/A,FALSE,"Riverside"}</definedName>
    <definedName name="ttttttt" localSheetId="18" hidden="1">{"gyprint",#N/A,FALSE,"Goonyella";"rvprint",#N/A,FALSE,"Riverside"}</definedName>
    <definedName name="ttttttt" localSheetId="11" hidden="1">{"gyprint",#N/A,FALSE,"Goonyella";"rvprint",#N/A,FALSE,"Riverside"}</definedName>
    <definedName name="ttttttt" hidden="1">{"gyprint",#N/A,FALSE,"Goonyella";"rvprint",#N/A,FALSE,"Riverside"}</definedName>
    <definedName name="ttttttttttttt" localSheetId="7" hidden="1">{"gyprint",#N/A,FALSE,"Goonyella";"rvprint",#N/A,FALSE,"Riverside"}</definedName>
    <definedName name="ttttttttttttt" localSheetId="8" hidden="1">{"gyprint",#N/A,FALSE,"Goonyella";"rvprint",#N/A,FALSE,"Riverside"}</definedName>
    <definedName name="ttttttttttttt" localSheetId="14" hidden="1">{"gyprint",#N/A,FALSE,"Goonyella";"rvprint",#N/A,FALSE,"Riverside"}</definedName>
    <definedName name="ttttttttttttt" localSheetId="17" hidden="1">{"gyprint",#N/A,FALSE,"Goonyella";"rvprint",#N/A,FALSE,"Riverside"}</definedName>
    <definedName name="ttttttttttttt" localSheetId="18" hidden="1">{"gyprint",#N/A,FALSE,"Goonyella";"rvprint",#N/A,FALSE,"Riverside"}</definedName>
    <definedName name="ttttttttttttt" localSheetId="11" hidden="1">{"gyprint",#N/A,FALSE,"Goonyella";"rvprint",#N/A,FALSE,"Riverside"}</definedName>
    <definedName name="ttttttttttttt" hidden="1">{"gyprint",#N/A,FALSE,"Goonyella";"rvprint",#N/A,FALSE,"Riverside"}</definedName>
    <definedName name="ttyu" localSheetId="7" hidden="1">{"gyprint",#N/A,FALSE,"Goonyella";"rvprint",#N/A,FALSE,"Riverside"}</definedName>
    <definedName name="ttyu" localSheetId="8" hidden="1">{"gyprint",#N/A,FALSE,"Goonyella";"rvprint",#N/A,FALSE,"Riverside"}</definedName>
    <definedName name="ttyu" localSheetId="14" hidden="1">{"gyprint",#N/A,FALSE,"Goonyella";"rvprint",#N/A,FALSE,"Riverside"}</definedName>
    <definedName name="ttyu" localSheetId="17" hidden="1">{"gyprint",#N/A,FALSE,"Goonyella";"rvprint",#N/A,FALSE,"Riverside"}</definedName>
    <definedName name="ttyu" localSheetId="18" hidden="1">{"gyprint",#N/A,FALSE,"Goonyella";"rvprint",#N/A,FALSE,"Riverside"}</definedName>
    <definedName name="ttyu" localSheetId="11" hidden="1">{"gyprint",#N/A,FALSE,"Goonyella";"rvprint",#N/A,FALSE,"Riverside"}</definedName>
    <definedName name="ttyu" hidden="1">{"gyprint",#N/A,FALSE,"Goonyella";"rvprint",#N/A,FALSE,"Riverside"}</definedName>
    <definedName name="TUEMOORBN" localSheetId="6">#REF!</definedName>
    <definedName name="TUEMOORBN" localSheetId="2">#REF!</definedName>
    <definedName name="TUEMOORBN" localSheetId="7">#REF!</definedName>
    <definedName name="TUEMOORBN" localSheetId="8">#REF!</definedName>
    <definedName name="TUEMOORBN" localSheetId="14">#REF!</definedName>
    <definedName name="TUEMOORBN" localSheetId="17">#REF!</definedName>
    <definedName name="TUEMOORBN" localSheetId="18">#REF!</definedName>
    <definedName name="TUEMOORBN" localSheetId="13">#REF!</definedName>
    <definedName name="TUEMOORBN" localSheetId="11">#REF!</definedName>
    <definedName name="TUEMOORBN">#REF!</definedName>
    <definedName name="TUEMORN" localSheetId="6">#REF!</definedName>
    <definedName name="TUEMORN" localSheetId="2">#REF!</definedName>
    <definedName name="TUEMORN" localSheetId="7">#REF!</definedName>
    <definedName name="TUEMORN" localSheetId="8">#REF!</definedName>
    <definedName name="TUEMORN" localSheetId="14">#REF!</definedName>
    <definedName name="TUEMORN" localSheetId="17">#REF!</definedName>
    <definedName name="TUEMORN" localSheetId="18">#REF!</definedName>
    <definedName name="TUEMORN" localSheetId="13">#REF!</definedName>
    <definedName name="TUEMORN" localSheetId="11">#REF!</definedName>
    <definedName name="TUEMORN">#REF!</definedName>
    <definedName name="TUEOHDS" localSheetId="6">#REF!</definedName>
    <definedName name="TUEOHDS" localSheetId="2">#REF!</definedName>
    <definedName name="TUEOHDS" localSheetId="7">#REF!</definedName>
    <definedName name="TUEOHDS" localSheetId="8">#REF!</definedName>
    <definedName name="TUEOHDS" localSheetId="14">#REF!</definedName>
    <definedName name="TUEOHDS" localSheetId="17">#REF!</definedName>
    <definedName name="TUEOHDS" localSheetId="18">#REF!</definedName>
    <definedName name="TUEOHDS" localSheetId="13">#REF!</definedName>
    <definedName name="TUEOHDS" localSheetId="11">#REF!</definedName>
    <definedName name="TUEOHDS">#REF!</definedName>
    <definedName name="tut" localSheetId="7" hidden="1">{"gyprint",#N/A,FALSE,"Goonyella";"rvprint",#N/A,FALSE,"Riverside"}</definedName>
    <definedName name="tut" localSheetId="8" hidden="1">{"gyprint",#N/A,FALSE,"Goonyella";"rvprint",#N/A,FALSE,"Riverside"}</definedName>
    <definedName name="tut" localSheetId="14" hidden="1">{"gyprint",#N/A,FALSE,"Goonyella";"rvprint",#N/A,FALSE,"Riverside"}</definedName>
    <definedName name="tut" localSheetId="17" hidden="1">{"gyprint",#N/A,FALSE,"Goonyella";"rvprint",#N/A,FALSE,"Riverside"}</definedName>
    <definedName name="tut" localSheetId="18" hidden="1">{"gyprint",#N/A,FALSE,"Goonyella";"rvprint",#N/A,FALSE,"Riverside"}</definedName>
    <definedName name="tut" localSheetId="11" hidden="1">{"gyprint",#N/A,FALSE,"Goonyella";"rvprint",#N/A,FALSE,"Riverside"}</definedName>
    <definedName name="tut" hidden="1">{"gyprint",#N/A,FALSE,"Goonyella";"rvprint",#N/A,FALSE,"Riverside"}</definedName>
    <definedName name="TWACorp" localSheetId="6">#REF!</definedName>
    <definedName name="TWACorp" localSheetId="2">#REF!</definedName>
    <definedName name="TWACorp" localSheetId="7">#REF!</definedName>
    <definedName name="TWACorp" localSheetId="8">#REF!</definedName>
    <definedName name="TWACorp" localSheetId="14">#REF!</definedName>
    <definedName name="TWACorp" localSheetId="17">#REF!</definedName>
    <definedName name="TWACorp" localSheetId="18">#REF!</definedName>
    <definedName name="TWACorp" localSheetId="13">#REF!</definedName>
    <definedName name="TWACorp" localSheetId="11">#REF!</definedName>
    <definedName name="TWACorp">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VALS" localSheetId="6">'[5]DTSJV - Jan 13'!#REF!</definedName>
    <definedName name="VALS" localSheetId="2">'[5]DTSJV - Jan 13'!#REF!</definedName>
    <definedName name="VALS" localSheetId="7">'[5]DTSJV - Jan 13'!#REF!</definedName>
    <definedName name="VALS" localSheetId="8">'[5]DTSJV - Jan 13'!#REF!</definedName>
    <definedName name="VALS" localSheetId="14">'[5]DTSJV - Jan 13'!#REF!</definedName>
    <definedName name="VALS" localSheetId="17">'[5]DTSJV - Jan 13'!#REF!</definedName>
    <definedName name="VALS" localSheetId="18">'[5]DTSJV - Jan 13'!#REF!</definedName>
    <definedName name="VALS" localSheetId="13">'[5]DTSJV - Jan 13'!#REF!</definedName>
    <definedName name="VALS" localSheetId="11">'[5]DTSJV - Jan 13'!#REF!</definedName>
    <definedName name="VALS">'[5]DTSJV - Jan 13'!#REF!</definedName>
    <definedName name="VarCodeDesc">'[7]Variance Codes'!$A$2:$B$102</definedName>
    <definedName name="VASG" localSheetId="6" hidden="1">'[3]Target Data'!#REF!</definedName>
    <definedName name="VASG" localSheetId="2" hidden="1">'[3]Target Data'!#REF!</definedName>
    <definedName name="VASG" localSheetId="7" hidden="1">'[3]Target Data'!#REF!</definedName>
    <definedName name="VASG" localSheetId="8" hidden="1">'[3]Target Data'!#REF!</definedName>
    <definedName name="VASG" localSheetId="14" hidden="1">'[3]Target Data'!#REF!</definedName>
    <definedName name="VASG" localSheetId="17" hidden="1">'[3]Target Data'!#REF!</definedName>
    <definedName name="VASG" localSheetId="18" hidden="1">'[3]Target Data'!#REF!</definedName>
    <definedName name="VASG" localSheetId="13" hidden="1">'[3]Target Data'!#REF!</definedName>
    <definedName name="VASG" localSheetId="11" hidden="1">'[3]Target Data'!#REF!</definedName>
    <definedName name="VASG" hidden="1">'[3]Target Data'!#REF!</definedName>
    <definedName name="wrn.CASH." localSheetId="7" hidden="1">{#N/A,#N/A,FALSE,"BLUESKYE"}</definedName>
    <definedName name="wrn.CASH." localSheetId="8" hidden="1">{#N/A,#N/A,FALSE,"BLUESKYE"}</definedName>
    <definedName name="wrn.CASH." localSheetId="14" hidden="1">{#N/A,#N/A,FALSE,"BLUESKYE"}</definedName>
    <definedName name="wrn.CASH." localSheetId="17" hidden="1">{#N/A,#N/A,FALSE,"BLUESKYE"}</definedName>
    <definedName name="wrn.CASH." localSheetId="18" hidden="1">{#N/A,#N/A,FALSE,"BLUESKYE"}</definedName>
    <definedName name="wrn.CASH." localSheetId="11" hidden="1">{#N/A,#N/A,FALSE,"BLUESKYE"}</definedName>
    <definedName name="wrn.CASH." hidden="1">{#N/A,#N/A,FALSE,"BLUESKYE"}</definedName>
    <definedName name="wrn.guides." localSheetId="7" hidden="1">{"gyprint",#N/A,FALSE,"Goonyella";"rvprint",#N/A,FALSE,"Riverside"}</definedName>
    <definedName name="wrn.guides." localSheetId="8" hidden="1">{"gyprint",#N/A,FALSE,"Goonyella";"rvprint",#N/A,FALSE,"Riverside"}</definedName>
    <definedName name="wrn.guides." localSheetId="14" hidden="1">{"gyprint",#N/A,FALSE,"Goonyella";"rvprint",#N/A,FALSE,"Riverside"}</definedName>
    <definedName name="wrn.guides." localSheetId="17" hidden="1">{"gyprint",#N/A,FALSE,"Goonyella";"rvprint",#N/A,FALSE,"Riverside"}</definedName>
    <definedName name="wrn.guides." localSheetId="18" hidden="1">{"gyprint",#N/A,FALSE,"Goonyella";"rvprint",#N/A,FALSE,"Riverside"}</definedName>
    <definedName name="wrn.guides." localSheetId="11" hidden="1">{"gyprint",#N/A,FALSE,"Goonyella";"rvprint",#N/A,FALSE,"Riverside"}</definedName>
    <definedName name="wrn.guides." hidden="1">{"gyprint",#N/A,FALSE,"Goonyella";"rvprint",#N/A,FALSE,"Riverside"}</definedName>
    <definedName name="wrn.GYYR1." localSheetId="7" hidden="1">{"QUANTAT1",#N/A,FALSE,"GOONELLA YR1";"QUANTAT3",#N/A,FALSE,"GOONELLA YR1";"QUANTAT2",#N/A,FALSE,"GOONELLA YR1";"QUANTAT4",#N/A,FALSE,"GOONELLA YR1";"QUANTAT5",#N/A,FALSE,"GOONELLA YR1";"QUANTAT6",#N/A,FALSE,"GOONELLA YR1"}</definedName>
    <definedName name="wrn.GYYR1." localSheetId="8" hidden="1">{"QUANTAT1",#N/A,FALSE,"GOONELLA YR1";"QUANTAT3",#N/A,FALSE,"GOONELLA YR1";"QUANTAT2",#N/A,FALSE,"GOONELLA YR1";"QUANTAT4",#N/A,FALSE,"GOONELLA YR1";"QUANTAT5",#N/A,FALSE,"GOONELLA YR1";"QUANTAT6",#N/A,FALSE,"GOONELLA YR1"}</definedName>
    <definedName name="wrn.GYYR1." localSheetId="14" hidden="1">{"QUANTAT1",#N/A,FALSE,"GOONELLA YR1";"QUANTAT3",#N/A,FALSE,"GOONELLA YR1";"QUANTAT2",#N/A,FALSE,"GOONELLA YR1";"QUANTAT4",#N/A,FALSE,"GOONELLA YR1";"QUANTAT5",#N/A,FALSE,"GOONELLA YR1";"QUANTAT6",#N/A,FALSE,"GOONELLA YR1"}</definedName>
    <definedName name="wrn.GYYR1." localSheetId="17" hidden="1">{"QUANTAT1",#N/A,FALSE,"GOONELLA YR1";"QUANTAT3",#N/A,FALSE,"GOONELLA YR1";"QUANTAT2",#N/A,FALSE,"GOONELLA YR1";"QUANTAT4",#N/A,FALSE,"GOONELLA YR1";"QUANTAT5",#N/A,FALSE,"GOONELLA YR1";"QUANTAT6",#N/A,FALSE,"GOONELLA YR1"}</definedName>
    <definedName name="wrn.GYYR1." localSheetId="18" hidden="1">{"QUANTAT1",#N/A,FALSE,"GOONELLA YR1";"QUANTAT3",#N/A,FALSE,"GOONELLA YR1";"QUANTAT2",#N/A,FALSE,"GOONELLA YR1";"QUANTAT4",#N/A,FALSE,"GOONELLA YR1";"QUANTAT5",#N/A,FALSE,"GOONELLA YR1";"QUANTAT6",#N/A,FALSE,"GOONELLA YR1"}</definedName>
    <definedName name="wrn.GYYR1." localSheetId="11" hidden="1">{"QUANTAT1",#N/A,FALSE,"GOONELLA YR1";"QUANTAT3",#N/A,FALSE,"GOONELLA YR1";"QUANTAT2",#N/A,FALSE,"GOONELLA YR1";"QUANTAT4",#N/A,FALSE,"GOONELLA YR1";"QUANTAT5",#N/A,FALSE,"GOONELLA YR1";"QUANTAT6",#N/A,FALSE,"GOONELLA YR1"}</definedName>
    <definedName name="wrn.GYYR1." hidden="1">{"QUANTAT1",#N/A,FALSE,"GOONELLA YR1";"QUANTAT3",#N/A,FALSE,"GOONELLA YR1";"QUANTAT2",#N/A,FALSE,"GOONELLA YR1";"QUANTAT4",#N/A,FALSE,"GOONELLA YR1";"QUANTAT5",#N/A,FALSE,"GOONELLA YR1";"QUANTAT6",#N/A,FALSE,"GOONELLA YR1"}</definedName>
    <definedName name="wrn.JVREPORT." localSheetId="7" hidden="1">{#N/A,#N/A,FALSE,"RESULTS";#N/A,#N/A,FALSE,"FORECAST";#N/A,#N/A,FALSE,"ProvGraph";#N/A,#N/A,FALSE,"NEG PROV";#N/A,#N/A,FALSE,"PROVCOSTGRAPH";#N/A,#N/A,FALSE,"FittGraph";#N/A,#N/A,FALSE,"HireGraph"}</definedName>
    <definedName name="wrn.JVREPORT." localSheetId="8" hidden="1">{#N/A,#N/A,FALSE,"RESULTS";#N/A,#N/A,FALSE,"FORECAST";#N/A,#N/A,FALSE,"ProvGraph";#N/A,#N/A,FALSE,"NEG PROV";#N/A,#N/A,FALSE,"PROVCOSTGRAPH";#N/A,#N/A,FALSE,"FittGraph";#N/A,#N/A,FALSE,"HireGraph"}</definedName>
    <definedName name="wrn.JVREPORT." localSheetId="14" hidden="1">{#N/A,#N/A,FALSE,"RESULTS";#N/A,#N/A,FALSE,"FORECAST";#N/A,#N/A,FALSE,"ProvGraph";#N/A,#N/A,FALSE,"NEG PROV";#N/A,#N/A,FALSE,"PROVCOSTGRAPH";#N/A,#N/A,FALSE,"FittGraph";#N/A,#N/A,FALSE,"HireGraph"}</definedName>
    <definedName name="wrn.JVREPORT." localSheetId="17" hidden="1">{#N/A,#N/A,FALSE,"RESULTS";#N/A,#N/A,FALSE,"FORECAST";#N/A,#N/A,FALSE,"ProvGraph";#N/A,#N/A,FALSE,"NEG PROV";#N/A,#N/A,FALSE,"PROVCOSTGRAPH";#N/A,#N/A,FALSE,"FittGraph";#N/A,#N/A,FALSE,"HireGraph"}</definedName>
    <definedName name="wrn.JVREPORT." localSheetId="18" hidden="1">{#N/A,#N/A,FALSE,"RESULTS";#N/A,#N/A,FALSE,"FORECAST";#N/A,#N/A,FALSE,"ProvGraph";#N/A,#N/A,FALSE,"NEG PROV";#N/A,#N/A,FALSE,"PROVCOSTGRAPH";#N/A,#N/A,FALSE,"FittGraph";#N/A,#N/A,FALSE,"HireGraph"}</definedName>
    <definedName name="wrn.JVREPORT." localSheetId="11" hidden="1">{#N/A,#N/A,FALSE,"RESULTS";#N/A,#N/A,FALSE,"FORECAST";#N/A,#N/A,FALSE,"ProvGraph";#N/A,#N/A,FALSE,"NEG PROV";#N/A,#N/A,FALSE,"PROVCOSTGRAPH";#N/A,#N/A,FALSE,"FittGraph";#N/A,#N/A,FALSE,"HireGraph"}</definedName>
    <definedName name="wrn.JVREPORT." hidden="1">{#N/A,#N/A,FALSE,"RESULTS";#N/A,#N/A,FALSE,"FORECAST";#N/A,#N/A,FALSE,"ProvGraph";#N/A,#N/A,FALSE,"NEG PROV";#N/A,#N/A,FALSE,"PROVCOSTGRAPH";#N/A,#N/A,FALSE,"FittGraph";#N/A,#N/A,FALSE,"HireGraph"}</definedName>
    <definedName name="wrn.JVREPORT.1" localSheetId="7" hidden="1">{#N/A,#N/A,FALSE,"RESULTS";#N/A,#N/A,FALSE,"FORECAST";#N/A,#N/A,FALSE,"ProvGraph";#N/A,#N/A,FALSE,"NEG PROV";#N/A,#N/A,FALSE,"PROVCOSTGRAPH";#N/A,#N/A,FALSE,"FittGraph";#N/A,#N/A,FALSE,"HireGraph"}</definedName>
    <definedName name="wrn.JVREPORT.1" localSheetId="8" hidden="1">{#N/A,#N/A,FALSE,"RESULTS";#N/A,#N/A,FALSE,"FORECAST";#N/A,#N/A,FALSE,"ProvGraph";#N/A,#N/A,FALSE,"NEG PROV";#N/A,#N/A,FALSE,"PROVCOSTGRAPH";#N/A,#N/A,FALSE,"FittGraph";#N/A,#N/A,FALSE,"HireGraph"}</definedName>
    <definedName name="wrn.JVREPORT.1" localSheetId="14" hidden="1">{#N/A,#N/A,FALSE,"RESULTS";#N/A,#N/A,FALSE,"FORECAST";#N/A,#N/A,FALSE,"ProvGraph";#N/A,#N/A,FALSE,"NEG PROV";#N/A,#N/A,FALSE,"PROVCOSTGRAPH";#N/A,#N/A,FALSE,"FittGraph";#N/A,#N/A,FALSE,"HireGraph"}</definedName>
    <definedName name="wrn.JVREPORT.1" localSheetId="17" hidden="1">{#N/A,#N/A,FALSE,"RESULTS";#N/A,#N/A,FALSE,"FORECAST";#N/A,#N/A,FALSE,"ProvGraph";#N/A,#N/A,FALSE,"NEG PROV";#N/A,#N/A,FALSE,"PROVCOSTGRAPH";#N/A,#N/A,FALSE,"FittGraph";#N/A,#N/A,FALSE,"HireGraph"}</definedName>
    <definedName name="wrn.JVREPORT.1" localSheetId="18" hidden="1">{#N/A,#N/A,FALSE,"RESULTS";#N/A,#N/A,FALSE,"FORECAST";#N/A,#N/A,FALSE,"ProvGraph";#N/A,#N/A,FALSE,"NEG PROV";#N/A,#N/A,FALSE,"PROVCOSTGRAPH";#N/A,#N/A,FALSE,"FittGraph";#N/A,#N/A,FALSE,"HireGraph"}</definedName>
    <definedName name="wrn.JVREPORT.1" localSheetId="11" hidden="1">{#N/A,#N/A,FALSE,"RESULTS";#N/A,#N/A,FALSE,"FORECAST";#N/A,#N/A,FALSE,"ProvGraph";#N/A,#N/A,FALSE,"NEG PROV";#N/A,#N/A,FALSE,"PROVCOSTGRAPH";#N/A,#N/A,FALSE,"FittGraph";#N/A,#N/A,FALSE,"HireGraph"}</definedName>
    <definedName name="wrn.JVREPORT.1" hidden="1">{#N/A,#N/A,FALSE,"RESULTS";#N/A,#N/A,FALSE,"FORECAST";#N/A,#N/A,FALSE,"ProvGraph";#N/A,#N/A,FALSE,"NEG PROV";#N/A,#N/A,FALSE,"PROVCOSTGRAPH";#N/A,#N/A,FALSE,"FittGraph";#N/A,#N/A,FALSE,"HireGraph"}</definedName>
    <definedName name="wrn.PROFIT." localSheetId="7" hidden="1">{#N/A,#N/A,FALSE,"BLUESKYE"}</definedName>
    <definedName name="wrn.PROFIT." localSheetId="8" hidden="1">{#N/A,#N/A,FALSE,"BLUESKYE"}</definedName>
    <definedName name="wrn.PROFIT." localSheetId="14" hidden="1">{#N/A,#N/A,FALSE,"BLUESKYE"}</definedName>
    <definedName name="wrn.PROFIT." localSheetId="17" hidden="1">{#N/A,#N/A,FALSE,"BLUESKYE"}</definedName>
    <definedName name="wrn.PROFIT." localSheetId="18" hidden="1">{#N/A,#N/A,FALSE,"BLUESKYE"}</definedName>
    <definedName name="wrn.PROFIT." localSheetId="11" hidden="1">{#N/A,#N/A,FALSE,"BLUESKYE"}</definedName>
    <definedName name="wrn.PROFIT." hidden="1">{#N/A,#N/A,FALSE,"BLUESKYE"}</definedName>
    <definedName name="wrn.RVYR1." localSheetId="7" hidden="1">{"RVQUANTAT1",#N/A,FALSE,"RIVERSIDE YR1";"RVQUANTAT2",#N/A,FALSE,"RIVERSIDE YR1";"RVQUANTAT3",#N/A,FALSE,"RIVERSIDE YR1"}</definedName>
    <definedName name="wrn.RVYR1." localSheetId="8" hidden="1">{"RVQUANTAT1",#N/A,FALSE,"RIVERSIDE YR1";"RVQUANTAT2",#N/A,FALSE,"RIVERSIDE YR1";"RVQUANTAT3",#N/A,FALSE,"RIVERSIDE YR1"}</definedName>
    <definedName name="wrn.RVYR1." localSheetId="14" hidden="1">{"RVQUANTAT1",#N/A,FALSE,"RIVERSIDE YR1";"RVQUANTAT2",#N/A,FALSE,"RIVERSIDE YR1";"RVQUANTAT3",#N/A,FALSE,"RIVERSIDE YR1"}</definedName>
    <definedName name="wrn.RVYR1." localSheetId="17" hidden="1">{"RVQUANTAT1",#N/A,FALSE,"RIVERSIDE YR1";"RVQUANTAT2",#N/A,FALSE,"RIVERSIDE YR1";"RVQUANTAT3",#N/A,FALSE,"RIVERSIDE YR1"}</definedName>
    <definedName name="wrn.RVYR1." localSheetId="18" hidden="1">{"RVQUANTAT1",#N/A,FALSE,"RIVERSIDE YR1";"RVQUANTAT2",#N/A,FALSE,"RIVERSIDE YR1";"RVQUANTAT3",#N/A,FALSE,"RIVERSIDE YR1"}</definedName>
    <definedName name="wrn.RVYR1." localSheetId="11" hidden="1">{"RVQUANTAT1",#N/A,FALSE,"RIVERSIDE YR1";"RVQUANTAT2",#N/A,FALSE,"RIVERSIDE YR1";"RVQUANTAT3",#N/A,FALSE,"RIVERSIDE YR1"}</definedName>
    <definedName name="wrn.RVYR1." hidden="1">{"RVQUANTAT1",#N/A,FALSE,"RIVERSIDE YR1";"RVQUANTAT2",#N/A,FALSE,"RIVERSIDE YR1";"RVQUANTAT3",#N/A,FALSE,"RIVERSIDE YR1"}</definedName>
    <definedName name="wrn.YR1." localSheetId="7" hidden="1">{"QUANTAT1",#N/A,TRUE,"GOONELLA YR1";"QUANTAT2",#N/A,TRUE,"GOONELLA YR1";"RVQUANTAT1",#N/A,TRUE,"RIVERSIDE YR1";"RVQUANTAT2",#N/A,TRUE,"RIVERSIDE YR1";"RVQUANTAT3",#N/A,TRUE,"RIVERSIDE YR1YTD"}</definedName>
    <definedName name="wrn.YR1." localSheetId="8" hidden="1">{"QUANTAT1",#N/A,TRUE,"GOONELLA YR1";"QUANTAT2",#N/A,TRUE,"GOONELLA YR1";"RVQUANTAT1",#N/A,TRUE,"RIVERSIDE YR1";"RVQUANTAT2",#N/A,TRUE,"RIVERSIDE YR1";"RVQUANTAT3",#N/A,TRUE,"RIVERSIDE YR1YTD"}</definedName>
    <definedName name="wrn.YR1." localSheetId="14" hidden="1">{"QUANTAT1",#N/A,TRUE,"GOONELLA YR1";"QUANTAT2",#N/A,TRUE,"GOONELLA YR1";"RVQUANTAT1",#N/A,TRUE,"RIVERSIDE YR1";"RVQUANTAT2",#N/A,TRUE,"RIVERSIDE YR1";"RVQUANTAT3",#N/A,TRUE,"RIVERSIDE YR1YTD"}</definedName>
    <definedName name="wrn.YR1." localSheetId="17" hidden="1">{"QUANTAT1",#N/A,TRUE,"GOONELLA YR1";"QUANTAT2",#N/A,TRUE,"GOONELLA YR1";"RVQUANTAT1",#N/A,TRUE,"RIVERSIDE YR1";"RVQUANTAT2",#N/A,TRUE,"RIVERSIDE YR1";"RVQUANTAT3",#N/A,TRUE,"RIVERSIDE YR1YTD"}</definedName>
    <definedName name="wrn.YR1." localSheetId="18" hidden="1">{"QUANTAT1",#N/A,TRUE,"GOONELLA YR1";"QUANTAT2",#N/A,TRUE,"GOONELLA YR1";"RVQUANTAT1",#N/A,TRUE,"RIVERSIDE YR1";"RVQUANTAT2",#N/A,TRUE,"RIVERSIDE YR1";"RVQUANTAT3",#N/A,TRUE,"RIVERSIDE YR1YTD"}</definedName>
    <definedName name="wrn.YR1." localSheetId="11" hidden="1">{"QUANTAT1",#N/A,TRUE,"GOONELLA YR1";"QUANTAT2",#N/A,TRUE,"GOONELLA YR1";"RVQUANTAT1",#N/A,TRUE,"RIVERSIDE YR1";"RVQUANTAT2",#N/A,TRUE,"RIVERSIDE YR1";"RVQUANTAT3",#N/A,TRUE,"RIVERSIDE YR1YTD"}</definedName>
    <definedName name="wrn.YR1." hidden="1">{"QUANTAT1",#N/A,TRUE,"GOONELLA YR1";"QUANTAT2",#N/A,TRUE,"GOONELLA YR1";"RVQUANTAT1",#N/A,TRUE,"RIVERSIDE YR1";"RVQUANTAT2",#N/A,TRUE,"RIVERSIDE YR1";"RVQUANTAT3",#N/A,TRUE,"RIVERSIDE YR1YTD"}</definedName>
    <definedName name="wrn.YR2." localSheetId="7" hidden="1">{"QUANTAT1",#N/A,TRUE,"GOONELLA YR2";"QUANTAT2",#N/A,TRUE,"GOONELLA YR2";"QUANTAT1",#N/A,TRUE,"RIVERSIDE YR2";"QUANTAT2",#N/A,TRUE,"RIVERSIDE YR2";"QUANTAT3",#N/A,TRUE,"GOONELLA YR2";"QUANTAT3",#N/A,TRUE,"RIVERSIDE YR2"}</definedName>
    <definedName name="wrn.YR2." localSheetId="8" hidden="1">{"QUANTAT1",#N/A,TRUE,"GOONELLA YR2";"QUANTAT2",#N/A,TRUE,"GOONELLA YR2";"QUANTAT1",#N/A,TRUE,"RIVERSIDE YR2";"QUANTAT2",#N/A,TRUE,"RIVERSIDE YR2";"QUANTAT3",#N/A,TRUE,"GOONELLA YR2";"QUANTAT3",#N/A,TRUE,"RIVERSIDE YR2"}</definedName>
    <definedName name="wrn.YR2." localSheetId="14" hidden="1">{"QUANTAT1",#N/A,TRUE,"GOONELLA YR2";"QUANTAT2",#N/A,TRUE,"GOONELLA YR2";"QUANTAT1",#N/A,TRUE,"RIVERSIDE YR2";"QUANTAT2",#N/A,TRUE,"RIVERSIDE YR2";"QUANTAT3",#N/A,TRUE,"GOONELLA YR2";"QUANTAT3",#N/A,TRUE,"RIVERSIDE YR2"}</definedName>
    <definedName name="wrn.YR2." localSheetId="17" hidden="1">{"QUANTAT1",#N/A,TRUE,"GOONELLA YR2";"QUANTAT2",#N/A,TRUE,"GOONELLA YR2";"QUANTAT1",#N/A,TRUE,"RIVERSIDE YR2";"QUANTAT2",#N/A,TRUE,"RIVERSIDE YR2";"QUANTAT3",#N/A,TRUE,"GOONELLA YR2";"QUANTAT3",#N/A,TRUE,"RIVERSIDE YR2"}</definedName>
    <definedName name="wrn.YR2." localSheetId="18" hidden="1">{"QUANTAT1",#N/A,TRUE,"GOONELLA YR2";"QUANTAT2",#N/A,TRUE,"GOONELLA YR2";"QUANTAT1",#N/A,TRUE,"RIVERSIDE YR2";"QUANTAT2",#N/A,TRUE,"RIVERSIDE YR2";"QUANTAT3",#N/A,TRUE,"GOONELLA YR2";"QUANTAT3",#N/A,TRUE,"RIVERSIDE YR2"}</definedName>
    <definedName name="wrn.YR2." localSheetId="11" hidden="1">{"QUANTAT1",#N/A,TRUE,"GOONELLA YR2";"QUANTAT2",#N/A,TRUE,"GOONELLA YR2";"QUANTAT1",#N/A,TRUE,"RIVERSIDE YR2";"QUANTAT2",#N/A,TRUE,"RIVERSIDE YR2";"QUANTAT3",#N/A,TRUE,"GOONELLA YR2";"QUANTAT3",#N/A,TRUE,"RIVERSIDE YR2"}</definedName>
    <definedName name="wrn.YR2." hidden="1">{"QUANTAT1",#N/A,TRUE,"GOONELLA YR2";"QUANTAT2",#N/A,TRUE,"GOONELLA YR2";"QUANTAT1",#N/A,TRUE,"RIVERSIDE YR2";"QUANTAT2",#N/A,TRUE,"RIVERSIDE YR2";"QUANTAT3",#N/A,TRUE,"GOONELLA YR2";"QUANTAT3",#N/A,TRUE,"RIVERSIDE YR2"}</definedName>
    <definedName name="wrnJVRPRT" localSheetId="7" hidden="1">{#N/A,#N/A,FALSE,"RESULTS";#N/A,#N/A,FALSE,"FORECAST";#N/A,#N/A,FALSE,"ProvGraph";#N/A,#N/A,FALSE,"NEG PROV";#N/A,#N/A,FALSE,"PROVCOSTGRAPH";#N/A,#N/A,FALSE,"FittGraph";#N/A,#N/A,FALSE,"HireGraph"}</definedName>
    <definedName name="wrnJVRPRT" localSheetId="8" hidden="1">{#N/A,#N/A,FALSE,"RESULTS";#N/A,#N/A,FALSE,"FORECAST";#N/A,#N/A,FALSE,"ProvGraph";#N/A,#N/A,FALSE,"NEG PROV";#N/A,#N/A,FALSE,"PROVCOSTGRAPH";#N/A,#N/A,FALSE,"FittGraph";#N/A,#N/A,FALSE,"HireGraph"}</definedName>
    <definedName name="wrnJVRPRT" localSheetId="14" hidden="1">{#N/A,#N/A,FALSE,"RESULTS";#N/A,#N/A,FALSE,"FORECAST";#N/A,#N/A,FALSE,"ProvGraph";#N/A,#N/A,FALSE,"NEG PROV";#N/A,#N/A,FALSE,"PROVCOSTGRAPH";#N/A,#N/A,FALSE,"FittGraph";#N/A,#N/A,FALSE,"HireGraph"}</definedName>
    <definedName name="wrnJVRPRT" localSheetId="17" hidden="1">{#N/A,#N/A,FALSE,"RESULTS";#N/A,#N/A,FALSE,"FORECAST";#N/A,#N/A,FALSE,"ProvGraph";#N/A,#N/A,FALSE,"NEG PROV";#N/A,#N/A,FALSE,"PROVCOSTGRAPH";#N/A,#N/A,FALSE,"FittGraph";#N/A,#N/A,FALSE,"HireGraph"}</definedName>
    <definedName name="wrnJVRPRT" localSheetId="18" hidden="1">{#N/A,#N/A,FALSE,"RESULTS";#N/A,#N/A,FALSE,"FORECAST";#N/A,#N/A,FALSE,"ProvGraph";#N/A,#N/A,FALSE,"NEG PROV";#N/A,#N/A,FALSE,"PROVCOSTGRAPH";#N/A,#N/A,FALSE,"FittGraph";#N/A,#N/A,FALSE,"HireGraph"}</definedName>
    <definedName name="wrnJVRPRT" localSheetId="11" hidden="1">{#N/A,#N/A,FALSE,"RESULTS";#N/A,#N/A,FALSE,"FORECAST";#N/A,#N/A,FALSE,"ProvGraph";#N/A,#N/A,FALSE,"NEG PROV";#N/A,#N/A,FALSE,"PROVCOSTGRAPH";#N/A,#N/A,FALSE,"FittGraph";#N/A,#N/A,FALSE,"HireGraph"}</definedName>
    <definedName name="wrnJVRPRT" hidden="1">{#N/A,#N/A,FALSE,"RESULTS";#N/A,#N/A,FALSE,"FORECAST";#N/A,#N/A,FALSE,"ProvGraph";#N/A,#N/A,FALSE,"NEG PROV";#N/A,#N/A,FALSE,"PROVCOSTGRAPH";#N/A,#N/A,FALSE,"FittGraph";#N/A,#N/A,FALSE,"HireGraph"}</definedName>
    <definedName name="y" localSheetId="7" hidden="1">{#N/A,#N/A,FALSE,"RESULTS";#N/A,#N/A,FALSE,"FORECAST";#N/A,#N/A,FALSE,"ProvGraph";#N/A,#N/A,FALSE,"FittGraph";#N/A,#N/A,FALSE,"NEG PROV";#N/A,#N/A,FALSE,"PROVCOSTGRAPH";#N/A,#N/A,FALSE,"HireGraph"}</definedName>
    <definedName name="y" localSheetId="8" hidden="1">{#N/A,#N/A,FALSE,"RESULTS";#N/A,#N/A,FALSE,"FORECAST";#N/A,#N/A,FALSE,"ProvGraph";#N/A,#N/A,FALSE,"FittGraph";#N/A,#N/A,FALSE,"NEG PROV";#N/A,#N/A,FALSE,"PROVCOSTGRAPH";#N/A,#N/A,FALSE,"HireGraph"}</definedName>
    <definedName name="y" localSheetId="14" hidden="1">{#N/A,#N/A,FALSE,"RESULTS";#N/A,#N/A,FALSE,"FORECAST";#N/A,#N/A,FALSE,"ProvGraph";#N/A,#N/A,FALSE,"FittGraph";#N/A,#N/A,FALSE,"NEG PROV";#N/A,#N/A,FALSE,"PROVCOSTGRAPH";#N/A,#N/A,FALSE,"HireGraph"}</definedName>
    <definedName name="y" localSheetId="17" hidden="1">{#N/A,#N/A,FALSE,"RESULTS";#N/A,#N/A,FALSE,"FORECAST";#N/A,#N/A,FALSE,"ProvGraph";#N/A,#N/A,FALSE,"FittGraph";#N/A,#N/A,FALSE,"NEG PROV";#N/A,#N/A,FALSE,"PROVCOSTGRAPH";#N/A,#N/A,FALSE,"HireGraph"}</definedName>
    <definedName name="y" localSheetId="18" hidden="1">{#N/A,#N/A,FALSE,"RESULTS";#N/A,#N/A,FALSE,"FORECAST";#N/A,#N/A,FALSE,"ProvGraph";#N/A,#N/A,FALSE,"FittGraph";#N/A,#N/A,FALSE,"NEG PROV";#N/A,#N/A,FALSE,"PROVCOSTGRAPH";#N/A,#N/A,FALSE,"HireGraph"}</definedName>
    <definedName name="y" localSheetId="11" hidden="1">{#N/A,#N/A,FALSE,"RESULTS";#N/A,#N/A,FALSE,"FORECAST";#N/A,#N/A,FALSE,"ProvGraph";#N/A,#N/A,FALSE,"FittGraph";#N/A,#N/A,FALSE,"NEG PROV";#N/A,#N/A,FALSE,"PROVCOSTGRAPH";#N/A,#N/A,FALSE,"HireGraph"}</definedName>
    <definedName name="y" hidden="1">{#N/A,#N/A,FALSE,"RESULTS";#N/A,#N/A,FALSE,"FORECAST";#N/A,#N/A,FALSE,"ProvGraph";#N/A,#N/A,FALSE,"FittGraph";#N/A,#N/A,FALSE,"NEG PROV";#N/A,#N/A,FALSE,"PROVCOSTGRAPH";#N/A,#N/A,FALSE,"HireGraph"}</definedName>
    <definedName name="YesNo">'[16]2.1 Regional Priorities'!$D$45:$D$46</definedName>
    <definedName name="YTDActual" localSheetId="6">#REF!</definedName>
    <definedName name="YTDActual" localSheetId="2">#REF!</definedName>
    <definedName name="YTDActual" localSheetId="7">#REF!</definedName>
    <definedName name="YTDActual" localSheetId="8">#REF!</definedName>
    <definedName name="YTDActual" localSheetId="14">#REF!</definedName>
    <definedName name="YTDActual" localSheetId="17">#REF!</definedName>
    <definedName name="YTDActual" localSheetId="18">#REF!</definedName>
    <definedName name="YTDActual" localSheetId="13">#REF!</definedName>
    <definedName name="YTDActual" localSheetId="11">#REF!</definedName>
    <definedName name="YTDActual">#REF!</definedName>
    <definedName name="YTDLastMth" localSheetId="6">#REF!</definedName>
    <definedName name="YTDLastMth" localSheetId="2">#REF!</definedName>
    <definedName name="YTDLastMth" localSheetId="7">#REF!</definedName>
    <definedName name="YTDLastMth" localSheetId="8">#REF!</definedName>
    <definedName name="YTDLastMth" localSheetId="14">#REF!</definedName>
    <definedName name="YTDLastMth" localSheetId="17">#REF!</definedName>
    <definedName name="YTDLastMth" localSheetId="18">#REF!</definedName>
    <definedName name="YTDLastMth" localSheetId="13">#REF!</definedName>
    <definedName name="YTDLastMth" localSheetId="11">#REF!</definedName>
    <definedName name="YTDLastMth">#REF!</definedName>
    <definedName name="z" localSheetId="7" hidden="1">{#N/A,#N/A,FALSE,"RESULTS";#N/A,#N/A,FALSE,"FORECAST";#N/A,#N/A,FALSE,"ProvGraph";#N/A,#N/A,FALSE,"FittGraph";#N/A,#N/A,FALSE,"NEG PROV";#N/A,#N/A,FALSE,"PROVCOSTGRAPH";#N/A,#N/A,FALSE,"HireGraph"}</definedName>
    <definedName name="z" localSheetId="8" hidden="1">{#N/A,#N/A,FALSE,"RESULTS";#N/A,#N/A,FALSE,"FORECAST";#N/A,#N/A,FALSE,"ProvGraph";#N/A,#N/A,FALSE,"FittGraph";#N/A,#N/A,FALSE,"NEG PROV";#N/A,#N/A,FALSE,"PROVCOSTGRAPH";#N/A,#N/A,FALSE,"HireGraph"}</definedName>
    <definedName name="z" localSheetId="14" hidden="1">{#N/A,#N/A,FALSE,"RESULTS";#N/A,#N/A,FALSE,"FORECAST";#N/A,#N/A,FALSE,"ProvGraph";#N/A,#N/A,FALSE,"FittGraph";#N/A,#N/A,FALSE,"NEG PROV";#N/A,#N/A,FALSE,"PROVCOSTGRAPH";#N/A,#N/A,FALSE,"HireGraph"}</definedName>
    <definedName name="z" localSheetId="17" hidden="1">{#N/A,#N/A,FALSE,"RESULTS";#N/A,#N/A,FALSE,"FORECAST";#N/A,#N/A,FALSE,"ProvGraph";#N/A,#N/A,FALSE,"FittGraph";#N/A,#N/A,FALSE,"NEG PROV";#N/A,#N/A,FALSE,"PROVCOSTGRAPH";#N/A,#N/A,FALSE,"HireGraph"}</definedName>
    <definedName name="z" localSheetId="18" hidden="1">{#N/A,#N/A,FALSE,"RESULTS";#N/A,#N/A,FALSE,"FORECAST";#N/A,#N/A,FALSE,"ProvGraph";#N/A,#N/A,FALSE,"FittGraph";#N/A,#N/A,FALSE,"NEG PROV";#N/A,#N/A,FALSE,"PROVCOSTGRAPH";#N/A,#N/A,FALSE,"HireGraph"}</definedName>
    <definedName name="z" localSheetId="11" hidden="1">{#N/A,#N/A,FALSE,"RESULTS";#N/A,#N/A,FALSE,"FORECAST";#N/A,#N/A,FALSE,"ProvGraph";#N/A,#N/A,FALSE,"FittGraph";#N/A,#N/A,FALSE,"NEG PROV";#N/A,#N/A,FALSE,"PROVCOSTGRAPH";#N/A,#N/A,FALSE,"HireGraph"}</definedName>
    <definedName name="z" hidden="1">{#N/A,#N/A,FALSE,"RESULTS";#N/A,#N/A,FALSE,"FORECAST";#N/A,#N/A,FALSE,"ProvGraph";#N/A,#N/A,FALSE,"FittGraph";#N/A,#N/A,FALSE,"NEG PROV";#N/A,#N/A,FALSE,"PROVCOSTGRAPH";#N/A,#N/A,FALSE,"HireGraph"}</definedName>
  </definedNames>
  <calcPr calcId="162913"/>
  <pivotCaches>
    <pivotCache cacheId="0" r:id="rId43"/>
    <pivotCache cacheId="1" r:id="rId44"/>
    <pivotCache cacheId="2" r:id="rId45"/>
    <pivotCache cacheId="3" r:id="rId46"/>
    <pivotCache cacheId="4" r:id="rId47"/>
    <pivotCache cacheId="5" r:id="rId48"/>
    <pivotCache cacheId="6" r:id="rId49"/>
    <pivotCache cacheId="7" r:id="rId50"/>
    <pivotCache cacheId="8" r:id="rId51"/>
    <pivotCache cacheId="9" r:id="rId52"/>
    <pivotCache cacheId="10" r:id="rId53"/>
    <pivotCache cacheId="11" r:id="rId54"/>
    <pivotCache cacheId="12" r:id="rId55"/>
    <pivotCache cacheId="13" r:id="rId56"/>
    <pivotCache cacheId="19" r:id="rId57"/>
    <pivotCache cacheId="20" r:id="rId58"/>
    <pivotCache cacheId="23" r:id="rId59"/>
    <pivotCache cacheId="47" r:id="rId60"/>
    <pivotCache cacheId="65" r:id="rId61"/>
    <pivotCache cacheId="73" r:id="rId6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7" i="76" l="1"/>
  <c r="M27" i="76"/>
  <c r="Q28" i="76"/>
  <c r="M28" i="76"/>
  <c r="M23" i="76"/>
  <c r="R23" i="76"/>
  <c r="Q23" i="76"/>
  <c r="I211" i="71" l="1"/>
  <c r="H211" i="71"/>
  <c r="I209" i="71"/>
  <c r="H209" i="71"/>
  <c r="I196" i="71"/>
  <c r="H196" i="71"/>
  <c r="H17" i="72" l="1"/>
  <c r="D309" i="1"/>
  <c r="I245" i="71"/>
  <c r="H245" i="71"/>
  <c r="I231" i="71"/>
  <c r="H231" i="71"/>
  <c r="I511" i="73"/>
  <c r="J511" i="73" s="1"/>
  <c r="N242" i="71"/>
  <c r="H242" i="71" s="1"/>
  <c r="N243" i="71"/>
  <c r="H243" i="71" s="1"/>
  <c r="N244" i="71"/>
  <c r="H244" i="71" s="1"/>
  <c r="D308" i="1"/>
  <c r="D307" i="1" l="1"/>
  <c r="H203" i="71"/>
  <c r="H202" i="71"/>
  <c r="H199" i="71"/>
  <c r="AE540" i="73"/>
  <c r="AE542" i="73"/>
  <c r="AG548" i="73"/>
  <c r="AE548" i="73"/>
  <c r="AE576" i="73"/>
  <c r="AE575" i="73"/>
  <c r="AG576" i="73"/>
  <c r="R576" i="73"/>
  <c r="S576" i="73" s="1"/>
  <c r="V576" i="73"/>
  <c r="M576" i="73"/>
  <c r="L576" i="73"/>
  <c r="Z576" i="73"/>
  <c r="W576" i="73" l="1"/>
  <c r="X576" i="73" s="1"/>
  <c r="D7" i="1"/>
  <c r="D6" i="1"/>
  <c r="D5" i="1"/>
  <c r="P31" i="76"/>
  <c r="R29" i="76"/>
  <c r="L29" i="76"/>
  <c r="N29" i="76" s="1"/>
  <c r="K29" i="76"/>
  <c r="H29" i="76"/>
  <c r="R28" i="76"/>
  <c r="L28" i="76"/>
  <c r="K28" i="76"/>
  <c r="H28" i="76"/>
  <c r="R27" i="76"/>
  <c r="L27" i="76"/>
  <c r="N27" i="76" s="1"/>
  <c r="K27" i="76"/>
  <c r="H27" i="76"/>
  <c r="R26" i="76"/>
  <c r="L26" i="76"/>
  <c r="K26" i="76"/>
  <c r="H26" i="76"/>
  <c r="Q25" i="76"/>
  <c r="R25" i="76" s="1"/>
  <c r="M25" i="76"/>
  <c r="N25" i="76" s="1"/>
  <c r="L25" i="76"/>
  <c r="K25" i="76"/>
  <c r="H25" i="76"/>
  <c r="Q24" i="76"/>
  <c r="R24" i="76" s="1"/>
  <c r="M24" i="76"/>
  <c r="L24" i="76"/>
  <c r="O24" i="76" s="1"/>
  <c r="K24" i="76"/>
  <c r="H24" i="76"/>
  <c r="L23" i="76"/>
  <c r="K23" i="76"/>
  <c r="H23" i="76"/>
  <c r="Q22" i="76"/>
  <c r="R22" i="76" s="1"/>
  <c r="N22" i="76"/>
  <c r="M22" i="76"/>
  <c r="L22" i="76"/>
  <c r="K22" i="76"/>
  <c r="H22" i="76"/>
  <c r="Q21" i="76"/>
  <c r="R21" i="76" s="1"/>
  <c r="M21" i="76"/>
  <c r="L21" i="76"/>
  <c r="K21" i="76"/>
  <c r="H21" i="76" s="1"/>
  <c r="R20" i="76"/>
  <c r="T20" i="76" s="1"/>
  <c r="O20" i="76"/>
  <c r="N20" i="76"/>
  <c r="H20" i="76"/>
  <c r="R19" i="76"/>
  <c r="Q19" i="76"/>
  <c r="M19" i="76"/>
  <c r="L19" i="76"/>
  <c r="K19" i="76"/>
  <c r="H19" i="76" s="1"/>
  <c r="Q18" i="76"/>
  <c r="R18" i="76" s="1"/>
  <c r="M18" i="76"/>
  <c r="L18" i="76"/>
  <c r="K18" i="76"/>
  <c r="H18" i="76" s="1"/>
  <c r="Q17" i="76"/>
  <c r="R17" i="76" s="1"/>
  <c r="M17" i="76"/>
  <c r="N17" i="76" s="1"/>
  <c r="L17" i="76"/>
  <c r="K17" i="76"/>
  <c r="H17" i="76" s="1"/>
  <c r="Q16" i="76"/>
  <c r="R16" i="76" s="1"/>
  <c r="M16" i="76"/>
  <c r="L16" i="76"/>
  <c r="K16" i="76"/>
  <c r="H16" i="76"/>
  <c r="Q15" i="76"/>
  <c r="R15" i="76" s="1"/>
  <c r="M15" i="76"/>
  <c r="L15" i="76"/>
  <c r="K15" i="76"/>
  <c r="H15" i="76" s="1"/>
  <c r="R14" i="76"/>
  <c r="Q14" i="76"/>
  <c r="M14" i="76"/>
  <c r="N14" i="76" s="1"/>
  <c r="L14" i="76"/>
  <c r="K14" i="76"/>
  <c r="H14" i="76" s="1"/>
  <c r="Q13" i="76"/>
  <c r="R13" i="76" s="1"/>
  <c r="M13" i="76"/>
  <c r="O13" i="76" s="1"/>
  <c r="T13" i="76" s="1"/>
  <c r="S13" i="76" s="1"/>
  <c r="L13" i="76"/>
  <c r="K13" i="76"/>
  <c r="H13" i="76" s="1"/>
  <c r="R12" i="76"/>
  <c r="Q12" i="76"/>
  <c r="M12" i="76"/>
  <c r="L12" i="76"/>
  <c r="N12" i="76" s="1"/>
  <c r="K12" i="76"/>
  <c r="H12" i="76"/>
  <c r="Q11" i="76"/>
  <c r="R11" i="76" s="1"/>
  <c r="M11" i="76"/>
  <c r="L11" i="76"/>
  <c r="N11" i="76" s="1"/>
  <c r="K11" i="76"/>
  <c r="H11" i="76" s="1"/>
  <c r="Q10" i="76"/>
  <c r="R10" i="76" s="1"/>
  <c r="M10" i="76"/>
  <c r="N10" i="76" s="1"/>
  <c r="L10" i="76"/>
  <c r="K10" i="76"/>
  <c r="H10" i="76" s="1"/>
  <c r="Q9" i="76"/>
  <c r="R9" i="76" s="1"/>
  <c r="M9" i="76"/>
  <c r="O9" i="76" s="1"/>
  <c r="L9" i="76"/>
  <c r="K9" i="76"/>
  <c r="H9" i="76" s="1"/>
  <c r="C9" i="76" s="1"/>
  <c r="F9" i="76" s="1"/>
  <c r="R8" i="76"/>
  <c r="Q8" i="76"/>
  <c r="M8" i="76"/>
  <c r="L8" i="76"/>
  <c r="K8" i="76"/>
  <c r="H8" i="76" s="1"/>
  <c r="Q7" i="76"/>
  <c r="R7" i="76" s="1"/>
  <c r="M7" i="76"/>
  <c r="L7" i="76"/>
  <c r="K7" i="76"/>
  <c r="O7" i="76" s="1"/>
  <c r="H7" i="76"/>
  <c r="C7" i="76" s="1"/>
  <c r="F7" i="76" s="1"/>
  <c r="Q6" i="76"/>
  <c r="R6" i="76" s="1"/>
  <c r="M6" i="76"/>
  <c r="L6" i="76"/>
  <c r="K6" i="76"/>
  <c r="H6" i="76" s="1"/>
  <c r="Q5" i="76"/>
  <c r="M5" i="76"/>
  <c r="N5" i="76" s="1"/>
  <c r="L5" i="76"/>
  <c r="K5" i="76"/>
  <c r="H5" i="76" s="1"/>
  <c r="C5" i="76" s="1"/>
  <c r="F5" i="76" s="1"/>
  <c r="AG575" i="73"/>
  <c r="V575" i="73"/>
  <c r="Z575" i="73"/>
  <c r="R575" i="73"/>
  <c r="S575" i="73" s="1"/>
  <c r="M575" i="73"/>
  <c r="L575" i="73"/>
  <c r="W575" i="73" l="1"/>
  <c r="X575" i="73" s="1"/>
  <c r="N15" i="76"/>
  <c r="O25" i="76"/>
  <c r="T25" i="76" s="1"/>
  <c r="S25" i="76" s="1"/>
  <c r="T7" i="76"/>
  <c r="S7" i="76" s="1"/>
  <c r="T9" i="76"/>
  <c r="S9" i="76" s="1"/>
  <c r="L31" i="76"/>
  <c r="O5" i="76"/>
  <c r="Q31" i="76"/>
  <c r="N8" i="76"/>
  <c r="O12" i="76"/>
  <c r="T12" i="76" s="1"/>
  <c r="S12" i="76" s="1"/>
  <c r="O23" i="76"/>
  <c r="T23" i="76" s="1"/>
  <c r="S23" i="76" s="1"/>
  <c r="O26" i="76"/>
  <c r="T26" i="76" s="1"/>
  <c r="S26" i="76" s="1"/>
  <c r="O28" i="76"/>
  <c r="T28" i="76" s="1"/>
  <c r="S28" i="76" s="1"/>
  <c r="R5" i="76"/>
  <c r="T5" i="76" s="1"/>
  <c r="N7" i="76"/>
  <c r="O22" i="76"/>
  <c r="T22" i="76" s="1"/>
  <c r="S22" i="76" s="1"/>
  <c r="N18" i="76"/>
  <c r="O16" i="76"/>
  <c r="T16" i="76" s="1"/>
  <c r="S16" i="76" s="1"/>
  <c r="O17" i="76"/>
  <c r="T17" i="76" s="1"/>
  <c r="S17" i="76" s="1"/>
  <c r="N19" i="76"/>
  <c r="K31" i="76"/>
  <c r="M31" i="76"/>
  <c r="M34" i="76" s="1"/>
  <c r="O21" i="76"/>
  <c r="N9" i="76"/>
  <c r="N13" i="76"/>
  <c r="N16" i="76"/>
  <c r="N21" i="76"/>
  <c r="C8" i="76"/>
  <c r="F8" i="76" s="1"/>
  <c r="F6" i="76"/>
  <c r="C6" i="76"/>
  <c r="C10" i="76"/>
  <c r="F10" i="76" s="1"/>
  <c r="T21" i="76"/>
  <c r="S21" i="76" s="1"/>
  <c r="T24" i="76"/>
  <c r="S24" i="76" s="1"/>
  <c r="N6" i="76"/>
  <c r="N26" i="76"/>
  <c r="N28" i="76"/>
  <c r="O6" i="76"/>
  <c r="T6" i="76" s="1"/>
  <c r="S6" i="76" s="1"/>
  <c r="O8" i="76"/>
  <c r="T8" i="76" s="1"/>
  <c r="S8" i="76" s="1"/>
  <c r="O10" i="76"/>
  <c r="T10" i="76" s="1"/>
  <c r="S10" i="76" s="1"/>
  <c r="O14" i="76"/>
  <c r="T14" i="76" s="1"/>
  <c r="S14" i="76" s="1"/>
  <c r="O18" i="76"/>
  <c r="T18" i="76" s="1"/>
  <c r="S18" i="76" s="1"/>
  <c r="O27" i="76"/>
  <c r="T27" i="76" s="1"/>
  <c r="S27" i="76" s="1"/>
  <c r="O29" i="76"/>
  <c r="T29" i="76" s="1"/>
  <c r="S29" i="76" s="1"/>
  <c r="O11" i="76"/>
  <c r="T11" i="76" s="1"/>
  <c r="S11" i="76" s="1"/>
  <c r="O15" i="76"/>
  <c r="T15" i="76" s="1"/>
  <c r="S15" i="76" s="1"/>
  <c r="O19" i="76"/>
  <c r="T19" i="76" s="1"/>
  <c r="S19" i="76" s="1"/>
  <c r="N23" i="76"/>
  <c r="N24" i="76"/>
  <c r="H31" i="76"/>
  <c r="N241" i="71"/>
  <c r="H241" i="71" s="1"/>
  <c r="N31" i="76" l="1"/>
  <c r="R31" i="76"/>
  <c r="O31" i="76"/>
  <c r="T31" i="76"/>
  <c r="S5" i="76"/>
  <c r="S31" i="76" s="1"/>
  <c r="N240" i="71"/>
  <c r="H240" i="71" s="1"/>
  <c r="J574" i="73" l="1"/>
  <c r="I574" i="73"/>
  <c r="H194" i="71"/>
  <c r="AG574" i="73"/>
  <c r="V574" i="73"/>
  <c r="Z574" i="73"/>
  <c r="N238" i="71"/>
  <c r="H238" i="71" s="1"/>
  <c r="N239" i="71"/>
  <c r="H239" i="71" s="1"/>
  <c r="R574" i="73" l="1"/>
  <c r="M574" i="73"/>
  <c r="L574" i="73"/>
  <c r="S574" i="73" l="1"/>
  <c r="W574" i="73"/>
  <c r="X574" i="73" s="1"/>
  <c r="H192" i="71"/>
  <c r="H191" i="71" l="1"/>
  <c r="D306" i="1" l="1"/>
  <c r="N236" i="71" l="1"/>
  <c r="N237" i="71"/>
  <c r="H237" i="71" s="1"/>
  <c r="H236" i="71" l="1"/>
  <c r="AG573" i="73"/>
  <c r="V573" i="73"/>
  <c r="Z573" i="73"/>
  <c r="R573" i="73"/>
  <c r="M573" i="73"/>
  <c r="L573" i="73"/>
  <c r="AG572" i="73"/>
  <c r="V572" i="73"/>
  <c r="Z572" i="73"/>
  <c r="R572" i="73"/>
  <c r="S572" i="73" s="1"/>
  <c r="R571" i="73"/>
  <c r="S571" i="73" s="1"/>
  <c r="R570" i="73"/>
  <c r="S570" i="73" s="1"/>
  <c r="AG568" i="73"/>
  <c r="AG569" i="73"/>
  <c r="AG570" i="73"/>
  <c r="AG571" i="73"/>
  <c r="V569" i="73"/>
  <c r="Z569" i="73"/>
  <c r="V570" i="73"/>
  <c r="Z570" i="73"/>
  <c r="V571" i="73"/>
  <c r="Z571" i="73"/>
  <c r="V568" i="73"/>
  <c r="Z568" i="73"/>
  <c r="R568" i="73"/>
  <c r="S568" i="73" s="1"/>
  <c r="R569" i="73"/>
  <c r="S569" i="73" s="1"/>
  <c r="L568" i="73"/>
  <c r="M568" i="73"/>
  <c r="L569" i="73"/>
  <c r="M569" i="73"/>
  <c r="L570" i="73"/>
  <c r="M570" i="73"/>
  <c r="L571" i="73"/>
  <c r="M571" i="73"/>
  <c r="L572" i="73"/>
  <c r="M572" i="73"/>
  <c r="N235" i="71"/>
  <c r="H235" i="71" s="1"/>
  <c r="N234" i="71"/>
  <c r="H234" i="71" s="1"/>
  <c r="W570" i="73" l="1"/>
  <c r="X570" i="73" s="1"/>
  <c r="W573" i="73"/>
  <c r="X573" i="73" s="1"/>
  <c r="S573" i="73"/>
  <c r="W571" i="73"/>
  <c r="X571" i="73" s="1"/>
  <c r="W569" i="73"/>
  <c r="X569" i="73" s="1"/>
  <c r="W572" i="73"/>
  <c r="X572" i="73" s="1"/>
  <c r="W568" i="73"/>
  <c r="X568" i="73" s="1"/>
  <c r="N233" i="71"/>
  <c r="H233" i="71" s="1"/>
  <c r="N232" i="71"/>
  <c r="H232" i="71" s="1"/>
  <c r="H215" i="71" l="1"/>
  <c r="I215" i="71"/>
  <c r="H185" i="71" l="1"/>
  <c r="N230" i="71"/>
  <c r="H230" i="71" s="1"/>
  <c r="H186" i="71"/>
  <c r="I500" i="73"/>
  <c r="J500" i="73" s="1"/>
  <c r="I541" i="73"/>
  <c r="J541" i="73" s="1"/>
  <c r="J544" i="73"/>
  <c r="I544" i="73"/>
  <c r="I548" i="73" l="1"/>
  <c r="J548" i="73" s="1"/>
  <c r="H184" i="71"/>
  <c r="H182" i="71"/>
  <c r="I254" i="73"/>
  <c r="I509" i="73"/>
  <c r="J509" i="73" s="1"/>
  <c r="I210" i="71"/>
  <c r="H210" i="71"/>
  <c r="I212" i="71"/>
  <c r="H212" i="71"/>
  <c r="N223" i="71" l="1"/>
  <c r="H223" i="71" s="1"/>
  <c r="N224" i="71"/>
  <c r="H224" i="71" s="1"/>
  <c r="N225" i="71"/>
  <c r="H225" i="71" s="1"/>
  <c r="N226" i="71"/>
  <c r="H226" i="71" s="1"/>
  <c r="N227" i="71"/>
  <c r="N228" i="71"/>
  <c r="H228" i="71" s="1"/>
  <c r="N229" i="71"/>
  <c r="H229" i="71" s="1"/>
  <c r="I493" i="73"/>
  <c r="J493" i="73" s="1"/>
  <c r="I420" i="73" l="1"/>
  <c r="J420" i="73" s="1"/>
  <c r="M567" i="73" l="1"/>
  <c r="L567" i="73"/>
  <c r="AG567" i="73"/>
  <c r="V567" i="73"/>
  <c r="Z567" i="73"/>
  <c r="R567" i="73"/>
  <c r="S567" i="73" s="1"/>
  <c r="AG566" i="73"/>
  <c r="V566" i="73"/>
  <c r="R566" i="73"/>
  <c r="S566" i="73" s="1"/>
  <c r="M566" i="73"/>
  <c r="L566" i="73"/>
  <c r="Z566" i="73"/>
  <c r="W566" i="73" l="1"/>
  <c r="X566" i="73" s="1"/>
  <c r="W567" i="73"/>
  <c r="X567" i="73" s="1"/>
  <c r="I431" i="73"/>
  <c r="J431" i="73" s="1"/>
  <c r="I506" i="73"/>
  <c r="J506" i="73" s="1"/>
  <c r="I526" i="73"/>
  <c r="J526" i="73" s="1"/>
  <c r="N216" i="71"/>
  <c r="H216" i="71" s="1"/>
  <c r="N217" i="71"/>
  <c r="H217" i="71" s="1"/>
  <c r="N218" i="71"/>
  <c r="H218" i="71" s="1"/>
  <c r="N219" i="71"/>
  <c r="H219" i="71" s="1"/>
  <c r="N220" i="71"/>
  <c r="H220" i="71" s="1"/>
  <c r="N221" i="71"/>
  <c r="H221" i="71" s="1"/>
  <c r="N222" i="71"/>
  <c r="H222" i="71" s="1"/>
  <c r="H204" i="71"/>
  <c r="H214" i="71"/>
  <c r="N213" i="71"/>
  <c r="H213" i="71" s="1"/>
  <c r="N214" i="71"/>
  <c r="H176" i="71"/>
  <c r="D305" i="1"/>
  <c r="V565" i="73"/>
  <c r="Z565" i="73"/>
  <c r="R565" i="73"/>
  <c r="S565" i="73" s="1"/>
  <c r="W565" i="73" l="1"/>
  <c r="X565" i="73" s="1"/>
  <c r="L565" i="73"/>
  <c r="I565" i="73"/>
  <c r="J565" i="73" s="1"/>
  <c r="M565" i="73" s="1"/>
  <c r="I550" i="73" l="1"/>
  <c r="J550" i="73" s="1"/>
  <c r="M550" i="73" s="1"/>
  <c r="I551" i="73"/>
  <c r="J551" i="73" s="1"/>
  <c r="M551" i="73" s="1"/>
  <c r="I552" i="73"/>
  <c r="J552" i="73" s="1"/>
  <c r="M552" i="73" s="1"/>
  <c r="I553" i="73"/>
  <c r="J553" i="73" s="1"/>
  <c r="M553" i="73" s="1"/>
  <c r="I554" i="73"/>
  <c r="J554" i="73" s="1"/>
  <c r="M554" i="73" s="1"/>
  <c r="I555" i="73"/>
  <c r="J555" i="73" s="1"/>
  <c r="M555" i="73" s="1"/>
  <c r="I556" i="73"/>
  <c r="J556" i="73" s="1"/>
  <c r="M556" i="73" s="1"/>
  <c r="I557" i="73"/>
  <c r="J557" i="73" s="1"/>
  <c r="M557" i="73" s="1"/>
  <c r="I558" i="73"/>
  <c r="J558" i="73" s="1"/>
  <c r="M558" i="73" s="1"/>
  <c r="I559" i="73"/>
  <c r="J559" i="73" s="1"/>
  <c r="M559" i="73" s="1"/>
  <c r="I560" i="73"/>
  <c r="J560" i="73" s="1"/>
  <c r="M560" i="73" s="1"/>
  <c r="I561" i="73"/>
  <c r="J561" i="73" s="1"/>
  <c r="M561" i="73" s="1"/>
  <c r="I562" i="73"/>
  <c r="J562" i="73" s="1"/>
  <c r="M562" i="73" s="1"/>
  <c r="I563" i="73"/>
  <c r="J563" i="73" s="1"/>
  <c r="M563" i="73" s="1"/>
  <c r="I564" i="73"/>
  <c r="J564" i="73" s="1"/>
  <c r="M564" i="73" s="1"/>
  <c r="I549" i="73"/>
  <c r="J549" i="73" s="1"/>
  <c r="M549" i="73" s="1"/>
  <c r="R549" i="73"/>
  <c r="S549" i="73" s="1"/>
  <c r="R550" i="73"/>
  <c r="S550" i="73" s="1"/>
  <c r="R551" i="73"/>
  <c r="S551" i="73" s="1"/>
  <c r="R552" i="73"/>
  <c r="S552" i="73" s="1"/>
  <c r="R553" i="73"/>
  <c r="S553" i="73" s="1"/>
  <c r="R554" i="73"/>
  <c r="S554" i="73" s="1"/>
  <c r="R555" i="73"/>
  <c r="S555" i="73" s="1"/>
  <c r="R556" i="73"/>
  <c r="S556" i="73" s="1"/>
  <c r="R557" i="73"/>
  <c r="S557" i="73" s="1"/>
  <c r="R558" i="73"/>
  <c r="S558" i="73" s="1"/>
  <c r="R559" i="73"/>
  <c r="S559" i="73" s="1"/>
  <c r="R560" i="73"/>
  <c r="S560" i="73" s="1"/>
  <c r="R561" i="73"/>
  <c r="S561" i="73" s="1"/>
  <c r="R562" i="73"/>
  <c r="S562" i="73" s="1"/>
  <c r="R563" i="73"/>
  <c r="S563" i="73" s="1"/>
  <c r="R564" i="73"/>
  <c r="S564" i="73" s="1"/>
  <c r="Z564" i="73"/>
  <c r="V564" i="73"/>
  <c r="Z563" i="73"/>
  <c r="V563" i="73"/>
  <c r="Z562" i="73"/>
  <c r="V562" i="73"/>
  <c r="Z561" i="73"/>
  <c r="V561" i="73"/>
  <c r="Z560" i="73"/>
  <c r="V560" i="73"/>
  <c r="Z559" i="73"/>
  <c r="V559" i="73"/>
  <c r="Z558" i="73"/>
  <c r="V558" i="73"/>
  <c r="Z557" i="73"/>
  <c r="V557" i="73"/>
  <c r="Z556" i="73"/>
  <c r="V556" i="73"/>
  <c r="Z555" i="73"/>
  <c r="V555" i="73"/>
  <c r="Z554" i="73"/>
  <c r="V554" i="73"/>
  <c r="Z553" i="73"/>
  <c r="V553" i="73"/>
  <c r="Z552" i="73"/>
  <c r="V552" i="73"/>
  <c r="Z551" i="73"/>
  <c r="V551" i="73"/>
  <c r="Z550" i="73"/>
  <c r="V550" i="73"/>
  <c r="Z549" i="73"/>
  <c r="V549" i="73"/>
  <c r="L549" i="73"/>
  <c r="L550" i="73"/>
  <c r="L551" i="73"/>
  <c r="L552" i="73"/>
  <c r="L553" i="73"/>
  <c r="L554" i="73"/>
  <c r="L555" i="73"/>
  <c r="L556" i="73"/>
  <c r="L557" i="73"/>
  <c r="L558" i="73"/>
  <c r="L559" i="73"/>
  <c r="L560" i="73"/>
  <c r="L561" i="73"/>
  <c r="L562" i="73"/>
  <c r="L563" i="73"/>
  <c r="L564" i="73"/>
  <c r="W562" i="73" l="1"/>
  <c r="X562" i="73" s="1"/>
  <c r="W553" i="73"/>
  <c r="X553" i="73" s="1"/>
  <c r="W554" i="73"/>
  <c r="X554" i="73" s="1"/>
  <c r="W555" i="73"/>
  <c r="X555" i="73" s="1"/>
  <c r="W550" i="73"/>
  <c r="X550" i="73" s="1"/>
  <c r="W558" i="73"/>
  <c r="X558" i="73" s="1"/>
  <c r="W559" i="73"/>
  <c r="X559" i="73" s="1"/>
  <c r="W557" i="73"/>
  <c r="X557" i="73" s="1"/>
  <c r="W551" i="73"/>
  <c r="X551" i="73" s="1"/>
  <c r="W560" i="73"/>
  <c r="X560" i="73" s="1"/>
  <c r="W561" i="73"/>
  <c r="X561" i="73" s="1"/>
  <c r="W563" i="73"/>
  <c r="X563" i="73" s="1"/>
  <c r="W552" i="73"/>
  <c r="X552" i="73" s="1"/>
  <c r="W549" i="73"/>
  <c r="X549" i="73" s="1"/>
  <c r="W556" i="73"/>
  <c r="X556" i="73" s="1"/>
  <c r="W564" i="73"/>
  <c r="X564" i="73" s="1"/>
  <c r="D304" i="1" l="1"/>
  <c r="D303" i="1"/>
  <c r="D302" i="1" l="1"/>
  <c r="D301" i="1"/>
  <c r="D300" i="1"/>
  <c r="D299" i="1"/>
  <c r="D298" i="1"/>
  <c r="D297" i="1"/>
  <c r="H208" i="71"/>
  <c r="I208" i="71"/>
  <c r="I198" i="71"/>
  <c r="H198" i="71"/>
  <c r="H197" i="71"/>
  <c r="I197" i="71"/>
  <c r="I195" i="71"/>
  <c r="H195" i="71"/>
  <c r="H168" i="71"/>
  <c r="I542" i="73" l="1"/>
  <c r="J542" i="73" s="1"/>
  <c r="T46" i="74" l="1"/>
  <c r="S46" i="74"/>
  <c r="R46" i="74"/>
  <c r="P46" i="74"/>
  <c r="L46" i="74"/>
  <c r="G46" i="74"/>
  <c r="T45" i="74"/>
  <c r="S45" i="74"/>
  <c r="R45" i="74"/>
  <c r="P45" i="74"/>
  <c r="L45" i="74"/>
  <c r="G45" i="74"/>
  <c r="T44" i="74"/>
  <c r="S44" i="74"/>
  <c r="R44" i="74"/>
  <c r="P44" i="74"/>
  <c r="L44" i="74"/>
  <c r="G44" i="74"/>
  <c r="T43" i="74"/>
  <c r="S43" i="74"/>
  <c r="R43" i="74"/>
  <c r="P43" i="74"/>
  <c r="L43" i="74"/>
  <c r="G43" i="74"/>
  <c r="T42" i="74"/>
  <c r="S42" i="74"/>
  <c r="R42" i="74"/>
  <c r="P42" i="74"/>
  <c r="L42" i="74"/>
  <c r="G42" i="74"/>
  <c r="T41" i="74"/>
  <c r="S41" i="74"/>
  <c r="R41" i="74"/>
  <c r="P41" i="74"/>
  <c r="L41" i="74"/>
  <c r="G41" i="74"/>
  <c r="T40" i="74"/>
  <c r="S40" i="74"/>
  <c r="R40" i="74"/>
  <c r="P40" i="74"/>
  <c r="L40" i="74"/>
  <c r="G40" i="74"/>
  <c r="T39" i="74"/>
  <c r="S39" i="74"/>
  <c r="R39" i="74"/>
  <c r="P39" i="74"/>
  <c r="L39" i="74"/>
  <c r="G39" i="74"/>
  <c r="G38" i="74"/>
  <c r="G37" i="74"/>
  <c r="T38" i="74"/>
  <c r="S38" i="74"/>
  <c r="R38" i="74"/>
  <c r="P38" i="74"/>
  <c r="L38" i="74"/>
  <c r="T37" i="74"/>
  <c r="S37" i="74"/>
  <c r="R37" i="74"/>
  <c r="P37" i="74"/>
  <c r="L37" i="74"/>
  <c r="T36" i="74"/>
  <c r="S36" i="74"/>
  <c r="R36" i="74"/>
  <c r="P36" i="74"/>
  <c r="L36" i="74"/>
  <c r="G36" i="74"/>
  <c r="T35" i="74"/>
  <c r="S35" i="74"/>
  <c r="R35" i="74"/>
  <c r="P35" i="74"/>
  <c r="L35" i="74"/>
  <c r="G35" i="74"/>
  <c r="T34" i="74"/>
  <c r="S34" i="74"/>
  <c r="R34" i="74"/>
  <c r="P34" i="74"/>
  <c r="L34" i="74"/>
  <c r="G34" i="74"/>
  <c r="T33" i="74"/>
  <c r="S33" i="74"/>
  <c r="R33" i="74"/>
  <c r="P33" i="74"/>
  <c r="L33" i="74"/>
  <c r="G33" i="74"/>
  <c r="T32" i="74"/>
  <c r="S32" i="74"/>
  <c r="R32" i="74"/>
  <c r="P32" i="74"/>
  <c r="L32" i="74"/>
  <c r="G32" i="74"/>
  <c r="T31" i="74"/>
  <c r="S31" i="74"/>
  <c r="R31" i="74"/>
  <c r="P31" i="74"/>
  <c r="L31" i="74"/>
  <c r="G31" i="74"/>
  <c r="T30" i="74"/>
  <c r="S30" i="74"/>
  <c r="R30" i="74"/>
  <c r="P30" i="74"/>
  <c r="L30" i="74"/>
  <c r="G30" i="74"/>
  <c r="T29" i="74"/>
  <c r="S29" i="74"/>
  <c r="R29" i="74"/>
  <c r="P29" i="74"/>
  <c r="L29" i="74"/>
  <c r="G29" i="74"/>
  <c r="T28" i="74"/>
  <c r="S28" i="74"/>
  <c r="R28" i="74"/>
  <c r="P28" i="74"/>
  <c r="L28" i="74"/>
  <c r="G28" i="74"/>
  <c r="T27" i="74"/>
  <c r="S27" i="74"/>
  <c r="R27" i="74"/>
  <c r="P27" i="74"/>
  <c r="L27" i="74"/>
  <c r="G27" i="74"/>
  <c r="T26" i="74"/>
  <c r="S26" i="74"/>
  <c r="R26" i="74"/>
  <c r="P26" i="74"/>
  <c r="L26" i="74"/>
  <c r="G26" i="74"/>
  <c r="T25" i="74"/>
  <c r="S25" i="74"/>
  <c r="R25" i="74"/>
  <c r="P25" i="74"/>
  <c r="L25" i="74"/>
  <c r="G25" i="74"/>
  <c r="T24" i="74"/>
  <c r="S24" i="74"/>
  <c r="R24" i="74"/>
  <c r="P24" i="74"/>
  <c r="L24" i="74"/>
  <c r="G24" i="74"/>
  <c r="T23" i="74"/>
  <c r="S23" i="74"/>
  <c r="R23" i="74"/>
  <c r="P23" i="74"/>
  <c r="L23" i="74"/>
  <c r="T22" i="74"/>
  <c r="S22" i="74"/>
  <c r="R22" i="74"/>
  <c r="P22" i="74"/>
  <c r="L22" i="74"/>
  <c r="T21" i="74"/>
  <c r="S21" i="74"/>
  <c r="R21" i="74"/>
  <c r="P21" i="74"/>
  <c r="L21" i="74"/>
  <c r="T20" i="74"/>
  <c r="S20" i="74"/>
  <c r="R20" i="74"/>
  <c r="P20" i="74"/>
  <c r="L20" i="74"/>
  <c r="T19" i="74"/>
  <c r="S19" i="74"/>
  <c r="R19" i="74"/>
  <c r="P19" i="74"/>
  <c r="L19" i="74"/>
  <c r="G22" i="74"/>
  <c r="G19" i="74"/>
  <c r="G20" i="74"/>
  <c r="G21" i="74"/>
  <c r="G23" i="74"/>
  <c r="V548" i="73"/>
  <c r="R548" i="73"/>
  <c r="S548" i="73" s="1"/>
  <c r="M548" i="73"/>
  <c r="L548" i="73"/>
  <c r="T18" i="74"/>
  <c r="S18" i="74"/>
  <c r="R18" i="74"/>
  <c r="P18" i="74"/>
  <c r="L18" i="74"/>
  <c r="G18" i="74"/>
  <c r="T17" i="74"/>
  <c r="S17" i="74"/>
  <c r="R17" i="74"/>
  <c r="P17" i="74"/>
  <c r="L17" i="74"/>
  <c r="G17" i="74"/>
  <c r="T16" i="74"/>
  <c r="S16" i="74"/>
  <c r="R16" i="74"/>
  <c r="P16" i="74"/>
  <c r="L16" i="74"/>
  <c r="G16" i="74"/>
  <c r="T15" i="74"/>
  <c r="S15" i="74"/>
  <c r="R15" i="74"/>
  <c r="P15" i="74"/>
  <c r="L15" i="74"/>
  <c r="G15" i="74"/>
  <c r="T14" i="74"/>
  <c r="S14" i="74"/>
  <c r="R14" i="74"/>
  <c r="P14" i="74"/>
  <c r="L14" i="74"/>
  <c r="G14" i="74"/>
  <c r="T13" i="74"/>
  <c r="S13" i="74"/>
  <c r="R13" i="74"/>
  <c r="P13" i="74"/>
  <c r="L13" i="74"/>
  <c r="G13" i="74"/>
  <c r="T12" i="74"/>
  <c r="S12" i="74"/>
  <c r="R12" i="74"/>
  <c r="P12" i="74"/>
  <c r="L12" i="74"/>
  <c r="G12" i="74"/>
  <c r="T11" i="74"/>
  <c r="S11" i="74"/>
  <c r="R11" i="74"/>
  <c r="P11" i="74"/>
  <c r="L11" i="74"/>
  <c r="G11" i="74"/>
  <c r="T10" i="74"/>
  <c r="S10" i="74"/>
  <c r="R10" i="74"/>
  <c r="P10" i="74"/>
  <c r="L10" i="74"/>
  <c r="G10" i="74"/>
  <c r="T9" i="74"/>
  <c r="S9" i="74"/>
  <c r="R9" i="74"/>
  <c r="P9" i="74"/>
  <c r="L9" i="74"/>
  <c r="G9" i="74"/>
  <c r="T8" i="74"/>
  <c r="S8" i="74"/>
  <c r="R8" i="74"/>
  <c r="P8" i="74"/>
  <c r="L8" i="74"/>
  <c r="G8" i="74"/>
  <c r="T7" i="74"/>
  <c r="S7" i="74"/>
  <c r="R7" i="74"/>
  <c r="P7" i="74"/>
  <c r="L7" i="74"/>
  <c r="T6" i="74"/>
  <c r="S6" i="74"/>
  <c r="R6" i="74"/>
  <c r="P6" i="74"/>
  <c r="L6" i="74"/>
  <c r="T5" i="74"/>
  <c r="S5" i="74"/>
  <c r="R5" i="74"/>
  <c r="P5" i="74"/>
  <c r="L5" i="74"/>
  <c r="G5" i="74"/>
  <c r="G6" i="74"/>
  <c r="G7" i="74"/>
  <c r="S4" i="74"/>
  <c r="T4" i="74"/>
  <c r="R4" i="74"/>
  <c r="P4" i="74"/>
  <c r="L4" i="74"/>
  <c r="G4" i="74"/>
  <c r="T3" i="74"/>
  <c r="S3" i="74"/>
  <c r="R3" i="74"/>
  <c r="P3" i="74"/>
  <c r="L3" i="74"/>
  <c r="G3" i="74"/>
  <c r="D296" i="1"/>
  <c r="W548" i="73" l="1"/>
  <c r="X548" i="73" s="1"/>
  <c r="H161" i="71" l="1"/>
  <c r="N207" i="71"/>
  <c r="H207" i="71" s="1"/>
  <c r="H157" i="71"/>
  <c r="H135" i="71"/>
  <c r="H164" i="71"/>
  <c r="H165" i="71"/>
  <c r="N206" i="71"/>
  <c r="H206" i="71" s="1"/>
  <c r="AG547" i="73" l="1"/>
  <c r="V547" i="73"/>
  <c r="R547" i="73"/>
  <c r="S547" i="73" s="1"/>
  <c r="L546" i="73"/>
  <c r="M546" i="73"/>
  <c r="L547" i="73"/>
  <c r="M547" i="73"/>
  <c r="AG546" i="73"/>
  <c r="R546" i="73"/>
  <c r="S546" i="73" s="1"/>
  <c r="V546" i="73"/>
  <c r="W546" i="73" l="1"/>
  <c r="X546" i="73" s="1"/>
  <c r="W547" i="73"/>
  <c r="X547" i="73" s="1"/>
  <c r="H158" i="71" l="1"/>
  <c r="I520" i="73"/>
  <c r="H156" i="71"/>
  <c r="H159" i="71"/>
  <c r="I527" i="73"/>
  <c r="N205" i="71"/>
  <c r="H205" i="71" s="1"/>
  <c r="D295" i="1" l="1"/>
  <c r="D294" i="1"/>
  <c r="D293" i="1"/>
  <c r="D292" i="1"/>
  <c r="D291" i="1"/>
  <c r="H177" i="71" l="1"/>
  <c r="I177" i="71"/>
  <c r="I517" i="73"/>
  <c r="J517" i="73" s="1"/>
  <c r="M517" i="73" s="1"/>
  <c r="I470" i="73"/>
  <c r="J470" i="73" s="1"/>
  <c r="H167" i="71"/>
  <c r="I167" i="71"/>
  <c r="I138" i="71"/>
  <c r="H171" i="71"/>
  <c r="H170" i="71"/>
  <c r="I104" i="71"/>
  <c r="H104" i="71"/>
  <c r="M496" i="73"/>
  <c r="M497" i="73"/>
  <c r="M498" i="73"/>
  <c r="M499" i="73"/>
  <c r="M500" i="73"/>
  <c r="M501" i="73"/>
  <c r="M502" i="73"/>
  <c r="M504" i="73"/>
  <c r="M505" i="73"/>
  <c r="M506" i="73"/>
  <c r="M507" i="73"/>
  <c r="M509" i="73"/>
  <c r="M510" i="73"/>
  <c r="M511" i="73"/>
  <c r="M512" i="73"/>
  <c r="M513" i="73"/>
  <c r="M514" i="73"/>
  <c r="M515" i="73"/>
  <c r="M516" i="73"/>
  <c r="M518" i="73"/>
  <c r="M519" i="73"/>
  <c r="M521" i="73"/>
  <c r="M522" i="73"/>
  <c r="M523" i="73"/>
  <c r="M525" i="73"/>
  <c r="M526" i="73"/>
  <c r="M528" i="73"/>
  <c r="M529" i="73"/>
  <c r="M530" i="73"/>
  <c r="M531" i="73"/>
  <c r="M533" i="73"/>
  <c r="M534" i="73"/>
  <c r="M535" i="73"/>
  <c r="M536" i="73"/>
  <c r="M537" i="73"/>
  <c r="M538" i="73"/>
  <c r="M539" i="73"/>
  <c r="M540" i="73"/>
  <c r="M541" i="73"/>
  <c r="M542" i="73"/>
  <c r="M543" i="73"/>
  <c r="M544" i="73"/>
  <c r="M545" i="73"/>
  <c r="P442" i="73"/>
  <c r="P440" i="73"/>
  <c r="P438" i="73"/>
  <c r="P436" i="73"/>
  <c r="P434" i="73"/>
  <c r="P432" i="73"/>
  <c r="V443" i="73"/>
  <c r="R443" i="73"/>
  <c r="M443" i="73"/>
  <c r="L443" i="73"/>
  <c r="V441" i="73"/>
  <c r="R441" i="73"/>
  <c r="M441" i="73"/>
  <c r="L441" i="73"/>
  <c r="V439" i="73"/>
  <c r="R439" i="73"/>
  <c r="M439" i="73"/>
  <c r="L439" i="73"/>
  <c r="V437" i="73"/>
  <c r="R437" i="73"/>
  <c r="M437" i="73"/>
  <c r="L437" i="73"/>
  <c r="V435" i="73"/>
  <c r="R435" i="73"/>
  <c r="S435" i="73" s="1"/>
  <c r="M435" i="73"/>
  <c r="L435" i="73"/>
  <c r="V433" i="73"/>
  <c r="R433" i="73"/>
  <c r="M433" i="73"/>
  <c r="L433" i="73"/>
  <c r="P504" i="73"/>
  <c r="AG545" i="73"/>
  <c r="V545" i="73"/>
  <c r="R545" i="73"/>
  <c r="L545" i="73"/>
  <c r="D290" i="1"/>
  <c r="N201" i="71"/>
  <c r="H201" i="71" s="1"/>
  <c r="N200" i="71"/>
  <c r="H200" i="71" s="1"/>
  <c r="W545" i="73" l="1"/>
  <c r="X545" i="73" s="1"/>
  <c r="W435" i="73"/>
  <c r="X435" i="73" s="1"/>
  <c r="W443" i="73"/>
  <c r="X443" i="73" s="1"/>
  <c r="S443" i="73"/>
  <c r="W441" i="73"/>
  <c r="X441" i="73" s="1"/>
  <c r="S441" i="73"/>
  <c r="W439" i="73"/>
  <c r="X439" i="73" s="1"/>
  <c r="S439" i="73"/>
  <c r="W437" i="73"/>
  <c r="X437" i="73" s="1"/>
  <c r="S437" i="73"/>
  <c r="S433" i="73"/>
  <c r="W433" i="73"/>
  <c r="X433" i="73" s="1"/>
  <c r="S545" i="73"/>
  <c r="D289" i="1"/>
  <c r="N199" i="71"/>
  <c r="I404" i="73"/>
  <c r="J404" i="73" s="1"/>
  <c r="AE530" i="73"/>
  <c r="L544" i="73"/>
  <c r="AG544" i="73"/>
  <c r="R544" i="73"/>
  <c r="S544" i="73" s="1"/>
  <c r="V544" i="73"/>
  <c r="D288" i="1"/>
  <c r="D287" i="1"/>
  <c r="D286" i="1"/>
  <c r="D285" i="1"/>
  <c r="D284" i="1"/>
  <c r="D283" i="1"/>
  <c r="D282" i="1"/>
  <c r="D281" i="1"/>
  <c r="D280" i="1"/>
  <c r="D279" i="1"/>
  <c r="D278" i="1"/>
  <c r="AG543" i="73"/>
  <c r="R543" i="73"/>
  <c r="S543" i="73" s="1"/>
  <c r="V543" i="73"/>
  <c r="L543" i="73"/>
  <c r="H144" i="71"/>
  <c r="W544" i="73" l="1"/>
  <c r="X544" i="73" s="1"/>
  <c r="W543" i="73"/>
  <c r="X543" i="73" s="1"/>
  <c r="D277" i="1"/>
  <c r="H151" i="71" l="1"/>
  <c r="H149" i="71"/>
  <c r="I426" i="73"/>
  <c r="H145" i="71"/>
  <c r="H148" i="71"/>
  <c r="AG542" i="73" l="1"/>
  <c r="R542" i="73"/>
  <c r="S542" i="73" s="1"/>
  <c r="V542" i="73"/>
  <c r="L542" i="73"/>
  <c r="D276" i="1"/>
  <c r="D275" i="1"/>
  <c r="D274" i="1"/>
  <c r="D273" i="1"/>
  <c r="W542" i="73" l="1"/>
  <c r="X542" i="73" s="1"/>
  <c r="H154" i="71"/>
  <c r="H152" i="71"/>
  <c r="I524" i="73" l="1"/>
  <c r="J524" i="73" s="1"/>
  <c r="M524" i="73" s="1"/>
  <c r="R246" i="73" l="1"/>
  <c r="I246" i="73"/>
  <c r="J246" i="73" s="1"/>
  <c r="N193" i="71"/>
  <c r="H193" i="71" s="1"/>
  <c r="N191" i="71"/>
  <c r="H109" i="71" l="1"/>
  <c r="I400" i="73"/>
  <c r="J400" i="73" s="1"/>
  <c r="I396" i="73" l="1"/>
  <c r="J396" i="73" s="1"/>
  <c r="D271" i="1" l="1"/>
  <c r="H175" i="71"/>
  <c r="H174" i="71"/>
  <c r="H173" i="71"/>
  <c r="H172" i="71"/>
  <c r="H169" i="71"/>
  <c r="H181" i="71"/>
  <c r="AG541" i="73"/>
  <c r="V541" i="73"/>
  <c r="R541" i="73"/>
  <c r="S541" i="73" s="1"/>
  <c r="L541" i="73"/>
  <c r="W541" i="73" l="1"/>
  <c r="X541" i="73" s="1"/>
  <c r="AG540" i="73"/>
  <c r="R540" i="73"/>
  <c r="S540" i="73" s="1"/>
  <c r="V540" i="73"/>
  <c r="L540" i="73"/>
  <c r="I180" i="71"/>
  <c r="H180" i="71"/>
  <c r="I179" i="71"/>
  <c r="H179" i="71"/>
  <c r="I147" i="71"/>
  <c r="H147" i="71"/>
  <c r="I178" i="71"/>
  <c r="H178" i="71"/>
  <c r="N187" i="71"/>
  <c r="H187" i="71" s="1"/>
  <c r="N188" i="71"/>
  <c r="H188" i="71" s="1"/>
  <c r="N189" i="71"/>
  <c r="H189" i="71" s="1"/>
  <c r="N190" i="71"/>
  <c r="H190" i="71" s="1"/>
  <c r="W540" i="73" l="1"/>
  <c r="X540" i="73" s="1"/>
  <c r="L539" i="73"/>
  <c r="AG539" i="73"/>
  <c r="R539" i="73"/>
  <c r="S539" i="73" s="1"/>
  <c r="V539" i="73"/>
  <c r="W539" i="73" l="1"/>
  <c r="X539" i="73" s="1"/>
  <c r="L538" i="73"/>
  <c r="AG538" i="73"/>
  <c r="V538" i="73"/>
  <c r="R538" i="73"/>
  <c r="S538" i="73" s="1"/>
  <c r="I508" i="73"/>
  <c r="J508" i="73" s="1"/>
  <c r="M508" i="73" s="1"/>
  <c r="W538" i="73" l="1"/>
  <c r="X538" i="73" s="1"/>
  <c r="H163" i="71"/>
  <c r="N184" i="71" l="1"/>
  <c r="H166" i="71"/>
  <c r="I166" i="71"/>
  <c r="I93" i="71"/>
  <c r="I114" i="71"/>
  <c r="H114" i="71"/>
  <c r="H93" i="71"/>
  <c r="I253" i="73"/>
  <c r="J253" i="73" s="1"/>
  <c r="I306" i="73"/>
  <c r="J306" i="73" s="1"/>
  <c r="N120" i="71"/>
  <c r="H120" i="71" s="1"/>
  <c r="H122" i="71"/>
  <c r="I122" i="71"/>
  <c r="H63" i="71"/>
  <c r="H43" i="71"/>
  <c r="H44" i="71"/>
  <c r="D270" i="1"/>
  <c r="AG537" i="73"/>
  <c r="R537" i="73"/>
  <c r="S537" i="73" s="1"/>
  <c r="V537" i="73"/>
  <c r="L537" i="73"/>
  <c r="W537" i="73" l="1"/>
  <c r="X537" i="73" s="1"/>
  <c r="N182" i="71"/>
  <c r="N183" i="71"/>
  <c r="H183" i="71" s="1"/>
  <c r="I494" i="73" l="1"/>
  <c r="J494" i="73" s="1"/>
  <c r="J254" i="73" l="1"/>
  <c r="H106" i="71" l="1"/>
  <c r="H127" i="71"/>
  <c r="H118" i="71"/>
  <c r="H139" i="71"/>
  <c r="H141" i="71"/>
  <c r="H133" i="71"/>
  <c r="V536" i="73"/>
  <c r="V535" i="73"/>
  <c r="V534" i="73"/>
  <c r="V533" i="73"/>
  <c r="L533" i="73"/>
  <c r="L534" i="73"/>
  <c r="L535" i="73"/>
  <c r="L536" i="73"/>
  <c r="P536" i="73"/>
  <c r="R536" i="73" s="1"/>
  <c r="S536" i="73" s="1"/>
  <c r="P535" i="73"/>
  <c r="R535" i="73" s="1"/>
  <c r="S535" i="73" s="1"/>
  <c r="P534" i="73"/>
  <c r="R534" i="73" s="1"/>
  <c r="S534" i="73" s="1"/>
  <c r="P533" i="73"/>
  <c r="R533" i="73" s="1"/>
  <c r="S533" i="73" s="1"/>
  <c r="I421" i="73"/>
  <c r="J421" i="73" s="1"/>
  <c r="I532" i="73"/>
  <c r="J532" i="73" s="1"/>
  <c r="M532" i="73" s="1"/>
  <c r="AG532" i="73"/>
  <c r="AE532" i="73"/>
  <c r="R532" i="73"/>
  <c r="S532" i="73" s="1"/>
  <c r="V532" i="73"/>
  <c r="L532" i="73"/>
  <c r="W536" i="73" l="1"/>
  <c r="X536" i="73" s="1"/>
  <c r="W533" i="73"/>
  <c r="X533" i="73" s="1"/>
  <c r="W534" i="73"/>
  <c r="X534" i="73" s="1"/>
  <c r="W535" i="73"/>
  <c r="X535" i="73" s="1"/>
  <c r="W532" i="73"/>
  <c r="X532" i="73" s="1"/>
  <c r="D269" i="1"/>
  <c r="D268" i="1"/>
  <c r="D267" i="1"/>
  <c r="AG519" i="73"/>
  <c r="AE519" i="73"/>
  <c r="I375" i="73" l="1"/>
  <c r="AG530" i="73"/>
  <c r="AG531" i="73"/>
  <c r="R530" i="73"/>
  <c r="S530" i="73" s="1"/>
  <c r="V530" i="73"/>
  <c r="R531" i="73"/>
  <c r="V531" i="73"/>
  <c r="L531" i="73"/>
  <c r="M527" i="73"/>
  <c r="H155" i="71"/>
  <c r="H160" i="71"/>
  <c r="H150" i="71"/>
  <c r="H138" i="71"/>
  <c r="H130" i="71"/>
  <c r="H132" i="71"/>
  <c r="I146" i="71"/>
  <c r="H146" i="71"/>
  <c r="H128" i="71"/>
  <c r="H140" i="71"/>
  <c r="H134" i="71"/>
  <c r="W531" i="73" l="1"/>
  <c r="X531" i="73" s="1"/>
  <c r="W530" i="73"/>
  <c r="X530" i="73" s="1"/>
  <c r="S531" i="73"/>
  <c r="L530" i="73"/>
  <c r="D266" i="1"/>
  <c r="D265" i="1"/>
  <c r="I472" i="73"/>
  <c r="J472" i="73" s="1"/>
  <c r="N162" i="71" l="1"/>
  <c r="I364" i="73"/>
  <c r="I495" i="73"/>
  <c r="J495" i="73" s="1"/>
  <c r="L529" i="73"/>
  <c r="AG529" i="73"/>
  <c r="V529" i="73"/>
  <c r="R529" i="73"/>
  <c r="S529" i="73" s="1"/>
  <c r="L528" i="73"/>
  <c r="AG528" i="73"/>
  <c r="R528" i="73"/>
  <c r="V528" i="73"/>
  <c r="I142" i="71"/>
  <c r="H142" i="71"/>
  <c r="I143" i="71"/>
  <c r="H143" i="71"/>
  <c r="W528" i="73" l="1"/>
  <c r="X528" i="73" s="1"/>
  <c r="W529" i="73"/>
  <c r="X529" i="73" s="1"/>
  <c r="S528" i="73"/>
  <c r="L527" i="73"/>
  <c r="AG527" i="73"/>
  <c r="R527" i="73"/>
  <c r="V527" i="73"/>
  <c r="W527" i="73" l="1"/>
  <c r="X527" i="73" s="1"/>
  <c r="S527" i="73"/>
  <c r="AG526" i="73"/>
  <c r="V526" i="73"/>
  <c r="R526" i="73"/>
  <c r="S526" i="73" s="1"/>
  <c r="L526" i="73"/>
  <c r="L525" i="73"/>
  <c r="AG525" i="73"/>
  <c r="R525" i="73"/>
  <c r="S525" i="73" s="1"/>
  <c r="V525" i="73"/>
  <c r="AG524" i="73"/>
  <c r="V524" i="73"/>
  <c r="R524" i="73"/>
  <c r="S524" i="73" s="1"/>
  <c r="L524" i="73"/>
  <c r="L523" i="73"/>
  <c r="AG523" i="73"/>
  <c r="V523" i="73"/>
  <c r="R523" i="73"/>
  <c r="S523" i="73" s="1"/>
  <c r="W523" i="73" l="1"/>
  <c r="X523" i="73" s="1"/>
  <c r="W524" i="73"/>
  <c r="X524" i="73" s="1"/>
  <c r="W526" i="73"/>
  <c r="X526" i="73" s="1"/>
  <c r="W525" i="73"/>
  <c r="X525" i="73" s="1"/>
  <c r="I369" i="73"/>
  <c r="M520" i="73"/>
  <c r="AG522" i="73"/>
  <c r="V522" i="73"/>
  <c r="R522" i="73"/>
  <c r="S522" i="73" s="1"/>
  <c r="L522" i="73"/>
  <c r="W522" i="73" l="1"/>
  <c r="X522" i="73" s="1"/>
  <c r="H116" i="71"/>
  <c r="H117" i="71"/>
  <c r="N153" i="71" l="1"/>
  <c r="H153" i="71" s="1"/>
  <c r="I503" i="73" l="1"/>
  <c r="J503" i="73" s="1"/>
  <c r="M503" i="73" s="1"/>
  <c r="I422" i="73"/>
  <c r="AG521" i="73" l="1"/>
  <c r="R521" i="73"/>
  <c r="S521" i="73" s="1"/>
  <c r="V521" i="73"/>
  <c r="L519" i="73"/>
  <c r="L520" i="73"/>
  <c r="L521" i="73"/>
  <c r="P449" i="73"/>
  <c r="P444" i="73"/>
  <c r="D264" i="1"/>
  <c r="W521" i="73" l="1"/>
  <c r="X521" i="73" s="1"/>
  <c r="AG520" i="73" l="1"/>
  <c r="AE520" i="73"/>
  <c r="R520" i="73"/>
  <c r="S520" i="73" s="1"/>
  <c r="V520" i="73"/>
  <c r="W520" i="73" l="1"/>
  <c r="X520" i="73" s="1"/>
  <c r="I136" i="71" l="1"/>
  <c r="H136" i="71"/>
  <c r="R519" i="73"/>
  <c r="S519" i="73" s="1"/>
  <c r="V519" i="73"/>
  <c r="W519" i="73" l="1"/>
  <c r="X519" i="73" s="1"/>
  <c r="I100" i="71"/>
  <c r="H100" i="71"/>
  <c r="I113" i="71"/>
  <c r="I109" i="71"/>
  <c r="D263" i="1" l="1"/>
  <c r="H97" i="71"/>
  <c r="H124" i="71"/>
  <c r="H103" i="71"/>
  <c r="H101" i="71"/>
  <c r="AG518" i="73"/>
  <c r="R518" i="73"/>
  <c r="S518" i="73" s="1"/>
  <c r="V518" i="73"/>
  <c r="L518" i="73"/>
  <c r="W518" i="73" l="1"/>
  <c r="X518" i="73" s="1"/>
  <c r="H80" i="71"/>
  <c r="L517" i="73"/>
  <c r="AG517" i="73"/>
  <c r="R517" i="73"/>
  <c r="V517" i="73"/>
  <c r="W517" i="73" l="1"/>
  <c r="X517" i="73" s="1"/>
  <c r="S517" i="73"/>
  <c r="H98" i="71" l="1"/>
  <c r="AG478" i="73"/>
  <c r="R478" i="73"/>
  <c r="V478" i="73"/>
  <c r="L478" i="73"/>
  <c r="M478" i="73"/>
  <c r="D262" i="1"/>
  <c r="W478" i="73" l="1"/>
  <c r="X478" i="73" s="1"/>
  <c r="S478" i="73"/>
  <c r="P452" i="73"/>
  <c r="P451" i="73"/>
  <c r="P450" i="73"/>
  <c r="P447" i="73"/>
  <c r="P446" i="73"/>
  <c r="P445" i="73"/>
  <c r="AG511" i="73" l="1"/>
  <c r="V512" i="73"/>
  <c r="V513" i="73"/>
  <c r="V514" i="73"/>
  <c r="V515" i="73"/>
  <c r="V516" i="73"/>
  <c r="L512" i="73"/>
  <c r="L513" i="73"/>
  <c r="L514" i="73"/>
  <c r="L515" i="73"/>
  <c r="L516" i="73"/>
  <c r="P516" i="73"/>
  <c r="R516" i="73" s="1"/>
  <c r="S516" i="73" s="1"/>
  <c r="P515" i="73"/>
  <c r="R515" i="73" s="1"/>
  <c r="S515" i="73" s="1"/>
  <c r="P514" i="73"/>
  <c r="R514" i="73" s="1"/>
  <c r="S514" i="73" s="1"/>
  <c r="P513" i="73"/>
  <c r="R513" i="73" s="1"/>
  <c r="S513" i="73" s="1"/>
  <c r="P512" i="73"/>
  <c r="R512" i="73" s="1"/>
  <c r="S512" i="73" s="1"/>
  <c r="I395" i="73"/>
  <c r="J395" i="73" s="1"/>
  <c r="I390" i="73"/>
  <c r="J390" i="73" s="1"/>
  <c r="W515" i="73" l="1"/>
  <c r="X515" i="73" s="1"/>
  <c r="W514" i="73"/>
  <c r="X514" i="73" s="1"/>
  <c r="W516" i="73"/>
  <c r="X516" i="73" s="1"/>
  <c r="W513" i="73"/>
  <c r="X513" i="73" s="1"/>
  <c r="W512" i="73"/>
  <c r="X512" i="73" s="1"/>
  <c r="L511" i="73"/>
  <c r="R511" i="73"/>
  <c r="S511" i="73" s="1"/>
  <c r="V511" i="73"/>
  <c r="AG510" i="73"/>
  <c r="R510" i="73"/>
  <c r="S510" i="73" s="1"/>
  <c r="V510" i="73"/>
  <c r="L510" i="73"/>
  <c r="L509" i="73"/>
  <c r="AG509" i="73"/>
  <c r="R509" i="73"/>
  <c r="S509" i="73" s="1"/>
  <c r="V509" i="73"/>
  <c r="L501" i="73"/>
  <c r="L502" i="73"/>
  <c r="L503" i="73"/>
  <c r="L504" i="73"/>
  <c r="L505" i="73"/>
  <c r="L506" i="73"/>
  <c r="L507" i="73"/>
  <c r="L508" i="73"/>
  <c r="L500" i="73"/>
  <c r="AE508" i="73"/>
  <c r="AG508" i="73"/>
  <c r="R508" i="73"/>
  <c r="V508" i="73"/>
  <c r="AG507" i="73"/>
  <c r="V507" i="73"/>
  <c r="R507" i="73"/>
  <c r="S507" i="73" s="1"/>
  <c r="W511" i="73" l="1"/>
  <c r="X511" i="73" s="1"/>
  <c r="W509" i="73"/>
  <c r="X509" i="73" s="1"/>
  <c r="W508" i="73"/>
  <c r="X508" i="73" s="1"/>
  <c r="W510" i="73"/>
  <c r="X510" i="73" s="1"/>
  <c r="W507" i="73"/>
  <c r="X507" i="73" s="1"/>
  <c r="S508" i="73"/>
  <c r="R442" i="73"/>
  <c r="V442" i="73"/>
  <c r="L442" i="73"/>
  <c r="M442" i="73"/>
  <c r="AG474" i="73"/>
  <c r="AG506" i="73"/>
  <c r="AE506" i="73"/>
  <c r="AE505" i="73"/>
  <c r="R506" i="73"/>
  <c r="S506" i="73" s="1"/>
  <c r="V506" i="73"/>
  <c r="AG505" i="73"/>
  <c r="R505" i="73"/>
  <c r="S505" i="73" s="1"/>
  <c r="V505" i="73"/>
  <c r="D260" i="1"/>
  <c r="D261" i="1"/>
  <c r="S442" i="73" l="1"/>
  <c r="W442" i="73"/>
  <c r="X442" i="73" s="1"/>
  <c r="W506" i="73"/>
  <c r="X506" i="73" s="1"/>
  <c r="W505" i="73"/>
  <c r="X505" i="73" s="1"/>
  <c r="AG504" i="73"/>
  <c r="V504" i="73"/>
  <c r="R504" i="73"/>
  <c r="AG503" i="73"/>
  <c r="R503" i="73"/>
  <c r="S503" i="73" s="1"/>
  <c r="V503" i="73"/>
  <c r="AG502" i="73"/>
  <c r="R502" i="73"/>
  <c r="S502" i="73" s="1"/>
  <c r="V502" i="73"/>
  <c r="H90" i="71"/>
  <c r="AG501" i="73"/>
  <c r="V501" i="73"/>
  <c r="R501" i="73"/>
  <c r="S501" i="73" s="1"/>
  <c r="W502" i="73" l="1"/>
  <c r="X502" i="73" s="1"/>
  <c r="W504" i="73"/>
  <c r="X504" i="73" s="1"/>
  <c r="S504" i="73"/>
  <c r="W503" i="73"/>
  <c r="X503" i="73" s="1"/>
  <c r="W501" i="73"/>
  <c r="X501" i="73" s="1"/>
  <c r="N137" i="71"/>
  <c r="H137" i="71" s="1"/>
  <c r="H89" i="71"/>
  <c r="AG500" i="73"/>
  <c r="R500" i="73"/>
  <c r="S500" i="73" s="1"/>
  <c r="V500" i="73"/>
  <c r="H129" i="71"/>
  <c r="H92" i="71"/>
  <c r="L499" i="73"/>
  <c r="AG499" i="73"/>
  <c r="R499" i="73"/>
  <c r="S499" i="73" s="1"/>
  <c r="V499" i="73"/>
  <c r="AG498" i="73"/>
  <c r="R497" i="73"/>
  <c r="S497" i="73" s="1"/>
  <c r="V497" i="73"/>
  <c r="R498" i="73"/>
  <c r="V498" i="73"/>
  <c r="L497" i="73"/>
  <c r="L498" i="73"/>
  <c r="AG496" i="73"/>
  <c r="R496" i="73"/>
  <c r="S496" i="73" s="1"/>
  <c r="V496" i="73"/>
  <c r="L496" i="73"/>
  <c r="L495" i="73"/>
  <c r="M495" i="73"/>
  <c r="AG495" i="73"/>
  <c r="R495" i="73"/>
  <c r="S495" i="73" s="1"/>
  <c r="V495" i="73"/>
  <c r="W500" i="73" l="1"/>
  <c r="X500" i="73" s="1"/>
  <c r="W498" i="73"/>
  <c r="X498" i="73" s="1"/>
  <c r="W497" i="73"/>
  <c r="X497" i="73" s="1"/>
  <c r="W495" i="73"/>
  <c r="X495" i="73" s="1"/>
  <c r="S498" i="73"/>
  <c r="W499" i="73"/>
  <c r="X499" i="73" s="1"/>
  <c r="W496" i="73"/>
  <c r="X496" i="73" s="1"/>
  <c r="D222" i="1" l="1"/>
  <c r="I15" i="71"/>
  <c r="L494" i="73" l="1"/>
  <c r="M494" i="73"/>
  <c r="V494" i="73"/>
  <c r="R494" i="73"/>
  <c r="S494" i="73" s="1"/>
  <c r="AG494" i="73"/>
  <c r="I389" i="73"/>
  <c r="I454" i="73"/>
  <c r="I95" i="71"/>
  <c r="H95" i="71"/>
  <c r="AG493" i="73"/>
  <c r="V493" i="73"/>
  <c r="L493" i="73"/>
  <c r="M493" i="73"/>
  <c r="R493" i="73"/>
  <c r="S493" i="73" s="1"/>
  <c r="R492" i="73"/>
  <c r="S492" i="73" s="1"/>
  <c r="V492" i="73"/>
  <c r="L492" i="73"/>
  <c r="M492" i="73"/>
  <c r="N131" i="71"/>
  <c r="H131" i="71" s="1"/>
  <c r="W494" i="73" l="1"/>
  <c r="X494" i="73" s="1"/>
  <c r="W492" i="73"/>
  <c r="X492" i="73" s="1"/>
  <c r="W493" i="73"/>
  <c r="X493" i="73" s="1"/>
  <c r="I329" i="73"/>
  <c r="I204" i="73" l="1"/>
  <c r="J204" i="73" s="1"/>
  <c r="I403" i="73"/>
  <c r="I110" i="71" l="1"/>
  <c r="H110" i="71"/>
  <c r="I47" i="71" l="1"/>
  <c r="I417" i="73"/>
  <c r="N126" i="71"/>
  <c r="H126" i="71" s="1"/>
  <c r="D259" i="1" l="1"/>
  <c r="L490" i="73"/>
  <c r="M490" i="73"/>
  <c r="L491" i="73"/>
  <c r="M491" i="73"/>
  <c r="AG489" i="73"/>
  <c r="AG490" i="73"/>
  <c r="AG491" i="73"/>
  <c r="R490" i="73"/>
  <c r="S490" i="73" s="1"/>
  <c r="V490" i="73"/>
  <c r="R491" i="73"/>
  <c r="S491" i="73" s="1"/>
  <c r="V491" i="73"/>
  <c r="P453" i="73"/>
  <c r="P448" i="73"/>
  <c r="V440" i="73"/>
  <c r="V444" i="73"/>
  <c r="V445" i="73"/>
  <c r="V446" i="73"/>
  <c r="V447" i="73"/>
  <c r="V448" i="73"/>
  <c r="V449" i="73"/>
  <c r="V450" i="73"/>
  <c r="V451" i="73"/>
  <c r="V452" i="73"/>
  <c r="V453" i="73"/>
  <c r="D258" i="1"/>
  <c r="D257" i="1"/>
  <c r="D256" i="1"/>
  <c r="D255" i="1"/>
  <c r="W491" i="73" l="1"/>
  <c r="X491" i="73" s="1"/>
  <c r="W490" i="73"/>
  <c r="X490" i="73" s="1"/>
  <c r="H112" i="71"/>
  <c r="I45" i="71"/>
  <c r="H105" i="71"/>
  <c r="H125" i="71"/>
  <c r="H107" i="71"/>
  <c r="H115" i="71"/>
  <c r="H111" i="71"/>
  <c r="H123" i="71"/>
  <c r="H86" i="71" l="1"/>
  <c r="H85" i="71"/>
  <c r="H88" i="71"/>
  <c r="R489" i="73"/>
  <c r="S489" i="73" s="1"/>
  <c r="V489" i="73"/>
  <c r="L489" i="73"/>
  <c r="M489" i="73"/>
  <c r="W489" i="73" l="1"/>
  <c r="X489" i="73" s="1"/>
  <c r="H108" i="71"/>
  <c r="H81" i="71"/>
  <c r="I102" i="71"/>
  <c r="H102" i="71"/>
  <c r="I91" i="71" l="1"/>
  <c r="H91" i="71"/>
  <c r="D254" i="1"/>
  <c r="U394" i="73" l="1"/>
  <c r="U399" i="73"/>
  <c r="D253" i="1"/>
  <c r="D252" i="1"/>
  <c r="D251" i="1"/>
  <c r="D250" i="1"/>
  <c r="D249" i="1"/>
  <c r="D248" i="1"/>
  <c r="D247" i="1"/>
  <c r="AG488" i="73"/>
  <c r="V488" i="73"/>
  <c r="R488" i="73"/>
  <c r="S488" i="73" s="1"/>
  <c r="M488" i="73"/>
  <c r="L488" i="73"/>
  <c r="W488" i="73" l="1"/>
  <c r="X488" i="73" s="1"/>
  <c r="AG486" i="73"/>
  <c r="AG487" i="73"/>
  <c r="V487" i="73"/>
  <c r="M487" i="73"/>
  <c r="L487" i="73"/>
  <c r="R487" i="73"/>
  <c r="S487" i="73" s="1"/>
  <c r="W487" i="73" l="1"/>
  <c r="X487" i="73" s="1"/>
  <c r="I96" i="71"/>
  <c r="H96" i="71"/>
  <c r="I94" i="71"/>
  <c r="H94" i="71"/>
  <c r="N119" i="71"/>
  <c r="H119" i="71" s="1"/>
  <c r="I99" i="71"/>
  <c r="H99" i="71"/>
  <c r="R486" i="73" l="1"/>
  <c r="V486" i="73"/>
  <c r="M486" i="73"/>
  <c r="L486" i="73"/>
  <c r="D246" i="1"/>
  <c r="W486" i="73" l="1"/>
  <c r="X486" i="73" s="1"/>
  <c r="S486" i="73"/>
  <c r="AG484" i="73" l="1"/>
  <c r="AG485" i="73"/>
  <c r="R484" i="73"/>
  <c r="S484" i="73" s="1"/>
  <c r="V484" i="73"/>
  <c r="R485" i="73"/>
  <c r="S485" i="73" s="1"/>
  <c r="V485" i="73"/>
  <c r="L484" i="73"/>
  <c r="M484" i="73"/>
  <c r="L485" i="73"/>
  <c r="M485" i="73"/>
  <c r="H76" i="71"/>
  <c r="W485" i="73" l="1"/>
  <c r="X485" i="73" s="1"/>
  <c r="W484" i="73"/>
  <c r="X484" i="73" s="1"/>
  <c r="H113" i="71"/>
  <c r="H75" i="71"/>
  <c r="H77" i="71" l="1"/>
  <c r="D245" i="1"/>
  <c r="D244" i="1"/>
  <c r="D243" i="1"/>
  <c r="H35" i="71" l="1"/>
  <c r="H19" i="71"/>
  <c r="H45" i="71"/>
  <c r="I461" i="73" l="1"/>
  <c r="H82" i="71"/>
  <c r="H79" i="71"/>
  <c r="H69" i="71"/>
  <c r="T281" i="73"/>
  <c r="T583" i="73" s="1"/>
  <c r="D242" i="1"/>
  <c r="D241" i="1"/>
  <c r="H74" i="71"/>
  <c r="I393" i="73"/>
  <c r="J393" i="73" s="1"/>
  <c r="AG483" i="73" l="1"/>
  <c r="V483" i="73"/>
  <c r="M483" i="73"/>
  <c r="L483" i="73"/>
  <c r="R483" i="73"/>
  <c r="S483" i="73" s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AG482" i="73"/>
  <c r="V482" i="73"/>
  <c r="R482" i="73"/>
  <c r="S482" i="73" s="1"/>
  <c r="L482" i="73"/>
  <c r="M482" i="73"/>
  <c r="H73" i="71"/>
  <c r="AG476" i="73"/>
  <c r="V476" i="73"/>
  <c r="R476" i="73"/>
  <c r="S476" i="73" s="1"/>
  <c r="M476" i="73"/>
  <c r="L476" i="73"/>
  <c r="L481" i="73"/>
  <c r="M481" i="73"/>
  <c r="AG481" i="73"/>
  <c r="R481" i="73"/>
  <c r="S481" i="73" s="1"/>
  <c r="V481" i="73"/>
  <c r="AG477" i="73"/>
  <c r="V477" i="73"/>
  <c r="R477" i="73"/>
  <c r="S477" i="73" s="1"/>
  <c r="M477" i="73"/>
  <c r="L477" i="73"/>
  <c r="H64" i="71"/>
  <c r="R474" i="73"/>
  <c r="S474" i="73" s="1"/>
  <c r="V474" i="73"/>
  <c r="W483" i="73" l="1"/>
  <c r="X483" i="73" s="1"/>
  <c r="W482" i="73"/>
  <c r="X482" i="73" s="1"/>
  <c r="W481" i="73"/>
  <c r="X481" i="73" s="1"/>
  <c r="W476" i="73"/>
  <c r="X476" i="73" s="1"/>
  <c r="W477" i="73"/>
  <c r="X477" i="73" s="1"/>
  <c r="W474" i="73"/>
  <c r="X474" i="73" s="1"/>
  <c r="I414" i="73"/>
  <c r="AE480" i="73"/>
  <c r="AE462" i="73"/>
  <c r="AE429" i="73"/>
  <c r="AE422" i="73"/>
  <c r="AE421" i="73"/>
  <c r="AG480" i="73"/>
  <c r="R480" i="73"/>
  <c r="S480" i="73" s="1"/>
  <c r="V480" i="73"/>
  <c r="L480" i="73"/>
  <c r="M480" i="73"/>
  <c r="H72" i="71"/>
  <c r="H38" i="71"/>
  <c r="H59" i="71"/>
  <c r="H55" i="71"/>
  <c r="I87" i="71"/>
  <c r="H87" i="71"/>
  <c r="H14" i="71"/>
  <c r="I83" i="71"/>
  <c r="H83" i="71"/>
  <c r="H56" i="71"/>
  <c r="AG479" i="73"/>
  <c r="V479" i="73"/>
  <c r="R479" i="73"/>
  <c r="S479" i="73" s="1"/>
  <c r="M479" i="73"/>
  <c r="L479" i="73"/>
  <c r="H54" i="71"/>
  <c r="D226" i="1"/>
  <c r="W480" i="73" l="1"/>
  <c r="X480" i="73" s="1"/>
  <c r="W479" i="73"/>
  <c r="X479" i="73" s="1"/>
  <c r="I84" i="71" l="1"/>
  <c r="H84" i="71"/>
  <c r="I428" i="73" l="1"/>
  <c r="D225" i="1"/>
  <c r="D224" i="1"/>
  <c r="J474" i="73" l="1"/>
  <c r="M474" i="73" s="1"/>
  <c r="L474" i="73"/>
  <c r="AG472" i="73" l="1"/>
  <c r="AG473" i="73"/>
  <c r="R473" i="73"/>
  <c r="S473" i="73" s="1"/>
  <c r="V473" i="73"/>
  <c r="L472" i="73"/>
  <c r="M472" i="73"/>
  <c r="L473" i="73"/>
  <c r="M473" i="73"/>
  <c r="W473" i="73" l="1"/>
  <c r="X473" i="73" s="1"/>
  <c r="H2" i="71"/>
  <c r="H47" i="71"/>
  <c r="R472" i="73" l="1"/>
  <c r="S472" i="73" s="1"/>
  <c r="V472" i="73"/>
  <c r="I31" i="71"/>
  <c r="H11" i="71"/>
  <c r="H31" i="71"/>
  <c r="I58" i="71"/>
  <c r="H58" i="71"/>
  <c r="W472" i="73" l="1"/>
  <c r="X472" i="73" s="1"/>
  <c r="J418" i="73"/>
  <c r="R453" i="73"/>
  <c r="R452" i="73"/>
  <c r="R451" i="73"/>
  <c r="R450" i="73"/>
  <c r="R449" i="73"/>
  <c r="R448" i="73"/>
  <c r="R447" i="73"/>
  <c r="R446" i="73"/>
  <c r="R445" i="73"/>
  <c r="R444" i="73"/>
  <c r="R440" i="73"/>
  <c r="H53" i="71"/>
  <c r="D223" i="1"/>
  <c r="L440" i="73"/>
  <c r="M440" i="73"/>
  <c r="L444" i="73"/>
  <c r="M444" i="73"/>
  <c r="L445" i="73"/>
  <c r="M445" i="73"/>
  <c r="L446" i="73"/>
  <c r="M446" i="73"/>
  <c r="L447" i="73"/>
  <c r="M447" i="73"/>
  <c r="L448" i="73"/>
  <c r="M448" i="73"/>
  <c r="L449" i="73"/>
  <c r="M449" i="73"/>
  <c r="L450" i="73"/>
  <c r="M450" i="73"/>
  <c r="L451" i="73"/>
  <c r="M451" i="73"/>
  <c r="L452" i="73"/>
  <c r="M452" i="73"/>
  <c r="L453" i="73"/>
  <c r="M453" i="73"/>
  <c r="S453" i="73" l="1"/>
  <c r="W453" i="73"/>
  <c r="X453" i="73" s="1"/>
  <c r="S448" i="73"/>
  <c r="W448" i="73"/>
  <c r="X448" i="73" s="1"/>
  <c r="S447" i="73"/>
  <c r="W447" i="73"/>
  <c r="X447" i="73" s="1"/>
  <c r="S445" i="73"/>
  <c r="W445" i="73"/>
  <c r="X445" i="73" s="1"/>
  <c r="S444" i="73"/>
  <c r="W444" i="73"/>
  <c r="X444" i="73" s="1"/>
  <c r="S440" i="73"/>
  <c r="W440" i="73"/>
  <c r="X440" i="73" s="1"/>
  <c r="S446" i="73"/>
  <c r="W446" i="73"/>
  <c r="X446" i="73" s="1"/>
  <c r="S449" i="73"/>
  <c r="W449" i="73"/>
  <c r="X449" i="73" s="1"/>
  <c r="S450" i="73"/>
  <c r="W450" i="73"/>
  <c r="X450" i="73" s="1"/>
  <c r="S452" i="73"/>
  <c r="W452" i="73"/>
  <c r="X452" i="73" s="1"/>
  <c r="S451" i="73"/>
  <c r="W451" i="73"/>
  <c r="X451" i="73" s="1"/>
  <c r="H70" i="71"/>
  <c r="H71" i="71"/>
  <c r="H78" i="71"/>
  <c r="R471" i="73" l="1"/>
  <c r="S471" i="73" s="1"/>
  <c r="V471" i="73"/>
  <c r="AG471" i="73"/>
  <c r="L471" i="73"/>
  <c r="M471" i="73"/>
  <c r="AG470" i="73"/>
  <c r="R470" i="73"/>
  <c r="V470" i="73"/>
  <c r="L470" i="73"/>
  <c r="M470" i="73"/>
  <c r="W471" i="73" l="1"/>
  <c r="X471" i="73" s="1"/>
  <c r="W470" i="73"/>
  <c r="X470" i="73" s="1"/>
  <c r="S470" i="73"/>
  <c r="L59" i="74" l="1"/>
  <c r="G59" i="74"/>
  <c r="I59" i="74" s="1"/>
  <c r="K59" i="74" s="1"/>
  <c r="T57" i="74"/>
  <c r="S57" i="74"/>
  <c r="R57" i="74"/>
  <c r="P57" i="74"/>
  <c r="T56" i="74"/>
  <c r="S56" i="74"/>
  <c r="R56" i="74"/>
  <c r="P56" i="74"/>
  <c r="L57" i="74"/>
  <c r="L56" i="74"/>
  <c r="G57" i="74"/>
  <c r="G56" i="74"/>
  <c r="S47" i="74"/>
  <c r="Y5" i="74"/>
  <c r="Y4" i="74"/>
  <c r="R47" i="74"/>
  <c r="P47" i="74"/>
  <c r="T47" i="74"/>
  <c r="L47" i="74"/>
  <c r="K45" i="74" l="1"/>
  <c r="U45" i="74" s="1"/>
  <c r="K46" i="74"/>
  <c r="U46" i="74" s="1"/>
  <c r="U59" i="74"/>
  <c r="K29" i="74"/>
  <c r="U29" i="74" s="1"/>
  <c r="K7" i="74"/>
  <c r="U7" i="74" s="1"/>
  <c r="K3" i="74"/>
  <c r="K12" i="74"/>
  <c r="U12" i="74" s="1"/>
  <c r="K39" i="74"/>
  <c r="U39" i="74" s="1"/>
  <c r="K30" i="74"/>
  <c r="U30" i="74" s="1"/>
  <c r="K19" i="74"/>
  <c r="U19" i="74" s="1"/>
  <c r="K10" i="74"/>
  <c r="U10" i="74" s="1"/>
  <c r="K9" i="74"/>
  <c r="U9" i="74" s="1"/>
  <c r="K8" i="74"/>
  <c r="U8" i="74" s="1"/>
  <c r="K32" i="74"/>
  <c r="U32" i="74" s="1"/>
  <c r="K14" i="74"/>
  <c r="U14" i="74" s="1"/>
  <c r="K40" i="74"/>
  <c r="U40" i="74" s="1"/>
  <c r="K31" i="74"/>
  <c r="U31" i="74" s="1"/>
  <c r="K20" i="74"/>
  <c r="U20" i="74" s="1"/>
  <c r="K11" i="74"/>
  <c r="U11" i="74" s="1"/>
  <c r="K21" i="74"/>
  <c r="U21" i="74" s="1"/>
  <c r="K13" i="74"/>
  <c r="U13" i="74" s="1"/>
  <c r="K41" i="74"/>
  <c r="U41" i="74" s="1"/>
  <c r="K43" i="74"/>
  <c r="U43" i="74" s="1"/>
  <c r="K42" i="74"/>
  <c r="U42" i="74" s="1"/>
  <c r="K34" i="74"/>
  <c r="U34" i="74" s="1"/>
  <c r="K33" i="74"/>
  <c r="U33" i="74" s="1"/>
  <c r="K24" i="74"/>
  <c r="U24" i="74" s="1"/>
  <c r="K22" i="74"/>
  <c r="U22" i="74" s="1"/>
  <c r="K18" i="74"/>
  <c r="U18" i="74" s="1"/>
  <c r="K17" i="74"/>
  <c r="U17" i="74" s="1"/>
  <c r="K16" i="74"/>
  <c r="U16" i="74" s="1"/>
  <c r="K15" i="74"/>
  <c r="U15" i="74" s="1"/>
  <c r="K5" i="74"/>
  <c r="U5" i="74" s="1"/>
  <c r="K44" i="74"/>
  <c r="U44" i="74" s="1"/>
  <c r="K37" i="74"/>
  <c r="U37" i="74" s="1"/>
  <c r="K35" i="74"/>
  <c r="U35" i="74" s="1"/>
  <c r="K26" i="74"/>
  <c r="U26" i="74" s="1"/>
  <c r="K25" i="74"/>
  <c r="U25" i="74" s="1"/>
  <c r="K23" i="74"/>
  <c r="U23" i="74" s="1"/>
  <c r="K38" i="74"/>
  <c r="U38" i="74" s="1"/>
  <c r="K36" i="74"/>
  <c r="U36" i="74" s="1"/>
  <c r="K27" i="74"/>
  <c r="U27" i="74" s="1"/>
  <c r="K6" i="74"/>
  <c r="U6" i="74" s="1"/>
  <c r="K4" i="74"/>
  <c r="U4" i="74" s="1"/>
  <c r="K28" i="74"/>
  <c r="U28" i="74" s="1"/>
  <c r="K57" i="74"/>
  <c r="U57" i="74" s="1"/>
  <c r="U3" i="74"/>
  <c r="K56" i="74"/>
  <c r="U56" i="74" s="1"/>
  <c r="K47" i="74"/>
  <c r="U47" i="74" s="1"/>
  <c r="H39" i="71" l="1"/>
  <c r="H41" i="71"/>
  <c r="H13" i="71"/>
  <c r="I152" i="73"/>
  <c r="I363" i="73" l="1"/>
  <c r="J363" i="73" s="1"/>
  <c r="D221" i="1"/>
  <c r="M469" i="73" l="1"/>
  <c r="L469" i="73"/>
  <c r="AG469" i="73"/>
  <c r="V469" i="73"/>
  <c r="R469" i="73"/>
  <c r="S469" i="73" s="1"/>
  <c r="AG468" i="73"/>
  <c r="L468" i="73"/>
  <c r="M468" i="73"/>
  <c r="V468" i="73"/>
  <c r="R468" i="73"/>
  <c r="S468" i="73" s="1"/>
  <c r="W468" i="73" l="1"/>
  <c r="X468" i="73" s="1"/>
  <c r="W469" i="73"/>
  <c r="X469" i="73" s="1"/>
  <c r="G47" i="74"/>
  <c r="AG467" i="73" l="1"/>
  <c r="R467" i="73"/>
  <c r="S467" i="73" s="1"/>
  <c r="V467" i="73"/>
  <c r="M467" i="73"/>
  <c r="L467" i="73"/>
  <c r="I68" i="71"/>
  <c r="H68" i="71"/>
  <c r="W467" i="73" l="1"/>
  <c r="X467" i="73" s="1"/>
  <c r="L2" i="73" l="1"/>
  <c r="M2" i="73"/>
  <c r="R2" i="73"/>
  <c r="V2" i="73"/>
  <c r="Z2" i="73"/>
  <c r="AE2" i="73"/>
  <c r="AG2" i="73"/>
  <c r="L3" i="73"/>
  <c r="M3" i="73"/>
  <c r="Q3" i="73"/>
  <c r="R3" i="73" s="1"/>
  <c r="S3" i="73" s="1"/>
  <c r="V3" i="73"/>
  <c r="Z3" i="73"/>
  <c r="AE3" i="73"/>
  <c r="AG3" i="73"/>
  <c r="I4" i="73"/>
  <c r="L4" i="73"/>
  <c r="M4" i="73"/>
  <c r="R4" i="73"/>
  <c r="V4" i="73"/>
  <c r="Z4" i="73"/>
  <c r="AE4" i="73"/>
  <c r="AG4" i="73"/>
  <c r="L5" i="73"/>
  <c r="M5" i="73"/>
  <c r="Q5" i="73"/>
  <c r="R5" i="73" s="1"/>
  <c r="S5" i="73" s="1"/>
  <c r="V5" i="73"/>
  <c r="Z5" i="73"/>
  <c r="L6" i="73"/>
  <c r="M6" i="73"/>
  <c r="R6" i="73"/>
  <c r="S6" i="73" s="1"/>
  <c r="V6" i="73"/>
  <c r="Z6" i="73"/>
  <c r="L7" i="73"/>
  <c r="M7" i="73"/>
  <c r="R7" i="73"/>
  <c r="S7" i="73" s="1"/>
  <c r="V7" i="73"/>
  <c r="Z7" i="73"/>
  <c r="L8" i="73"/>
  <c r="M8" i="73"/>
  <c r="R8" i="73"/>
  <c r="S8" i="73" s="1"/>
  <c r="V8" i="73"/>
  <c r="Z8" i="73"/>
  <c r="AE8" i="73"/>
  <c r="AG8" i="73"/>
  <c r="L9" i="73"/>
  <c r="M9" i="73"/>
  <c r="R9" i="73"/>
  <c r="S9" i="73" s="1"/>
  <c r="V9" i="73"/>
  <c r="Z9" i="73"/>
  <c r="AE9" i="73"/>
  <c r="AG9" i="73"/>
  <c r="L10" i="73"/>
  <c r="M10" i="73"/>
  <c r="R10" i="73"/>
  <c r="V10" i="73"/>
  <c r="Z10" i="73"/>
  <c r="AE10" i="73"/>
  <c r="AG10" i="73"/>
  <c r="L11" i="73"/>
  <c r="M11" i="73"/>
  <c r="R11" i="73"/>
  <c r="S11" i="73" s="1"/>
  <c r="V11" i="73"/>
  <c r="Z11" i="73"/>
  <c r="AE11" i="73"/>
  <c r="AG11" i="73"/>
  <c r="L12" i="73"/>
  <c r="M12" i="73"/>
  <c r="R12" i="73"/>
  <c r="S12" i="73" s="1"/>
  <c r="V12" i="73"/>
  <c r="Z12" i="73"/>
  <c r="AE12" i="73"/>
  <c r="AG12" i="73"/>
  <c r="L13" i="73"/>
  <c r="M13" i="73"/>
  <c r="R13" i="73"/>
  <c r="V13" i="73"/>
  <c r="Z13" i="73"/>
  <c r="AE13" i="73"/>
  <c r="AG13" i="73"/>
  <c r="L14" i="73"/>
  <c r="M14" i="73"/>
  <c r="R14" i="73"/>
  <c r="V14" i="73"/>
  <c r="Z14" i="73"/>
  <c r="AE14" i="73"/>
  <c r="AG14" i="73"/>
  <c r="I15" i="73"/>
  <c r="L15" i="73"/>
  <c r="M15" i="73"/>
  <c r="R15" i="73"/>
  <c r="S15" i="73" s="1"/>
  <c r="V15" i="73"/>
  <c r="Z15" i="73"/>
  <c r="AE15" i="73"/>
  <c r="AG15" i="73"/>
  <c r="L16" i="73"/>
  <c r="M16" i="73"/>
  <c r="R16" i="73"/>
  <c r="S16" i="73" s="1"/>
  <c r="V16" i="73"/>
  <c r="Z16" i="73"/>
  <c r="AE16" i="73"/>
  <c r="AG16" i="73"/>
  <c r="L17" i="73"/>
  <c r="M17" i="73"/>
  <c r="R17" i="73"/>
  <c r="S17" i="73" s="1"/>
  <c r="V17" i="73"/>
  <c r="Z17" i="73"/>
  <c r="AE17" i="73"/>
  <c r="AG17" i="73"/>
  <c r="L18" i="73"/>
  <c r="M18" i="73"/>
  <c r="R18" i="73"/>
  <c r="S18" i="73" s="1"/>
  <c r="V18" i="73"/>
  <c r="Z18" i="73"/>
  <c r="L19" i="73"/>
  <c r="M19" i="73"/>
  <c r="R19" i="73"/>
  <c r="S19" i="73" s="1"/>
  <c r="V19" i="73"/>
  <c r="Z19" i="73"/>
  <c r="L20" i="73"/>
  <c r="M20" i="73"/>
  <c r="R20" i="73"/>
  <c r="S20" i="73" s="1"/>
  <c r="V20" i="73"/>
  <c r="Z20" i="73"/>
  <c r="L21" i="73"/>
  <c r="M21" i="73"/>
  <c r="R21" i="73"/>
  <c r="S21" i="73" s="1"/>
  <c r="V21" i="73"/>
  <c r="Z21" i="73"/>
  <c r="L22" i="73"/>
  <c r="M22" i="73"/>
  <c r="R22" i="73"/>
  <c r="S22" i="73" s="1"/>
  <c r="V22" i="73"/>
  <c r="Z22" i="73"/>
  <c r="L23" i="73"/>
  <c r="M23" i="73"/>
  <c r="R23" i="73"/>
  <c r="S23" i="73" s="1"/>
  <c r="V23" i="73"/>
  <c r="Z23" i="73"/>
  <c r="I24" i="73"/>
  <c r="L24" i="73"/>
  <c r="M24" i="73"/>
  <c r="R24" i="73"/>
  <c r="S24" i="73" s="1"/>
  <c r="V24" i="73"/>
  <c r="Z24" i="73"/>
  <c r="AE24" i="73"/>
  <c r="L25" i="73"/>
  <c r="M25" i="73"/>
  <c r="Q25" i="73"/>
  <c r="R25" i="73" s="1"/>
  <c r="V25" i="73"/>
  <c r="Z25" i="73"/>
  <c r="AE25" i="73"/>
  <c r="L26" i="73"/>
  <c r="M26" i="73"/>
  <c r="R26" i="73"/>
  <c r="S26" i="73" s="1"/>
  <c r="V26" i="73"/>
  <c r="AE26" i="73"/>
  <c r="AG26" i="73"/>
  <c r="I27" i="73"/>
  <c r="M27" i="73" s="1"/>
  <c r="L27" i="73"/>
  <c r="R27" i="73"/>
  <c r="V27" i="73"/>
  <c r="AE27" i="73"/>
  <c r="AG27" i="73"/>
  <c r="L28" i="73"/>
  <c r="M28" i="73"/>
  <c r="R28" i="73"/>
  <c r="S28" i="73" s="1"/>
  <c r="V28" i="73"/>
  <c r="Z28" i="73"/>
  <c r="L29" i="73"/>
  <c r="M29" i="73"/>
  <c r="R29" i="73"/>
  <c r="S29" i="73" s="1"/>
  <c r="V29" i="73"/>
  <c r="Z29" i="73"/>
  <c r="AG29" i="73"/>
  <c r="L30" i="73"/>
  <c r="M30" i="73"/>
  <c r="R30" i="73"/>
  <c r="S30" i="73" s="1"/>
  <c r="V30" i="73"/>
  <c r="Z30" i="73"/>
  <c r="L31" i="73"/>
  <c r="M31" i="73"/>
  <c r="R31" i="73"/>
  <c r="S31" i="73" s="1"/>
  <c r="V31" i="73"/>
  <c r="Z31" i="73"/>
  <c r="AG31" i="73"/>
  <c r="L32" i="73"/>
  <c r="M32" i="73"/>
  <c r="R32" i="73"/>
  <c r="S32" i="73" s="1"/>
  <c r="V32" i="73"/>
  <c r="Z32" i="73"/>
  <c r="AE32" i="73"/>
  <c r="AG32" i="73"/>
  <c r="L33" i="73"/>
  <c r="M33" i="73"/>
  <c r="R33" i="73"/>
  <c r="S33" i="73" s="1"/>
  <c r="V33" i="73"/>
  <c r="Z33" i="73"/>
  <c r="AE33" i="73"/>
  <c r="AG33" i="73"/>
  <c r="L34" i="73"/>
  <c r="M34" i="73"/>
  <c r="R34" i="73"/>
  <c r="S34" i="73" s="1"/>
  <c r="V34" i="73"/>
  <c r="Z34" i="73"/>
  <c r="AE34" i="73"/>
  <c r="AG34" i="73"/>
  <c r="L35" i="73"/>
  <c r="M35" i="73"/>
  <c r="R35" i="73"/>
  <c r="V35" i="73"/>
  <c r="Z35" i="73"/>
  <c r="L36" i="73"/>
  <c r="M36" i="73"/>
  <c r="R36" i="73"/>
  <c r="S36" i="73" s="1"/>
  <c r="V36" i="73"/>
  <c r="Z36" i="73"/>
  <c r="AE36" i="73"/>
  <c r="AG36" i="73"/>
  <c r="L37" i="73"/>
  <c r="M37" i="73"/>
  <c r="R37" i="73"/>
  <c r="S37" i="73" s="1"/>
  <c r="V37" i="73"/>
  <c r="Z37" i="73"/>
  <c r="AE37" i="73"/>
  <c r="AG37" i="73"/>
  <c r="L38" i="73"/>
  <c r="M38" i="73"/>
  <c r="R38" i="73"/>
  <c r="S38" i="73" s="1"/>
  <c r="V38" i="73"/>
  <c r="Z38" i="73"/>
  <c r="L39" i="73"/>
  <c r="M39" i="73"/>
  <c r="R39" i="73"/>
  <c r="S39" i="73" s="1"/>
  <c r="V39" i="73"/>
  <c r="Z39" i="73"/>
  <c r="AE39" i="73"/>
  <c r="AG39" i="73"/>
  <c r="L40" i="73"/>
  <c r="M40" i="73"/>
  <c r="Q40" i="73"/>
  <c r="V40" i="73"/>
  <c r="Z40" i="73"/>
  <c r="L41" i="73"/>
  <c r="M41" i="73"/>
  <c r="R41" i="73"/>
  <c r="V41" i="73"/>
  <c r="Z41" i="73"/>
  <c r="L42" i="73"/>
  <c r="M42" i="73"/>
  <c r="R42" i="73"/>
  <c r="V42" i="73"/>
  <c r="Z42" i="73"/>
  <c r="L43" i="73"/>
  <c r="M43" i="73"/>
  <c r="R43" i="73"/>
  <c r="V43" i="73"/>
  <c r="Z43" i="73"/>
  <c r="L44" i="73"/>
  <c r="M44" i="73"/>
  <c r="R44" i="73"/>
  <c r="V44" i="73"/>
  <c r="Z44" i="73"/>
  <c r="L45" i="73"/>
  <c r="M45" i="73"/>
  <c r="R45" i="73"/>
  <c r="V45" i="73"/>
  <c r="Z45" i="73"/>
  <c r="L46" i="73"/>
  <c r="M46" i="73"/>
  <c r="R46" i="73"/>
  <c r="V46" i="73"/>
  <c r="Z46" i="73"/>
  <c r="L47" i="73"/>
  <c r="M47" i="73"/>
  <c r="R47" i="73"/>
  <c r="V47" i="73"/>
  <c r="Z47" i="73"/>
  <c r="I48" i="73"/>
  <c r="L48" i="73"/>
  <c r="M48" i="73"/>
  <c r="R48" i="73"/>
  <c r="S48" i="73" s="1"/>
  <c r="V48" i="73"/>
  <c r="Z48" i="73"/>
  <c r="L49" i="73"/>
  <c r="M49" i="73"/>
  <c r="R49" i="73"/>
  <c r="V49" i="73"/>
  <c r="Z49" i="73"/>
  <c r="AE49" i="73"/>
  <c r="L50" i="73"/>
  <c r="M50" i="73"/>
  <c r="R50" i="73"/>
  <c r="S50" i="73" s="1"/>
  <c r="V50" i="73"/>
  <c r="Z50" i="73"/>
  <c r="L51" i="73"/>
  <c r="M51" i="73"/>
  <c r="R51" i="73"/>
  <c r="S51" i="73" s="1"/>
  <c r="V51" i="73"/>
  <c r="Z51" i="73"/>
  <c r="AE51" i="73"/>
  <c r="AG51" i="73"/>
  <c r="J52" i="73"/>
  <c r="M52" i="73" s="1"/>
  <c r="L52" i="73"/>
  <c r="R52" i="73"/>
  <c r="V52" i="73"/>
  <c r="Z52" i="73"/>
  <c r="AE52" i="73"/>
  <c r="AG52" i="73"/>
  <c r="L53" i="73"/>
  <c r="M53" i="73"/>
  <c r="R53" i="73"/>
  <c r="V53" i="73"/>
  <c r="Z53" i="73"/>
  <c r="AE53" i="73"/>
  <c r="AG53" i="73"/>
  <c r="L54" i="73"/>
  <c r="M54" i="73"/>
  <c r="R54" i="73"/>
  <c r="V54" i="73"/>
  <c r="Z54" i="73"/>
  <c r="AE54" i="73"/>
  <c r="AG54" i="73"/>
  <c r="L55" i="73"/>
  <c r="M55" i="73"/>
  <c r="R55" i="73"/>
  <c r="S55" i="73" s="1"/>
  <c r="V55" i="73"/>
  <c r="Z55" i="73"/>
  <c r="L56" i="73"/>
  <c r="M56" i="73"/>
  <c r="R56" i="73"/>
  <c r="V56" i="73"/>
  <c r="Z56" i="73"/>
  <c r="AE56" i="73"/>
  <c r="AG56" i="73"/>
  <c r="L57" i="73"/>
  <c r="M57" i="73"/>
  <c r="R57" i="73"/>
  <c r="S57" i="73" s="1"/>
  <c r="V57" i="73"/>
  <c r="Z57" i="73"/>
  <c r="AE57" i="73"/>
  <c r="AG57" i="73"/>
  <c r="L58" i="73"/>
  <c r="M58" i="73"/>
  <c r="R58" i="73"/>
  <c r="S58" i="73" s="1"/>
  <c r="V58" i="73"/>
  <c r="Z58" i="73"/>
  <c r="I59" i="73"/>
  <c r="L59" i="73"/>
  <c r="M59" i="73"/>
  <c r="R59" i="73"/>
  <c r="V59" i="73"/>
  <c r="Z59" i="73"/>
  <c r="AG59" i="73"/>
  <c r="L60" i="73"/>
  <c r="M60" i="73"/>
  <c r="R60" i="73"/>
  <c r="S60" i="73" s="1"/>
  <c r="V60" i="73"/>
  <c r="Z60" i="73"/>
  <c r="AE60" i="73"/>
  <c r="AG60" i="73"/>
  <c r="I61" i="73"/>
  <c r="L61" i="73"/>
  <c r="M61" i="73"/>
  <c r="R61" i="73"/>
  <c r="V61" i="73"/>
  <c r="Z61" i="73"/>
  <c r="L62" i="73"/>
  <c r="M62" i="73"/>
  <c r="P62" i="73"/>
  <c r="V62" i="73"/>
  <c r="Z62" i="73"/>
  <c r="AE62" i="73"/>
  <c r="AG62" i="73"/>
  <c r="L63" i="73"/>
  <c r="M63" i="73"/>
  <c r="R63" i="73"/>
  <c r="S63" i="73" s="1"/>
  <c r="V63" i="73"/>
  <c r="Z63" i="73"/>
  <c r="L64" i="73"/>
  <c r="M64" i="73"/>
  <c r="R64" i="73"/>
  <c r="S64" i="73" s="1"/>
  <c r="V64" i="73"/>
  <c r="Z64" i="73"/>
  <c r="AE64" i="73"/>
  <c r="AG64" i="73"/>
  <c r="L65" i="73"/>
  <c r="M65" i="73"/>
  <c r="R65" i="73"/>
  <c r="S65" i="73" s="1"/>
  <c r="V65" i="73"/>
  <c r="Z65" i="73"/>
  <c r="AE65" i="73"/>
  <c r="AG65" i="73"/>
  <c r="L66" i="73"/>
  <c r="M66" i="73"/>
  <c r="R66" i="73"/>
  <c r="S66" i="73" s="1"/>
  <c r="V66" i="73"/>
  <c r="Z66" i="73"/>
  <c r="L67" i="73"/>
  <c r="M67" i="73"/>
  <c r="R67" i="73"/>
  <c r="S67" i="73" s="1"/>
  <c r="V67" i="73"/>
  <c r="Z67" i="73"/>
  <c r="L68" i="73"/>
  <c r="M68" i="73"/>
  <c r="R68" i="73"/>
  <c r="S68" i="73" s="1"/>
  <c r="V68" i="73"/>
  <c r="Z68" i="73"/>
  <c r="L69" i="73"/>
  <c r="M69" i="73"/>
  <c r="R69" i="73"/>
  <c r="S69" i="73" s="1"/>
  <c r="V69" i="73"/>
  <c r="Z69" i="73"/>
  <c r="L70" i="73"/>
  <c r="M70" i="73"/>
  <c r="R70" i="73"/>
  <c r="V70" i="73"/>
  <c r="Z70" i="73"/>
  <c r="L71" i="73"/>
  <c r="M71" i="73"/>
  <c r="R71" i="73"/>
  <c r="S71" i="73" s="1"/>
  <c r="V71" i="73"/>
  <c r="Z71" i="73"/>
  <c r="L72" i="73"/>
  <c r="M72" i="73"/>
  <c r="R72" i="73"/>
  <c r="S72" i="73" s="1"/>
  <c r="V72" i="73"/>
  <c r="Z72" i="73"/>
  <c r="L73" i="73"/>
  <c r="M73" i="73"/>
  <c r="R73" i="73"/>
  <c r="S73" i="73" s="1"/>
  <c r="V73" i="73"/>
  <c r="Z73" i="73"/>
  <c r="I74" i="73"/>
  <c r="L74" i="73"/>
  <c r="M74" i="73"/>
  <c r="R74" i="73"/>
  <c r="S74" i="73" s="1"/>
  <c r="V74" i="73"/>
  <c r="Z74" i="73"/>
  <c r="AE74" i="73"/>
  <c r="AG74" i="73"/>
  <c r="I75" i="73"/>
  <c r="L75" i="73"/>
  <c r="M75" i="73"/>
  <c r="R75" i="73"/>
  <c r="S75" i="73" s="1"/>
  <c r="V75" i="73"/>
  <c r="Z75" i="73"/>
  <c r="L76" i="73"/>
  <c r="M76" i="73"/>
  <c r="R76" i="73"/>
  <c r="V76" i="73"/>
  <c r="Z76" i="73"/>
  <c r="AE76" i="73"/>
  <c r="AG76" i="73"/>
  <c r="L77" i="73"/>
  <c r="M77" i="73"/>
  <c r="R77" i="73"/>
  <c r="V77" i="73"/>
  <c r="Z77" i="73"/>
  <c r="AE77" i="73"/>
  <c r="AG77" i="73"/>
  <c r="L78" i="73"/>
  <c r="M78" i="73"/>
  <c r="R78" i="73"/>
  <c r="S78" i="73" s="1"/>
  <c r="V78" i="73"/>
  <c r="Z78" i="73"/>
  <c r="L79" i="73"/>
  <c r="M79" i="73"/>
  <c r="R79" i="73"/>
  <c r="S79" i="73" s="1"/>
  <c r="V79" i="73"/>
  <c r="Z79" i="73"/>
  <c r="AE79" i="73"/>
  <c r="AG79" i="73"/>
  <c r="L80" i="73"/>
  <c r="M80" i="73"/>
  <c r="R80" i="73"/>
  <c r="S80" i="73" s="1"/>
  <c r="V80" i="73"/>
  <c r="Z80" i="73"/>
  <c r="AE80" i="73"/>
  <c r="AG80" i="73"/>
  <c r="L81" i="73"/>
  <c r="M81" i="73"/>
  <c r="R81" i="73"/>
  <c r="S81" i="73" s="1"/>
  <c r="V81" i="73"/>
  <c r="Z81" i="73"/>
  <c r="L82" i="73"/>
  <c r="M82" i="73"/>
  <c r="R82" i="73"/>
  <c r="S82" i="73" s="1"/>
  <c r="V82" i="73"/>
  <c r="Z82" i="73"/>
  <c r="I83" i="73"/>
  <c r="L83" i="73"/>
  <c r="M83" i="73"/>
  <c r="R83" i="73"/>
  <c r="V83" i="73"/>
  <c r="Z83" i="73"/>
  <c r="L84" i="73"/>
  <c r="M84" i="73"/>
  <c r="R84" i="73"/>
  <c r="V84" i="73"/>
  <c r="Z84" i="73"/>
  <c r="AE84" i="73"/>
  <c r="AG84" i="73"/>
  <c r="L85" i="73"/>
  <c r="M85" i="73"/>
  <c r="R85" i="73"/>
  <c r="S85" i="73" s="1"/>
  <c r="V85" i="73"/>
  <c r="Z85" i="73"/>
  <c r="AE85" i="73"/>
  <c r="AG85" i="73"/>
  <c r="L86" i="73"/>
  <c r="M86" i="73"/>
  <c r="R86" i="73"/>
  <c r="V86" i="73"/>
  <c r="Z86" i="73"/>
  <c r="L87" i="73"/>
  <c r="M87" i="73"/>
  <c r="R87" i="73"/>
  <c r="S87" i="73" s="1"/>
  <c r="V87" i="73"/>
  <c r="Z87" i="73"/>
  <c r="L88" i="73"/>
  <c r="M88" i="73"/>
  <c r="R88" i="73"/>
  <c r="S88" i="73" s="1"/>
  <c r="V88" i="73"/>
  <c r="Z88" i="73"/>
  <c r="AE88" i="73"/>
  <c r="AG88" i="73"/>
  <c r="L89" i="73"/>
  <c r="M89" i="73"/>
  <c r="R89" i="73"/>
  <c r="S89" i="73" s="1"/>
  <c r="V89" i="73"/>
  <c r="Z89" i="73"/>
  <c r="L90" i="73"/>
  <c r="M90" i="73"/>
  <c r="R90" i="73"/>
  <c r="S90" i="73" s="1"/>
  <c r="V90" i="73"/>
  <c r="Z90" i="73"/>
  <c r="L91" i="73"/>
  <c r="M91" i="73"/>
  <c r="R91" i="73"/>
  <c r="S91" i="73" s="1"/>
  <c r="V91" i="73"/>
  <c r="Z91" i="73"/>
  <c r="L92" i="73"/>
  <c r="M92" i="73"/>
  <c r="R92" i="73"/>
  <c r="S92" i="73" s="1"/>
  <c r="V92" i="73"/>
  <c r="Z92" i="73"/>
  <c r="AE92" i="73"/>
  <c r="L93" i="73"/>
  <c r="M93" i="73"/>
  <c r="R93" i="73"/>
  <c r="V93" i="73"/>
  <c r="Z93" i="73"/>
  <c r="L94" i="73"/>
  <c r="M94" i="73"/>
  <c r="R94" i="73"/>
  <c r="V94" i="73"/>
  <c r="Z94" i="73"/>
  <c r="L95" i="73"/>
  <c r="M95" i="73"/>
  <c r="R95" i="73"/>
  <c r="S95" i="73" s="1"/>
  <c r="V95" i="73"/>
  <c r="Z95" i="73"/>
  <c r="L96" i="73"/>
  <c r="M96" i="73"/>
  <c r="R96" i="73"/>
  <c r="S96" i="73" s="1"/>
  <c r="V96" i="73"/>
  <c r="Z96" i="73"/>
  <c r="L97" i="73"/>
  <c r="M97" i="73"/>
  <c r="R97" i="73"/>
  <c r="S97" i="73" s="1"/>
  <c r="V97" i="73"/>
  <c r="Z97" i="73"/>
  <c r="I98" i="73"/>
  <c r="L98" i="73"/>
  <c r="M98" i="73"/>
  <c r="S98" i="73"/>
  <c r="V98" i="73"/>
  <c r="W98" i="73" s="1"/>
  <c r="X98" i="73" s="1"/>
  <c r="Z98" i="73"/>
  <c r="L99" i="73"/>
  <c r="M99" i="73"/>
  <c r="R99" i="73"/>
  <c r="S99" i="73" s="1"/>
  <c r="V99" i="73"/>
  <c r="Z99" i="73"/>
  <c r="L100" i="73"/>
  <c r="M100" i="73"/>
  <c r="R100" i="73"/>
  <c r="V100" i="73"/>
  <c r="Z100" i="73"/>
  <c r="AE100" i="73"/>
  <c r="AG100" i="73"/>
  <c r="I101" i="73"/>
  <c r="J101" i="73"/>
  <c r="M101" i="73" s="1"/>
  <c r="L101" i="73"/>
  <c r="R101" i="73"/>
  <c r="S101" i="73" s="1"/>
  <c r="V101" i="73"/>
  <c r="Z101" i="73"/>
  <c r="L102" i="73"/>
  <c r="M102" i="73"/>
  <c r="R102" i="73"/>
  <c r="V102" i="73"/>
  <c r="Z102" i="73"/>
  <c r="I103" i="73"/>
  <c r="L103" i="73"/>
  <c r="M103" i="73"/>
  <c r="R103" i="73"/>
  <c r="S103" i="73" s="1"/>
  <c r="V103" i="73"/>
  <c r="Z103" i="73"/>
  <c r="L104" i="73"/>
  <c r="M104" i="73"/>
  <c r="R104" i="73"/>
  <c r="S104" i="73" s="1"/>
  <c r="V104" i="73"/>
  <c r="Z104" i="73"/>
  <c r="AE104" i="73"/>
  <c r="AG104" i="73"/>
  <c r="L105" i="73"/>
  <c r="M105" i="73"/>
  <c r="R105" i="73"/>
  <c r="V105" i="73"/>
  <c r="Z105" i="73"/>
  <c r="L106" i="73"/>
  <c r="M106" i="73"/>
  <c r="R106" i="73"/>
  <c r="V106" i="73"/>
  <c r="Z106" i="73"/>
  <c r="AE106" i="73"/>
  <c r="AG106" i="73"/>
  <c r="L107" i="73"/>
  <c r="M107" i="73"/>
  <c r="R107" i="73"/>
  <c r="V107" i="73"/>
  <c r="Z107" i="73"/>
  <c r="J108" i="73"/>
  <c r="M108" i="73" s="1"/>
  <c r="L108" i="73"/>
  <c r="R108" i="73"/>
  <c r="S108" i="73" s="1"/>
  <c r="V108" i="73"/>
  <c r="Z108" i="73"/>
  <c r="AE108" i="73"/>
  <c r="AG108" i="73"/>
  <c r="L109" i="73"/>
  <c r="M109" i="73"/>
  <c r="R109" i="73"/>
  <c r="V109" i="73"/>
  <c r="Z109" i="73"/>
  <c r="I110" i="73"/>
  <c r="L110" i="73"/>
  <c r="M110" i="73"/>
  <c r="R110" i="73"/>
  <c r="S110" i="73" s="1"/>
  <c r="V110" i="73"/>
  <c r="Z110" i="73"/>
  <c r="L111" i="73"/>
  <c r="M111" i="73"/>
  <c r="R111" i="73"/>
  <c r="S111" i="73" s="1"/>
  <c r="V111" i="73"/>
  <c r="Z111" i="73"/>
  <c r="AE111" i="73"/>
  <c r="AG111" i="73"/>
  <c r="J112" i="73"/>
  <c r="M112" i="73" s="1"/>
  <c r="L112" i="73"/>
  <c r="R112" i="73"/>
  <c r="S112" i="73" s="1"/>
  <c r="V112" i="73"/>
  <c r="Z112" i="73"/>
  <c r="L113" i="73"/>
  <c r="M113" i="73"/>
  <c r="R113" i="73"/>
  <c r="S113" i="73" s="1"/>
  <c r="V113" i="73"/>
  <c r="Z113" i="73"/>
  <c r="L114" i="73"/>
  <c r="M114" i="73"/>
  <c r="R114" i="73"/>
  <c r="V114" i="73"/>
  <c r="Z114" i="73"/>
  <c r="AE114" i="73"/>
  <c r="AG114" i="73"/>
  <c r="L115" i="73"/>
  <c r="M115" i="73"/>
  <c r="R115" i="73"/>
  <c r="S115" i="73" s="1"/>
  <c r="V115" i="73"/>
  <c r="Z115" i="73"/>
  <c r="L116" i="73"/>
  <c r="M116" i="73"/>
  <c r="R116" i="73"/>
  <c r="S116" i="73" s="1"/>
  <c r="V116" i="73"/>
  <c r="Z116" i="73"/>
  <c r="I117" i="73"/>
  <c r="L117" i="73"/>
  <c r="M117" i="73"/>
  <c r="R117" i="73"/>
  <c r="S117" i="73" s="1"/>
  <c r="V117" i="73"/>
  <c r="Z117" i="73"/>
  <c r="AE117" i="73"/>
  <c r="AG117" i="73"/>
  <c r="L118" i="73"/>
  <c r="M118" i="73"/>
  <c r="R118" i="73"/>
  <c r="S118" i="73" s="1"/>
  <c r="V118" i="73"/>
  <c r="Z118" i="73"/>
  <c r="AE118" i="73"/>
  <c r="L119" i="73"/>
  <c r="M119" i="73"/>
  <c r="R119" i="73"/>
  <c r="V119" i="73"/>
  <c r="Z119" i="73"/>
  <c r="J120" i="73"/>
  <c r="M120" i="73" s="1"/>
  <c r="L120" i="73"/>
  <c r="R120" i="73"/>
  <c r="V120" i="73"/>
  <c r="Z120" i="73"/>
  <c r="AE120" i="73"/>
  <c r="AG120" i="73"/>
  <c r="L121" i="73"/>
  <c r="M121" i="73"/>
  <c r="R121" i="73"/>
  <c r="V121" i="73"/>
  <c r="Z121" i="73"/>
  <c r="AE121" i="73"/>
  <c r="AG121" i="73"/>
  <c r="J122" i="73"/>
  <c r="M122" i="73" s="1"/>
  <c r="L122" i="73"/>
  <c r="R122" i="73"/>
  <c r="S122" i="73" s="1"/>
  <c r="V122" i="73"/>
  <c r="Z122" i="73"/>
  <c r="AG122" i="73"/>
  <c r="L123" i="73"/>
  <c r="M123" i="73"/>
  <c r="R123" i="73"/>
  <c r="S123" i="73" s="1"/>
  <c r="V123" i="73"/>
  <c r="Z123" i="73"/>
  <c r="AG123" i="73"/>
  <c r="J124" i="73"/>
  <c r="M124" i="73" s="1"/>
  <c r="L124" i="73"/>
  <c r="R124" i="73"/>
  <c r="V124" i="73"/>
  <c r="Z124" i="73"/>
  <c r="L125" i="73"/>
  <c r="M125" i="73"/>
  <c r="R125" i="73"/>
  <c r="V125" i="73"/>
  <c r="Z125" i="73"/>
  <c r="AE125" i="73"/>
  <c r="AG125" i="73"/>
  <c r="I126" i="73"/>
  <c r="L126" i="73"/>
  <c r="M126" i="73"/>
  <c r="R126" i="73"/>
  <c r="V126" i="73"/>
  <c r="Z126" i="73"/>
  <c r="AG126" i="73"/>
  <c r="L127" i="73"/>
  <c r="M127" i="73"/>
  <c r="R127" i="73"/>
  <c r="S127" i="73" s="1"/>
  <c r="V127" i="73"/>
  <c r="Z127" i="73"/>
  <c r="AG127" i="73"/>
  <c r="L128" i="73"/>
  <c r="M128" i="73"/>
  <c r="R128" i="73"/>
  <c r="V128" i="73"/>
  <c r="Z128" i="73"/>
  <c r="AG128" i="73"/>
  <c r="L129" i="73"/>
  <c r="M129" i="73"/>
  <c r="R129" i="73"/>
  <c r="S129" i="73" s="1"/>
  <c r="V129" i="73"/>
  <c r="Z129" i="73"/>
  <c r="AE129" i="73"/>
  <c r="AG129" i="73"/>
  <c r="I130" i="73"/>
  <c r="L130" i="73"/>
  <c r="M130" i="73"/>
  <c r="R130" i="73"/>
  <c r="V130" i="73"/>
  <c r="Z130" i="73"/>
  <c r="AG130" i="73"/>
  <c r="L131" i="73"/>
  <c r="M131" i="73"/>
  <c r="R131" i="73"/>
  <c r="V131" i="73"/>
  <c r="Z131" i="73"/>
  <c r="L132" i="73"/>
  <c r="M132" i="73"/>
  <c r="R132" i="73"/>
  <c r="V132" i="73"/>
  <c r="Z132" i="73"/>
  <c r="AE132" i="73"/>
  <c r="AG132" i="73"/>
  <c r="L133" i="73"/>
  <c r="M133" i="73"/>
  <c r="R133" i="73"/>
  <c r="S133" i="73" s="1"/>
  <c r="V133" i="73"/>
  <c r="Z133" i="73"/>
  <c r="AG133" i="73"/>
  <c r="L134" i="73"/>
  <c r="M134" i="73"/>
  <c r="R134" i="73"/>
  <c r="S134" i="73" s="1"/>
  <c r="V134" i="73"/>
  <c r="Z134" i="73"/>
  <c r="AG134" i="73"/>
  <c r="J135" i="73"/>
  <c r="M135" i="73" s="1"/>
  <c r="L135" i="73"/>
  <c r="R135" i="73"/>
  <c r="S135" i="73" s="1"/>
  <c r="V135" i="73"/>
  <c r="Z135" i="73"/>
  <c r="AG135" i="73"/>
  <c r="L136" i="73"/>
  <c r="M136" i="73"/>
  <c r="R136" i="73"/>
  <c r="V136" i="73"/>
  <c r="Z136" i="73"/>
  <c r="AE136" i="73"/>
  <c r="AG136" i="73"/>
  <c r="L137" i="73"/>
  <c r="M137" i="73"/>
  <c r="R137" i="73"/>
  <c r="V137" i="73"/>
  <c r="Z137" i="73"/>
  <c r="AG137" i="73"/>
  <c r="L138" i="73"/>
  <c r="M138" i="73"/>
  <c r="R138" i="73"/>
  <c r="S138" i="73" s="1"/>
  <c r="V138" i="73"/>
  <c r="Z138" i="73"/>
  <c r="L139" i="73"/>
  <c r="M139" i="73"/>
  <c r="R139" i="73"/>
  <c r="S139" i="73" s="1"/>
  <c r="V139" i="73"/>
  <c r="Z139" i="73"/>
  <c r="L140" i="73"/>
  <c r="M140" i="73"/>
  <c r="R140" i="73"/>
  <c r="V140" i="73"/>
  <c r="Z140" i="73"/>
  <c r="AG140" i="73"/>
  <c r="L141" i="73"/>
  <c r="M141" i="73"/>
  <c r="R141" i="73"/>
  <c r="S141" i="73" s="1"/>
  <c r="V141" i="73"/>
  <c r="Z141" i="73"/>
  <c r="AG141" i="73"/>
  <c r="I142" i="73"/>
  <c r="L142" i="73"/>
  <c r="M142" i="73"/>
  <c r="R142" i="73"/>
  <c r="S142" i="73" s="1"/>
  <c r="V142" i="73"/>
  <c r="Z142" i="73"/>
  <c r="AE142" i="73"/>
  <c r="AG142" i="73"/>
  <c r="L143" i="73"/>
  <c r="M143" i="73"/>
  <c r="R143" i="73"/>
  <c r="V143" i="73"/>
  <c r="Z143" i="73"/>
  <c r="AE143" i="73"/>
  <c r="AG143" i="73"/>
  <c r="J144" i="73"/>
  <c r="M144" i="73" s="1"/>
  <c r="L144" i="73"/>
  <c r="R144" i="73"/>
  <c r="V144" i="73"/>
  <c r="Z144" i="73"/>
  <c r="L145" i="73"/>
  <c r="M145" i="73"/>
  <c r="R145" i="73"/>
  <c r="S145" i="73" s="1"/>
  <c r="V145" i="73"/>
  <c r="Z145" i="73"/>
  <c r="AG145" i="73"/>
  <c r="I146" i="73"/>
  <c r="J146" i="73" s="1"/>
  <c r="M146" i="73" s="1"/>
  <c r="L146" i="73"/>
  <c r="R146" i="73"/>
  <c r="S146" i="73" s="1"/>
  <c r="V146" i="73"/>
  <c r="Z146" i="73"/>
  <c r="AG146" i="73"/>
  <c r="L147" i="73"/>
  <c r="M147" i="73"/>
  <c r="R147" i="73"/>
  <c r="S147" i="73" s="1"/>
  <c r="V147" i="73"/>
  <c r="Z147" i="73"/>
  <c r="AG147" i="73"/>
  <c r="I148" i="73"/>
  <c r="L148" i="73"/>
  <c r="M148" i="73"/>
  <c r="R148" i="73"/>
  <c r="S148" i="73" s="1"/>
  <c r="V148" i="73"/>
  <c r="Z148" i="73"/>
  <c r="AG148" i="73"/>
  <c r="L149" i="73"/>
  <c r="M149" i="73"/>
  <c r="R149" i="73"/>
  <c r="V149" i="73"/>
  <c r="Z149" i="73"/>
  <c r="AE149" i="73"/>
  <c r="AG149" i="73"/>
  <c r="L150" i="73"/>
  <c r="M150" i="73"/>
  <c r="R150" i="73"/>
  <c r="V150" i="73"/>
  <c r="Z150" i="73"/>
  <c r="AG150" i="73"/>
  <c r="L151" i="73"/>
  <c r="M151" i="73"/>
  <c r="R151" i="73"/>
  <c r="S151" i="73" s="1"/>
  <c r="V151" i="73"/>
  <c r="Z151" i="73"/>
  <c r="AG151" i="73"/>
  <c r="M152" i="73"/>
  <c r="L152" i="73"/>
  <c r="R152" i="73"/>
  <c r="V152" i="73"/>
  <c r="Z152" i="73"/>
  <c r="AG152" i="73"/>
  <c r="J153" i="73"/>
  <c r="M153" i="73" s="1"/>
  <c r="L153" i="73"/>
  <c r="R153" i="73"/>
  <c r="V153" i="73"/>
  <c r="Z153" i="73"/>
  <c r="AG153" i="73"/>
  <c r="L154" i="73"/>
  <c r="M154" i="73"/>
  <c r="R154" i="73"/>
  <c r="S154" i="73" s="1"/>
  <c r="V154" i="73"/>
  <c r="Z154" i="73"/>
  <c r="AG154" i="73"/>
  <c r="L155" i="73"/>
  <c r="M155" i="73"/>
  <c r="R155" i="73"/>
  <c r="V155" i="73"/>
  <c r="Z155" i="73"/>
  <c r="AG155" i="73"/>
  <c r="I156" i="73"/>
  <c r="L156" i="73"/>
  <c r="M156" i="73"/>
  <c r="R156" i="73"/>
  <c r="S156" i="73" s="1"/>
  <c r="V156" i="73"/>
  <c r="Z156" i="73"/>
  <c r="AG156" i="73"/>
  <c r="L157" i="73"/>
  <c r="M157" i="73"/>
  <c r="R157" i="73"/>
  <c r="S157" i="73" s="1"/>
  <c r="V157" i="73"/>
  <c r="Z157" i="73"/>
  <c r="AG157" i="73"/>
  <c r="L158" i="73"/>
  <c r="M158" i="73"/>
  <c r="R158" i="73"/>
  <c r="S158" i="73" s="1"/>
  <c r="V158" i="73"/>
  <c r="Z158" i="73"/>
  <c r="AG158" i="73"/>
  <c r="L159" i="73"/>
  <c r="M159" i="73"/>
  <c r="R159" i="73"/>
  <c r="S159" i="73" s="1"/>
  <c r="V159" i="73"/>
  <c r="Z159" i="73"/>
  <c r="AG159" i="73"/>
  <c r="L160" i="73"/>
  <c r="M160" i="73"/>
  <c r="R160" i="73"/>
  <c r="V160" i="73"/>
  <c r="Z160" i="73"/>
  <c r="L161" i="73"/>
  <c r="M161" i="73"/>
  <c r="R161" i="73"/>
  <c r="V161" i="73"/>
  <c r="Z161" i="73"/>
  <c r="L162" i="73"/>
  <c r="M162" i="73"/>
  <c r="R162" i="73"/>
  <c r="V162" i="73"/>
  <c r="Z162" i="73"/>
  <c r="L163" i="73"/>
  <c r="M163" i="73"/>
  <c r="R163" i="73"/>
  <c r="V163" i="73"/>
  <c r="Z163" i="73"/>
  <c r="AG163" i="73"/>
  <c r="L164" i="73"/>
  <c r="M164" i="73"/>
  <c r="R164" i="73"/>
  <c r="S164" i="73" s="1"/>
  <c r="V164" i="73"/>
  <c r="Z164" i="73"/>
  <c r="L165" i="73"/>
  <c r="M165" i="73"/>
  <c r="R165" i="73"/>
  <c r="S165" i="73" s="1"/>
  <c r="V165" i="73"/>
  <c r="Z165" i="73"/>
  <c r="AG165" i="73"/>
  <c r="I166" i="73"/>
  <c r="J166" i="73" s="1"/>
  <c r="M166" i="73" s="1"/>
  <c r="L166" i="73"/>
  <c r="R166" i="73"/>
  <c r="S166" i="73" s="1"/>
  <c r="V166" i="73"/>
  <c r="Z166" i="73"/>
  <c r="AE166" i="73"/>
  <c r="L167" i="73"/>
  <c r="M167" i="73"/>
  <c r="R167" i="73"/>
  <c r="S167" i="73" s="1"/>
  <c r="V167" i="73"/>
  <c r="Z167" i="73"/>
  <c r="AE167" i="73"/>
  <c r="AG167" i="73"/>
  <c r="L168" i="73"/>
  <c r="M168" i="73"/>
  <c r="R168" i="73"/>
  <c r="S168" i="73" s="1"/>
  <c r="V168" i="73"/>
  <c r="Z168" i="73"/>
  <c r="L169" i="73"/>
  <c r="M169" i="73"/>
  <c r="R169" i="73"/>
  <c r="S169" i="73" s="1"/>
  <c r="V169" i="73"/>
  <c r="Z169" i="73"/>
  <c r="L170" i="73"/>
  <c r="M170" i="73"/>
  <c r="R170" i="73"/>
  <c r="V170" i="73"/>
  <c r="Z170" i="73"/>
  <c r="AE170" i="73"/>
  <c r="AG170" i="73"/>
  <c r="L171" i="73"/>
  <c r="M171" i="73"/>
  <c r="R171" i="73"/>
  <c r="S171" i="73" s="1"/>
  <c r="V171" i="73"/>
  <c r="Z171" i="73"/>
  <c r="AE171" i="73"/>
  <c r="AG171" i="73"/>
  <c r="L172" i="73"/>
  <c r="M172" i="73"/>
  <c r="R172" i="73"/>
  <c r="S172" i="73" s="1"/>
  <c r="V172" i="73"/>
  <c r="Z172" i="73"/>
  <c r="AE172" i="73"/>
  <c r="AG172" i="73"/>
  <c r="I173" i="73"/>
  <c r="L173" i="73"/>
  <c r="M173" i="73"/>
  <c r="R173" i="73"/>
  <c r="V173" i="73"/>
  <c r="Z173" i="73"/>
  <c r="AG173" i="73"/>
  <c r="L174" i="73"/>
  <c r="M174" i="73"/>
  <c r="R174" i="73"/>
  <c r="S174" i="73" s="1"/>
  <c r="V174" i="73"/>
  <c r="Z174" i="73"/>
  <c r="AE174" i="73"/>
  <c r="AG174" i="73"/>
  <c r="M175" i="73"/>
  <c r="L175" i="73"/>
  <c r="R175" i="73"/>
  <c r="S175" i="73" s="1"/>
  <c r="V175" i="73"/>
  <c r="Z175" i="73"/>
  <c r="AG175" i="73"/>
  <c r="L176" i="73"/>
  <c r="M176" i="73"/>
  <c r="R176" i="73"/>
  <c r="S176" i="73" s="1"/>
  <c r="V176" i="73"/>
  <c r="Z176" i="73"/>
  <c r="AG176" i="73"/>
  <c r="L177" i="73"/>
  <c r="M177" i="73"/>
  <c r="R177" i="73"/>
  <c r="S177" i="73" s="1"/>
  <c r="V177" i="73"/>
  <c r="Z177" i="73"/>
  <c r="AE177" i="73"/>
  <c r="AG177" i="73"/>
  <c r="J178" i="73"/>
  <c r="M178" i="73" s="1"/>
  <c r="L178" i="73"/>
  <c r="R178" i="73"/>
  <c r="S178" i="73" s="1"/>
  <c r="V178" i="73"/>
  <c r="Z178" i="73"/>
  <c r="AE178" i="73"/>
  <c r="AG178" i="73"/>
  <c r="L179" i="73"/>
  <c r="M179" i="73"/>
  <c r="R179" i="73"/>
  <c r="S179" i="73" s="1"/>
  <c r="V179" i="73"/>
  <c r="Z179" i="73"/>
  <c r="AE179" i="73"/>
  <c r="AG179" i="73"/>
  <c r="L180" i="73"/>
  <c r="M180" i="73"/>
  <c r="R180" i="73"/>
  <c r="S180" i="73" s="1"/>
  <c r="V180" i="73"/>
  <c r="Z180" i="73"/>
  <c r="AE180" i="73"/>
  <c r="AG180" i="73"/>
  <c r="L181" i="73"/>
  <c r="M181" i="73"/>
  <c r="R181" i="73"/>
  <c r="S181" i="73" s="1"/>
  <c r="V181" i="73"/>
  <c r="Z181" i="73"/>
  <c r="AE181" i="73"/>
  <c r="AG181" i="73"/>
  <c r="L182" i="73"/>
  <c r="M182" i="73"/>
  <c r="R182" i="73"/>
  <c r="S182" i="73" s="1"/>
  <c r="V182" i="73"/>
  <c r="Z182" i="73"/>
  <c r="AG182" i="73"/>
  <c r="L183" i="73"/>
  <c r="M183" i="73"/>
  <c r="R183" i="73"/>
  <c r="S183" i="73" s="1"/>
  <c r="V183" i="73"/>
  <c r="Z183" i="73"/>
  <c r="AG183" i="73"/>
  <c r="L184" i="73"/>
  <c r="M184" i="73"/>
  <c r="R184" i="73"/>
  <c r="S184" i="73" s="1"/>
  <c r="V184" i="73"/>
  <c r="Z184" i="73"/>
  <c r="AG184" i="73"/>
  <c r="I185" i="73"/>
  <c r="L185" i="73"/>
  <c r="M185" i="73"/>
  <c r="R185" i="73"/>
  <c r="S185" i="73" s="1"/>
  <c r="V185" i="73"/>
  <c r="Z185" i="73"/>
  <c r="AG185" i="73"/>
  <c r="L186" i="73"/>
  <c r="M186" i="73"/>
  <c r="R186" i="73"/>
  <c r="S186" i="73" s="1"/>
  <c r="V186" i="73"/>
  <c r="Z186" i="73"/>
  <c r="AG186" i="73"/>
  <c r="L187" i="73"/>
  <c r="M187" i="73"/>
  <c r="R187" i="73"/>
  <c r="S187" i="73" s="1"/>
  <c r="V187" i="73"/>
  <c r="Z187" i="73"/>
  <c r="AG187" i="73"/>
  <c r="L188" i="73"/>
  <c r="M188" i="73"/>
  <c r="R188" i="73"/>
  <c r="S188" i="73" s="1"/>
  <c r="V188" i="73"/>
  <c r="Z188" i="73"/>
  <c r="AG188" i="73"/>
  <c r="J189" i="73"/>
  <c r="M189" i="73" s="1"/>
  <c r="L189" i="73"/>
  <c r="R189" i="73"/>
  <c r="V189" i="73"/>
  <c r="Z189" i="73"/>
  <c r="AE189" i="73"/>
  <c r="AG189" i="73"/>
  <c r="L190" i="73"/>
  <c r="M190" i="73"/>
  <c r="R190" i="73"/>
  <c r="V190" i="73"/>
  <c r="Z190" i="73"/>
  <c r="AE190" i="73"/>
  <c r="AG190" i="73"/>
  <c r="L191" i="73"/>
  <c r="M191" i="73"/>
  <c r="R191" i="73"/>
  <c r="V191" i="73"/>
  <c r="Z191" i="73"/>
  <c r="AG191" i="73"/>
  <c r="L192" i="73"/>
  <c r="M192" i="73"/>
  <c r="R192" i="73"/>
  <c r="V192" i="73"/>
  <c r="Z192" i="73"/>
  <c r="AE192" i="73"/>
  <c r="AG192" i="73"/>
  <c r="L193" i="73"/>
  <c r="M193" i="73"/>
  <c r="R193" i="73"/>
  <c r="V193" i="73"/>
  <c r="Z193" i="73"/>
  <c r="AE193" i="73"/>
  <c r="AG193" i="73"/>
  <c r="L194" i="73"/>
  <c r="M194" i="73"/>
  <c r="R194" i="73"/>
  <c r="S194" i="73" s="1"/>
  <c r="V194" i="73"/>
  <c r="Z194" i="73"/>
  <c r="AE194" i="73"/>
  <c r="AG194" i="73"/>
  <c r="L195" i="73"/>
  <c r="M195" i="73"/>
  <c r="R195" i="73"/>
  <c r="S195" i="73" s="1"/>
  <c r="V195" i="73"/>
  <c r="Z195" i="73"/>
  <c r="AE195" i="73"/>
  <c r="AG195" i="73"/>
  <c r="L196" i="73"/>
  <c r="M196" i="73"/>
  <c r="R196" i="73"/>
  <c r="V196" i="73"/>
  <c r="Z196" i="73"/>
  <c r="AE196" i="73"/>
  <c r="AG196" i="73"/>
  <c r="L197" i="73"/>
  <c r="M197" i="73"/>
  <c r="R197" i="73"/>
  <c r="S197" i="73" s="1"/>
  <c r="V197" i="73"/>
  <c r="Z197" i="73"/>
  <c r="AE197" i="73"/>
  <c r="AG197" i="73"/>
  <c r="L198" i="73"/>
  <c r="M198" i="73"/>
  <c r="R198" i="73"/>
  <c r="S198" i="73" s="1"/>
  <c r="V198" i="73"/>
  <c r="Z198" i="73"/>
  <c r="AE198" i="73"/>
  <c r="AG198" i="73"/>
  <c r="L199" i="73"/>
  <c r="M199" i="73"/>
  <c r="R199" i="73"/>
  <c r="V199" i="73"/>
  <c r="Z199" i="73"/>
  <c r="AE199" i="73"/>
  <c r="AG199" i="73"/>
  <c r="L200" i="73"/>
  <c r="M200" i="73"/>
  <c r="R200" i="73"/>
  <c r="V200" i="73"/>
  <c r="Z200" i="73"/>
  <c r="L201" i="73"/>
  <c r="M201" i="73"/>
  <c r="R201" i="73"/>
  <c r="S201" i="73" s="1"/>
  <c r="V201" i="73"/>
  <c r="Z201" i="73"/>
  <c r="L202" i="73"/>
  <c r="M202" i="73"/>
  <c r="R202" i="73"/>
  <c r="S202" i="73" s="1"/>
  <c r="V202" i="73"/>
  <c r="Z202" i="73"/>
  <c r="L203" i="73"/>
  <c r="M203" i="73"/>
  <c r="R203" i="73"/>
  <c r="S203" i="73" s="1"/>
  <c r="V203" i="73"/>
  <c r="Z203" i="73"/>
  <c r="AE203" i="73"/>
  <c r="AG203" i="73"/>
  <c r="L204" i="73"/>
  <c r="M204" i="73"/>
  <c r="R204" i="73"/>
  <c r="S204" i="73" s="1"/>
  <c r="V204" i="73"/>
  <c r="Z204" i="73"/>
  <c r="AG204" i="73"/>
  <c r="L205" i="73"/>
  <c r="M205" i="73"/>
  <c r="R205" i="73"/>
  <c r="S205" i="73" s="1"/>
  <c r="V205" i="73"/>
  <c r="Z205" i="73"/>
  <c r="AG205" i="73"/>
  <c r="L206" i="73"/>
  <c r="M206" i="73"/>
  <c r="R206" i="73"/>
  <c r="S206" i="73" s="1"/>
  <c r="V206" i="73"/>
  <c r="Z206" i="73"/>
  <c r="AG206" i="73"/>
  <c r="L207" i="73"/>
  <c r="M207" i="73"/>
  <c r="R207" i="73"/>
  <c r="S207" i="73" s="1"/>
  <c r="V207" i="73"/>
  <c r="Z207" i="73"/>
  <c r="AG207" i="73"/>
  <c r="L208" i="73"/>
  <c r="M208" i="73"/>
  <c r="R208" i="73"/>
  <c r="V208" i="73"/>
  <c r="Z208" i="73"/>
  <c r="AG208" i="73"/>
  <c r="L209" i="73"/>
  <c r="M209" i="73"/>
  <c r="R209" i="73"/>
  <c r="V209" i="73"/>
  <c r="Z209" i="73"/>
  <c r="AG209" i="73"/>
  <c r="L210" i="73"/>
  <c r="M210" i="73"/>
  <c r="R210" i="73"/>
  <c r="S210" i="73" s="1"/>
  <c r="V210" i="73"/>
  <c r="Z210" i="73"/>
  <c r="AG210" i="73"/>
  <c r="L211" i="73"/>
  <c r="M211" i="73"/>
  <c r="R211" i="73"/>
  <c r="S211" i="73" s="1"/>
  <c r="V211" i="73"/>
  <c r="Z211" i="73"/>
  <c r="AE211" i="73"/>
  <c r="AG211" i="73"/>
  <c r="L212" i="73"/>
  <c r="M212" i="73"/>
  <c r="R212" i="73"/>
  <c r="S212" i="73" s="1"/>
  <c r="V212" i="73"/>
  <c r="Z212" i="73"/>
  <c r="AG212" i="73"/>
  <c r="L213" i="73"/>
  <c r="M213" i="73"/>
  <c r="R213" i="73"/>
  <c r="S213" i="73" s="1"/>
  <c r="V213" i="73"/>
  <c r="Z213" i="73"/>
  <c r="AG213" i="73"/>
  <c r="L214" i="73"/>
  <c r="M214" i="73"/>
  <c r="R214" i="73"/>
  <c r="V214" i="73"/>
  <c r="Z214" i="73"/>
  <c r="AG214" i="73"/>
  <c r="L215" i="73"/>
  <c r="M215" i="73"/>
  <c r="R215" i="73"/>
  <c r="V215" i="73"/>
  <c r="Z215" i="73"/>
  <c r="AE215" i="73"/>
  <c r="AG215" i="73"/>
  <c r="I216" i="73"/>
  <c r="L216" i="73"/>
  <c r="M216" i="73"/>
  <c r="R216" i="73"/>
  <c r="S216" i="73" s="1"/>
  <c r="V216" i="73"/>
  <c r="Z216" i="73"/>
  <c r="AE216" i="73"/>
  <c r="AG216" i="73"/>
  <c r="L217" i="73"/>
  <c r="M217" i="73"/>
  <c r="R217" i="73"/>
  <c r="S217" i="73" s="1"/>
  <c r="V217" i="73"/>
  <c r="Z217" i="73"/>
  <c r="AG217" i="73"/>
  <c r="L218" i="73"/>
  <c r="M218" i="73"/>
  <c r="R218" i="73"/>
  <c r="S218" i="73" s="1"/>
  <c r="V218" i="73"/>
  <c r="Z218" i="73"/>
  <c r="AE218" i="73"/>
  <c r="AG218" i="73"/>
  <c r="L219" i="73"/>
  <c r="M219" i="73"/>
  <c r="R219" i="73"/>
  <c r="V219" i="73"/>
  <c r="Z219" i="73"/>
  <c r="AG219" i="73"/>
  <c r="L220" i="73"/>
  <c r="M220" i="73"/>
  <c r="R220" i="73"/>
  <c r="V220" i="73"/>
  <c r="Z220" i="73"/>
  <c r="AG220" i="73"/>
  <c r="J221" i="73"/>
  <c r="M221" i="73" s="1"/>
  <c r="L221" i="73"/>
  <c r="R221" i="73"/>
  <c r="V221" i="73"/>
  <c r="Z221" i="73"/>
  <c r="AG221" i="73"/>
  <c r="I222" i="73"/>
  <c r="L222" i="73"/>
  <c r="M222" i="73"/>
  <c r="R222" i="73"/>
  <c r="S222" i="73" s="1"/>
  <c r="V222" i="73"/>
  <c r="Z222" i="73"/>
  <c r="AG222" i="73"/>
  <c r="L223" i="73"/>
  <c r="M223" i="73"/>
  <c r="R223" i="73"/>
  <c r="S223" i="73" s="1"/>
  <c r="V223" i="73"/>
  <c r="Z223" i="73"/>
  <c r="AG223" i="73"/>
  <c r="L224" i="73"/>
  <c r="M224" i="73"/>
  <c r="R224" i="73"/>
  <c r="V224" i="73"/>
  <c r="Z224" i="73"/>
  <c r="AG224" i="73"/>
  <c r="L225" i="73"/>
  <c r="M225" i="73"/>
  <c r="R225" i="73"/>
  <c r="V225" i="73"/>
  <c r="Z225" i="73"/>
  <c r="AG225" i="73"/>
  <c r="L226" i="73"/>
  <c r="M226" i="73"/>
  <c r="R226" i="73"/>
  <c r="S226" i="73" s="1"/>
  <c r="V226" i="73"/>
  <c r="Z226" i="73"/>
  <c r="AG226" i="73"/>
  <c r="L227" i="73"/>
  <c r="M227" i="73"/>
  <c r="R227" i="73"/>
  <c r="S227" i="73" s="1"/>
  <c r="V227" i="73"/>
  <c r="Z227" i="73"/>
  <c r="AG227" i="73"/>
  <c r="L228" i="73"/>
  <c r="M228" i="73"/>
  <c r="R228" i="73"/>
  <c r="S228" i="73" s="1"/>
  <c r="V228" i="73"/>
  <c r="Z228" i="73"/>
  <c r="AG228" i="73"/>
  <c r="L229" i="73"/>
  <c r="M229" i="73"/>
  <c r="R229" i="73"/>
  <c r="S229" i="73" s="1"/>
  <c r="V229" i="73"/>
  <c r="Z229" i="73"/>
  <c r="AG229" i="73"/>
  <c r="L230" i="73"/>
  <c r="M230" i="73"/>
  <c r="R230" i="73"/>
  <c r="S230" i="73" s="1"/>
  <c r="V230" i="73"/>
  <c r="Z230" i="73"/>
  <c r="AG230" i="73"/>
  <c r="L231" i="73"/>
  <c r="M231" i="73"/>
  <c r="R231" i="73"/>
  <c r="S231" i="73" s="1"/>
  <c r="V231" i="73"/>
  <c r="Z231" i="73"/>
  <c r="AG231" i="73"/>
  <c r="L232" i="73"/>
  <c r="M232" i="73"/>
  <c r="R232" i="73"/>
  <c r="V232" i="73"/>
  <c r="Z232" i="73"/>
  <c r="AG232" i="73"/>
  <c r="L233" i="73"/>
  <c r="M233" i="73"/>
  <c r="R233" i="73"/>
  <c r="V233" i="73"/>
  <c r="Z233" i="73"/>
  <c r="AE233" i="73"/>
  <c r="AG233" i="73"/>
  <c r="L234" i="73"/>
  <c r="M234" i="73"/>
  <c r="R234" i="73"/>
  <c r="V234" i="73"/>
  <c r="Z234" i="73"/>
  <c r="AE234" i="73"/>
  <c r="AG234" i="73"/>
  <c r="L235" i="73"/>
  <c r="M235" i="73"/>
  <c r="R235" i="73"/>
  <c r="V235" i="73"/>
  <c r="Z235" i="73"/>
  <c r="AG235" i="73"/>
  <c r="L236" i="73"/>
  <c r="M236" i="73"/>
  <c r="R236" i="73"/>
  <c r="S236" i="73" s="1"/>
  <c r="V236" i="73"/>
  <c r="Z236" i="73"/>
  <c r="AG236" i="73"/>
  <c r="I237" i="73"/>
  <c r="L237" i="73"/>
  <c r="M237" i="73"/>
  <c r="R237" i="73"/>
  <c r="S237" i="73" s="1"/>
  <c r="V237" i="73"/>
  <c r="Z237" i="73"/>
  <c r="AG237" i="73"/>
  <c r="L238" i="73"/>
  <c r="M238" i="73"/>
  <c r="R238" i="73"/>
  <c r="V238" i="73"/>
  <c r="Z238" i="73"/>
  <c r="AG238" i="73"/>
  <c r="L239" i="73"/>
  <c r="M239" i="73"/>
  <c r="R239" i="73"/>
  <c r="V239" i="73"/>
  <c r="Z239" i="73"/>
  <c r="AG239" i="73"/>
  <c r="L240" i="73"/>
  <c r="M240" i="73"/>
  <c r="R240" i="73"/>
  <c r="V240" i="73"/>
  <c r="Z240" i="73"/>
  <c r="AG240" i="73"/>
  <c r="I241" i="73"/>
  <c r="L241" i="73"/>
  <c r="M241" i="73"/>
  <c r="R241" i="73"/>
  <c r="V241" i="73"/>
  <c r="Z241" i="73"/>
  <c r="AG241" i="73"/>
  <c r="J242" i="73"/>
  <c r="M242" i="73" s="1"/>
  <c r="L242" i="73"/>
  <c r="R242" i="73"/>
  <c r="S242" i="73" s="1"/>
  <c r="V242" i="73"/>
  <c r="Z242" i="73"/>
  <c r="AE242" i="73"/>
  <c r="AG242" i="73"/>
  <c r="L243" i="73"/>
  <c r="M243" i="73"/>
  <c r="R243" i="73"/>
  <c r="V243" i="73"/>
  <c r="Z243" i="73"/>
  <c r="AG243" i="73"/>
  <c r="L244" i="73"/>
  <c r="M244" i="73"/>
  <c r="R244" i="73"/>
  <c r="V244" i="73"/>
  <c r="Z244" i="73"/>
  <c r="AE244" i="73"/>
  <c r="AG244" i="73"/>
  <c r="L245" i="73"/>
  <c r="M245" i="73"/>
  <c r="R245" i="73"/>
  <c r="S245" i="73" s="1"/>
  <c r="V245" i="73"/>
  <c r="Z245" i="73"/>
  <c r="AG245" i="73"/>
  <c r="L246" i="73"/>
  <c r="M246" i="73"/>
  <c r="S246" i="73"/>
  <c r="V246" i="73"/>
  <c r="Z246" i="73"/>
  <c r="AG246" i="73"/>
  <c r="L247" i="73"/>
  <c r="M247" i="73"/>
  <c r="R247" i="73"/>
  <c r="S247" i="73" s="1"/>
  <c r="V247" i="73"/>
  <c r="Z247" i="73"/>
  <c r="AG247" i="73"/>
  <c r="L248" i="73"/>
  <c r="M248" i="73"/>
  <c r="R248" i="73"/>
  <c r="S248" i="73" s="1"/>
  <c r="V248" i="73"/>
  <c r="Z248" i="73"/>
  <c r="AG248" i="73"/>
  <c r="L249" i="73"/>
  <c r="M249" i="73"/>
  <c r="R249" i="73"/>
  <c r="V249" i="73"/>
  <c r="Z249" i="73"/>
  <c r="AG249" i="73"/>
  <c r="L250" i="73"/>
  <c r="M250" i="73"/>
  <c r="R250" i="73"/>
  <c r="V250" i="73"/>
  <c r="Z250" i="73"/>
  <c r="AE250" i="73"/>
  <c r="AG250" i="73"/>
  <c r="L251" i="73"/>
  <c r="M251" i="73"/>
  <c r="R251" i="73"/>
  <c r="S251" i="73" s="1"/>
  <c r="V251" i="73"/>
  <c r="Z251" i="73"/>
  <c r="AE251" i="73"/>
  <c r="AG251" i="73"/>
  <c r="L252" i="73"/>
  <c r="M252" i="73"/>
  <c r="R252" i="73"/>
  <c r="S252" i="73" s="1"/>
  <c r="V252" i="73"/>
  <c r="Z252" i="73"/>
  <c r="AG252" i="73"/>
  <c r="L253" i="73"/>
  <c r="M253" i="73"/>
  <c r="R253" i="73"/>
  <c r="S253" i="73" s="1"/>
  <c r="V253" i="73"/>
  <c r="Z253" i="73"/>
  <c r="AG253" i="73"/>
  <c r="L254" i="73"/>
  <c r="M254" i="73"/>
  <c r="R254" i="73"/>
  <c r="S254" i="73" s="1"/>
  <c r="V254" i="73"/>
  <c r="Z254" i="73"/>
  <c r="AG254" i="73"/>
  <c r="L255" i="73"/>
  <c r="M255" i="73"/>
  <c r="R255" i="73"/>
  <c r="V255" i="73"/>
  <c r="Z255" i="73"/>
  <c r="AG255" i="73"/>
  <c r="L256" i="73"/>
  <c r="M256" i="73"/>
  <c r="R256" i="73"/>
  <c r="U256" i="73"/>
  <c r="Z256" i="73"/>
  <c r="L257" i="73"/>
  <c r="M257" i="73"/>
  <c r="R257" i="73"/>
  <c r="U257" i="73"/>
  <c r="V257" i="73" s="1"/>
  <c r="Z257" i="73"/>
  <c r="L258" i="73"/>
  <c r="M258" i="73"/>
  <c r="R258" i="73"/>
  <c r="S258" i="73" s="1"/>
  <c r="U258" i="73"/>
  <c r="V258" i="73" s="1"/>
  <c r="Z258" i="73"/>
  <c r="L259" i="73"/>
  <c r="M259" i="73"/>
  <c r="R259" i="73"/>
  <c r="S259" i="73" s="1"/>
  <c r="U259" i="73"/>
  <c r="V259" i="73" s="1"/>
  <c r="Z259" i="73"/>
  <c r="L260" i="73"/>
  <c r="M260" i="73"/>
  <c r="R260" i="73"/>
  <c r="S260" i="73" s="1"/>
  <c r="U260" i="73"/>
  <c r="V260" i="73" s="1"/>
  <c r="Z260" i="73"/>
  <c r="L261" i="73"/>
  <c r="M261" i="73"/>
  <c r="R261" i="73"/>
  <c r="U261" i="73"/>
  <c r="V261" i="73" s="1"/>
  <c r="Z261" i="73"/>
  <c r="L262" i="73"/>
  <c r="M262" i="73"/>
  <c r="R262" i="73"/>
  <c r="S262" i="73" s="1"/>
  <c r="U262" i="73"/>
  <c r="V262" i="73" s="1"/>
  <c r="Z262" i="73"/>
  <c r="L263" i="73"/>
  <c r="M263" i="73"/>
  <c r="R263" i="73"/>
  <c r="S263" i="73" s="1"/>
  <c r="U263" i="73"/>
  <c r="V263" i="73" s="1"/>
  <c r="Z263" i="73"/>
  <c r="L264" i="73"/>
  <c r="M264" i="73"/>
  <c r="R264" i="73"/>
  <c r="U264" i="73"/>
  <c r="V264" i="73" s="1"/>
  <c r="Z264" i="73"/>
  <c r="L265" i="73"/>
  <c r="M265" i="73"/>
  <c r="R265" i="73"/>
  <c r="S265" i="73" s="1"/>
  <c r="U265" i="73"/>
  <c r="V265" i="73" s="1"/>
  <c r="Z265" i="73"/>
  <c r="L266" i="73"/>
  <c r="M266" i="73"/>
  <c r="R266" i="73"/>
  <c r="S266" i="73" s="1"/>
  <c r="V266" i="73"/>
  <c r="Z266" i="73"/>
  <c r="AE266" i="73"/>
  <c r="AG266" i="73"/>
  <c r="I267" i="73"/>
  <c r="J267" i="73" s="1"/>
  <c r="M267" i="73" s="1"/>
  <c r="L267" i="73"/>
  <c r="R267" i="73"/>
  <c r="S267" i="73" s="1"/>
  <c r="V267" i="73"/>
  <c r="Z267" i="73"/>
  <c r="AG267" i="73"/>
  <c r="L268" i="73"/>
  <c r="M268" i="73"/>
  <c r="R268" i="73"/>
  <c r="V268" i="73"/>
  <c r="Z268" i="73"/>
  <c r="AG268" i="73"/>
  <c r="L269" i="73"/>
  <c r="M269" i="73"/>
  <c r="R269" i="73"/>
  <c r="V269" i="73"/>
  <c r="Z269" i="73"/>
  <c r="L270" i="73"/>
  <c r="M270" i="73"/>
  <c r="R270" i="73"/>
  <c r="U270" i="73"/>
  <c r="V270" i="73" s="1"/>
  <c r="Z270" i="73"/>
  <c r="AG270" i="73"/>
  <c r="L271" i="73"/>
  <c r="M271" i="73"/>
  <c r="R271" i="73"/>
  <c r="S271" i="73" s="1"/>
  <c r="V271" i="73"/>
  <c r="Z271" i="73"/>
  <c r="AG271" i="73"/>
  <c r="L272" i="73"/>
  <c r="M272" i="73"/>
  <c r="R272" i="73"/>
  <c r="S272" i="73" s="1"/>
  <c r="V272" i="73"/>
  <c r="Z272" i="73"/>
  <c r="AG272" i="73"/>
  <c r="L273" i="73"/>
  <c r="M273" i="73"/>
  <c r="R273" i="73"/>
  <c r="S273" i="73" s="1"/>
  <c r="U273" i="73"/>
  <c r="V273" i="73" s="1"/>
  <c r="Z273" i="73"/>
  <c r="L274" i="73"/>
  <c r="M274" i="73"/>
  <c r="R274" i="73"/>
  <c r="S274" i="73" s="1"/>
  <c r="V274" i="73"/>
  <c r="Z274" i="73"/>
  <c r="AG274" i="73"/>
  <c r="L275" i="73"/>
  <c r="M275" i="73"/>
  <c r="R275" i="73"/>
  <c r="S275" i="73" s="1"/>
  <c r="U275" i="73"/>
  <c r="V275" i="73" s="1"/>
  <c r="Z275" i="73"/>
  <c r="L276" i="73"/>
  <c r="M276" i="73"/>
  <c r="R276" i="73"/>
  <c r="U276" i="73"/>
  <c r="V276" i="73" s="1"/>
  <c r="Z276" i="73"/>
  <c r="L277" i="73"/>
  <c r="M277" i="73"/>
  <c r="R277" i="73"/>
  <c r="S277" i="73" s="1"/>
  <c r="U277" i="73"/>
  <c r="V277" i="73" s="1"/>
  <c r="Z277" i="73"/>
  <c r="L278" i="73"/>
  <c r="M278" i="73"/>
  <c r="R278" i="73"/>
  <c r="S278" i="73" s="1"/>
  <c r="U278" i="73"/>
  <c r="V278" i="73" s="1"/>
  <c r="Z278" i="73"/>
  <c r="L279" i="73"/>
  <c r="M279" i="73"/>
  <c r="R279" i="73"/>
  <c r="S279" i="73" s="1"/>
  <c r="V279" i="73"/>
  <c r="Z279" i="73"/>
  <c r="AG279" i="73"/>
  <c r="J280" i="73"/>
  <c r="M280" i="73" s="1"/>
  <c r="L280" i="73"/>
  <c r="R280" i="73"/>
  <c r="S280" i="73" s="1"/>
  <c r="V280" i="73"/>
  <c r="Z280" i="73"/>
  <c r="AG280" i="73"/>
  <c r="L281" i="73"/>
  <c r="M281" i="73"/>
  <c r="R281" i="73"/>
  <c r="S281" i="73" s="1"/>
  <c r="V281" i="73"/>
  <c r="Z281" i="73"/>
  <c r="AG281" i="73"/>
  <c r="L282" i="73"/>
  <c r="M282" i="73"/>
  <c r="R282" i="73"/>
  <c r="S282" i="73" s="1"/>
  <c r="U282" i="73"/>
  <c r="V282" i="73" s="1"/>
  <c r="Z282" i="73"/>
  <c r="L283" i="73"/>
  <c r="M283" i="73"/>
  <c r="R283" i="73"/>
  <c r="U283" i="73"/>
  <c r="V283" i="73" s="1"/>
  <c r="Z283" i="73"/>
  <c r="L284" i="73"/>
  <c r="M284" i="73"/>
  <c r="R284" i="73"/>
  <c r="S284" i="73" s="1"/>
  <c r="U284" i="73"/>
  <c r="V284" i="73" s="1"/>
  <c r="Z284" i="73"/>
  <c r="L285" i="73"/>
  <c r="M285" i="73"/>
  <c r="R285" i="73"/>
  <c r="S285" i="73" s="1"/>
  <c r="V285" i="73"/>
  <c r="Z285" i="73"/>
  <c r="L286" i="73"/>
  <c r="M286" i="73"/>
  <c r="R286" i="73"/>
  <c r="S286" i="73" s="1"/>
  <c r="U286" i="73"/>
  <c r="V286" i="73" s="1"/>
  <c r="Z286" i="73"/>
  <c r="L287" i="73"/>
  <c r="M287" i="73"/>
  <c r="R287" i="73"/>
  <c r="S287" i="73" s="1"/>
  <c r="U287" i="73"/>
  <c r="V287" i="73" s="1"/>
  <c r="Z287" i="73"/>
  <c r="L288" i="73"/>
  <c r="M288" i="73"/>
  <c r="R288" i="73"/>
  <c r="V288" i="73"/>
  <c r="Z288" i="73"/>
  <c r="L289" i="73"/>
  <c r="M289" i="73"/>
  <c r="R289" i="73"/>
  <c r="U289" i="73"/>
  <c r="V289" i="73" s="1"/>
  <c r="Z289" i="73"/>
  <c r="L290" i="73"/>
  <c r="M290" i="73"/>
  <c r="R290" i="73"/>
  <c r="U290" i="73"/>
  <c r="V290" i="73" s="1"/>
  <c r="Z290" i="73"/>
  <c r="L291" i="73"/>
  <c r="M291" i="73"/>
  <c r="R291" i="73"/>
  <c r="S291" i="73" s="1"/>
  <c r="U291" i="73"/>
  <c r="V291" i="73" s="1"/>
  <c r="Z291" i="73"/>
  <c r="L292" i="73"/>
  <c r="M292" i="73"/>
  <c r="R292" i="73"/>
  <c r="S292" i="73" s="1"/>
  <c r="U292" i="73"/>
  <c r="V292" i="73" s="1"/>
  <c r="Z292" i="73"/>
  <c r="L293" i="73"/>
  <c r="M293" i="73"/>
  <c r="R293" i="73"/>
  <c r="U293" i="73"/>
  <c r="V293" i="73" s="1"/>
  <c r="Z293" i="73"/>
  <c r="L294" i="73"/>
  <c r="M294" i="73"/>
  <c r="R294" i="73"/>
  <c r="U294" i="73"/>
  <c r="V294" i="73" s="1"/>
  <c r="Z294" i="73"/>
  <c r="L295" i="73"/>
  <c r="M295" i="73"/>
  <c r="R295" i="73"/>
  <c r="S295" i="73" s="1"/>
  <c r="U295" i="73"/>
  <c r="V295" i="73" s="1"/>
  <c r="Z295" i="73"/>
  <c r="L296" i="73"/>
  <c r="M296" i="73"/>
  <c r="R296" i="73"/>
  <c r="S296" i="73" s="1"/>
  <c r="U296" i="73"/>
  <c r="V296" i="73" s="1"/>
  <c r="Z296" i="73"/>
  <c r="L297" i="73"/>
  <c r="M297" i="73"/>
  <c r="R297" i="73"/>
  <c r="U297" i="73"/>
  <c r="V297" i="73" s="1"/>
  <c r="Z297" i="73"/>
  <c r="L298" i="73"/>
  <c r="M298" i="73"/>
  <c r="R298" i="73"/>
  <c r="U298" i="73"/>
  <c r="V298" i="73" s="1"/>
  <c r="Z298" i="73"/>
  <c r="L299" i="73"/>
  <c r="M299" i="73"/>
  <c r="R299" i="73"/>
  <c r="S299" i="73" s="1"/>
  <c r="U299" i="73"/>
  <c r="V299" i="73" s="1"/>
  <c r="Z299" i="73"/>
  <c r="M300" i="73"/>
  <c r="L300" i="73"/>
  <c r="R300" i="73"/>
  <c r="S300" i="73" s="1"/>
  <c r="V300" i="73"/>
  <c r="Z300" i="73"/>
  <c r="AG300" i="73"/>
  <c r="L301" i="73"/>
  <c r="M301" i="73"/>
  <c r="R301" i="73"/>
  <c r="S301" i="73" s="1"/>
  <c r="V301" i="73"/>
  <c r="Z301" i="73"/>
  <c r="AG301" i="73"/>
  <c r="L302" i="73"/>
  <c r="M302" i="73"/>
  <c r="R302" i="73"/>
  <c r="S302" i="73" s="1"/>
  <c r="V302" i="73"/>
  <c r="Z302" i="73"/>
  <c r="AG302" i="73"/>
  <c r="L303" i="73"/>
  <c r="M303" i="73"/>
  <c r="R303" i="73"/>
  <c r="V303" i="73"/>
  <c r="Z303" i="73"/>
  <c r="AG303" i="73"/>
  <c r="L304" i="73"/>
  <c r="M304" i="73"/>
  <c r="R304" i="73"/>
  <c r="V304" i="73"/>
  <c r="Z304" i="73"/>
  <c r="AG304" i="73"/>
  <c r="L305" i="73"/>
  <c r="M305" i="73"/>
  <c r="R305" i="73"/>
  <c r="S305" i="73" s="1"/>
  <c r="V305" i="73"/>
  <c r="Z305" i="73"/>
  <c r="AG305" i="73"/>
  <c r="L306" i="73"/>
  <c r="M306" i="73"/>
  <c r="R306" i="73"/>
  <c r="S306" i="73" s="1"/>
  <c r="V306" i="73"/>
  <c r="Z306" i="73"/>
  <c r="AG306" i="73"/>
  <c r="L307" i="73"/>
  <c r="M307" i="73"/>
  <c r="R307" i="73"/>
  <c r="V307" i="73"/>
  <c r="Z307" i="73"/>
  <c r="AG307" i="73"/>
  <c r="L308" i="73"/>
  <c r="M308" i="73"/>
  <c r="R308" i="73"/>
  <c r="S308" i="73" s="1"/>
  <c r="V308" i="73"/>
  <c r="Z308" i="73"/>
  <c r="AG308" i="73"/>
  <c r="L309" i="73"/>
  <c r="M309" i="73"/>
  <c r="R309" i="73"/>
  <c r="S309" i="73" s="1"/>
  <c r="V309" i="73"/>
  <c r="Z309" i="73"/>
  <c r="AG309" i="73"/>
  <c r="L310" i="73"/>
  <c r="M310" i="73"/>
  <c r="R310" i="73"/>
  <c r="S310" i="73" s="1"/>
  <c r="V310" i="73"/>
  <c r="Z310" i="73"/>
  <c r="AE310" i="73"/>
  <c r="AG310" i="73"/>
  <c r="L311" i="73"/>
  <c r="M311" i="73"/>
  <c r="R311" i="73"/>
  <c r="S311" i="73" s="1"/>
  <c r="V311" i="73"/>
  <c r="Z311" i="73"/>
  <c r="AG311" i="73"/>
  <c r="M312" i="73"/>
  <c r="L312" i="73"/>
  <c r="R312" i="73"/>
  <c r="S312" i="73" s="1"/>
  <c r="V312" i="73"/>
  <c r="Z312" i="73"/>
  <c r="AG312" i="73"/>
  <c r="L313" i="73"/>
  <c r="M313" i="73"/>
  <c r="R313" i="73"/>
  <c r="V313" i="73"/>
  <c r="Z313" i="73"/>
  <c r="AG313" i="73"/>
  <c r="I314" i="73"/>
  <c r="L314" i="73"/>
  <c r="M314" i="73"/>
  <c r="R314" i="73"/>
  <c r="S314" i="73" s="1"/>
  <c r="V314" i="73"/>
  <c r="Z314" i="73"/>
  <c r="AG314" i="73"/>
  <c r="L315" i="73"/>
  <c r="M315" i="73"/>
  <c r="R315" i="73"/>
  <c r="S315" i="73" s="1"/>
  <c r="V315" i="73"/>
  <c r="Z315" i="73"/>
  <c r="AE315" i="73"/>
  <c r="AG315" i="73"/>
  <c r="M316" i="73"/>
  <c r="L316" i="73"/>
  <c r="R316" i="73"/>
  <c r="S316" i="73" s="1"/>
  <c r="V316" i="73"/>
  <c r="Z316" i="73"/>
  <c r="AE316" i="73"/>
  <c r="AG316" i="73"/>
  <c r="L317" i="73"/>
  <c r="M317" i="73"/>
  <c r="R317" i="73"/>
  <c r="V317" i="73"/>
  <c r="Z317" i="73"/>
  <c r="AG317" i="73"/>
  <c r="L318" i="73"/>
  <c r="M318" i="73"/>
  <c r="R318" i="73"/>
  <c r="V318" i="73"/>
  <c r="Z318" i="73"/>
  <c r="AG318" i="73"/>
  <c r="L319" i="73"/>
  <c r="M319" i="73"/>
  <c r="R319" i="73"/>
  <c r="S319" i="73" s="1"/>
  <c r="V319" i="73"/>
  <c r="Z319" i="73"/>
  <c r="AG319" i="73"/>
  <c r="L320" i="73"/>
  <c r="M320" i="73"/>
  <c r="R320" i="73"/>
  <c r="S320" i="73" s="1"/>
  <c r="V320" i="73"/>
  <c r="Z320" i="73"/>
  <c r="AG320" i="73"/>
  <c r="L321" i="73"/>
  <c r="M321" i="73"/>
  <c r="R321" i="73"/>
  <c r="V321" i="73"/>
  <c r="Z321" i="73"/>
  <c r="AG321" i="73"/>
  <c r="L322" i="73"/>
  <c r="M322" i="73"/>
  <c r="R322" i="73"/>
  <c r="S322" i="73" s="1"/>
  <c r="V322" i="73"/>
  <c r="Z322" i="73"/>
  <c r="AG322" i="73"/>
  <c r="I323" i="73"/>
  <c r="M323" i="73" s="1"/>
  <c r="L323" i="73"/>
  <c r="R323" i="73"/>
  <c r="V323" i="73"/>
  <c r="Z323" i="73"/>
  <c r="AG323" i="73"/>
  <c r="L324" i="73"/>
  <c r="M324" i="73"/>
  <c r="R324" i="73"/>
  <c r="S324" i="73" s="1"/>
  <c r="V324" i="73"/>
  <c r="Z324" i="73"/>
  <c r="AG324" i="73"/>
  <c r="L325" i="73"/>
  <c r="M325" i="73"/>
  <c r="R325" i="73"/>
  <c r="S325" i="73" s="1"/>
  <c r="V325" i="73"/>
  <c r="Z325" i="73"/>
  <c r="AG325" i="73"/>
  <c r="L326" i="73"/>
  <c r="M326" i="73"/>
  <c r="R326" i="73"/>
  <c r="V326" i="73"/>
  <c r="Z326" i="73"/>
  <c r="AG326" i="73"/>
  <c r="M327" i="73"/>
  <c r="L327" i="73"/>
  <c r="R327" i="73"/>
  <c r="S327" i="73" s="1"/>
  <c r="V327" i="73"/>
  <c r="Z327" i="73"/>
  <c r="AG327" i="73"/>
  <c r="M328" i="73"/>
  <c r="L328" i="73"/>
  <c r="R328" i="73"/>
  <c r="V328" i="73"/>
  <c r="Z328" i="73"/>
  <c r="AG328" i="73"/>
  <c r="L329" i="73"/>
  <c r="M329" i="73"/>
  <c r="R329" i="73"/>
  <c r="V329" i="73"/>
  <c r="Z329" i="73"/>
  <c r="AG329" i="73"/>
  <c r="L330" i="73"/>
  <c r="M330" i="73"/>
  <c r="R330" i="73"/>
  <c r="S330" i="73" s="1"/>
  <c r="V330" i="73"/>
  <c r="Z330" i="73"/>
  <c r="AG330" i="73"/>
  <c r="J331" i="73"/>
  <c r="M331" i="73" s="1"/>
  <c r="L331" i="73"/>
  <c r="R331" i="73"/>
  <c r="V331" i="73"/>
  <c r="Z331" i="73"/>
  <c r="AG331" i="73"/>
  <c r="L332" i="73"/>
  <c r="M332" i="73"/>
  <c r="R332" i="73"/>
  <c r="S332" i="73" s="1"/>
  <c r="U332" i="73"/>
  <c r="V332" i="73" s="1"/>
  <c r="Z332" i="73"/>
  <c r="L333" i="73"/>
  <c r="M333" i="73"/>
  <c r="R333" i="73"/>
  <c r="S333" i="73" s="1"/>
  <c r="U333" i="73"/>
  <c r="V333" i="73" s="1"/>
  <c r="Z333" i="73"/>
  <c r="L334" i="73"/>
  <c r="M334" i="73"/>
  <c r="R334" i="73"/>
  <c r="U334" i="73"/>
  <c r="V334" i="73" s="1"/>
  <c r="Z334" i="73"/>
  <c r="L335" i="73"/>
  <c r="M335" i="73"/>
  <c r="R335" i="73"/>
  <c r="S335" i="73" s="1"/>
  <c r="U335" i="73"/>
  <c r="V335" i="73" s="1"/>
  <c r="Z335" i="73"/>
  <c r="L336" i="73"/>
  <c r="M336" i="73"/>
  <c r="R336" i="73"/>
  <c r="S336" i="73" s="1"/>
  <c r="U336" i="73"/>
  <c r="V336" i="73" s="1"/>
  <c r="Z336" i="73"/>
  <c r="L337" i="73"/>
  <c r="M337" i="73"/>
  <c r="R337" i="73"/>
  <c r="U337" i="73"/>
  <c r="V337" i="73" s="1"/>
  <c r="Z337" i="73"/>
  <c r="M338" i="73"/>
  <c r="L338" i="73"/>
  <c r="R338" i="73"/>
  <c r="V338" i="73"/>
  <c r="Z338" i="73"/>
  <c r="AG338" i="73"/>
  <c r="L339" i="73"/>
  <c r="M339" i="73"/>
  <c r="R339" i="73"/>
  <c r="S339" i="73" s="1"/>
  <c r="U339" i="73"/>
  <c r="V339" i="73" s="1"/>
  <c r="Z339" i="73"/>
  <c r="L340" i="73"/>
  <c r="M340" i="73"/>
  <c r="R340" i="73"/>
  <c r="S340" i="73" s="1"/>
  <c r="U340" i="73"/>
  <c r="V340" i="73" s="1"/>
  <c r="Z340" i="73"/>
  <c r="L341" i="73"/>
  <c r="M341" i="73"/>
  <c r="R341" i="73"/>
  <c r="U341" i="73"/>
  <c r="V341" i="73" s="1"/>
  <c r="Z341" i="73"/>
  <c r="L342" i="73"/>
  <c r="M342" i="73"/>
  <c r="R342" i="73"/>
  <c r="S342" i="73" s="1"/>
  <c r="U342" i="73"/>
  <c r="V342" i="73" s="1"/>
  <c r="Z342" i="73"/>
  <c r="L343" i="73"/>
  <c r="M343" i="73"/>
  <c r="R343" i="73"/>
  <c r="S343" i="73" s="1"/>
  <c r="V343" i="73"/>
  <c r="Z343" i="73"/>
  <c r="L344" i="73"/>
  <c r="M344" i="73"/>
  <c r="R344" i="73"/>
  <c r="S344" i="73" s="1"/>
  <c r="U344" i="73"/>
  <c r="V344" i="73" s="1"/>
  <c r="Z344" i="73"/>
  <c r="L345" i="73"/>
  <c r="M345" i="73"/>
  <c r="R345" i="73"/>
  <c r="S345" i="73" s="1"/>
  <c r="U345" i="73"/>
  <c r="V345" i="73" s="1"/>
  <c r="Z345" i="73"/>
  <c r="L346" i="73"/>
  <c r="M346" i="73"/>
  <c r="R346" i="73"/>
  <c r="S346" i="73" s="1"/>
  <c r="U346" i="73"/>
  <c r="V346" i="73" s="1"/>
  <c r="Z346" i="73"/>
  <c r="J347" i="73"/>
  <c r="M347" i="73" s="1"/>
  <c r="L347" i="73"/>
  <c r="R347" i="73"/>
  <c r="S347" i="73" s="1"/>
  <c r="V347" i="73"/>
  <c r="Z347" i="73"/>
  <c r="AG347" i="73"/>
  <c r="L348" i="73"/>
  <c r="M348" i="73"/>
  <c r="R348" i="73"/>
  <c r="S348" i="73" s="1"/>
  <c r="U348" i="73"/>
  <c r="Z348" i="73"/>
  <c r="M349" i="73"/>
  <c r="L349" i="73"/>
  <c r="R349" i="73"/>
  <c r="V349" i="73"/>
  <c r="Z349" i="73"/>
  <c r="AG349" i="73"/>
  <c r="L350" i="73"/>
  <c r="M350" i="73"/>
  <c r="R350" i="73"/>
  <c r="S350" i="73" s="1"/>
  <c r="U350" i="73"/>
  <c r="V350" i="73" s="1"/>
  <c r="Z350" i="73"/>
  <c r="L351" i="73"/>
  <c r="M351" i="73"/>
  <c r="R351" i="73"/>
  <c r="S351" i="73" s="1"/>
  <c r="U351" i="73"/>
  <c r="V351" i="73" s="1"/>
  <c r="Z351" i="73"/>
  <c r="L352" i="73"/>
  <c r="M352" i="73"/>
  <c r="R352" i="73"/>
  <c r="S352" i="73" s="1"/>
  <c r="U352" i="73"/>
  <c r="V352" i="73" s="1"/>
  <c r="Z352" i="73"/>
  <c r="L353" i="73"/>
  <c r="M353" i="73"/>
  <c r="R353" i="73"/>
  <c r="S353" i="73" s="1"/>
  <c r="V353" i="73"/>
  <c r="Z353" i="73"/>
  <c r="AG353" i="73"/>
  <c r="L354" i="73"/>
  <c r="M354" i="73"/>
  <c r="R354" i="73"/>
  <c r="S354" i="73" s="1"/>
  <c r="V354" i="73"/>
  <c r="Z354" i="73"/>
  <c r="AG354" i="73"/>
  <c r="L355" i="73"/>
  <c r="M355" i="73"/>
  <c r="R355" i="73"/>
  <c r="S355" i="73" s="1"/>
  <c r="V355" i="73"/>
  <c r="Z355" i="73"/>
  <c r="AG355" i="73"/>
  <c r="L356" i="73"/>
  <c r="M356" i="73"/>
  <c r="R356" i="73"/>
  <c r="V356" i="73"/>
  <c r="Z356" i="73"/>
  <c r="AG356" i="73"/>
  <c r="M357" i="73"/>
  <c r="L357" i="73"/>
  <c r="R357" i="73"/>
  <c r="S357" i="73" s="1"/>
  <c r="V357" i="73"/>
  <c r="Z357" i="73"/>
  <c r="AE357" i="73"/>
  <c r="AG357" i="73"/>
  <c r="L358" i="73"/>
  <c r="M358" i="73"/>
  <c r="R358" i="73"/>
  <c r="S358" i="73" s="1"/>
  <c r="V358" i="73"/>
  <c r="Z358" i="73"/>
  <c r="AG358" i="73"/>
  <c r="I359" i="73"/>
  <c r="M359" i="73" s="1"/>
  <c r="L359" i="73"/>
  <c r="R359" i="73"/>
  <c r="S359" i="73" s="1"/>
  <c r="V359" i="73"/>
  <c r="Z359" i="73"/>
  <c r="AG359" i="73"/>
  <c r="I360" i="73"/>
  <c r="L360" i="73"/>
  <c r="M360" i="73"/>
  <c r="R360" i="73"/>
  <c r="S360" i="73" s="1"/>
  <c r="V360" i="73"/>
  <c r="Z360" i="73"/>
  <c r="AG360" i="73"/>
  <c r="M361" i="73"/>
  <c r="L361" i="73"/>
  <c r="R361" i="73"/>
  <c r="S361" i="73" s="1"/>
  <c r="V361" i="73"/>
  <c r="Z361" i="73"/>
  <c r="AG361" i="73"/>
  <c r="L362" i="73"/>
  <c r="M362" i="73"/>
  <c r="R362" i="73"/>
  <c r="S362" i="73" s="1"/>
  <c r="V362" i="73"/>
  <c r="Z362" i="73"/>
  <c r="AG362" i="73"/>
  <c r="L363" i="73"/>
  <c r="M363" i="73"/>
  <c r="R363" i="73"/>
  <c r="S363" i="73" s="1"/>
  <c r="V363" i="73"/>
  <c r="Z363" i="73"/>
  <c r="AE363" i="73"/>
  <c r="AG363" i="73"/>
  <c r="L364" i="73"/>
  <c r="M364" i="73"/>
  <c r="R364" i="73"/>
  <c r="S364" i="73" s="1"/>
  <c r="V364" i="73"/>
  <c r="Z364" i="73"/>
  <c r="AG364" i="73"/>
  <c r="M365" i="73"/>
  <c r="L365" i="73"/>
  <c r="R365" i="73"/>
  <c r="S365" i="73" s="1"/>
  <c r="V365" i="73"/>
  <c r="Z365" i="73"/>
  <c r="AG365" i="73"/>
  <c r="I366" i="73"/>
  <c r="M366" i="73" s="1"/>
  <c r="L366" i="73"/>
  <c r="R366" i="73"/>
  <c r="S366" i="73" s="1"/>
  <c r="V366" i="73"/>
  <c r="Z366" i="73"/>
  <c r="AE366" i="73"/>
  <c r="AG366" i="73"/>
  <c r="M367" i="73"/>
  <c r="L367" i="73"/>
  <c r="R367" i="73"/>
  <c r="S367" i="73" s="1"/>
  <c r="V367" i="73"/>
  <c r="Z367" i="73"/>
  <c r="AE367" i="73"/>
  <c r="AG367" i="73"/>
  <c r="M368" i="73"/>
  <c r="L368" i="73"/>
  <c r="R368" i="73"/>
  <c r="S368" i="73" s="1"/>
  <c r="V368" i="73"/>
  <c r="Z368" i="73"/>
  <c r="AE368" i="73"/>
  <c r="AG368" i="73"/>
  <c r="L369" i="73"/>
  <c r="M369" i="73"/>
  <c r="R369" i="73"/>
  <c r="V369" i="73"/>
  <c r="Z369" i="73"/>
  <c r="AG369" i="73"/>
  <c r="L370" i="73"/>
  <c r="M370" i="73"/>
  <c r="R370" i="73"/>
  <c r="S370" i="73" s="1"/>
  <c r="V370" i="73"/>
  <c r="Z370" i="73"/>
  <c r="AG370" i="73"/>
  <c r="M371" i="73"/>
  <c r="L371" i="73"/>
  <c r="R371" i="73"/>
  <c r="V371" i="73"/>
  <c r="Z371" i="73"/>
  <c r="AG371" i="73"/>
  <c r="M372" i="73"/>
  <c r="L372" i="73"/>
  <c r="R372" i="73"/>
  <c r="S372" i="73" s="1"/>
  <c r="V372" i="73"/>
  <c r="Z372" i="73"/>
  <c r="AG372" i="73"/>
  <c r="M373" i="73"/>
  <c r="L373" i="73"/>
  <c r="R373" i="73"/>
  <c r="V373" i="73"/>
  <c r="Z373" i="73"/>
  <c r="AE373" i="73"/>
  <c r="AG373" i="73"/>
  <c r="M374" i="73"/>
  <c r="L374" i="73"/>
  <c r="R374" i="73"/>
  <c r="V374" i="73"/>
  <c r="Z374" i="73"/>
  <c r="AE374" i="73"/>
  <c r="AG374" i="73"/>
  <c r="L375" i="73"/>
  <c r="M375" i="73"/>
  <c r="V375" i="73"/>
  <c r="Z375" i="73"/>
  <c r="AG375" i="73"/>
  <c r="L376" i="73"/>
  <c r="M376" i="73"/>
  <c r="R376" i="73"/>
  <c r="S376" i="73" s="1"/>
  <c r="V376" i="73"/>
  <c r="Z376" i="73"/>
  <c r="AE376" i="73"/>
  <c r="AG376" i="73"/>
  <c r="L377" i="73"/>
  <c r="M377" i="73"/>
  <c r="R377" i="73"/>
  <c r="V377" i="73"/>
  <c r="Z377" i="73"/>
  <c r="AG377" i="73"/>
  <c r="I378" i="73"/>
  <c r="M378" i="73" s="1"/>
  <c r="L378" i="73"/>
  <c r="R378" i="73"/>
  <c r="V378" i="73"/>
  <c r="Z378" i="73"/>
  <c r="AG378" i="73"/>
  <c r="M379" i="73"/>
  <c r="L379" i="73"/>
  <c r="R379" i="73"/>
  <c r="S379" i="73" s="1"/>
  <c r="V379" i="73"/>
  <c r="Z379" i="73"/>
  <c r="AG379" i="73"/>
  <c r="L380" i="73"/>
  <c r="M380" i="73"/>
  <c r="R380" i="73"/>
  <c r="S380" i="73" s="1"/>
  <c r="V380" i="73"/>
  <c r="Z380" i="73"/>
  <c r="AG380" i="73"/>
  <c r="L381" i="73"/>
  <c r="M381" i="73"/>
  <c r="R381" i="73"/>
  <c r="S381" i="73" s="1"/>
  <c r="V381" i="73"/>
  <c r="Z381" i="73"/>
  <c r="AG381" i="73"/>
  <c r="L382" i="73"/>
  <c r="M382" i="73"/>
  <c r="R382" i="73"/>
  <c r="S382" i="73" s="1"/>
  <c r="V382" i="73"/>
  <c r="Z382" i="73"/>
  <c r="AG382" i="73"/>
  <c r="L383" i="73"/>
  <c r="M383" i="73"/>
  <c r="R383" i="73"/>
  <c r="V383" i="73"/>
  <c r="Z383" i="73"/>
  <c r="AE383" i="73"/>
  <c r="AG383" i="73"/>
  <c r="L384" i="73"/>
  <c r="M384" i="73"/>
  <c r="R384" i="73"/>
  <c r="S384" i="73" s="1"/>
  <c r="U384" i="73"/>
  <c r="V384" i="73" s="1"/>
  <c r="Z384" i="73"/>
  <c r="L385" i="73"/>
  <c r="M385" i="73"/>
  <c r="R385" i="73"/>
  <c r="S385" i="73" s="1"/>
  <c r="U385" i="73"/>
  <c r="V385" i="73" s="1"/>
  <c r="Z385" i="73"/>
  <c r="L386" i="73"/>
  <c r="M386" i="73"/>
  <c r="R386" i="73"/>
  <c r="U386" i="73"/>
  <c r="V386" i="73" s="1"/>
  <c r="Z386" i="73"/>
  <c r="L387" i="73"/>
  <c r="M387" i="73"/>
  <c r="R387" i="73"/>
  <c r="S387" i="73" s="1"/>
  <c r="U387" i="73"/>
  <c r="V387" i="73" s="1"/>
  <c r="Z387" i="73"/>
  <c r="L388" i="73"/>
  <c r="M388" i="73"/>
  <c r="R388" i="73"/>
  <c r="S388" i="73" s="1"/>
  <c r="U388" i="73"/>
  <c r="V388" i="73" s="1"/>
  <c r="Z388" i="73"/>
  <c r="L389" i="73"/>
  <c r="M389" i="73"/>
  <c r="R389" i="73"/>
  <c r="S389" i="73" s="1"/>
  <c r="V389" i="73"/>
  <c r="Z389" i="73"/>
  <c r="AG389" i="73"/>
  <c r="L390" i="73"/>
  <c r="M390" i="73"/>
  <c r="R390" i="73"/>
  <c r="V390" i="73"/>
  <c r="Z390" i="73"/>
  <c r="AG390" i="73"/>
  <c r="I391" i="73"/>
  <c r="M391" i="73" s="1"/>
  <c r="L391" i="73"/>
  <c r="R391" i="73"/>
  <c r="S391" i="73" s="1"/>
  <c r="V391" i="73"/>
  <c r="Z391" i="73"/>
  <c r="AG391" i="73"/>
  <c r="I392" i="73"/>
  <c r="M392" i="73" s="1"/>
  <c r="L392" i="73"/>
  <c r="R392" i="73"/>
  <c r="S392" i="73" s="1"/>
  <c r="V392" i="73"/>
  <c r="Z392" i="73"/>
  <c r="AG392" i="73"/>
  <c r="L393" i="73"/>
  <c r="M393" i="73"/>
  <c r="R393" i="73"/>
  <c r="S393" i="73" s="1"/>
  <c r="V393" i="73"/>
  <c r="Z393" i="73"/>
  <c r="AG393" i="73"/>
  <c r="M394" i="73"/>
  <c r="L394" i="73"/>
  <c r="R394" i="73"/>
  <c r="V394" i="73"/>
  <c r="Z394" i="73"/>
  <c r="AG394" i="73"/>
  <c r="L395" i="73"/>
  <c r="M395" i="73"/>
  <c r="R395" i="73"/>
  <c r="S395" i="73" s="1"/>
  <c r="V395" i="73"/>
  <c r="Z395" i="73"/>
  <c r="AG395" i="73"/>
  <c r="L396" i="73"/>
  <c r="M396" i="73"/>
  <c r="R396" i="73"/>
  <c r="S396" i="73" s="1"/>
  <c r="V396" i="73"/>
  <c r="Z396" i="73"/>
  <c r="AG396" i="73"/>
  <c r="I397" i="73"/>
  <c r="M397" i="73" s="1"/>
  <c r="L397" i="73"/>
  <c r="R397" i="73"/>
  <c r="S397" i="73" s="1"/>
  <c r="V397" i="73"/>
  <c r="Z397" i="73"/>
  <c r="L398" i="73"/>
  <c r="M398" i="73"/>
  <c r="R398" i="73"/>
  <c r="S398" i="73" s="1"/>
  <c r="V398" i="73"/>
  <c r="Z398" i="73"/>
  <c r="AG398" i="73"/>
  <c r="M399" i="73"/>
  <c r="L399" i="73"/>
  <c r="R399" i="73"/>
  <c r="V399" i="73"/>
  <c r="Z399" i="73"/>
  <c r="AE399" i="73"/>
  <c r="AG399" i="73"/>
  <c r="L400" i="73"/>
  <c r="M400" i="73"/>
  <c r="R400" i="73"/>
  <c r="S400" i="73" s="1"/>
  <c r="V400" i="73"/>
  <c r="Z400" i="73"/>
  <c r="AG400" i="73"/>
  <c r="L401" i="73"/>
  <c r="M401" i="73"/>
  <c r="R401" i="73"/>
  <c r="S401" i="73" s="1"/>
  <c r="V401" i="73"/>
  <c r="Z401" i="73"/>
  <c r="AG401" i="73"/>
  <c r="L402" i="73"/>
  <c r="M402" i="73"/>
  <c r="R402" i="73"/>
  <c r="S402" i="73" s="1"/>
  <c r="V402" i="73"/>
  <c r="Z402" i="73"/>
  <c r="AE402" i="73"/>
  <c r="AG402" i="73"/>
  <c r="L403" i="73"/>
  <c r="M403" i="73"/>
  <c r="R403" i="73"/>
  <c r="S403" i="73" s="1"/>
  <c r="V403" i="73"/>
  <c r="Z403" i="73"/>
  <c r="AG403" i="73"/>
  <c r="L404" i="73"/>
  <c r="M404" i="73"/>
  <c r="R404" i="73"/>
  <c r="V404" i="73"/>
  <c r="Z404" i="73"/>
  <c r="AG404" i="73"/>
  <c r="L405" i="73"/>
  <c r="M405" i="73"/>
  <c r="R405" i="73"/>
  <c r="V405" i="73"/>
  <c r="Z405" i="73"/>
  <c r="AG405" i="73"/>
  <c r="L406" i="73"/>
  <c r="M406" i="73"/>
  <c r="R406" i="73"/>
  <c r="S406" i="73" s="1"/>
  <c r="V406" i="73"/>
  <c r="Z406" i="73"/>
  <c r="AG406" i="73"/>
  <c r="L407" i="73"/>
  <c r="M407" i="73"/>
  <c r="R407" i="73"/>
  <c r="S407" i="73" s="1"/>
  <c r="U407" i="73"/>
  <c r="V407" i="73" s="1"/>
  <c r="Z407" i="73"/>
  <c r="L408" i="73"/>
  <c r="M408" i="73"/>
  <c r="R408" i="73"/>
  <c r="U408" i="73"/>
  <c r="V408" i="73" s="1"/>
  <c r="Z408" i="73"/>
  <c r="L409" i="73"/>
  <c r="M409" i="73"/>
  <c r="R409" i="73"/>
  <c r="S409" i="73" s="1"/>
  <c r="U409" i="73"/>
  <c r="V409" i="73" s="1"/>
  <c r="Z409" i="73"/>
  <c r="L410" i="73"/>
  <c r="M410" i="73"/>
  <c r="R410" i="73"/>
  <c r="S410" i="73" s="1"/>
  <c r="U410" i="73"/>
  <c r="V410" i="73" s="1"/>
  <c r="Z410" i="73"/>
  <c r="L411" i="73"/>
  <c r="M411" i="73"/>
  <c r="R411" i="73"/>
  <c r="S411" i="73" s="1"/>
  <c r="U411" i="73"/>
  <c r="V411" i="73" s="1"/>
  <c r="Z411" i="73"/>
  <c r="L412" i="73"/>
  <c r="M412" i="73"/>
  <c r="R412" i="73"/>
  <c r="S412" i="73" s="1"/>
  <c r="U412" i="73"/>
  <c r="V412" i="73" s="1"/>
  <c r="Z412" i="73"/>
  <c r="L413" i="73"/>
  <c r="M413" i="73"/>
  <c r="R413" i="73"/>
  <c r="V413" i="73"/>
  <c r="Z413" i="73"/>
  <c r="L414" i="73"/>
  <c r="M414" i="73"/>
  <c r="R414" i="73"/>
  <c r="V414" i="73"/>
  <c r="Z414" i="73"/>
  <c r="AG414" i="73"/>
  <c r="L415" i="73"/>
  <c r="M415" i="73"/>
  <c r="R415" i="73"/>
  <c r="S415" i="73" s="1"/>
  <c r="V415" i="73"/>
  <c r="Z415" i="73"/>
  <c r="AE415" i="73"/>
  <c r="AG415" i="73"/>
  <c r="L416" i="73"/>
  <c r="M416" i="73"/>
  <c r="R416" i="73"/>
  <c r="S416" i="73" s="1"/>
  <c r="V416" i="73"/>
  <c r="Z416" i="73"/>
  <c r="AG416" i="73"/>
  <c r="L417" i="73"/>
  <c r="M417" i="73"/>
  <c r="R417" i="73"/>
  <c r="S417" i="73" s="1"/>
  <c r="V417" i="73"/>
  <c r="Z417" i="73"/>
  <c r="AG417" i="73"/>
  <c r="L418" i="73"/>
  <c r="M418" i="73"/>
  <c r="R418" i="73"/>
  <c r="S418" i="73" s="1"/>
  <c r="V418" i="73"/>
  <c r="Z418" i="73"/>
  <c r="AG418" i="73"/>
  <c r="L419" i="73"/>
  <c r="M419" i="73"/>
  <c r="R419" i="73"/>
  <c r="S419" i="73" s="1"/>
  <c r="V419" i="73"/>
  <c r="Z419" i="73"/>
  <c r="AG419" i="73"/>
  <c r="L420" i="73"/>
  <c r="M420" i="73"/>
  <c r="R420" i="73"/>
  <c r="V420" i="73"/>
  <c r="Z420" i="73"/>
  <c r="AG420" i="73"/>
  <c r="L421" i="73"/>
  <c r="M421" i="73"/>
  <c r="R421" i="73"/>
  <c r="S421" i="73" s="1"/>
  <c r="V421" i="73"/>
  <c r="Z421" i="73"/>
  <c r="AG421" i="73"/>
  <c r="L422" i="73"/>
  <c r="M422" i="73"/>
  <c r="R422" i="73"/>
  <c r="S422" i="73" s="1"/>
  <c r="V422" i="73"/>
  <c r="AG422" i="73"/>
  <c r="L423" i="73"/>
  <c r="M423" i="73"/>
  <c r="R423" i="73"/>
  <c r="S423" i="73" s="1"/>
  <c r="V423" i="73"/>
  <c r="AG423" i="73"/>
  <c r="L424" i="73"/>
  <c r="M424" i="73"/>
  <c r="R424" i="73"/>
  <c r="S424" i="73" s="1"/>
  <c r="V424" i="73"/>
  <c r="AG424" i="73"/>
  <c r="M425" i="73"/>
  <c r="L425" i="73"/>
  <c r="R425" i="73"/>
  <c r="S425" i="73" s="1"/>
  <c r="V425" i="73"/>
  <c r="AG425" i="73"/>
  <c r="L426" i="73"/>
  <c r="M426" i="73"/>
  <c r="R426" i="73"/>
  <c r="V426" i="73"/>
  <c r="AG426" i="73"/>
  <c r="L427" i="73"/>
  <c r="M427" i="73"/>
  <c r="R427" i="73"/>
  <c r="S427" i="73" s="1"/>
  <c r="V427" i="73"/>
  <c r="AG427" i="73"/>
  <c r="M428" i="73"/>
  <c r="L428" i="73"/>
  <c r="R428" i="73"/>
  <c r="V428" i="73"/>
  <c r="AG428" i="73"/>
  <c r="L429" i="73"/>
  <c r="M429" i="73"/>
  <c r="R429" i="73"/>
  <c r="V429" i="73"/>
  <c r="AG429" i="73"/>
  <c r="L430" i="73"/>
  <c r="M430" i="73"/>
  <c r="R430" i="73"/>
  <c r="S430" i="73" s="1"/>
  <c r="V430" i="73"/>
  <c r="AG430" i="73"/>
  <c r="L431" i="73"/>
  <c r="M431" i="73"/>
  <c r="R431" i="73"/>
  <c r="S431" i="73" s="1"/>
  <c r="V431" i="73"/>
  <c r="AG431" i="73"/>
  <c r="L432" i="73"/>
  <c r="M432" i="73"/>
  <c r="R432" i="73"/>
  <c r="S432" i="73" s="1"/>
  <c r="V432" i="73"/>
  <c r="L434" i="73"/>
  <c r="M434" i="73"/>
  <c r="R434" i="73"/>
  <c r="V434" i="73"/>
  <c r="L436" i="73"/>
  <c r="M436" i="73"/>
  <c r="R436" i="73"/>
  <c r="S436" i="73" s="1"/>
  <c r="V436" i="73"/>
  <c r="L438" i="73"/>
  <c r="M438" i="73"/>
  <c r="R438" i="73"/>
  <c r="V438" i="73"/>
  <c r="L454" i="73"/>
  <c r="M454" i="73"/>
  <c r="R454" i="73"/>
  <c r="S454" i="73" s="1"/>
  <c r="V454" i="73"/>
  <c r="AG454" i="73"/>
  <c r="L455" i="73"/>
  <c r="M455" i="73"/>
  <c r="R455" i="73"/>
  <c r="S455" i="73" s="1"/>
  <c r="V455" i="73"/>
  <c r="AG455" i="73"/>
  <c r="L456" i="73"/>
  <c r="M456" i="73"/>
  <c r="R456" i="73"/>
  <c r="S456" i="73" s="1"/>
  <c r="V456" i="73"/>
  <c r="AG456" i="73"/>
  <c r="L457" i="73"/>
  <c r="M457" i="73"/>
  <c r="R457" i="73"/>
  <c r="V457" i="73"/>
  <c r="AG457" i="73"/>
  <c r="L458" i="73"/>
  <c r="M458" i="73"/>
  <c r="R458" i="73"/>
  <c r="V458" i="73"/>
  <c r="AG458" i="73"/>
  <c r="L459" i="73"/>
  <c r="M459" i="73"/>
  <c r="R459" i="73"/>
  <c r="S459" i="73" s="1"/>
  <c r="V459" i="73"/>
  <c r="AG459" i="73"/>
  <c r="L460" i="73"/>
  <c r="M460" i="73"/>
  <c r="R460" i="73"/>
  <c r="V460" i="73"/>
  <c r="AG460" i="73"/>
  <c r="L461" i="73"/>
  <c r="M461" i="73"/>
  <c r="R461" i="73"/>
  <c r="S461" i="73" s="1"/>
  <c r="V461" i="73"/>
  <c r="AG461" i="73"/>
  <c r="L462" i="73"/>
  <c r="M462" i="73"/>
  <c r="R462" i="73"/>
  <c r="V462" i="73"/>
  <c r="AG462" i="73"/>
  <c r="L463" i="73"/>
  <c r="M463" i="73"/>
  <c r="R463" i="73"/>
  <c r="S463" i="73" s="1"/>
  <c r="V463" i="73"/>
  <c r="AG463" i="73"/>
  <c r="M464" i="73"/>
  <c r="L464" i="73"/>
  <c r="R464" i="73"/>
  <c r="V464" i="73"/>
  <c r="AG464" i="73"/>
  <c r="L465" i="73"/>
  <c r="M465" i="73"/>
  <c r="R465" i="73"/>
  <c r="S465" i="73" s="1"/>
  <c r="V465" i="73"/>
  <c r="AG465" i="73"/>
  <c r="L466" i="73"/>
  <c r="M466" i="73"/>
  <c r="R466" i="73"/>
  <c r="S466" i="73" s="1"/>
  <c r="V466" i="73"/>
  <c r="AG466" i="73"/>
  <c r="K759" i="73"/>
  <c r="I66" i="71"/>
  <c r="H66" i="71"/>
  <c r="I65" i="71"/>
  <c r="H65" i="71"/>
  <c r="I50" i="71"/>
  <c r="H50" i="71"/>
  <c r="I67" i="71"/>
  <c r="H67" i="71"/>
  <c r="V256" i="73" l="1"/>
  <c r="W256" i="73" s="1"/>
  <c r="X256" i="73" s="1"/>
  <c r="U583" i="73"/>
  <c r="R62" i="73"/>
  <c r="S62" i="73" s="1"/>
  <c r="P583" i="73"/>
  <c r="R40" i="73"/>
  <c r="W40" i="73" s="1"/>
  <c r="X40" i="73" s="1"/>
  <c r="Q583" i="73"/>
  <c r="S2" i="73"/>
  <c r="W38" i="73"/>
  <c r="X38" i="73" s="1"/>
  <c r="W455" i="73"/>
  <c r="X455" i="73" s="1"/>
  <c r="W156" i="73"/>
  <c r="X156" i="73" s="1"/>
  <c r="W134" i="73"/>
  <c r="X134" i="73" s="1"/>
  <c r="W112" i="73"/>
  <c r="X112" i="73" s="1"/>
  <c r="W68" i="73"/>
  <c r="X68" i="73" s="1"/>
  <c r="W268" i="73"/>
  <c r="X268" i="73" s="1"/>
  <c r="W186" i="73"/>
  <c r="X186" i="73" s="1"/>
  <c r="W429" i="73"/>
  <c r="X429" i="73" s="1"/>
  <c r="W152" i="73"/>
  <c r="X152" i="73" s="1"/>
  <c r="W104" i="73"/>
  <c r="X104" i="73" s="1"/>
  <c r="W390" i="73"/>
  <c r="X390" i="73" s="1"/>
  <c r="W386" i="73"/>
  <c r="X386" i="73" s="1"/>
  <c r="W214" i="73"/>
  <c r="X214" i="73" s="1"/>
  <c r="W457" i="73"/>
  <c r="X457" i="73" s="1"/>
  <c r="W271" i="73"/>
  <c r="X271" i="73" s="1"/>
  <c r="W140" i="73"/>
  <c r="X140" i="73" s="1"/>
  <c r="W464" i="73"/>
  <c r="X464" i="73" s="1"/>
  <c r="W458" i="73"/>
  <c r="X458" i="73" s="1"/>
  <c r="W325" i="73"/>
  <c r="X325" i="73" s="1"/>
  <c r="W428" i="73"/>
  <c r="X428" i="73" s="1"/>
  <c r="W77" i="73"/>
  <c r="X77" i="73" s="1"/>
  <c r="S457" i="73"/>
  <c r="W366" i="73"/>
  <c r="X366" i="73" s="1"/>
  <c r="W175" i="73"/>
  <c r="X175" i="73" s="1"/>
  <c r="W173" i="73"/>
  <c r="X173" i="73" s="1"/>
  <c r="W79" i="73"/>
  <c r="X79" i="73" s="1"/>
  <c r="W417" i="73"/>
  <c r="X417" i="73" s="1"/>
  <c r="W303" i="73"/>
  <c r="X303" i="73" s="1"/>
  <c r="W236" i="73"/>
  <c r="X236" i="73" s="1"/>
  <c r="W187" i="73"/>
  <c r="X187" i="73" s="1"/>
  <c r="W71" i="73"/>
  <c r="X71" i="73" s="1"/>
  <c r="W297" i="73"/>
  <c r="X297" i="73" s="1"/>
  <c r="W237" i="73"/>
  <c r="X237" i="73" s="1"/>
  <c r="W221" i="73"/>
  <c r="X221" i="73" s="1"/>
  <c r="W126" i="73"/>
  <c r="X126" i="73" s="1"/>
  <c r="W418" i="73"/>
  <c r="X418" i="73" s="1"/>
  <c r="S268" i="73"/>
  <c r="W207" i="73"/>
  <c r="X207" i="73" s="1"/>
  <c r="W116" i="73"/>
  <c r="X116" i="73" s="1"/>
  <c r="W113" i="73"/>
  <c r="X113" i="73" s="1"/>
  <c r="W101" i="73"/>
  <c r="X101" i="73" s="1"/>
  <c r="W165" i="73"/>
  <c r="X165" i="73" s="1"/>
  <c r="W86" i="73"/>
  <c r="X86" i="73" s="1"/>
  <c r="W76" i="73"/>
  <c r="X76" i="73" s="1"/>
  <c r="W72" i="73"/>
  <c r="X72" i="73" s="1"/>
  <c r="W58" i="73"/>
  <c r="X58" i="73" s="1"/>
  <c r="W20" i="73"/>
  <c r="X20" i="73" s="1"/>
  <c r="W16" i="73"/>
  <c r="X16" i="73" s="1"/>
  <c r="W387" i="73"/>
  <c r="X387" i="73" s="1"/>
  <c r="W281" i="73"/>
  <c r="X281" i="73" s="1"/>
  <c r="W246" i="73"/>
  <c r="X246" i="73" s="1"/>
  <c r="W229" i="73"/>
  <c r="X229" i="73" s="1"/>
  <c r="W110" i="73"/>
  <c r="X110" i="73" s="1"/>
  <c r="W65" i="73"/>
  <c r="X65" i="73" s="1"/>
  <c r="W64" i="73"/>
  <c r="X64" i="73" s="1"/>
  <c r="W17" i="73"/>
  <c r="X17" i="73" s="1"/>
  <c r="W4" i="73"/>
  <c r="X4" i="73" s="1"/>
  <c r="W401" i="73"/>
  <c r="X401" i="73" s="1"/>
  <c r="W399" i="73"/>
  <c r="X399" i="73" s="1"/>
  <c r="S386" i="73"/>
  <c r="W377" i="73"/>
  <c r="X377" i="73" s="1"/>
  <c r="W331" i="73"/>
  <c r="X331" i="73" s="1"/>
  <c r="W239" i="73"/>
  <c r="X239" i="73" s="1"/>
  <c r="W201" i="73"/>
  <c r="X201" i="73" s="1"/>
  <c r="W157" i="73"/>
  <c r="X157" i="73" s="1"/>
  <c r="W95" i="73"/>
  <c r="X95" i="73" s="1"/>
  <c r="W49" i="73"/>
  <c r="X49" i="73" s="1"/>
  <c r="W430" i="73"/>
  <c r="X430" i="73" s="1"/>
  <c r="W460" i="73"/>
  <c r="X460" i="73" s="1"/>
  <c r="S429" i="73"/>
  <c r="W392" i="73"/>
  <c r="X392" i="73" s="1"/>
  <c r="S377" i="73"/>
  <c r="W353" i="73"/>
  <c r="X353" i="73" s="1"/>
  <c r="W349" i="73"/>
  <c r="X349" i="73" s="1"/>
  <c r="W329" i="73"/>
  <c r="X329" i="73" s="1"/>
  <c r="W315" i="73"/>
  <c r="X315" i="73" s="1"/>
  <c r="W306" i="73"/>
  <c r="X306" i="73" s="1"/>
  <c r="W242" i="73"/>
  <c r="X242" i="73" s="1"/>
  <c r="W224" i="73"/>
  <c r="X224" i="73" s="1"/>
  <c r="W206" i="73"/>
  <c r="X206" i="73" s="1"/>
  <c r="W182" i="73"/>
  <c r="X182" i="73" s="1"/>
  <c r="W180" i="73"/>
  <c r="X180" i="73" s="1"/>
  <c r="W88" i="73"/>
  <c r="X88" i="73" s="1"/>
  <c r="W87" i="73"/>
  <c r="X87" i="73" s="1"/>
  <c r="S77" i="73"/>
  <c r="S76" i="73"/>
  <c r="W462" i="73"/>
  <c r="X462" i="73" s="1"/>
  <c r="W414" i="73"/>
  <c r="X414" i="73" s="1"/>
  <c r="W312" i="73"/>
  <c r="X312" i="73" s="1"/>
  <c r="W255" i="73"/>
  <c r="X255" i="73" s="1"/>
  <c r="W231" i="73"/>
  <c r="X231" i="73" s="1"/>
  <c r="W220" i="73"/>
  <c r="X220" i="73" s="1"/>
  <c r="W135" i="73"/>
  <c r="X135" i="73" s="1"/>
  <c r="W130" i="73"/>
  <c r="X130" i="73" s="1"/>
  <c r="W114" i="73"/>
  <c r="X114" i="73" s="1"/>
  <c r="W97" i="73"/>
  <c r="X97" i="73" s="1"/>
  <c r="W416" i="73"/>
  <c r="X416" i="73" s="1"/>
  <c r="W385" i="73"/>
  <c r="X385" i="73" s="1"/>
  <c r="W363" i="73"/>
  <c r="X363" i="73" s="1"/>
  <c r="W362" i="73"/>
  <c r="X362" i="73" s="1"/>
  <c r="W361" i="73"/>
  <c r="X361" i="73" s="1"/>
  <c r="W355" i="73"/>
  <c r="X355" i="73" s="1"/>
  <c r="W318" i="73"/>
  <c r="X318" i="73" s="1"/>
  <c r="W299" i="73"/>
  <c r="X299" i="73" s="1"/>
  <c r="W291" i="73"/>
  <c r="X291" i="73" s="1"/>
  <c r="W287" i="73"/>
  <c r="X287" i="73" s="1"/>
  <c r="S221" i="73"/>
  <c r="W197" i="73"/>
  <c r="X197" i="73" s="1"/>
  <c r="W169" i="73"/>
  <c r="X169" i="73" s="1"/>
  <c r="S140" i="73"/>
  <c r="W13" i="73"/>
  <c r="X13" i="73" s="1"/>
  <c r="W260" i="73"/>
  <c r="X260" i="73" s="1"/>
  <c r="W203" i="73"/>
  <c r="X203" i="73" s="1"/>
  <c r="W166" i="73"/>
  <c r="X166" i="73" s="1"/>
  <c r="W80" i="73"/>
  <c r="X80" i="73" s="1"/>
  <c r="W54" i="73"/>
  <c r="X54" i="73" s="1"/>
  <c r="S49" i="73"/>
  <c r="S460" i="73"/>
  <c r="W456" i="73"/>
  <c r="X456" i="73" s="1"/>
  <c r="W338" i="73"/>
  <c r="X338" i="73" s="1"/>
  <c r="W300" i="73"/>
  <c r="X300" i="73" s="1"/>
  <c r="S239" i="73"/>
  <c r="W232" i="73"/>
  <c r="X232" i="73" s="1"/>
  <c r="W209" i="73"/>
  <c r="X209" i="73" s="1"/>
  <c r="W176" i="73"/>
  <c r="X176" i="73" s="1"/>
  <c r="S152" i="73"/>
  <c r="W147" i="73"/>
  <c r="X147" i="73" s="1"/>
  <c r="W29" i="73"/>
  <c r="X29" i="73" s="1"/>
  <c r="W265" i="73"/>
  <c r="X265" i="73" s="1"/>
  <c r="W9" i="73"/>
  <c r="X9" i="73" s="1"/>
  <c r="W393" i="73"/>
  <c r="X393" i="73" s="1"/>
  <c r="W376" i="73"/>
  <c r="X376" i="73" s="1"/>
  <c r="W333" i="73"/>
  <c r="X333" i="73" s="1"/>
  <c r="W273" i="73"/>
  <c r="X273" i="73" s="1"/>
  <c r="W254" i="73"/>
  <c r="X254" i="73" s="1"/>
  <c r="W248" i="73"/>
  <c r="X248" i="73" s="1"/>
  <c r="W212" i="73"/>
  <c r="X212" i="73" s="1"/>
  <c r="S462" i="73"/>
  <c r="S458" i="73"/>
  <c r="S428" i="73"/>
  <c r="S414" i="73"/>
  <c r="W397" i="73"/>
  <c r="X397" i="73" s="1"/>
  <c r="S390" i="73"/>
  <c r="W374" i="73"/>
  <c r="X374" i="73" s="1"/>
  <c r="S297" i="73"/>
  <c r="W280" i="73"/>
  <c r="X280" i="73" s="1"/>
  <c r="S255" i="73"/>
  <c r="S232" i="73"/>
  <c r="S224" i="73"/>
  <c r="W218" i="73"/>
  <c r="X218" i="73" s="1"/>
  <c r="W216" i="73"/>
  <c r="X216" i="73" s="1"/>
  <c r="W210" i="73"/>
  <c r="X210" i="73" s="1"/>
  <c r="S209" i="73"/>
  <c r="W188" i="73"/>
  <c r="X188" i="73" s="1"/>
  <c r="W151" i="73"/>
  <c r="X151" i="73" s="1"/>
  <c r="S130" i="73"/>
  <c r="W123" i="73"/>
  <c r="X123" i="73" s="1"/>
  <c r="S114" i="73"/>
  <c r="W106" i="73"/>
  <c r="X106" i="73" s="1"/>
  <c r="W96" i="73"/>
  <c r="X96" i="73" s="1"/>
  <c r="S86" i="73"/>
  <c r="W78" i="73"/>
  <c r="X78" i="73" s="1"/>
  <c r="W74" i="73"/>
  <c r="X74" i="73" s="1"/>
  <c r="W73" i="73"/>
  <c r="X73" i="73" s="1"/>
  <c r="W66" i="73"/>
  <c r="X66" i="73" s="1"/>
  <c r="W21" i="73"/>
  <c r="X21" i="73" s="1"/>
  <c r="W434" i="73"/>
  <c r="X434" i="73" s="1"/>
  <c r="W379" i="73"/>
  <c r="X379" i="73" s="1"/>
  <c r="W369" i="73"/>
  <c r="X369" i="73" s="1"/>
  <c r="W354" i="73"/>
  <c r="X354" i="73" s="1"/>
  <c r="W190" i="73"/>
  <c r="X190" i="73" s="1"/>
  <c r="W177" i="73"/>
  <c r="X177" i="73" s="1"/>
  <c r="W118" i="73"/>
  <c r="X118" i="73" s="1"/>
  <c r="W103" i="73"/>
  <c r="X103" i="73" s="1"/>
  <c r="W67" i="73"/>
  <c r="X67" i="73" s="1"/>
  <c r="W463" i="73"/>
  <c r="X463" i="73" s="1"/>
  <c r="W459" i="73"/>
  <c r="X459" i="73" s="1"/>
  <c r="W431" i="73"/>
  <c r="X431" i="73" s="1"/>
  <c r="W409" i="73"/>
  <c r="X409" i="73" s="1"/>
  <c r="W404" i="73"/>
  <c r="X404" i="73" s="1"/>
  <c r="W388" i="73"/>
  <c r="X388" i="73" s="1"/>
  <c r="W380" i="73"/>
  <c r="X380" i="73" s="1"/>
  <c r="W364" i="73"/>
  <c r="X364" i="73" s="1"/>
  <c r="W277" i="73"/>
  <c r="X277" i="73" s="1"/>
  <c r="W252" i="73"/>
  <c r="X252" i="73" s="1"/>
  <c r="W251" i="73"/>
  <c r="X251" i="73" s="1"/>
  <c r="W227" i="73"/>
  <c r="X227" i="73" s="1"/>
  <c r="S220" i="73"/>
  <c r="W204" i="73"/>
  <c r="X204" i="73" s="1"/>
  <c r="W184" i="73"/>
  <c r="X184" i="73" s="1"/>
  <c r="S173" i="73"/>
  <c r="W172" i="73"/>
  <c r="X172" i="73" s="1"/>
  <c r="W154" i="73"/>
  <c r="X154" i="73" s="1"/>
  <c r="W146" i="73"/>
  <c r="X146" i="73" s="1"/>
  <c r="W138" i="73"/>
  <c r="X138" i="73" s="1"/>
  <c r="S126" i="73"/>
  <c r="W108" i="73"/>
  <c r="X108" i="73" s="1"/>
  <c r="W89" i="73"/>
  <c r="X89" i="73" s="1"/>
  <c r="W82" i="73"/>
  <c r="X82" i="73" s="1"/>
  <c r="W53" i="73"/>
  <c r="X53" i="73" s="1"/>
  <c r="W39" i="73"/>
  <c r="X39" i="73" s="1"/>
  <c r="S4" i="73"/>
  <c r="W2" i="73"/>
  <c r="X2" i="73" s="1"/>
  <c r="W381" i="73"/>
  <c r="X381" i="73" s="1"/>
  <c r="W340" i="73"/>
  <c r="X340" i="73" s="1"/>
  <c r="W272" i="73"/>
  <c r="X272" i="73" s="1"/>
  <c r="W267" i="73"/>
  <c r="X267" i="73" s="1"/>
  <c r="W266" i="73"/>
  <c r="X266" i="73" s="1"/>
  <c r="W19" i="73"/>
  <c r="X19" i="73" s="1"/>
  <c r="W420" i="73"/>
  <c r="X420" i="73" s="1"/>
  <c r="W410" i="73"/>
  <c r="X410" i="73" s="1"/>
  <c r="W382" i="73"/>
  <c r="X382" i="73" s="1"/>
  <c r="W371" i="73"/>
  <c r="X371" i="73" s="1"/>
  <c r="W357" i="73"/>
  <c r="X357" i="73" s="1"/>
  <c r="W347" i="73"/>
  <c r="X347" i="73" s="1"/>
  <c r="W320" i="73"/>
  <c r="X320" i="73" s="1"/>
  <c r="W308" i="73"/>
  <c r="X308" i="73" s="1"/>
  <c r="W296" i="73"/>
  <c r="X296" i="73" s="1"/>
  <c r="W284" i="73"/>
  <c r="X284" i="73" s="1"/>
  <c r="W262" i="73"/>
  <c r="X262" i="73" s="1"/>
  <c r="W247" i="73"/>
  <c r="X247" i="73" s="1"/>
  <c r="W174" i="73"/>
  <c r="X174" i="73" s="1"/>
  <c r="W171" i="73"/>
  <c r="X171" i="73" s="1"/>
  <c r="W164" i="73"/>
  <c r="X164" i="73" s="1"/>
  <c r="W111" i="73"/>
  <c r="X111" i="73" s="1"/>
  <c r="W94" i="73"/>
  <c r="X94" i="73" s="1"/>
  <c r="W23" i="73"/>
  <c r="X23" i="73" s="1"/>
  <c r="W228" i="73"/>
  <c r="X228" i="73" s="1"/>
  <c r="W148" i="73"/>
  <c r="X148" i="73" s="1"/>
  <c r="W99" i="73"/>
  <c r="X99" i="73" s="1"/>
  <c r="W461" i="73"/>
  <c r="X461" i="73" s="1"/>
  <c r="W407" i="73"/>
  <c r="X407" i="73" s="1"/>
  <c r="W402" i="73"/>
  <c r="X402" i="73" s="1"/>
  <c r="W373" i="73"/>
  <c r="X373" i="73" s="1"/>
  <c r="W352" i="73"/>
  <c r="X352" i="73" s="1"/>
  <c r="W285" i="73"/>
  <c r="X285" i="73" s="1"/>
  <c r="W279" i="73"/>
  <c r="X279" i="73" s="1"/>
  <c r="W274" i="73"/>
  <c r="X274" i="73" s="1"/>
  <c r="W259" i="73"/>
  <c r="X259" i="73" s="1"/>
  <c r="W202" i="73"/>
  <c r="X202" i="73" s="1"/>
  <c r="W168" i="73"/>
  <c r="X168" i="73" s="1"/>
  <c r="W167" i="73"/>
  <c r="X167" i="73" s="1"/>
  <c r="W142" i="73"/>
  <c r="X142" i="73" s="1"/>
  <c r="W122" i="73"/>
  <c r="X122" i="73" s="1"/>
  <c r="W120" i="73"/>
  <c r="X120" i="73" s="1"/>
  <c r="W34" i="73"/>
  <c r="X34" i="73" s="1"/>
  <c r="W33" i="73"/>
  <c r="X33" i="73" s="1"/>
  <c r="W438" i="73"/>
  <c r="X438" i="73" s="1"/>
  <c r="S438" i="73"/>
  <c r="W413" i="73"/>
  <c r="X413" i="73" s="1"/>
  <c r="S413" i="73"/>
  <c r="W466" i="73"/>
  <c r="X466" i="73" s="1"/>
  <c r="W436" i="73"/>
  <c r="X436" i="73" s="1"/>
  <c r="S434" i="73"/>
  <c r="W427" i="73"/>
  <c r="X427" i="73" s="1"/>
  <c r="S426" i="73"/>
  <c r="W426" i="73"/>
  <c r="X426" i="73" s="1"/>
  <c r="W383" i="73"/>
  <c r="X383" i="73" s="1"/>
  <c r="S383" i="73"/>
  <c r="S304" i="73"/>
  <c r="W304" i="73"/>
  <c r="X304" i="73" s="1"/>
  <c r="S289" i="73"/>
  <c r="W289" i="73"/>
  <c r="X289" i="73" s="1"/>
  <c r="S214" i="73"/>
  <c r="S192" i="73"/>
  <c r="W192" i="73"/>
  <c r="X192" i="73" s="1"/>
  <c r="S109" i="73"/>
  <c r="W109" i="73"/>
  <c r="X109" i="73" s="1"/>
  <c r="S56" i="73"/>
  <c r="W56" i="73"/>
  <c r="X56" i="73" s="1"/>
  <c r="S93" i="73"/>
  <c r="W93" i="73"/>
  <c r="X93" i="73" s="1"/>
  <c r="W35" i="73"/>
  <c r="X35" i="73" s="1"/>
  <c r="S35" i="73"/>
  <c r="W326" i="73"/>
  <c r="X326" i="73" s="1"/>
  <c r="S326" i="73"/>
  <c r="S294" i="73"/>
  <c r="W294" i="73"/>
  <c r="X294" i="73" s="1"/>
  <c r="W249" i="73"/>
  <c r="X249" i="73" s="1"/>
  <c r="S249" i="73"/>
  <c r="S241" i="73"/>
  <c r="W241" i="73"/>
  <c r="X241" i="73" s="1"/>
  <c r="S119" i="73"/>
  <c r="W119" i="73"/>
  <c r="X119" i="73" s="1"/>
  <c r="S70" i="73"/>
  <c r="W70" i="73"/>
  <c r="X70" i="73" s="1"/>
  <c r="W52" i="73"/>
  <c r="X52" i="73" s="1"/>
  <c r="S52" i="73"/>
  <c r="W465" i="73"/>
  <c r="X465" i="73" s="1"/>
  <c r="W454" i="73"/>
  <c r="X454" i="73" s="1"/>
  <c r="S408" i="73"/>
  <c r="W408" i="73"/>
  <c r="X408" i="73" s="1"/>
  <c r="W368" i="73"/>
  <c r="X368" i="73" s="1"/>
  <c r="W345" i="73"/>
  <c r="X345" i="73" s="1"/>
  <c r="S321" i="73"/>
  <c r="W321" i="73"/>
  <c r="X321" i="73" s="1"/>
  <c r="S234" i="73"/>
  <c r="W234" i="73"/>
  <c r="X234" i="73" s="1"/>
  <c r="S94" i="73"/>
  <c r="W193" i="73"/>
  <c r="X193" i="73" s="1"/>
  <c r="S193" i="73"/>
  <c r="W432" i="73"/>
  <c r="X432" i="73" s="1"/>
  <c r="S420" i="73"/>
  <c r="W419" i="73"/>
  <c r="X419" i="73" s="1"/>
  <c r="W411" i="73"/>
  <c r="X411" i="73" s="1"/>
  <c r="S369" i="73"/>
  <c r="W358" i="73"/>
  <c r="X358" i="73" s="1"/>
  <c r="W346" i="73"/>
  <c r="X346" i="73" s="1"/>
  <c r="S235" i="73"/>
  <c r="W235" i="73"/>
  <c r="X235" i="73" s="1"/>
  <c r="S196" i="73"/>
  <c r="W196" i="73"/>
  <c r="X196" i="73" s="1"/>
  <c r="S128" i="73"/>
  <c r="W128" i="73"/>
  <c r="X128" i="73" s="1"/>
  <c r="S61" i="73"/>
  <c r="W61" i="73"/>
  <c r="X61" i="73" s="1"/>
  <c r="W425" i="73"/>
  <c r="X425" i="73" s="1"/>
  <c r="S404" i="73"/>
  <c r="W396" i="73"/>
  <c r="X396" i="73" s="1"/>
  <c r="W372" i="73"/>
  <c r="X372" i="73" s="1"/>
  <c r="W328" i="73"/>
  <c r="X328" i="73" s="1"/>
  <c r="S288" i="73"/>
  <c r="W288" i="73"/>
  <c r="X288" i="73" s="1"/>
  <c r="S257" i="73"/>
  <c r="W257" i="73"/>
  <c r="X257" i="73" s="1"/>
  <c r="S190" i="73"/>
  <c r="W100" i="73"/>
  <c r="X100" i="73" s="1"/>
  <c r="S100" i="73"/>
  <c r="S464" i="73"/>
  <c r="S373" i="73"/>
  <c r="W356" i="73"/>
  <c r="X356" i="73" s="1"/>
  <c r="S356" i="73"/>
  <c r="S318" i="73"/>
  <c r="S303" i="73"/>
  <c r="S244" i="73"/>
  <c r="W244" i="73"/>
  <c r="X244" i="73" s="1"/>
  <c r="W191" i="73"/>
  <c r="X191" i="73" s="1"/>
  <c r="S191" i="73"/>
  <c r="W144" i="73"/>
  <c r="X144" i="73" s="1"/>
  <c r="S144" i="73"/>
  <c r="S240" i="73"/>
  <c r="W240" i="73"/>
  <c r="X240" i="73" s="1"/>
  <c r="W398" i="73"/>
  <c r="X398" i="73" s="1"/>
  <c r="S200" i="73"/>
  <c r="W200" i="73"/>
  <c r="X200" i="73" s="1"/>
  <c r="S102" i="73"/>
  <c r="W102" i="73"/>
  <c r="X102" i="73" s="1"/>
  <c r="W145" i="73"/>
  <c r="X145" i="73" s="1"/>
  <c r="W75" i="73"/>
  <c r="X75" i="73" s="1"/>
  <c r="W60" i="73"/>
  <c r="X60" i="73" s="1"/>
  <c r="W48" i="73"/>
  <c r="X48" i="73" s="1"/>
  <c r="W28" i="73"/>
  <c r="X28" i="73" s="1"/>
  <c r="W403" i="73"/>
  <c r="X403" i="73" s="1"/>
  <c r="W400" i="73"/>
  <c r="X400" i="73" s="1"/>
  <c r="W391" i="73"/>
  <c r="X391" i="73" s="1"/>
  <c r="W389" i="73"/>
  <c r="X389" i="73" s="1"/>
  <c r="W367" i="73"/>
  <c r="X367" i="73" s="1"/>
  <c r="W351" i="73"/>
  <c r="X351" i="73" s="1"/>
  <c r="W311" i="73"/>
  <c r="X311" i="73" s="1"/>
  <c r="W226" i="73"/>
  <c r="X226" i="73" s="1"/>
  <c r="W181" i="73"/>
  <c r="X181" i="73" s="1"/>
  <c r="W178" i="73"/>
  <c r="X178" i="73" s="1"/>
  <c r="W139" i="73"/>
  <c r="X139" i="73" s="1"/>
  <c r="W115" i="73"/>
  <c r="X115" i="73" s="1"/>
  <c r="W90" i="73"/>
  <c r="X90" i="73" s="1"/>
  <c r="W81" i="73"/>
  <c r="X81" i="73" s="1"/>
  <c r="W63" i="73"/>
  <c r="X63" i="73" s="1"/>
  <c r="W36" i="73"/>
  <c r="X36" i="73" s="1"/>
  <c r="W3" i="73"/>
  <c r="X3" i="73" s="1"/>
  <c r="W359" i="73"/>
  <c r="X359" i="73" s="1"/>
  <c r="W292" i="73"/>
  <c r="X292" i="73" s="1"/>
  <c r="W57" i="73"/>
  <c r="X57" i="73" s="1"/>
  <c r="W26" i="73"/>
  <c r="X26" i="73" s="1"/>
  <c r="W394" i="73"/>
  <c r="X394" i="73" s="1"/>
  <c r="W378" i="73"/>
  <c r="X378" i="73" s="1"/>
  <c r="W327" i="73"/>
  <c r="X327" i="73" s="1"/>
  <c r="W316" i="73"/>
  <c r="X316" i="73" s="1"/>
  <c r="W223" i="73"/>
  <c r="X223" i="73" s="1"/>
  <c r="W213" i="73"/>
  <c r="X213" i="73" s="1"/>
  <c r="W198" i="73"/>
  <c r="X198" i="73" s="1"/>
  <c r="W194" i="73"/>
  <c r="X194" i="73" s="1"/>
  <c r="W69" i="73"/>
  <c r="X69" i="73" s="1"/>
  <c r="W55" i="73"/>
  <c r="X55" i="73" s="1"/>
  <c r="W421" i="73"/>
  <c r="X421" i="73" s="1"/>
  <c r="W405" i="73"/>
  <c r="X405" i="73" s="1"/>
  <c r="W370" i="73"/>
  <c r="X370" i="73" s="1"/>
  <c r="W324" i="73"/>
  <c r="X324" i="73" s="1"/>
  <c r="W305" i="73"/>
  <c r="X305" i="73" s="1"/>
  <c r="W282" i="73"/>
  <c r="X282" i="73" s="1"/>
  <c r="W275" i="73"/>
  <c r="X275" i="73" s="1"/>
  <c r="W263" i="73"/>
  <c r="X263" i="73" s="1"/>
  <c r="W129" i="73"/>
  <c r="X129" i="73" s="1"/>
  <c r="S54" i="73"/>
  <c r="S53" i="73"/>
  <c r="W22" i="73"/>
  <c r="X22" i="73" s="1"/>
  <c r="W18" i="73"/>
  <c r="X18" i="73" s="1"/>
  <c r="W412" i="73"/>
  <c r="X412" i="73" s="1"/>
  <c r="S405" i="73"/>
  <c r="S399" i="73"/>
  <c r="S394" i="73"/>
  <c r="S378" i="73"/>
  <c r="S374" i="73"/>
  <c r="S371" i="73"/>
  <c r="S349" i="73"/>
  <c r="V348" i="73"/>
  <c r="W348" i="73" s="1"/>
  <c r="X348" i="73" s="1"/>
  <c r="W341" i="73"/>
  <c r="X341" i="73" s="1"/>
  <c r="S338" i="73"/>
  <c r="S337" i="73"/>
  <c r="W337" i="73"/>
  <c r="X337" i="73" s="1"/>
  <c r="W334" i="73"/>
  <c r="X334" i="73" s="1"/>
  <c r="S331" i="73"/>
  <c r="S329" i="73"/>
  <c r="S328" i="73"/>
  <c r="S283" i="73"/>
  <c r="W283" i="73"/>
  <c r="X283" i="73" s="1"/>
  <c r="S269" i="73"/>
  <c r="W269" i="73"/>
  <c r="X269" i="73" s="1"/>
  <c r="W261" i="73"/>
  <c r="X261" i="73" s="1"/>
  <c r="S261" i="73"/>
  <c r="S250" i="73"/>
  <c r="W250" i="73"/>
  <c r="X250" i="73" s="1"/>
  <c r="S162" i="73"/>
  <c r="W162" i="73"/>
  <c r="X162" i="73" s="1"/>
  <c r="S150" i="73"/>
  <c r="W150" i="73"/>
  <c r="X150" i="73" s="1"/>
  <c r="S276" i="73"/>
  <c r="W276" i="73"/>
  <c r="X276" i="73" s="1"/>
  <c r="W309" i="73"/>
  <c r="X309" i="73" s="1"/>
  <c r="W302" i="73"/>
  <c r="X302" i="73" s="1"/>
  <c r="W230" i="73"/>
  <c r="X230" i="73" s="1"/>
  <c r="W217" i="73"/>
  <c r="X217" i="73" s="1"/>
  <c r="W211" i="73"/>
  <c r="X211" i="73" s="1"/>
  <c r="W170" i="73"/>
  <c r="X170" i="73" s="1"/>
  <c r="S170" i="73"/>
  <c r="S225" i="73"/>
  <c r="W225" i="73"/>
  <c r="X225" i="73" s="1"/>
  <c r="S307" i="73"/>
  <c r="W307" i="73"/>
  <c r="X307" i="73" s="1"/>
  <c r="S270" i="73"/>
  <c r="W270" i="73"/>
  <c r="X270" i="73" s="1"/>
  <c r="S256" i="73"/>
  <c r="W205" i="73"/>
  <c r="X205" i="73" s="1"/>
  <c r="W384" i="73"/>
  <c r="X384" i="73" s="1"/>
  <c r="W350" i="73"/>
  <c r="X350" i="73" s="1"/>
  <c r="W344" i="73"/>
  <c r="X344" i="73" s="1"/>
  <c r="W336" i="73"/>
  <c r="X336" i="73" s="1"/>
  <c r="S293" i="73"/>
  <c r="W293" i="73"/>
  <c r="X293" i="73" s="1"/>
  <c r="S215" i="73"/>
  <c r="W215" i="73"/>
  <c r="X215" i="73" s="1"/>
  <c r="S323" i="73"/>
  <c r="W323" i="73"/>
  <c r="X323" i="73" s="1"/>
  <c r="S153" i="73"/>
  <c r="W153" i="73"/>
  <c r="X153" i="73" s="1"/>
  <c r="W424" i="73"/>
  <c r="X424" i="73" s="1"/>
  <c r="W423" i="73"/>
  <c r="X423" i="73" s="1"/>
  <c r="W422" i="73"/>
  <c r="X422" i="73" s="1"/>
  <c r="W415" i="73"/>
  <c r="X415" i="73" s="1"/>
  <c r="W406" i="73"/>
  <c r="X406" i="73" s="1"/>
  <c r="W395" i="73"/>
  <c r="X395" i="73" s="1"/>
  <c r="W365" i="73"/>
  <c r="X365" i="73" s="1"/>
  <c r="W360" i="73"/>
  <c r="X360" i="73" s="1"/>
  <c r="W343" i="73"/>
  <c r="X343" i="73" s="1"/>
  <c r="W342" i="73"/>
  <c r="X342" i="73" s="1"/>
  <c r="W339" i="73"/>
  <c r="X339" i="73" s="1"/>
  <c r="W335" i="73"/>
  <c r="X335" i="73" s="1"/>
  <c r="W332" i="73"/>
  <c r="X332" i="73" s="1"/>
  <c r="W314" i="73"/>
  <c r="X314" i="73" s="1"/>
  <c r="W310" i="73"/>
  <c r="X310" i="73" s="1"/>
  <c r="S264" i="73"/>
  <c r="W264" i="73"/>
  <c r="X264" i="73" s="1"/>
  <c r="W245" i="73"/>
  <c r="X245" i="73" s="1"/>
  <c r="S243" i="73"/>
  <c r="W243" i="73"/>
  <c r="X243" i="73" s="1"/>
  <c r="W222" i="73"/>
  <c r="X222" i="73" s="1"/>
  <c r="S219" i="73"/>
  <c r="W219" i="73"/>
  <c r="X219" i="73" s="1"/>
  <c r="W143" i="73"/>
  <c r="X143" i="73" s="1"/>
  <c r="S143" i="73"/>
  <c r="S25" i="73"/>
  <c r="W25" i="73"/>
  <c r="X25" i="73" s="1"/>
  <c r="W330" i="73"/>
  <c r="X330" i="73" s="1"/>
  <c r="W319" i="73"/>
  <c r="X319" i="73" s="1"/>
  <c r="S317" i="73"/>
  <c r="W317" i="73"/>
  <c r="X317" i="73" s="1"/>
  <c r="S313" i="73"/>
  <c r="W313" i="73"/>
  <c r="X313" i="73" s="1"/>
  <c r="W253" i="73"/>
  <c r="X253" i="73" s="1"/>
  <c r="S238" i="73"/>
  <c r="W238" i="73"/>
  <c r="X238" i="73" s="1"/>
  <c r="S233" i="73"/>
  <c r="W233" i="73"/>
  <c r="X233" i="73" s="1"/>
  <c r="S199" i="73"/>
  <c r="W199" i="73"/>
  <c r="X199" i="73" s="1"/>
  <c r="W189" i="73"/>
  <c r="X189" i="73" s="1"/>
  <c r="S189" i="73"/>
  <c r="S44" i="73"/>
  <c r="W44" i="73"/>
  <c r="X44" i="73" s="1"/>
  <c r="W298" i="73"/>
  <c r="X298" i="73" s="1"/>
  <c r="S298" i="73"/>
  <c r="S341" i="73"/>
  <c r="S334" i="73"/>
  <c r="W322" i="73"/>
  <c r="X322" i="73" s="1"/>
  <c r="W301" i="73"/>
  <c r="X301" i="73" s="1"/>
  <c r="W290" i="73"/>
  <c r="X290" i="73" s="1"/>
  <c r="S290" i="73"/>
  <c r="S208" i="73"/>
  <c r="W208" i="73"/>
  <c r="X208" i="73" s="1"/>
  <c r="W295" i="73"/>
  <c r="X295" i="73" s="1"/>
  <c r="W286" i="73"/>
  <c r="X286" i="73" s="1"/>
  <c r="W278" i="73"/>
  <c r="X278" i="73" s="1"/>
  <c r="W258" i="73"/>
  <c r="X258" i="73" s="1"/>
  <c r="W183" i="73"/>
  <c r="X183" i="73" s="1"/>
  <c r="W159" i="73"/>
  <c r="X159" i="73" s="1"/>
  <c r="S149" i="73"/>
  <c r="W149" i="73"/>
  <c r="X149" i="73" s="1"/>
  <c r="S132" i="73"/>
  <c r="W132" i="73"/>
  <c r="X132" i="73" s="1"/>
  <c r="W124" i="73"/>
  <c r="X124" i="73" s="1"/>
  <c r="W92" i="73"/>
  <c r="X92" i="73" s="1"/>
  <c r="S41" i="73"/>
  <c r="W41" i="73"/>
  <c r="X41" i="73" s="1"/>
  <c r="S84" i="73"/>
  <c r="W84" i="73"/>
  <c r="X84" i="73" s="1"/>
  <c r="S59" i="73"/>
  <c r="W59" i="73"/>
  <c r="X59" i="73" s="1"/>
  <c r="S47" i="73"/>
  <c r="W47" i="73"/>
  <c r="X47" i="73" s="1"/>
  <c r="S27" i="73"/>
  <c r="W27" i="73"/>
  <c r="X27" i="73" s="1"/>
  <c r="S10" i="73"/>
  <c r="W10" i="73"/>
  <c r="X10" i="73" s="1"/>
  <c r="W195" i="73"/>
  <c r="X195" i="73" s="1"/>
  <c r="W185" i="73"/>
  <c r="X185" i="73" s="1"/>
  <c r="W179" i="73"/>
  <c r="X179" i="73" s="1"/>
  <c r="S160" i="73"/>
  <c r="W160" i="73"/>
  <c r="X160" i="73" s="1"/>
  <c r="W158" i="73"/>
  <c r="X158" i="73" s="1"/>
  <c r="W136" i="73"/>
  <c r="X136" i="73" s="1"/>
  <c r="S136" i="73"/>
  <c r="W125" i="73"/>
  <c r="X125" i="73" s="1"/>
  <c r="W105" i="73"/>
  <c r="X105" i="73" s="1"/>
  <c r="S42" i="73"/>
  <c r="W42" i="73"/>
  <c r="X42" i="73" s="1"/>
  <c r="S163" i="73"/>
  <c r="W163" i="73"/>
  <c r="X163" i="73" s="1"/>
  <c r="S155" i="73"/>
  <c r="W155" i="73"/>
  <c r="X155" i="73" s="1"/>
  <c r="S137" i="73"/>
  <c r="W137" i="73"/>
  <c r="X137" i="73" s="1"/>
  <c r="S45" i="73"/>
  <c r="W45" i="73"/>
  <c r="X45" i="73" s="1"/>
  <c r="S131" i="73"/>
  <c r="W131" i="73"/>
  <c r="X131" i="73" s="1"/>
  <c r="S14" i="73"/>
  <c r="W14" i="73"/>
  <c r="X14" i="73" s="1"/>
  <c r="S161" i="73"/>
  <c r="W161" i="73"/>
  <c r="X161" i="73" s="1"/>
  <c r="W91" i="73"/>
  <c r="X91" i="73" s="1"/>
  <c r="S43" i="73"/>
  <c r="W43" i="73"/>
  <c r="X43" i="73" s="1"/>
  <c r="S121" i="73"/>
  <c r="W121" i="73"/>
  <c r="X121" i="73" s="1"/>
  <c r="S107" i="73"/>
  <c r="W107" i="73"/>
  <c r="X107" i="73" s="1"/>
  <c r="S83" i="73"/>
  <c r="W83" i="73"/>
  <c r="X83" i="73" s="1"/>
  <c r="S46" i="73"/>
  <c r="W46" i="73"/>
  <c r="X46" i="73" s="1"/>
  <c r="S125" i="73"/>
  <c r="S124" i="73"/>
  <c r="S120" i="73"/>
  <c r="S106" i="73"/>
  <c r="S105" i="73"/>
  <c r="S13" i="73"/>
  <c r="W12" i="73"/>
  <c r="X12" i="73" s="1"/>
  <c r="W8" i="73"/>
  <c r="X8" i="73" s="1"/>
  <c r="W7" i="73"/>
  <c r="X7" i="73" s="1"/>
  <c r="W6" i="73"/>
  <c r="X6" i="73" s="1"/>
  <c r="W5" i="73"/>
  <c r="W37" i="73"/>
  <c r="X37" i="73" s="1"/>
  <c r="W32" i="73"/>
  <c r="X32" i="73" s="1"/>
  <c r="W15" i="73"/>
  <c r="X15" i="73" s="1"/>
  <c r="W141" i="73"/>
  <c r="X141" i="73" s="1"/>
  <c r="W133" i="73"/>
  <c r="X133" i="73" s="1"/>
  <c r="W127" i="73"/>
  <c r="X127" i="73" s="1"/>
  <c r="W117" i="73"/>
  <c r="X117" i="73" s="1"/>
  <c r="W85" i="73"/>
  <c r="X85" i="73" s="1"/>
  <c r="W51" i="73"/>
  <c r="X51" i="73" s="1"/>
  <c r="W50" i="73"/>
  <c r="X50" i="73" s="1"/>
  <c r="W31" i="73"/>
  <c r="X31" i="73" s="1"/>
  <c r="W30" i="73"/>
  <c r="X30" i="73" s="1"/>
  <c r="W24" i="73"/>
  <c r="X24" i="73" s="1"/>
  <c r="W11" i="73"/>
  <c r="X11" i="73" s="1"/>
  <c r="I62" i="71"/>
  <c r="H62" i="71"/>
  <c r="I60" i="71"/>
  <c r="H60" i="71"/>
  <c r="I57" i="71"/>
  <c r="H57" i="71"/>
  <c r="S40" i="73" l="1"/>
  <c r="W62" i="73"/>
  <c r="X62" i="73" s="1"/>
  <c r="V583" i="73"/>
  <c r="X5" i="73"/>
  <c r="I61" i="71" l="1"/>
  <c r="H61" i="71"/>
  <c r="D220" i="1" l="1"/>
  <c r="H28" i="71" l="1"/>
  <c r="H30" i="71"/>
  <c r="H27" i="71"/>
  <c r="H29" i="71"/>
  <c r="H24" i="71" l="1"/>
  <c r="H36" i="71" l="1"/>
  <c r="I40" i="71" l="1"/>
  <c r="H40" i="71"/>
  <c r="I48" i="71" l="1"/>
  <c r="H48" i="71"/>
  <c r="H26" i="71"/>
  <c r="I49" i="71"/>
  <c r="H49" i="71"/>
  <c r="I51" i="71"/>
  <c r="H51" i="71"/>
  <c r="H20" i="71"/>
  <c r="H23" i="71"/>
  <c r="H22" i="71"/>
  <c r="D219" i="1"/>
  <c r="D218" i="1"/>
  <c r="D217" i="1"/>
  <c r="H18" i="71"/>
  <c r="H21" i="71"/>
  <c r="H37" i="71"/>
  <c r="H16" i="71"/>
  <c r="I52" i="71"/>
  <c r="H52" i="71"/>
  <c r="I46" i="71"/>
  <c r="H46" i="71"/>
  <c r="D216" i="1" l="1"/>
  <c r="D215" i="1"/>
  <c r="H32" i="71"/>
  <c r="H34" i="71"/>
  <c r="H42" i="71"/>
  <c r="H15" i="71" l="1"/>
  <c r="H8" i="71"/>
  <c r="H33" i="71"/>
  <c r="H17" i="71"/>
  <c r="H12" i="71"/>
  <c r="H3" i="71"/>
  <c r="H10" i="71"/>
  <c r="H9" i="71"/>
  <c r="H25" i="71" l="1"/>
  <c r="H5" i="71" l="1"/>
  <c r="H7" i="71"/>
  <c r="H6" i="71"/>
  <c r="H4" i="71"/>
  <c r="D214" i="1" l="1"/>
  <c r="D213" i="1"/>
  <c r="D212" i="1"/>
  <c r="D211" i="1" l="1"/>
  <c r="D210" i="1"/>
  <c r="D209" i="1"/>
  <c r="D208" i="1"/>
  <c r="D207" i="1" l="1"/>
  <c r="D206" i="1" l="1"/>
  <c r="D205" i="1"/>
  <c r="D204" i="1"/>
  <c r="D203" i="1"/>
  <c r="D202" i="1"/>
  <c r="D201" i="1" l="1"/>
  <c r="D200" i="1"/>
  <c r="D199" i="1"/>
  <c r="D198" i="1"/>
  <c r="D197" i="1"/>
  <c r="D196" i="1"/>
  <c r="D195" i="1"/>
  <c r="D194" i="1"/>
  <c r="D193" i="1" l="1"/>
  <c r="D192" i="1"/>
  <c r="D191" i="1" l="1"/>
  <c r="D190" i="1" l="1"/>
  <c r="J32" i="72"/>
  <c r="D189" i="1" l="1"/>
  <c r="D188" i="1"/>
  <c r="D187" i="1"/>
  <c r="D186" i="1" l="1"/>
  <c r="D185" i="1"/>
  <c r="D184" i="1" l="1"/>
  <c r="D183" i="1"/>
  <c r="D182" i="1"/>
  <c r="D181" i="1"/>
  <c r="D180" i="1"/>
  <c r="D179" i="1" l="1"/>
  <c r="D178" i="1" l="1"/>
  <c r="G177" i="1" l="1"/>
  <c r="D177" i="1"/>
  <c r="D70" i="1" l="1"/>
  <c r="D176" i="1"/>
  <c r="D175" i="1" l="1"/>
  <c r="D174" i="1" l="1"/>
  <c r="D173" i="1" l="1"/>
  <c r="I168" i="1"/>
  <c r="D165" i="1"/>
  <c r="D164" i="1"/>
  <c r="D163" i="1" l="1"/>
  <c r="D162" i="1"/>
  <c r="D161" i="1" l="1"/>
  <c r="D160" i="1"/>
  <c r="D159" i="1"/>
  <c r="D158" i="1"/>
  <c r="D157" i="1"/>
  <c r="D156" i="1"/>
  <c r="D155" i="1"/>
  <c r="D154" i="1"/>
  <c r="D153" i="1"/>
  <c r="D152" i="1"/>
  <c r="D151" i="1" l="1"/>
  <c r="D150" i="1"/>
  <c r="D149" i="1" l="1"/>
  <c r="D148" i="1" l="1"/>
  <c r="D147" i="1" l="1"/>
  <c r="J12" i="49" l="1"/>
  <c r="J13" i="49"/>
  <c r="J14" i="49"/>
  <c r="D146" i="1" l="1"/>
  <c r="D145" i="1"/>
  <c r="D144" i="1"/>
  <c r="D143" i="1"/>
  <c r="D142" i="1"/>
  <c r="D141" i="1" l="1"/>
  <c r="D140" i="1"/>
  <c r="D139" i="1" l="1"/>
  <c r="D138" i="1"/>
  <c r="D137" i="1" l="1"/>
  <c r="D136" i="1"/>
  <c r="D135" i="1"/>
  <c r="D134" i="1" l="1"/>
  <c r="D133" i="1"/>
  <c r="D132" i="1"/>
  <c r="D131" i="1"/>
  <c r="D130" i="1"/>
  <c r="D129" i="1"/>
  <c r="D128" i="1" l="1"/>
  <c r="D127" i="1"/>
  <c r="D126" i="1"/>
  <c r="D125" i="1" l="1"/>
  <c r="D124" i="1"/>
  <c r="D123" i="1"/>
  <c r="D122" i="1"/>
  <c r="D121" i="1"/>
  <c r="D120" i="1"/>
  <c r="D119" i="1"/>
  <c r="K250" i="71" l="1"/>
  <c r="J250" i="71" l="1"/>
  <c r="D116" i="1" l="1"/>
  <c r="H375" i="2" l="1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69" i="2"/>
  <c r="H370" i="2"/>
  <c r="H371" i="2"/>
  <c r="H372" i="2"/>
  <c r="H373" i="2"/>
  <c r="H359" i="2"/>
  <c r="H360" i="2"/>
  <c r="H361" i="2"/>
  <c r="H362" i="2"/>
  <c r="H363" i="2"/>
  <c r="H364" i="2"/>
  <c r="H365" i="2"/>
  <c r="H366" i="2"/>
  <c r="H367" i="2"/>
  <c r="H368" i="2"/>
  <c r="H357" i="2"/>
  <c r="H358" i="2"/>
  <c r="H348" i="2"/>
  <c r="H349" i="2"/>
  <c r="H350" i="2"/>
  <c r="H351" i="2"/>
  <c r="H352" i="2"/>
  <c r="H353" i="2"/>
  <c r="H354" i="2"/>
  <c r="H355" i="2"/>
  <c r="H356" i="2"/>
  <c r="H346" i="2"/>
  <c r="H347" i="2"/>
  <c r="D118" i="1" l="1"/>
  <c r="D117" i="1" l="1"/>
  <c r="D113" i="1" l="1"/>
  <c r="D114" i="1"/>
  <c r="D115" i="1"/>
  <c r="D112" i="1"/>
  <c r="D111" i="1" l="1"/>
  <c r="D110" i="1"/>
  <c r="D103" i="1"/>
  <c r="D104" i="1"/>
  <c r="D98" i="1"/>
  <c r="D99" i="1"/>
  <c r="D100" i="1"/>
  <c r="D101" i="1"/>
  <c r="D102" i="1"/>
  <c r="D105" i="1"/>
  <c r="D106" i="1"/>
  <c r="D107" i="1"/>
  <c r="D108" i="1"/>
  <c r="D109" i="1"/>
  <c r="D97" i="1" l="1"/>
  <c r="D96" i="1" l="1"/>
  <c r="J328" i="2" l="1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27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08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189" i="2"/>
  <c r="J181" i="2"/>
  <c r="J171" i="2"/>
  <c r="J164" i="2"/>
  <c r="J155" i="2"/>
  <c r="H170" i="2"/>
  <c r="H169" i="2"/>
  <c r="H168" i="2"/>
  <c r="H167" i="2"/>
  <c r="H166" i="2"/>
  <c r="H165" i="2"/>
  <c r="H180" i="2"/>
  <c r="H179" i="2"/>
  <c r="H178" i="2"/>
  <c r="H177" i="2"/>
  <c r="H176" i="2"/>
  <c r="H175" i="2"/>
  <c r="H174" i="2"/>
  <c r="H173" i="2"/>
  <c r="H172" i="2"/>
  <c r="H188" i="2"/>
  <c r="H187" i="2"/>
  <c r="H186" i="2"/>
  <c r="H185" i="2"/>
  <c r="H184" i="2"/>
  <c r="H183" i="2"/>
  <c r="H182" i="2"/>
  <c r="H193" i="2"/>
  <c r="H192" i="2"/>
  <c r="H191" i="2"/>
  <c r="H190" i="2"/>
  <c r="H163" i="2" l="1"/>
  <c r="H162" i="2"/>
  <c r="H161" i="2"/>
  <c r="H160" i="2"/>
  <c r="H159" i="2"/>
  <c r="H158" i="2"/>
  <c r="H157" i="2"/>
  <c r="H156" i="2"/>
  <c r="J137" i="2" l="1"/>
  <c r="H141" i="2"/>
  <c r="H140" i="2"/>
  <c r="J129" i="2"/>
  <c r="H136" i="2"/>
  <c r="H135" i="2"/>
  <c r="H134" i="2"/>
  <c r="H133" i="2"/>
  <c r="J119" i="2"/>
  <c r="H128" i="2"/>
  <c r="H127" i="2"/>
  <c r="H126" i="2"/>
  <c r="H125" i="2"/>
  <c r="J112" i="2"/>
  <c r="H118" i="2"/>
  <c r="H117" i="2"/>
  <c r="H116" i="2"/>
  <c r="H115" i="2"/>
  <c r="J103" i="2"/>
  <c r="H111" i="2"/>
  <c r="H110" i="2"/>
  <c r="H109" i="2"/>
  <c r="H108" i="2"/>
  <c r="H107" i="2"/>
  <c r="H139" i="2" l="1"/>
  <c r="H138" i="2"/>
  <c r="H132" i="2"/>
  <c r="H131" i="2"/>
  <c r="H130" i="2"/>
  <c r="H124" i="2"/>
  <c r="H123" i="2"/>
  <c r="H122" i="2"/>
  <c r="H121" i="2"/>
  <c r="H120" i="2"/>
  <c r="H114" i="2"/>
  <c r="H113" i="2"/>
  <c r="H106" i="2"/>
  <c r="H105" i="2"/>
  <c r="H104" i="2"/>
  <c r="J15" i="2" l="1"/>
  <c r="J14" i="2"/>
  <c r="J13" i="2"/>
  <c r="J12" i="2"/>
  <c r="J11" i="2"/>
  <c r="J10" i="2"/>
  <c r="J9" i="2"/>
  <c r="J8" i="2"/>
  <c r="J7" i="2"/>
  <c r="J6" i="2"/>
  <c r="J5" i="2"/>
  <c r="H15" i="2"/>
  <c r="H14" i="2"/>
  <c r="H13" i="2"/>
  <c r="H12" i="2"/>
  <c r="H11" i="2"/>
  <c r="H10" i="2"/>
  <c r="H9" i="2"/>
  <c r="H8" i="2"/>
  <c r="H7" i="2"/>
  <c r="H6" i="2"/>
  <c r="H33" i="2"/>
  <c r="H32" i="2"/>
  <c r="H31" i="2"/>
  <c r="H30" i="2"/>
  <c r="H29" i="2"/>
  <c r="H28" i="2"/>
  <c r="H27" i="2"/>
  <c r="H26" i="2"/>
  <c r="H25" i="2"/>
  <c r="H24" i="2"/>
  <c r="H21" i="2"/>
  <c r="J33" i="2"/>
  <c r="J32" i="2"/>
  <c r="J31" i="2"/>
  <c r="J30" i="2"/>
  <c r="J29" i="2"/>
  <c r="J28" i="2"/>
  <c r="J27" i="2"/>
  <c r="J26" i="2"/>
  <c r="J25" i="2"/>
  <c r="J24" i="2"/>
  <c r="J23" i="2"/>
  <c r="J21" i="2"/>
  <c r="J20" i="2"/>
  <c r="J19" i="2"/>
  <c r="J18" i="2"/>
  <c r="H20" i="2"/>
  <c r="H19" i="2"/>
  <c r="H280" i="2"/>
  <c r="H281" i="2"/>
  <c r="H282" i="2"/>
  <c r="H283" i="2"/>
  <c r="H284" i="2"/>
  <c r="H285" i="2"/>
  <c r="H286" i="2"/>
  <c r="H287" i="2"/>
  <c r="H306" i="2"/>
  <c r="H307" i="2"/>
  <c r="H308" i="2"/>
  <c r="H327" i="2"/>
  <c r="H278" i="2"/>
  <c r="H279" i="2"/>
  <c r="H274" i="2"/>
  <c r="H275" i="2"/>
  <c r="H276" i="2"/>
  <c r="H27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46" i="2"/>
  <c r="H247" i="2"/>
  <c r="H245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26" i="2"/>
  <c r="H227" i="2"/>
  <c r="H228" i="2"/>
  <c r="H229" i="2"/>
  <c r="H225" i="2"/>
  <c r="H221" i="2"/>
  <c r="H222" i="2"/>
  <c r="H223" i="2"/>
  <c r="H224" i="2"/>
  <c r="H213" i="2"/>
  <c r="H214" i="2"/>
  <c r="H215" i="2"/>
  <c r="H216" i="2"/>
  <c r="H220" i="2" l="1"/>
  <c r="H219" i="2"/>
  <c r="H218" i="2"/>
  <c r="H217" i="2"/>
  <c r="H206" i="2"/>
  <c r="H207" i="2"/>
  <c r="H208" i="2"/>
  <c r="H209" i="2"/>
  <c r="H210" i="2"/>
  <c r="H211" i="2"/>
  <c r="H212" i="2"/>
  <c r="H155" i="2"/>
  <c r="H164" i="2"/>
  <c r="H171" i="2"/>
  <c r="H181" i="2"/>
  <c r="H189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01" i="2"/>
  <c r="H102" i="2"/>
  <c r="H103" i="2"/>
  <c r="H112" i="2"/>
  <c r="H119" i="2"/>
  <c r="H129" i="2"/>
  <c r="H137" i="2"/>
  <c r="H142" i="2"/>
  <c r="H91" i="2"/>
  <c r="H92" i="2"/>
  <c r="H93" i="2"/>
  <c r="H94" i="2"/>
  <c r="H95" i="2"/>
  <c r="H96" i="2"/>
  <c r="H97" i="2"/>
  <c r="H98" i="2"/>
  <c r="H99" i="2"/>
  <c r="H100" i="2"/>
  <c r="H84" i="2"/>
  <c r="H85" i="2"/>
  <c r="H86" i="2"/>
  <c r="H87" i="2"/>
  <c r="H88" i="2"/>
  <c r="H89" i="2"/>
  <c r="H90" i="2"/>
  <c r="D95" i="1" l="1"/>
  <c r="H74" i="2" l="1"/>
  <c r="H75" i="2"/>
  <c r="H76" i="2"/>
  <c r="H77" i="2"/>
  <c r="H78" i="2"/>
  <c r="H79" i="2"/>
  <c r="H80" i="2"/>
  <c r="H81" i="2"/>
  <c r="H82" i="2"/>
  <c r="H83" i="2"/>
  <c r="H46" i="2" l="1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D93" i="1" l="1"/>
  <c r="D94" i="1"/>
  <c r="D92" i="1" l="1"/>
  <c r="D91" i="1" l="1"/>
  <c r="D90" i="1"/>
  <c r="D89" i="1"/>
  <c r="D88" i="1"/>
  <c r="D87" i="1"/>
  <c r="D86" i="1"/>
  <c r="D85" i="1"/>
  <c r="D84" i="1"/>
  <c r="D83" i="1"/>
  <c r="D82" i="1" l="1"/>
  <c r="D81" i="1"/>
  <c r="D80" i="1"/>
  <c r="D79" i="1" l="1"/>
  <c r="D71" i="1" l="1"/>
  <c r="D72" i="1"/>
  <c r="D73" i="1"/>
  <c r="D74" i="1"/>
  <c r="D75" i="1"/>
  <c r="D76" i="1"/>
  <c r="D77" i="1"/>
  <c r="D78" i="1"/>
  <c r="H39" i="2" l="1"/>
  <c r="H40" i="2"/>
  <c r="H41" i="2"/>
  <c r="H42" i="2"/>
  <c r="H43" i="2"/>
  <c r="H44" i="2"/>
  <c r="H45" i="2"/>
  <c r="H5" i="2"/>
  <c r="H16" i="2"/>
  <c r="H17" i="2"/>
  <c r="H18" i="2"/>
  <c r="H22" i="2"/>
  <c r="H23" i="2"/>
  <c r="H34" i="2"/>
  <c r="H35" i="2"/>
  <c r="H36" i="2"/>
  <c r="H37" i="2"/>
  <c r="H38" i="2"/>
  <c r="H3" i="2"/>
  <c r="H4" i="2"/>
  <c r="H2" i="2"/>
  <c r="L3" i="61" l="1"/>
  <c r="K4" i="61"/>
  <c r="J5" i="61"/>
  <c r="I6" i="61"/>
  <c r="H7" i="61"/>
  <c r="G8" i="61"/>
  <c r="F9" i="61"/>
  <c r="B18" i="61"/>
  <c r="B10" i="61"/>
  <c r="C11" i="61"/>
  <c r="D12" i="61"/>
  <c r="D4" i="61"/>
  <c r="B6" i="61"/>
  <c r="K3" i="61"/>
  <c r="E9" i="61"/>
  <c r="E3" i="61"/>
  <c r="M3" i="61"/>
  <c r="L4" i="61"/>
  <c r="K5" i="61"/>
  <c r="J6" i="61"/>
  <c r="I7" i="61"/>
  <c r="H8" i="61"/>
  <c r="G9" i="61"/>
  <c r="B17" i="61"/>
  <c r="C18" i="61"/>
  <c r="C10" i="61"/>
  <c r="D11" i="61"/>
  <c r="D5" i="61"/>
  <c r="B7" i="61"/>
  <c r="D13" i="61"/>
  <c r="F3" i="61"/>
  <c r="E4" i="61"/>
  <c r="M4" i="61"/>
  <c r="L5" i="61"/>
  <c r="K6" i="61"/>
  <c r="J7" i="61"/>
  <c r="I8" i="61"/>
  <c r="H9" i="61"/>
  <c r="B16" i="61"/>
  <c r="C17" i="61"/>
  <c r="D18" i="61"/>
  <c r="D10" i="61"/>
  <c r="C4" i="61"/>
  <c r="B8" i="61"/>
  <c r="J4" i="61"/>
  <c r="F8" i="61"/>
  <c r="C9" i="61"/>
  <c r="G3" i="61"/>
  <c r="F4" i="61"/>
  <c r="E5" i="61"/>
  <c r="M5" i="61"/>
  <c r="L6" i="61"/>
  <c r="K7" i="61"/>
  <c r="J8" i="61"/>
  <c r="I9" i="61"/>
  <c r="B15" i="61"/>
  <c r="C16" i="61"/>
  <c r="D17" i="61"/>
  <c r="D6" i="61"/>
  <c r="C5" i="61"/>
  <c r="B9" i="61"/>
  <c r="B11" i="61"/>
  <c r="H3" i="61"/>
  <c r="G4" i="61"/>
  <c r="F5" i="61"/>
  <c r="E6" i="61"/>
  <c r="M6" i="61"/>
  <c r="L7" i="61"/>
  <c r="K8" i="61"/>
  <c r="J9" i="61"/>
  <c r="B14" i="61"/>
  <c r="C15" i="61"/>
  <c r="D16" i="61"/>
  <c r="D7" i="61"/>
  <c r="C6" i="61"/>
  <c r="C3" i="61"/>
  <c r="I5" i="61"/>
  <c r="M9" i="61"/>
  <c r="I3" i="61"/>
  <c r="H4" i="61"/>
  <c r="G5" i="61"/>
  <c r="F6" i="61"/>
  <c r="E7" i="61"/>
  <c r="M7" i="61"/>
  <c r="L8" i="61"/>
  <c r="K9" i="61"/>
  <c r="B13" i="61"/>
  <c r="C14" i="61"/>
  <c r="D15" i="61"/>
  <c r="D8" i="61"/>
  <c r="C7" i="61"/>
  <c r="H6" i="61"/>
  <c r="C12" i="61"/>
  <c r="J3" i="61"/>
  <c r="I4" i="61"/>
  <c r="H5" i="61"/>
  <c r="G6" i="61"/>
  <c r="F7" i="61"/>
  <c r="E8" i="61"/>
  <c r="M8" i="61"/>
  <c r="L9" i="61"/>
  <c r="B12" i="61"/>
  <c r="C13" i="61"/>
  <c r="D14" i="61"/>
  <c r="D9" i="61"/>
  <c r="C8" i="61"/>
  <c r="G7" i="61"/>
  <c r="D3" i="61"/>
  <c r="B3" i="61"/>
  <c r="B44" i="61"/>
  <c r="B5" i="61"/>
  <c r="C33" i="61"/>
  <c r="B4" i="61"/>
  <c r="B34" i="61"/>
  <c r="C32" i="61"/>
  <c r="F15" i="61"/>
  <c r="B42" i="61"/>
  <c r="B32" i="61"/>
  <c r="C34" i="61"/>
  <c r="B35" i="61"/>
  <c r="C35" i="61"/>
  <c r="C44" i="61"/>
  <c r="F14" i="61"/>
  <c r="N5" i="61" l="1"/>
  <c r="N4" i="61"/>
  <c r="D69" i="1" l="1"/>
  <c r="D68" i="1" l="1"/>
  <c r="D67" i="1"/>
  <c r="D66" i="1" l="1"/>
  <c r="D65" i="1" l="1"/>
  <c r="D64" i="1"/>
  <c r="D63" i="1"/>
  <c r="I1" i="50" l="1"/>
  <c r="B7" i="6" l="1"/>
  <c r="B8" i="6"/>
  <c r="B9" i="6"/>
  <c r="B10" i="6"/>
  <c r="B6" i="6"/>
  <c r="J3" i="49" l="1"/>
  <c r="J4" i="49"/>
  <c r="D62" i="1" l="1"/>
  <c r="D61" i="1"/>
  <c r="D60" i="1"/>
  <c r="D59" i="1"/>
  <c r="D58" i="1"/>
  <c r="D57" i="1"/>
  <c r="D56" i="1"/>
  <c r="J11" i="49" l="1"/>
  <c r="D55" i="1" l="1"/>
  <c r="D54" i="1"/>
  <c r="D53" i="1"/>
  <c r="D49" i="1"/>
  <c r="D50" i="1"/>
  <c r="D51" i="1"/>
  <c r="D48" i="1" l="1"/>
  <c r="D47" i="1"/>
  <c r="C5" i="6" l="1"/>
  <c r="D5" i="6"/>
  <c r="E5" i="6"/>
  <c r="F5" i="6"/>
  <c r="G5" i="6"/>
  <c r="H5" i="6"/>
  <c r="I5" i="6"/>
  <c r="J5" i="6"/>
  <c r="K5" i="6"/>
  <c r="L5" i="6"/>
  <c r="M5" i="6"/>
  <c r="N5" i="6"/>
  <c r="D46" i="1" l="1"/>
  <c r="D44" i="1" l="1"/>
  <c r="D45" i="1"/>
  <c r="D43" i="1" l="1"/>
  <c r="D42" i="1" l="1"/>
  <c r="D41" i="1"/>
  <c r="D40" i="1" l="1"/>
  <c r="D39" i="1"/>
  <c r="D38" i="1"/>
  <c r="D37" i="1"/>
  <c r="D36" i="1"/>
  <c r="D35" i="1"/>
  <c r="D34" i="1" l="1"/>
  <c r="D33" i="1" l="1"/>
  <c r="J10" i="49" l="1"/>
  <c r="J9" i="49"/>
  <c r="J8" i="49"/>
  <c r="J7" i="49"/>
  <c r="J6" i="49"/>
  <c r="J5" i="49"/>
  <c r="D32" i="1" l="1"/>
  <c r="D31" i="1" l="1"/>
  <c r="D30" i="1" l="1"/>
  <c r="D29" i="1" l="1"/>
  <c r="D28" i="1" l="1"/>
  <c r="D27" i="1"/>
  <c r="D26" i="1"/>
  <c r="D25" i="1"/>
  <c r="D24" i="1"/>
  <c r="D23" i="1"/>
  <c r="D22" i="1"/>
  <c r="D21" i="1"/>
  <c r="D20" i="1"/>
  <c r="D19" i="1"/>
  <c r="D27" i="6"/>
  <c r="D18" i="1"/>
  <c r="D17" i="1"/>
  <c r="D16" i="1"/>
  <c r="D15" i="1"/>
  <c r="D14" i="1"/>
  <c r="D13" i="1"/>
  <c r="D12" i="1"/>
  <c r="D11" i="1"/>
  <c r="D10" i="1"/>
  <c r="D9" i="1"/>
  <c r="G19" i="49"/>
  <c r="H19" i="49"/>
  <c r="I19" i="49"/>
  <c r="Y6" i="50"/>
  <c r="Z6" i="50" s="1"/>
  <c r="Y7" i="50"/>
  <c r="Z7" i="50" s="1"/>
  <c r="Y8" i="50"/>
  <c r="Z8" i="50" s="1"/>
  <c r="Y9" i="50"/>
  <c r="Z9" i="50" s="1"/>
  <c r="Y10" i="50"/>
  <c r="Z10" i="50" s="1"/>
  <c r="Y11" i="50"/>
  <c r="Z11" i="50" s="1"/>
  <c r="Y12" i="50"/>
  <c r="Z12" i="50" s="1"/>
  <c r="Y13" i="50"/>
  <c r="Z13" i="50" s="1"/>
  <c r="Y14" i="50"/>
  <c r="Z14" i="50" s="1"/>
  <c r="D4" i="1"/>
  <c r="D3" i="1"/>
  <c r="D2" i="1"/>
  <c r="C31" i="6"/>
  <c r="D25" i="6"/>
  <c r="E25" i="6"/>
  <c r="F25" i="6"/>
  <c r="G25" i="6"/>
  <c r="H25" i="6"/>
  <c r="I25" i="6"/>
  <c r="J25" i="6"/>
  <c r="K25" i="6"/>
  <c r="L25" i="6"/>
  <c r="M25" i="6"/>
  <c r="N25" i="6"/>
  <c r="C25" i="6"/>
  <c r="M1" i="50"/>
  <c r="J2" i="49"/>
  <c r="W73" i="41"/>
  <c r="W74" i="41"/>
  <c r="S74" i="41"/>
  <c r="T74" i="41" s="1"/>
  <c r="U74" i="41" s="1"/>
  <c r="N74" i="41"/>
  <c r="M72" i="41"/>
  <c r="G72" i="41"/>
  <c r="H72" i="41"/>
  <c r="G55" i="41"/>
  <c r="H55" i="41" s="1"/>
  <c r="H51" i="41"/>
  <c r="G47" i="41"/>
  <c r="H47" i="41"/>
  <c r="M47" i="41"/>
  <c r="N73" i="41"/>
  <c r="O73" i="41"/>
  <c r="S73" i="41"/>
  <c r="T73" i="41" s="1"/>
  <c r="U73" i="41" s="1"/>
  <c r="W72" i="41"/>
  <c r="S72" i="41"/>
  <c r="T72" i="41" s="1"/>
  <c r="U72" i="41" s="1"/>
  <c r="N72" i="41"/>
  <c r="I73" i="41"/>
  <c r="I74" i="41"/>
  <c r="I72" i="41"/>
  <c r="O7" i="48"/>
  <c r="O5" i="48"/>
  <c r="O4" i="48"/>
  <c r="O2" i="48"/>
  <c r="O34" i="48" s="1"/>
  <c r="AD71" i="41"/>
  <c r="AD70" i="41"/>
  <c r="AB70" i="41"/>
  <c r="AB71" i="41"/>
  <c r="W69" i="41"/>
  <c r="W70" i="41"/>
  <c r="W71" i="41"/>
  <c r="S69" i="41"/>
  <c r="T69" i="41"/>
  <c r="U69" i="41" s="1"/>
  <c r="S70" i="41"/>
  <c r="T70" i="41"/>
  <c r="U70" i="41"/>
  <c r="S71" i="41"/>
  <c r="T71" i="41"/>
  <c r="U71" i="41"/>
  <c r="N69" i="41"/>
  <c r="N70" i="41"/>
  <c r="N71" i="41"/>
  <c r="AB65" i="41"/>
  <c r="AD65" i="41"/>
  <c r="AD66" i="41"/>
  <c r="AD67" i="41"/>
  <c r="AD68" i="41"/>
  <c r="AD69" i="41"/>
  <c r="AB66" i="41"/>
  <c r="AB67" i="41"/>
  <c r="AB68" i="41"/>
  <c r="AB69" i="41"/>
  <c r="I69" i="41"/>
  <c r="I70" i="41"/>
  <c r="I71" i="41"/>
  <c r="H59" i="41"/>
  <c r="L1" i="50"/>
  <c r="D1" i="50"/>
  <c r="M42" i="41"/>
  <c r="W68" i="41"/>
  <c r="N68" i="41"/>
  <c r="S68" i="41"/>
  <c r="T68" i="41"/>
  <c r="U68" i="41" s="1"/>
  <c r="I68" i="41"/>
  <c r="W65" i="41"/>
  <c r="W66" i="41"/>
  <c r="W67" i="41"/>
  <c r="S67" i="41"/>
  <c r="T67" i="41"/>
  <c r="U67" i="41"/>
  <c r="N67" i="41"/>
  <c r="I67" i="41"/>
  <c r="S66" i="41"/>
  <c r="T66" i="41"/>
  <c r="U66" i="41" s="1"/>
  <c r="I66" i="41"/>
  <c r="N66" i="41"/>
  <c r="S65" i="41"/>
  <c r="T65" i="41" s="1"/>
  <c r="U65" i="41" s="1"/>
  <c r="N65" i="41"/>
  <c r="I65" i="41"/>
  <c r="E151" i="41"/>
  <c r="F158" i="41" s="1"/>
  <c r="F155" i="41"/>
  <c r="F148" i="41"/>
  <c r="E146" i="41"/>
  <c r="F149" i="41" s="1"/>
  <c r="E138" i="41"/>
  <c r="F142" i="41" s="1"/>
  <c r="F154" i="41"/>
  <c r="F156" i="41"/>
  <c r="F153" i="41"/>
  <c r="AD64" i="41"/>
  <c r="AB64" i="41"/>
  <c r="S64" i="41"/>
  <c r="T64" i="41"/>
  <c r="U64" i="41"/>
  <c r="N64" i="41"/>
  <c r="I64" i="41"/>
  <c r="W64" i="41"/>
  <c r="AD63" i="41"/>
  <c r="AD62" i="41"/>
  <c r="AD61" i="41"/>
  <c r="AD60" i="41"/>
  <c r="AD59" i="41"/>
  <c r="AB60" i="41"/>
  <c r="AB61" i="41"/>
  <c r="AB62" i="41"/>
  <c r="AB63" i="41"/>
  <c r="AB59" i="41"/>
  <c r="S63" i="41"/>
  <c r="T63" i="41"/>
  <c r="U63" i="41"/>
  <c r="W63" i="41"/>
  <c r="N63" i="41"/>
  <c r="I63" i="41"/>
  <c r="G42" i="41"/>
  <c r="H42" i="41" s="1"/>
  <c r="W59" i="41"/>
  <c r="W60" i="41"/>
  <c r="W61" i="41"/>
  <c r="W62" i="41"/>
  <c r="I62" i="41"/>
  <c r="I42" i="41"/>
  <c r="M43" i="41"/>
  <c r="N43" i="41" s="1"/>
  <c r="O43" i="41" s="1"/>
  <c r="G43" i="41"/>
  <c r="H43" i="41"/>
  <c r="S59" i="41"/>
  <c r="T59" i="41" s="1"/>
  <c r="U59" i="41" s="1"/>
  <c r="S60" i="41"/>
  <c r="T60" i="41"/>
  <c r="U60" i="41" s="1"/>
  <c r="S61" i="41"/>
  <c r="T61" i="41"/>
  <c r="U61" i="41"/>
  <c r="S62" i="41"/>
  <c r="T62" i="41"/>
  <c r="U62" i="41"/>
  <c r="I61" i="41"/>
  <c r="N61" i="41"/>
  <c r="N62" i="41"/>
  <c r="N59" i="41"/>
  <c r="N60" i="41"/>
  <c r="I59" i="41"/>
  <c r="I60" i="41"/>
  <c r="G58" i="41"/>
  <c r="G26" i="41"/>
  <c r="W26" i="41" s="1"/>
  <c r="W4" i="41"/>
  <c r="W20" i="41"/>
  <c r="W27" i="41"/>
  <c r="W29" i="41"/>
  <c r="W30" i="41"/>
  <c r="W31" i="41"/>
  <c r="W34" i="41"/>
  <c r="W35" i="41"/>
  <c r="W36" i="41"/>
  <c r="W37" i="41"/>
  <c r="W38" i="41"/>
  <c r="W39" i="41"/>
  <c r="W42" i="41"/>
  <c r="I58" i="41"/>
  <c r="N58" i="41"/>
  <c r="W58" i="41"/>
  <c r="AB58" i="41"/>
  <c r="AD58" i="41"/>
  <c r="AB56" i="41"/>
  <c r="AB57" i="41"/>
  <c r="I57" i="41"/>
  <c r="N57" i="41"/>
  <c r="S57" i="41"/>
  <c r="T57" i="41" s="1"/>
  <c r="U57" i="41" s="1"/>
  <c r="W57" i="41"/>
  <c r="AD57" i="41"/>
  <c r="N46" i="61"/>
  <c r="AD54" i="41"/>
  <c r="AB54" i="41"/>
  <c r="AD56" i="41"/>
  <c r="AD55" i="41"/>
  <c r="AB55" i="41"/>
  <c r="I55" i="41"/>
  <c r="N55" i="41"/>
  <c r="S55" i="41"/>
  <c r="T55" i="41"/>
  <c r="U55" i="41"/>
  <c r="W55" i="41"/>
  <c r="I56" i="41"/>
  <c r="N56" i="41"/>
  <c r="S56" i="41"/>
  <c r="T56" i="41"/>
  <c r="U56" i="41" s="1"/>
  <c r="W56" i="41"/>
  <c r="I26" i="41"/>
  <c r="W54" i="41"/>
  <c r="S54" i="41"/>
  <c r="T54" i="41" s="1"/>
  <c r="U54" i="41" s="1"/>
  <c r="N54" i="41"/>
  <c r="I54" i="41"/>
  <c r="H39" i="41"/>
  <c r="G52" i="41"/>
  <c r="H52" i="41"/>
  <c r="G41" i="41"/>
  <c r="H41" i="41" s="1"/>
  <c r="AD53" i="41"/>
  <c r="AB53" i="41"/>
  <c r="AD52" i="41"/>
  <c r="AB52" i="41"/>
  <c r="AD51" i="41"/>
  <c r="AB51" i="41"/>
  <c r="AB50" i="41"/>
  <c r="AD50" i="41"/>
  <c r="AB49" i="41"/>
  <c r="AD49" i="41"/>
  <c r="AB48" i="41"/>
  <c r="AD48" i="41"/>
  <c r="I53" i="41"/>
  <c r="N53" i="41"/>
  <c r="O53" i="41" s="1"/>
  <c r="S53" i="41"/>
  <c r="T53" i="41"/>
  <c r="U53" i="41"/>
  <c r="W53" i="41"/>
  <c r="L37" i="41"/>
  <c r="L35" i="41"/>
  <c r="N35" i="41" s="1"/>
  <c r="O35" i="41" s="1"/>
  <c r="L25" i="41"/>
  <c r="N25" i="41" s="1"/>
  <c r="O25" i="41" s="1"/>
  <c r="L23" i="41"/>
  <c r="L77" i="41" s="1"/>
  <c r="L20" i="41"/>
  <c r="N2" i="41"/>
  <c r="N3" i="41"/>
  <c r="N4" i="41"/>
  <c r="F140" i="41"/>
  <c r="F141" i="41"/>
  <c r="F143" i="41"/>
  <c r="I52" i="41"/>
  <c r="N52" i="41"/>
  <c r="O52" i="41" s="1"/>
  <c r="W52" i="41"/>
  <c r="W51" i="41"/>
  <c r="N51" i="41"/>
  <c r="O51" i="41" s="1"/>
  <c r="I51" i="41"/>
  <c r="N42" i="41"/>
  <c r="O42" i="41"/>
  <c r="N44" i="41"/>
  <c r="O44" i="41"/>
  <c r="N45" i="41"/>
  <c r="O45" i="41" s="1"/>
  <c r="N46" i="41"/>
  <c r="O46" i="41"/>
  <c r="O47" i="41"/>
  <c r="N48" i="41"/>
  <c r="O48" i="41"/>
  <c r="N49" i="41"/>
  <c r="O49" i="41" s="1"/>
  <c r="N50" i="41"/>
  <c r="O50" i="41"/>
  <c r="N5" i="41"/>
  <c r="O5" i="41" s="1"/>
  <c r="N6" i="41"/>
  <c r="O6" i="41"/>
  <c r="N7" i="41"/>
  <c r="O7" i="41"/>
  <c r="N8" i="41"/>
  <c r="O8" i="41" s="1"/>
  <c r="N9" i="41"/>
  <c r="O9" i="41"/>
  <c r="N10" i="41"/>
  <c r="O10" i="41"/>
  <c r="N11" i="41"/>
  <c r="O11" i="41"/>
  <c r="N12" i="41"/>
  <c r="O12" i="41" s="1"/>
  <c r="N13" i="41"/>
  <c r="O13" i="41"/>
  <c r="N14" i="41"/>
  <c r="O14" i="41"/>
  <c r="N15" i="41"/>
  <c r="O15" i="41"/>
  <c r="N16" i="41"/>
  <c r="O16" i="41" s="1"/>
  <c r="N17" i="41"/>
  <c r="O17" i="41"/>
  <c r="N18" i="41"/>
  <c r="O18" i="41"/>
  <c r="N19" i="41"/>
  <c r="O19" i="41"/>
  <c r="N21" i="41"/>
  <c r="O21" i="41" s="1"/>
  <c r="N22" i="41"/>
  <c r="O22" i="41"/>
  <c r="N24" i="41"/>
  <c r="O24" i="41"/>
  <c r="N26" i="41"/>
  <c r="O26" i="41"/>
  <c r="N27" i="41"/>
  <c r="O27" i="41" s="1"/>
  <c r="N28" i="41"/>
  <c r="O28" i="41"/>
  <c r="N30" i="41"/>
  <c r="O30" i="41"/>
  <c r="N31" i="41"/>
  <c r="O31" i="41"/>
  <c r="N32" i="41"/>
  <c r="O32" i="41" s="1"/>
  <c r="N33" i="41"/>
  <c r="O33" i="41"/>
  <c r="N34" i="41"/>
  <c r="O34" i="41"/>
  <c r="N36" i="41"/>
  <c r="O36" i="41"/>
  <c r="N38" i="41"/>
  <c r="O38" i="41" s="1"/>
  <c r="N39" i="41"/>
  <c r="O39" i="41"/>
  <c r="N40" i="41"/>
  <c r="O40" i="41"/>
  <c r="N41" i="41"/>
  <c r="O41" i="41"/>
  <c r="I49" i="41"/>
  <c r="I50" i="41"/>
  <c r="H72" i="51"/>
  <c r="H71" i="51"/>
  <c r="H70" i="51"/>
  <c r="H69" i="51"/>
  <c r="H68" i="51"/>
  <c r="H67" i="51"/>
  <c r="H66" i="51"/>
  <c r="H65" i="51"/>
  <c r="H64" i="51"/>
  <c r="H63" i="51"/>
  <c r="H62" i="51"/>
  <c r="H61" i="51"/>
  <c r="H60" i="51"/>
  <c r="H59" i="51"/>
  <c r="H58" i="51"/>
  <c r="H57" i="51"/>
  <c r="H56" i="51"/>
  <c r="H55" i="51"/>
  <c r="H54" i="51"/>
  <c r="H53" i="51"/>
  <c r="H52" i="51"/>
  <c r="H51" i="51"/>
  <c r="H50" i="51"/>
  <c r="H49" i="51"/>
  <c r="H48" i="51"/>
  <c r="H47" i="51"/>
  <c r="H46" i="51"/>
  <c r="H45" i="51"/>
  <c r="H44" i="51"/>
  <c r="H43" i="51"/>
  <c r="H42" i="51"/>
  <c r="H41" i="51"/>
  <c r="H40" i="51"/>
  <c r="H39" i="51"/>
  <c r="H38" i="51"/>
  <c r="H37" i="51"/>
  <c r="H36" i="51"/>
  <c r="H35" i="51"/>
  <c r="H34" i="51"/>
  <c r="H33" i="51"/>
  <c r="H32" i="51"/>
  <c r="H31" i="51"/>
  <c r="H30" i="51"/>
  <c r="H29" i="51"/>
  <c r="H28" i="51"/>
  <c r="H27" i="51"/>
  <c r="H26" i="51"/>
  <c r="H25" i="51"/>
  <c r="H24" i="51"/>
  <c r="H23" i="51"/>
  <c r="H22" i="51"/>
  <c r="H21" i="51"/>
  <c r="H20" i="51"/>
  <c r="H19" i="51"/>
  <c r="H18" i="51"/>
  <c r="H17" i="51"/>
  <c r="H16" i="51"/>
  <c r="H15" i="51"/>
  <c r="H14" i="51"/>
  <c r="H13" i="51"/>
  <c r="H12" i="51"/>
  <c r="H11" i="51"/>
  <c r="H10" i="51"/>
  <c r="H9" i="51"/>
  <c r="H8" i="51"/>
  <c r="H7" i="51"/>
  <c r="H6" i="51"/>
  <c r="H5" i="51"/>
  <c r="C84" i="51"/>
  <c r="E84" i="51" s="1"/>
  <c r="D80" i="51"/>
  <c r="E79" i="51"/>
  <c r="W40" i="41"/>
  <c r="W41" i="41"/>
  <c r="W43" i="41"/>
  <c r="W44" i="41"/>
  <c r="W45" i="41"/>
  <c r="W46" i="41"/>
  <c r="W47" i="41"/>
  <c r="W48" i="41"/>
  <c r="W50" i="41"/>
  <c r="W49" i="41"/>
  <c r="S49" i="41"/>
  <c r="T49" i="41"/>
  <c r="U49" i="41"/>
  <c r="E80" i="51"/>
  <c r="E120" i="41"/>
  <c r="F127" i="41" s="1"/>
  <c r="P18" i="41"/>
  <c r="E93" i="41"/>
  <c r="F98" i="41"/>
  <c r="F131" i="41"/>
  <c r="F122" i="41"/>
  <c r="F134" i="41"/>
  <c r="F132" i="41"/>
  <c r="F133" i="41"/>
  <c r="F128" i="41"/>
  <c r="F135" i="41"/>
  <c r="F108" i="41"/>
  <c r="F104" i="41"/>
  <c r="F100" i="41"/>
  <c r="F96" i="41"/>
  <c r="F95" i="41"/>
  <c r="F105" i="41"/>
  <c r="F101" i="41"/>
  <c r="F97" i="41"/>
  <c r="F107" i="41"/>
  <c r="F103" i="41"/>
  <c r="F99" i="41"/>
  <c r="F106" i="41"/>
  <c r="F102" i="41"/>
  <c r="I13" i="41"/>
  <c r="I25" i="41"/>
  <c r="I24" i="41"/>
  <c r="I23" i="41"/>
  <c r="I21" i="41"/>
  <c r="I12" i="41"/>
  <c r="I11" i="41"/>
  <c r="I10" i="41"/>
  <c r="I9" i="41"/>
  <c r="I8" i="41"/>
  <c r="I7" i="41"/>
  <c r="I6" i="41"/>
  <c r="I5" i="41"/>
  <c r="I2" i="41"/>
  <c r="E80" i="41"/>
  <c r="F82" i="41" s="1"/>
  <c r="F83" i="41"/>
  <c r="F85" i="41"/>
  <c r="F87" i="41"/>
  <c r="S47" i="41"/>
  <c r="T47" i="41" s="1"/>
  <c r="U47" i="41" s="1"/>
  <c r="S48" i="41"/>
  <c r="T48" i="41"/>
  <c r="U48" i="41" s="1"/>
  <c r="I48" i="41"/>
  <c r="I47" i="41"/>
  <c r="I46" i="41"/>
  <c r="AB47" i="41"/>
  <c r="AD47" i="41"/>
  <c r="H29" i="41"/>
  <c r="H30" i="41"/>
  <c r="I45" i="41"/>
  <c r="AB46" i="41"/>
  <c r="AD46" i="41"/>
  <c r="I44" i="41"/>
  <c r="S44" i="41"/>
  <c r="T44" i="41"/>
  <c r="U44" i="41" s="1"/>
  <c r="AB45" i="41"/>
  <c r="AD45" i="41"/>
  <c r="H37" i="41"/>
  <c r="G40" i="41"/>
  <c r="H40" i="41"/>
  <c r="N37" i="41"/>
  <c r="O37" i="41"/>
  <c r="N29" i="41"/>
  <c r="O29" i="41"/>
  <c r="I43" i="41"/>
  <c r="S43" i="41"/>
  <c r="T43" i="41"/>
  <c r="U43" i="41"/>
  <c r="AB44" i="41"/>
  <c r="AD44" i="41"/>
  <c r="AB43" i="41"/>
  <c r="AD43" i="41"/>
  <c r="H4" i="41"/>
  <c r="H20" i="41"/>
  <c r="N20" i="41"/>
  <c r="O20" i="41"/>
  <c r="I41" i="41"/>
  <c r="S41" i="41"/>
  <c r="T41" i="41" s="1"/>
  <c r="U41" i="41" s="1"/>
  <c r="AB42" i="41"/>
  <c r="AD42" i="41"/>
  <c r="AD27" i="41"/>
  <c r="AB19" i="41"/>
  <c r="AB18" i="41"/>
  <c r="AB17" i="41"/>
  <c r="AB16" i="41"/>
  <c r="AB15" i="41"/>
  <c r="AD14" i="41"/>
  <c r="AB14" i="41"/>
  <c r="AB13" i="41"/>
  <c r="AB12" i="41"/>
  <c r="AB11" i="41"/>
  <c r="AB10" i="41"/>
  <c r="AB9" i="41"/>
  <c r="AB8" i="41"/>
  <c r="AB7" i="41"/>
  <c r="AB6" i="41"/>
  <c r="AB5" i="41"/>
  <c r="AB3" i="41"/>
  <c r="AB2" i="41"/>
  <c r="Y3" i="50"/>
  <c r="Z3" i="50" s="1"/>
  <c r="Y4" i="50"/>
  <c r="Z4" i="50" s="1"/>
  <c r="Y5" i="50"/>
  <c r="Z5" i="50" s="1"/>
  <c r="I40" i="41"/>
  <c r="AB41" i="41"/>
  <c r="AD41" i="41"/>
  <c r="E112" i="41"/>
  <c r="F116" i="41" s="1"/>
  <c r="AD40" i="41"/>
  <c r="AB40" i="41"/>
  <c r="I39" i="41"/>
  <c r="S39" i="41"/>
  <c r="T39" i="41"/>
  <c r="U39" i="41" s="1"/>
  <c r="F114" i="41"/>
  <c r="G32" i="41"/>
  <c r="W32" i="41" s="1"/>
  <c r="G33" i="41"/>
  <c r="H33" i="41"/>
  <c r="W33" i="41"/>
  <c r="E1" i="50"/>
  <c r="AD19" i="41"/>
  <c r="AD4" i="41"/>
  <c r="AB4" i="41"/>
  <c r="AB27" i="41"/>
  <c r="AB39" i="41"/>
  <c r="AB21" i="41"/>
  <c r="AB22" i="41"/>
  <c r="AB23" i="41"/>
  <c r="AB24" i="41"/>
  <c r="AB25" i="41"/>
  <c r="AB26" i="41"/>
  <c r="AB28" i="41"/>
  <c r="AB29" i="41"/>
  <c r="AB31" i="41"/>
  <c r="AB32" i="41"/>
  <c r="AB33" i="41"/>
  <c r="AB34" i="41"/>
  <c r="AB35" i="41"/>
  <c r="AB36" i="41"/>
  <c r="AB37" i="41"/>
  <c r="AB38" i="41"/>
  <c r="AB30" i="41"/>
  <c r="AD38" i="41"/>
  <c r="AD39" i="41"/>
  <c r="AD2" i="41"/>
  <c r="AD3" i="41"/>
  <c r="AD5" i="41"/>
  <c r="AD6" i="41"/>
  <c r="AD7" i="41"/>
  <c r="AD8" i="41"/>
  <c r="AD9" i="41"/>
  <c r="AD10" i="41"/>
  <c r="AD11" i="41"/>
  <c r="AD12" i="41"/>
  <c r="AD13" i="41"/>
  <c r="AD15" i="41"/>
  <c r="AD16" i="41"/>
  <c r="AD17" i="41"/>
  <c r="AD18" i="41"/>
  <c r="AD21" i="41"/>
  <c r="AD22" i="41"/>
  <c r="AD23" i="41"/>
  <c r="AD24" i="41"/>
  <c r="AD25" i="41"/>
  <c r="AD26" i="41"/>
  <c r="AD28" i="41"/>
  <c r="AD29" i="41"/>
  <c r="AD30" i="41"/>
  <c r="AD31" i="41"/>
  <c r="AD32" i="41"/>
  <c r="AD33" i="41"/>
  <c r="AD34" i="41"/>
  <c r="AD35" i="41"/>
  <c r="AD36" i="41"/>
  <c r="AD37" i="41"/>
  <c r="I38" i="41"/>
  <c r="I37" i="41"/>
  <c r="S37" i="41"/>
  <c r="T37" i="41"/>
  <c r="U37" i="41" s="1"/>
  <c r="G28" i="41"/>
  <c r="H28" i="41"/>
  <c r="W28" i="41"/>
  <c r="I37" i="39"/>
  <c r="I38" i="39"/>
  <c r="D37" i="39"/>
  <c r="D38" i="39"/>
  <c r="D36" i="39"/>
  <c r="I36" i="39"/>
  <c r="F7" i="48"/>
  <c r="G22" i="41"/>
  <c r="W22" i="41" s="1"/>
  <c r="I35" i="39"/>
  <c r="D35" i="39"/>
  <c r="I36" i="41"/>
  <c r="I35" i="41"/>
  <c r="I34" i="41"/>
  <c r="I33" i="41"/>
  <c r="I32" i="41"/>
  <c r="I33" i="39"/>
  <c r="I34" i="39"/>
  <c r="D33" i="39"/>
  <c r="D34" i="39"/>
  <c r="D32" i="39"/>
  <c r="I32" i="39"/>
  <c r="D31" i="39"/>
  <c r="I31" i="41"/>
  <c r="I31" i="39"/>
  <c r="D30" i="39"/>
  <c r="I30" i="39"/>
  <c r="I30" i="41"/>
  <c r="B11" i="6"/>
  <c r="I29" i="41"/>
  <c r="I28" i="41"/>
  <c r="D24" i="39"/>
  <c r="D25" i="39"/>
  <c r="D26" i="39"/>
  <c r="D27" i="39"/>
  <c r="D28" i="39"/>
  <c r="D29" i="39"/>
  <c r="I24" i="39"/>
  <c r="I25" i="39"/>
  <c r="I26" i="39"/>
  <c r="I27" i="39"/>
  <c r="I28" i="39"/>
  <c r="I29" i="39"/>
  <c r="F6" i="48"/>
  <c r="I27" i="41"/>
  <c r="F5" i="48"/>
  <c r="B38" i="26"/>
  <c r="B42" i="26"/>
  <c r="F3" i="48"/>
  <c r="G25" i="41"/>
  <c r="W25" i="41" s="1"/>
  <c r="I23" i="39"/>
  <c r="D23" i="39"/>
  <c r="I14" i="41"/>
  <c r="O9" i="40"/>
  <c r="G23" i="41"/>
  <c r="W23" i="41" s="1"/>
  <c r="F4" i="48"/>
  <c r="F2" i="48"/>
  <c r="D22" i="39"/>
  <c r="I22" i="39"/>
  <c r="G6" i="41"/>
  <c r="W6" i="41" s="1"/>
  <c r="G7" i="41"/>
  <c r="W7" i="41" s="1"/>
  <c r="G8" i="41"/>
  <c r="W8" i="41" s="1"/>
  <c r="G9" i="41"/>
  <c r="W9" i="41"/>
  <c r="G10" i="41"/>
  <c r="W10" i="41" s="1"/>
  <c r="G11" i="41"/>
  <c r="W11" i="41" s="1"/>
  <c r="G12" i="41"/>
  <c r="W12" i="41" s="1"/>
  <c r="G5" i="41"/>
  <c r="W5" i="41"/>
  <c r="G3" i="41"/>
  <c r="I3" i="41" s="1"/>
  <c r="D21" i="39"/>
  <c r="I21" i="39"/>
  <c r="D20" i="39"/>
  <c r="I20" i="39"/>
  <c r="G24" i="41"/>
  <c r="W24" i="41"/>
  <c r="O4" i="41"/>
  <c r="O3" i="41"/>
  <c r="O2" i="41"/>
  <c r="N23" i="41"/>
  <c r="O23" i="41" s="1"/>
  <c r="G19" i="41"/>
  <c r="W19" i="41" s="1"/>
  <c r="G18" i="41"/>
  <c r="W18" i="41" s="1"/>
  <c r="I18" i="41"/>
  <c r="I11" i="39"/>
  <c r="I12" i="39"/>
  <c r="I13" i="39"/>
  <c r="I14" i="39"/>
  <c r="I15" i="39"/>
  <c r="I16" i="39"/>
  <c r="I17" i="39"/>
  <c r="I18" i="39"/>
  <c r="I19" i="39"/>
  <c r="D11" i="39"/>
  <c r="D12" i="39"/>
  <c r="D13" i="39"/>
  <c r="D14" i="39"/>
  <c r="D15" i="39"/>
  <c r="D16" i="39"/>
  <c r="D17" i="39"/>
  <c r="D18" i="39"/>
  <c r="D19" i="39"/>
  <c r="D10" i="39"/>
  <c r="I10" i="39"/>
  <c r="G21" i="41"/>
  <c r="W21" i="41" s="1"/>
  <c r="I4" i="41"/>
  <c r="I15" i="41"/>
  <c r="I16" i="41"/>
  <c r="I20" i="41"/>
  <c r="I22" i="41"/>
  <c r="B54" i="26"/>
  <c r="D9" i="39"/>
  <c r="D8" i="39"/>
  <c r="I7" i="39"/>
  <c r="I8" i="39"/>
  <c r="I9" i="39"/>
  <c r="D7" i="39"/>
  <c r="D6" i="39"/>
  <c r="I6" i="39"/>
  <c r="I5" i="39"/>
  <c r="I4" i="39"/>
  <c r="I2" i="39"/>
  <c r="I3" i="39"/>
  <c r="D5" i="39"/>
  <c r="G2" i="41"/>
  <c r="W2" i="41"/>
  <c r="G17" i="41"/>
  <c r="I17" i="41" s="1"/>
  <c r="G16" i="41"/>
  <c r="W16" i="41" s="1"/>
  <c r="G15" i="41"/>
  <c r="W15" i="41" s="1"/>
  <c r="G14" i="41"/>
  <c r="W14" i="41"/>
  <c r="G13" i="41"/>
  <c r="W13" i="41" s="1"/>
  <c r="D4" i="39"/>
  <c r="W17" i="41"/>
  <c r="S14" i="41"/>
  <c r="T14" i="41"/>
  <c r="U14" i="41"/>
  <c r="D3" i="39"/>
  <c r="C50" i="26"/>
  <c r="B14" i="26"/>
  <c r="B10" i="26"/>
  <c r="B18" i="26"/>
  <c r="B46" i="26"/>
  <c r="B34" i="26"/>
  <c r="B58" i="26"/>
  <c r="B22" i="26"/>
  <c r="B26" i="26"/>
  <c r="B50" i="26"/>
  <c r="B30" i="26"/>
  <c r="B6" i="26"/>
  <c r="D2" i="39"/>
  <c r="C38" i="26"/>
  <c r="E38" i="26"/>
  <c r="F38" i="26" s="1"/>
  <c r="G38" i="26" s="1"/>
  <c r="C54" i="26"/>
  <c r="E54" i="26" s="1"/>
  <c r="F54" i="26" s="1"/>
  <c r="G54" i="26" s="1"/>
  <c r="C42" i="26"/>
  <c r="E42" i="26"/>
  <c r="F42" i="26" s="1"/>
  <c r="G42" i="26" s="1"/>
  <c r="C18" i="26"/>
  <c r="C22" i="26"/>
  <c r="E22" i="26" s="1"/>
  <c r="F22" i="26" s="1"/>
  <c r="G22" i="26" s="1"/>
  <c r="C14" i="26"/>
  <c r="C26" i="26"/>
  <c r="E26" i="26" s="1"/>
  <c r="F26" i="26" s="1"/>
  <c r="G26" i="26" s="1"/>
  <c r="C58" i="26"/>
  <c r="C34" i="26"/>
  <c r="C10" i="26"/>
  <c r="E44" i="40"/>
  <c r="N9" i="40"/>
  <c r="P9" i="40"/>
  <c r="Q9" i="40" s="1"/>
  <c r="L20" i="40"/>
  <c r="L29" i="40" s="1"/>
  <c r="L31" i="40" s="1"/>
  <c r="L32" i="40" s="1"/>
  <c r="L33" i="40" s="1"/>
  <c r="L18" i="40"/>
  <c r="E12" i="40"/>
  <c r="C29" i="40"/>
  <c r="E14" i="40"/>
  <c r="E29" i="40" s="1"/>
  <c r="N8" i="40"/>
  <c r="Q8" i="40" s="1"/>
  <c r="N7" i="40"/>
  <c r="Q7" i="40" s="1"/>
  <c r="N10" i="40"/>
  <c r="P10" i="40"/>
  <c r="Q10" i="40"/>
  <c r="N4" i="40"/>
  <c r="Q4" i="40"/>
  <c r="N5" i="40"/>
  <c r="Q5" i="40"/>
  <c r="N3" i="40"/>
  <c r="Q3" i="40"/>
  <c r="M18" i="40"/>
  <c r="M19" i="40"/>
  <c r="M20" i="40"/>
  <c r="M21" i="40"/>
  <c r="M22" i="40"/>
  <c r="M23" i="40"/>
  <c r="M24" i="40"/>
  <c r="D14" i="40"/>
  <c r="I5" i="40"/>
  <c r="I6" i="40"/>
  <c r="N6" i="40" s="1"/>
  <c r="E20" i="40"/>
  <c r="N20" i="40" s="1"/>
  <c r="E21" i="40"/>
  <c r="E22" i="40"/>
  <c r="E23" i="40"/>
  <c r="N23" i="40" s="1"/>
  <c r="N22" i="40"/>
  <c r="S22" i="40" s="1"/>
  <c r="N21" i="40"/>
  <c r="Q21" i="40" s="1"/>
  <c r="O29" i="40"/>
  <c r="C4" i="40"/>
  <c r="C3" i="40"/>
  <c r="I3" i="40" s="1"/>
  <c r="I12" i="40" s="1"/>
  <c r="I29" i="40" s="1"/>
  <c r="Q22" i="40"/>
  <c r="L36" i="40"/>
  <c r="I4" i="40"/>
  <c r="D24" i="40"/>
  <c r="D22" i="40"/>
  <c r="D21" i="40"/>
  <c r="E24" i="40"/>
  <c r="N24" i="40"/>
  <c r="Q24" i="40" s="1"/>
  <c r="E19" i="40"/>
  <c r="N19" i="40"/>
  <c r="Q19" i="40" s="1"/>
  <c r="E18" i="40"/>
  <c r="N18" i="40"/>
  <c r="S18" i="40" s="1"/>
  <c r="M17" i="40"/>
  <c r="E17" i="40"/>
  <c r="N17" i="40" s="1"/>
  <c r="M16" i="40"/>
  <c r="E16" i="40"/>
  <c r="N16" i="40"/>
  <c r="Q16" i="40" s="1"/>
  <c r="M15" i="40"/>
  <c r="E15" i="40"/>
  <c r="N15" i="40" s="1"/>
  <c r="D15" i="40"/>
  <c r="M14" i="40"/>
  <c r="Q18" i="40"/>
  <c r="S24" i="40"/>
  <c r="S19" i="40"/>
  <c r="D17" i="40"/>
  <c r="D18" i="40"/>
  <c r="C6" i="26"/>
  <c r="E6" i="26" s="1"/>
  <c r="F6" i="26" s="1"/>
  <c r="E58" i="26"/>
  <c r="E18" i="26"/>
  <c r="E50" i="26"/>
  <c r="F50" i="26" s="1"/>
  <c r="G50" i="26" s="1"/>
  <c r="E14" i="26"/>
  <c r="E10" i="26"/>
  <c r="F10" i="26" s="1"/>
  <c r="G10" i="26" s="1"/>
  <c r="E34" i="26"/>
  <c r="F34" i="26" s="1"/>
  <c r="G34" i="26" s="1"/>
  <c r="C30" i="26"/>
  <c r="E30" i="26" s="1"/>
  <c r="F30" i="26" s="1"/>
  <c r="G30" i="26" s="1"/>
  <c r="P2" i="41"/>
  <c r="P20" i="41"/>
  <c r="Q50" i="41"/>
  <c r="P3" i="41"/>
  <c r="P4" i="41"/>
  <c r="P26" i="41"/>
  <c r="P45" i="41"/>
  <c r="P22" i="41"/>
  <c r="P42" i="41"/>
  <c r="P6" i="41"/>
  <c r="P10" i="41"/>
  <c r="Q51" i="41"/>
  <c r="P7" i="41"/>
  <c r="P8" i="41"/>
  <c r="P23" i="41"/>
  <c r="Q46" i="41"/>
  <c r="P5" i="41"/>
  <c r="Q40" i="41"/>
  <c r="Q58" i="41"/>
  <c r="P9" i="41"/>
  <c r="P11" i="41"/>
  <c r="P36" i="41"/>
  <c r="E31" i="6"/>
  <c r="K27" i="6"/>
  <c r="M27" i="6"/>
  <c r="G27" i="6"/>
  <c r="N31" i="6"/>
  <c r="J31" i="6"/>
  <c r="F27" i="6"/>
  <c r="I31" i="6"/>
  <c r="E27" i="6"/>
  <c r="G31" i="6"/>
  <c r="C27" i="6"/>
  <c r="L27" i="6"/>
  <c r="F31" i="6"/>
  <c r="I27" i="6"/>
  <c r="M31" i="6"/>
  <c r="H27" i="6"/>
  <c r="N27" i="6"/>
  <c r="K31" i="6"/>
  <c r="L31" i="6"/>
  <c r="H31" i="6"/>
  <c r="W40" i="50"/>
  <c r="U40" i="50"/>
  <c r="V40" i="50"/>
  <c r="AL48" i="41"/>
  <c r="S11" i="41" l="1"/>
  <c r="T11" i="41" s="1"/>
  <c r="U11" i="41" s="1"/>
  <c r="S9" i="41"/>
  <c r="T9" i="41" s="1"/>
  <c r="U9" i="41" s="1"/>
  <c r="Q77" i="41"/>
  <c r="S40" i="41"/>
  <c r="T40" i="41" s="1"/>
  <c r="U40" i="41" s="1"/>
  <c r="S5" i="41"/>
  <c r="T5" i="41" s="1"/>
  <c r="U5" i="41" s="1"/>
  <c r="S23" i="41"/>
  <c r="T23" i="41" s="1"/>
  <c r="U23" i="41" s="1"/>
  <c r="S8" i="41"/>
  <c r="T8" i="41" s="1"/>
  <c r="U8" i="41" s="1"/>
  <c r="S7" i="41"/>
  <c r="T7" i="41" s="1"/>
  <c r="U7" i="41" s="1"/>
  <c r="S10" i="41"/>
  <c r="T10" i="41" s="1"/>
  <c r="U10" i="41" s="1"/>
  <c r="S6" i="41"/>
  <c r="T6" i="41" s="1"/>
  <c r="U6" i="41" s="1"/>
  <c r="S22" i="41"/>
  <c r="T22" i="41" s="1"/>
  <c r="U22" i="41" s="1"/>
  <c r="S4" i="41"/>
  <c r="T4" i="41" s="1"/>
  <c r="U4" i="41" s="1"/>
  <c r="S3" i="41"/>
  <c r="T3" i="41" s="1"/>
  <c r="U3" i="41" s="1"/>
  <c r="S20" i="41"/>
  <c r="T20" i="41" s="1"/>
  <c r="U20" i="41" s="1"/>
  <c r="P77" i="41"/>
  <c r="S2" i="41"/>
  <c r="T2" i="41" s="1"/>
  <c r="T77" i="41" s="1"/>
  <c r="C32" i="40"/>
  <c r="Q20" i="40"/>
  <c r="S20" i="40"/>
  <c r="Q6" i="40"/>
  <c r="Q17" i="40"/>
  <c r="S17" i="40"/>
  <c r="O77" i="41"/>
  <c r="N77" i="41"/>
  <c r="Q15" i="40"/>
  <c r="S15" i="40"/>
  <c r="Q23" i="40"/>
  <c r="S23" i="40"/>
  <c r="I19" i="41"/>
  <c r="F18" i="26"/>
  <c r="G18" i="26" s="1"/>
  <c r="W3" i="41"/>
  <c r="F86" i="41"/>
  <c r="F58" i="26"/>
  <c r="G58" i="26" s="1"/>
  <c r="D19" i="40"/>
  <c r="D20" i="40"/>
  <c r="D29" i="40" s="1"/>
  <c r="S21" i="40"/>
  <c r="F88" i="41"/>
  <c r="F123" i="41"/>
  <c r="F129" i="41"/>
  <c r="M77" i="41"/>
  <c r="D16" i="40"/>
  <c r="S16" i="40"/>
  <c r="N14" i="40"/>
  <c r="D23" i="40"/>
  <c r="C12" i="40"/>
  <c r="F84" i="41"/>
  <c r="F124" i="41"/>
  <c r="F14" i="26"/>
  <c r="G14" i="26" s="1"/>
  <c r="F89" i="41"/>
  <c r="F125" i="41"/>
  <c r="F157" i="41"/>
  <c r="F115" i="41"/>
  <c r="F130" i="41"/>
  <c r="F126" i="41"/>
  <c r="J19" i="49"/>
  <c r="S42" i="41"/>
  <c r="T42" i="41" s="1"/>
  <c r="U42" i="41" s="1"/>
  <c r="S36" i="41"/>
  <c r="T36" i="41" s="1"/>
  <c r="U36" i="41" s="1"/>
  <c r="S45" i="41"/>
  <c r="T45" i="41" s="1"/>
  <c r="U45" i="41" s="1"/>
  <c r="S50" i="41"/>
  <c r="T50" i="41" s="1"/>
  <c r="U50" i="41" s="1"/>
  <c r="S26" i="41"/>
  <c r="T26" i="41" s="1"/>
  <c r="U26" i="41" s="1"/>
  <c r="S58" i="41"/>
  <c r="T58" i="41" s="1"/>
  <c r="U58" i="41" s="1"/>
  <c r="S51" i="41"/>
  <c r="T51" i="41" s="1"/>
  <c r="U51" i="41" s="1"/>
  <c r="S46" i="41"/>
  <c r="T46" i="41" s="1"/>
  <c r="U46" i="41" s="1"/>
  <c r="F75" i="51"/>
  <c r="H75" i="51"/>
  <c r="J75" i="51" s="1"/>
  <c r="D78" i="51"/>
  <c r="E78" i="51" s="1"/>
  <c r="D77" i="51"/>
  <c r="E77" i="51" s="1"/>
  <c r="E12" i="61"/>
  <c r="D36" i="61"/>
  <c r="D26" i="61"/>
  <c r="I31" i="61"/>
  <c r="F27" i="61"/>
  <c r="J12" i="61"/>
  <c r="F12" i="61"/>
  <c r="D37" i="61"/>
  <c r="K35" i="61"/>
  <c r="M28" i="61"/>
  <c r="F32" i="61"/>
  <c r="D31" i="61"/>
  <c r="K14" i="61"/>
  <c r="E42" i="61"/>
  <c r="C42" i="61"/>
  <c r="I43" i="61"/>
  <c r="F43" i="61"/>
  <c r="K43" i="61"/>
  <c r="L36" i="61"/>
  <c r="F36" i="61"/>
  <c r="G36" i="61"/>
  <c r="B39" i="61"/>
  <c r="F40" i="61"/>
  <c r="J41" i="61"/>
  <c r="C40" i="61"/>
  <c r="G41" i="61"/>
  <c r="L39" i="61"/>
  <c r="D41" i="61"/>
  <c r="I39" i="61"/>
  <c r="M40" i="61"/>
  <c r="B30" i="61"/>
  <c r="C30" i="61"/>
  <c r="D30" i="61"/>
  <c r="H15" i="61"/>
  <c r="M15" i="61"/>
  <c r="M18" i="61"/>
  <c r="G18" i="61"/>
  <c r="L44" i="61"/>
  <c r="F44" i="61"/>
  <c r="D32" i="61"/>
  <c r="J33" i="61"/>
  <c r="I32" i="61"/>
  <c r="E34" i="61"/>
  <c r="M33" i="61"/>
  <c r="J32" i="61"/>
  <c r="F34" i="61"/>
  <c r="I33" i="61"/>
  <c r="J29" i="61"/>
  <c r="E29" i="61"/>
  <c r="H29" i="61"/>
  <c r="H22" i="61"/>
  <c r="J24" i="61"/>
  <c r="L26" i="61"/>
  <c r="K28" i="61"/>
  <c r="J31" i="61"/>
  <c r="I42" i="61"/>
  <c r="F42" i="61"/>
  <c r="G42" i="61"/>
  <c r="M43" i="61"/>
  <c r="J43" i="61"/>
  <c r="M36" i="61"/>
  <c r="J36" i="61"/>
  <c r="H36" i="61"/>
  <c r="F39" i="61"/>
  <c r="J40" i="61"/>
  <c r="C39" i="61"/>
  <c r="G40" i="61"/>
  <c r="K41" i="61"/>
  <c r="D40" i="61"/>
  <c r="H41" i="61"/>
  <c r="M39" i="61"/>
  <c r="E41" i="61"/>
  <c r="F30" i="61"/>
  <c r="G30" i="61"/>
  <c r="H30" i="61"/>
  <c r="G15" i="61"/>
  <c r="L15" i="61"/>
  <c r="H18" i="61"/>
  <c r="E18" i="61"/>
  <c r="K18" i="61"/>
  <c r="E44" i="61"/>
  <c r="J44" i="61"/>
  <c r="H32" i="61"/>
  <c r="D34" i="61"/>
  <c r="M32" i="61"/>
  <c r="I34" i="61"/>
  <c r="K34" i="61"/>
  <c r="D33" i="61"/>
  <c r="J34" i="61"/>
  <c r="G34" i="61"/>
  <c r="C29" i="61"/>
  <c r="I29" i="61"/>
  <c r="L29" i="61"/>
  <c r="I22" i="61"/>
  <c r="L22" i="61"/>
  <c r="G25" i="61"/>
  <c r="I27" i="61"/>
  <c r="H35" i="61"/>
  <c r="J38" i="61"/>
  <c r="J23" i="61"/>
  <c r="L25" i="61"/>
  <c r="H28" i="61"/>
  <c r="M35" i="61"/>
  <c r="I45" i="61"/>
  <c r="K12" i="61"/>
  <c r="M14" i="61"/>
  <c r="I13" i="61"/>
  <c r="J28" i="61"/>
  <c r="I38" i="61"/>
  <c r="L11" i="61"/>
  <c r="M17" i="61"/>
  <c r="M42" i="61"/>
  <c r="J42" i="61"/>
  <c r="K42" i="61"/>
  <c r="C43" i="61"/>
  <c r="H43" i="61"/>
  <c r="I36" i="61"/>
  <c r="E36" i="61"/>
  <c r="B36" i="61"/>
  <c r="J39" i="61"/>
  <c r="B41" i="61"/>
  <c r="G39" i="61"/>
  <c r="K40" i="61"/>
  <c r="D39" i="61"/>
  <c r="H40" i="61"/>
  <c r="L41" i="61"/>
  <c r="E40" i="61"/>
  <c r="I41" i="61"/>
  <c r="J30" i="61"/>
  <c r="K30" i="61"/>
  <c r="L30" i="61"/>
  <c r="K15" i="61"/>
  <c r="E15" i="61"/>
  <c r="L18" i="61"/>
  <c r="F18" i="61"/>
  <c r="D44" i="61"/>
  <c r="I44" i="61"/>
  <c r="G44" i="61"/>
  <c r="L32" i="61"/>
  <c r="H34" i="61"/>
  <c r="G33" i="61"/>
  <c r="M34" i="61"/>
  <c r="L34" i="61"/>
  <c r="H33" i="61"/>
  <c r="G32" i="61"/>
  <c r="B29" i="61"/>
  <c r="G29" i="61"/>
  <c r="M29" i="61"/>
  <c r="I28" i="61"/>
  <c r="H11" i="61"/>
  <c r="I23" i="61"/>
  <c r="K25" i="61"/>
  <c r="M27" i="61"/>
  <c r="L35" i="61"/>
  <c r="H45" i="61"/>
  <c r="L10" i="61"/>
  <c r="G24" i="61"/>
  <c r="I26" i="61"/>
  <c r="L28" i="61"/>
  <c r="G31" i="61"/>
  <c r="J37" i="61"/>
  <c r="M45" i="61"/>
  <c r="I10" i="61"/>
  <c r="H13" i="61"/>
  <c r="J16" i="61"/>
  <c r="M13" i="61"/>
  <c r="G45" i="61"/>
  <c r="M12" i="61"/>
  <c r="L45" i="61"/>
  <c r="L42" i="61"/>
  <c r="D43" i="61"/>
  <c r="L43" i="61"/>
  <c r="B40" i="61"/>
  <c r="H39" i="61"/>
  <c r="M41" i="61"/>
  <c r="I30" i="61"/>
  <c r="J15" i="61"/>
  <c r="H44" i="61"/>
  <c r="E32" i="61"/>
  <c r="L33" i="61"/>
  <c r="D29" i="61"/>
  <c r="H26" i="61"/>
  <c r="M37" i="61"/>
  <c r="M22" i="61"/>
  <c r="J27" i="61"/>
  <c r="I35" i="61"/>
  <c r="I14" i="61"/>
  <c r="H17" i="61"/>
  <c r="L16" i="61"/>
  <c r="H10" i="61"/>
  <c r="H24" i="61"/>
  <c r="J26" i="61"/>
  <c r="L31" i="61"/>
  <c r="H38" i="61"/>
  <c r="K11" i="61"/>
  <c r="K16" i="61"/>
  <c r="G35" i="61"/>
  <c r="I17" i="61"/>
  <c r="K22" i="61"/>
  <c r="M24" i="61"/>
  <c r="H27" i="61"/>
  <c r="M16" i="61"/>
  <c r="B26" i="61"/>
  <c r="E24" i="61"/>
  <c r="D28" i="61"/>
  <c r="E31" i="61"/>
  <c r="C45" i="61"/>
  <c r="B24" i="61"/>
  <c r="C27" i="61"/>
  <c r="F31" i="61"/>
  <c r="F38" i="61"/>
  <c r="C25" i="61"/>
  <c r="D23" i="61"/>
  <c r="D27" i="61"/>
  <c r="C38" i="61"/>
  <c r="E27" i="61"/>
  <c r="E14" i="61"/>
  <c r="F16" i="61"/>
  <c r="H42" i="61"/>
  <c r="B43" i="61"/>
  <c r="C36" i="61"/>
  <c r="F41" i="61"/>
  <c r="L40" i="61"/>
  <c r="E30" i="61"/>
  <c r="M44" i="61"/>
  <c r="K33" i="61"/>
  <c r="E33" i="61"/>
  <c r="G12" i="61"/>
  <c r="G28" i="61"/>
  <c r="K24" i="61"/>
  <c r="G38" i="61"/>
  <c r="M10" i="61"/>
  <c r="G17" i="61"/>
  <c r="M31" i="61"/>
  <c r="G10" i="61"/>
  <c r="M11" i="61"/>
  <c r="L24" i="61"/>
  <c r="G27" i="61"/>
  <c r="J35" i="61"/>
  <c r="L38" i="61"/>
  <c r="H12" i="61"/>
  <c r="L17" i="61"/>
  <c r="L37" i="61"/>
  <c r="I12" i="61"/>
  <c r="I11" i="61"/>
  <c r="H23" i="61"/>
  <c r="J25" i="61"/>
  <c r="L27" i="61"/>
  <c r="H14" i="61"/>
  <c r="I16" i="61"/>
  <c r="D25" i="61"/>
  <c r="D38" i="61"/>
  <c r="F24" i="61"/>
  <c r="E28" i="61"/>
  <c r="D35" i="61"/>
  <c r="D45" i="61"/>
  <c r="F26" i="61"/>
  <c r="E37" i="61"/>
  <c r="C24" i="61"/>
  <c r="B28" i="61"/>
  <c r="C31" i="61"/>
  <c r="E45" i="61"/>
  <c r="C28" i="61"/>
  <c r="F35" i="61"/>
  <c r="E16" i="61"/>
  <c r="E17" i="61"/>
  <c r="E13" i="61"/>
  <c r="F17" i="61"/>
  <c r="D42" i="61"/>
  <c r="K36" i="61"/>
  <c r="K39" i="61"/>
  <c r="E39" i="61"/>
  <c r="M30" i="61"/>
  <c r="I15" i="61"/>
  <c r="I18" i="61"/>
  <c r="K44" i="61"/>
  <c r="K32" i="61"/>
  <c r="F29" i="61"/>
  <c r="H25" i="61"/>
  <c r="K38" i="61"/>
  <c r="J11" i="61"/>
  <c r="K17" i="61"/>
  <c r="H37" i="61"/>
  <c r="K10" i="61"/>
  <c r="G23" i="61"/>
  <c r="I25" i="61"/>
  <c r="K27" i="61"/>
  <c r="G37" i="61"/>
  <c r="J45" i="61"/>
  <c r="J10" i="61"/>
  <c r="L12" i="61"/>
  <c r="M38" i="61"/>
  <c r="G14" i="61"/>
  <c r="G13" i="61"/>
  <c r="L23" i="61"/>
  <c r="G26" i="61"/>
  <c r="J13" i="61"/>
  <c r="J17" i="61"/>
  <c r="B23" i="61"/>
  <c r="C26" i="61"/>
  <c r="F37" i="61"/>
  <c r="F45" i="61"/>
  <c r="E25" i="61"/>
  <c r="C37" i="61"/>
  <c r="D22" i="61"/>
  <c r="B45" i="61"/>
  <c r="F25" i="61"/>
  <c r="F28" i="61"/>
  <c r="E35" i="61"/>
  <c r="E22" i="61"/>
  <c r="F2" i="6" s="1"/>
  <c r="F10" i="61"/>
  <c r="E11" i="61"/>
  <c r="F11" i="61"/>
  <c r="F13" i="61"/>
  <c r="D24" i="61"/>
  <c r="C23" i="61"/>
  <c r="F23" i="61"/>
  <c r="K26" i="61"/>
  <c r="H16" i="61"/>
  <c r="J14" i="61"/>
  <c r="M25" i="61"/>
  <c r="I37" i="61"/>
  <c r="F33" i="61"/>
  <c r="G43" i="61"/>
  <c r="E10" i="61"/>
  <c r="E26" i="61"/>
  <c r="B38" i="61"/>
  <c r="E38" i="61"/>
  <c r="L14" i="61"/>
  <c r="I24" i="61"/>
  <c r="G11" i="61"/>
  <c r="K37" i="61"/>
  <c r="K23" i="61"/>
  <c r="G16" i="61"/>
  <c r="K31" i="61"/>
  <c r="M23" i="61"/>
  <c r="J18" i="61"/>
  <c r="I40" i="61"/>
  <c r="E43" i="61"/>
  <c r="E23" i="61"/>
  <c r="F22" i="61"/>
  <c r="K13" i="61"/>
  <c r="G22" i="61"/>
  <c r="K45" i="61"/>
  <c r="H31" i="61"/>
  <c r="L13" i="61"/>
  <c r="M26" i="61"/>
  <c r="K29" i="61"/>
  <c r="C41" i="61"/>
  <c r="C22" i="61"/>
  <c r="J22" i="61"/>
  <c r="B31" i="61"/>
  <c r="B33" i="61"/>
  <c r="B37" i="61"/>
  <c r="S77" i="41"/>
  <c r="G6" i="26"/>
  <c r="F62" i="26" s="1"/>
  <c r="F60" i="26"/>
  <c r="U2" i="41"/>
  <c r="AM48" i="41"/>
  <c r="Q14" i="40" l="1"/>
  <c r="S14" i="40"/>
  <c r="N29" i="40"/>
  <c r="U77" i="41"/>
  <c r="N17" i="61"/>
  <c r="I53" i="61"/>
  <c r="N35" i="61"/>
  <c r="D52" i="61"/>
  <c r="L53" i="61"/>
  <c r="G53" i="61"/>
  <c r="M53" i="61"/>
  <c r="H53" i="61"/>
  <c r="C53" i="61"/>
  <c r="D53" i="61"/>
  <c r="J53" i="61"/>
  <c r="N12" i="61"/>
  <c r="E53" i="61"/>
  <c r="K53" i="61"/>
  <c r="F53" i="61"/>
  <c r="N45" i="61"/>
  <c r="B53" i="61"/>
  <c r="G67" i="61" s="1"/>
  <c r="N28" i="61"/>
  <c r="N33" i="61"/>
  <c r="N10" i="61"/>
  <c r="E81" i="51"/>
  <c r="H85" i="51" s="1"/>
  <c r="H86" i="51" s="1"/>
  <c r="H87" i="51" s="1"/>
  <c r="N9" i="61"/>
  <c r="N11" i="61"/>
  <c r="N7" i="61"/>
  <c r="N8" i="61"/>
  <c r="N26" i="61"/>
  <c r="G47" i="61"/>
  <c r="F51" i="61"/>
  <c r="G19" i="61"/>
  <c r="E47" i="61"/>
  <c r="F19" i="61"/>
  <c r="B19" i="61"/>
  <c r="C19" i="61"/>
  <c r="K19" i="61"/>
  <c r="J19" i="61"/>
  <c r="L47" i="61"/>
  <c r="L19" i="61"/>
  <c r="K47" i="61"/>
  <c r="I47" i="61"/>
  <c r="H47" i="61"/>
  <c r="D19" i="61"/>
  <c r="I19" i="61"/>
  <c r="H19" i="61"/>
  <c r="M47" i="61"/>
  <c r="E19" i="61"/>
  <c r="K2" i="6"/>
  <c r="J47" i="61"/>
  <c r="D2" i="6"/>
  <c r="C47" i="61"/>
  <c r="G2" i="6"/>
  <c r="F47" i="61"/>
  <c r="E2" i="6"/>
  <c r="D47" i="61"/>
  <c r="C51" i="61"/>
  <c r="D51" i="61"/>
  <c r="B25" i="61"/>
  <c r="N25" i="61" s="1"/>
  <c r="N38" i="61"/>
  <c r="D49" i="61"/>
  <c r="B51" i="61"/>
  <c r="G62" i="61" s="1"/>
  <c r="E52" i="61"/>
  <c r="G49" i="61"/>
  <c r="N23" i="61"/>
  <c r="E49" i="61"/>
  <c r="N31" i="61"/>
  <c r="N6" i="61"/>
  <c r="J51" i="61"/>
  <c r="F49" i="61"/>
  <c r="E51" i="61"/>
  <c r="F52" i="61"/>
  <c r="N16" i="61"/>
  <c r="C52" i="61"/>
  <c r="J52" i="61"/>
  <c r="G51" i="61"/>
  <c r="N3" i="61"/>
  <c r="N43" i="61"/>
  <c r="N24" i="61"/>
  <c r="N36" i="61"/>
  <c r="N34" i="61"/>
  <c r="N15" i="61"/>
  <c r="N42" i="61"/>
  <c r="J49" i="61"/>
  <c r="N14" i="61"/>
  <c r="N29" i="61"/>
  <c r="N30" i="61"/>
  <c r="N39" i="61"/>
  <c r="N41" i="61"/>
  <c r="N32" i="61"/>
  <c r="C49" i="61"/>
  <c r="N13" i="61"/>
  <c r="N40" i="61"/>
  <c r="N44" i="61"/>
  <c r="N18" i="61"/>
  <c r="H2" i="6"/>
  <c r="G52" i="61"/>
  <c r="L51" i="61"/>
  <c r="L49" i="61"/>
  <c r="I51" i="61"/>
  <c r="I49" i="61"/>
  <c r="M19" i="61"/>
  <c r="M51" i="61"/>
  <c r="M49" i="61"/>
  <c r="H49" i="61"/>
  <c r="H51" i="61"/>
  <c r="K52" i="61"/>
  <c r="L2" i="6"/>
  <c r="K51" i="61"/>
  <c r="K49" i="61"/>
  <c r="N2" i="6"/>
  <c r="M52" i="61"/>
  <c r="M2" i="6"/>
  <c r="L52" i="61"/>
  <c r="J2" i="6"/>
  <c r="I52" i="61"/>
  <c r="I2" i="6"/>
  <c r="H52" i="61"/>
  <c r="B27" i="61"/>
  <c r="N27" i="61" s="1"/>
  <c r="N37" i="61"/>
  <c r="P29" i="40" l="1"/>
  <c r="Q29" i="40" s="1"/>
  <c r="L35" i="40" s="1"/>
  <c r="L34" i="40"/>
  <c r="D54" i="61"/>
  <c r="D55" i="61" s="1"/>
  <c r="B57" i="61"/>
  <c r="C57" i="61" s="1"/>
  <c r="D57" i="61" s="1"/>
  <c r="E57" i="61" s="1"/>
  <c r="F57" i="61" s="1"/>
  <c r="G57" i="61" s="1"/>
  <c r="H57" i="61" s="1"/>
  <c r="I57" i="61" s="1"/>
  <c r="J57" i="61" s="1"/>
  <c r="K57" i="61" s="1"/>
  <c r="L57" i="61" s="1"/>
  <c r="M57" i="61" s="1"/>
  <c r="N57" i="61" s="1"/>
  <c r="K17" i="6"/>
  <c r="F54" i="61"/>
  <c r="F55" i="61" s="1"/>
  <c r="K14" i="6"/>
  <c r="K26" i="6" s="1"/>
  <c r="K28" i="6" s="1"/>
  <c r="K16" i="6"/>
  <c r="K30" i="6" s="1"/>
  <c r="K32" i="6" s="1"/>
  <c r="K13" i="6"/>
  <c r="K15" i="6"/>
  <c r="G16" i="6"/>
  <c r="G30" i="6" s="1"/>
  <c r="G32" i="6" s="1"/>
  <c r="E54" i="61"/>
  <c r="E55" i="61" s="1"/>
  <c r="C54" i="61"/>
  <c r="C55" i="61" s="1"/>
  <c r="B22" i="61"/>
  <c r="G68" i="61" s="1"/>
  <c r="K54" i="61"/>
  <c r="K55" i="61" s="1"/>
  <c r="J54" i="61"/>
  <c r="J55" i="61" s="1"/>
  <c r="E15" i="6"/>
  <c r="E13" i="6"/>
  <c r="G54" i="61"/>
  <c r="G55" i="61" s="1"/>
  <c r="E14" i="6"/>
  <c r="E16" i="6"/>
  <c r="E30" i="6" s="1"/>
  <c r="E32" i="6" s="1"/>
  <c r="E17" i="6"/>
  <c r="H54" i="61"/>
  <c r="H55" i="61" s="1"/>
  <c r="M54" i="61"/>
  <c r="M55" i="61" s="1"/>
  <c r="N51" i="61"/>
  <c r="N19" i="61"/>
  <c r="I54" i="61"/>
  <c r="I55" i="61" s="1"/>
  <c r="L54" i="61"/>
  <c r="L55" i="61" s="1"/>
  <c r="T12" i="6"/>
  <c r="T13" i="6"/>
  <c r="T14" i="6"/>
  <c r="T17" i="6"/>
  <c r="N53" i="61"/>
  <c r="F14" i="6"/>
  <c r="F15" i="6"/>
  <c r="F13" i="6"/>
  <c r="F17" i="6"/>
  <c r="F16" i="6"/>
  <c r="F18" i="6" l="1"/>
  <c r="K18" i="6"/>
  <c r="E18" i="6"/>
  <c r="G17" i="6"/>
  <c r="D16" i="6"/>
  <c r="D30" i="6" s="1"/>
  <c r="G14" i="6"/>
  <c r="K84" i="41" s="1"/>
  <c r="E139" i="41" s="1"/>
  <c r="G140" i="41" s="1"/>
  <c r="D14" i="6"/>
  <c r="K81" i="41" s="1"/>
  <c r="E94" i="41" s="1"/>
  <c r="G96" i="41" s="1"/>
  <c r="R21" i="41" s="1"/>
  <c r="S21" i="41" s="1"/>
  <c r="T21" i="41" s="1"/>
  <c r="U21" i="41" s="1"/>
  <c r="D13" i="6"/>
  <c r="G13" i="6"/>
  <c r="D17" i="6"/>
  <c r="D15" i="6"/>
  <c r="G15" i="6"/>
  <c r="G69" i="61"/>
  <c r="B47" i="61"/>
  <c r="N47" i="61" s="1"/>
  <c r="C2" i="6"/>
  <c r="B2" i="6" s="1"/>
  <c r="B52" i="61"/>
  <c r="G63" i="61" s="1"/>
  <c r="B49" i="61"/>
  <c r="N49" i="61" s="1"/>
  <c r="N22" i="61"/>
  <c r="M16" i="6"/>
  <c r="M30" i="6" s="1"/>
  <c r="M32" i="6" s="1"/>
  <c r="M15" i="6"/>
  <c r="M17" i="6"/>
  <c r="M13" i="6"/>
  <c r="N17" i="6"/>
  <c r="M14" i="6"/>
  <c r="M26" i="6" s="1"/>
  <c r="M28" i="6" s="1"/>
  <c r="N16" i="6"/>
  <c r="N30" i="6" s="1"/>
  <c r="N32" i="6" s="1"/>
  <c r="N14" i="6"/>
  <c r="N26" i="6" s="1"/>
  <c r="N28" i="6" s="1"/>
  <c r="N15" i="6"/>
  <c r="N13" i="6"/>
  <c r="E26" i="6"/>
  <c r="E28" i="6" s="1"/>
  <c r="K82" i="41"/>
  <c r="E113" i="41" s="1"/>
  <c r="L17" i="6"/>
  <c r="L16" i="6"/>
  <c r="L30" i="6" s="1"/>
  <c r="L32" i="6" s="1"/>
  <c r="L13" i="6"/>
  <c r="L14" i="6"/>
  <c r="L26" i="6" s="1"/>
  <c r="L28" i="6" s="1"/>
  <c r="L15" i="6"/>
  <c r="I15" i="6"/>
  <c r="I16" i="6"/>
  <c r="I30" i="6" s="1"/>
  <c r="I32" i="6" s="1"/>
  <c r="I17" i="6"/>
  <c r="I14" i="6"/>
  <c r="I13" i="6"/>
  <c r="J14" i="6"/>
  <c r="J17" i="6"/>
  <c r="J15" i="6"/>
  <c r="J16" i="6"/>
  <c r="J30" i="6" s="1"/>
  <c r="J32" i="6" s="1"/>
  <c r="J13" i="6"/>
  <c r="H13" i="6"/>
  <c r="H15" i="6"/>
  <c r="H17" i="6"/>
  <c r="H16" i="6"/>
  <c r="H30" i="6" s="1"/>
  <c r="H32" i="6" s="1"/>
  <c r="H14" i="6"/>
  <c r="F30" i="6"/>
  <c r="F32" i="6" s="1"/>
  <c r="K83" i="41"/>
  <c r="E121" i="41" s="1"/>
  <c r="F26" i="6"/>
  <c r="F28" i="6" s="1"/>
  <c r="J18" i="6" l="1"/>
  <c r="H18" i="6"/>
  <c r="N18" i="6"/>
  <c r="G18" i="6"/>
  <c r="L18" i="6"/>
  <c r="I18" i="6"/>
  <c r="M18" i="6"/>
  <c r="D18" i="6"/>
  <c r="G108" i="41"/>
  <c r="R25" i="41" s="1"/>
  <c r="S25" i="41" s="1"/>
  <c r="T25" i="41" s="1"/>
  <c r="U25" i="41" s="1"/>
  <c r="G106" i="41"/>
  <c r="R12" i="41" s="1"/>
  <c r="S12" i="41" s="1"/>
  <c r="T12" i="41" s="1"/>
  <c r="U12" i="41" s="1"/>
  <c r="G107" i="41"/>
  <c r="R23" i="41" s="1"/>
  <c r="G100" i="41"/>
  <c r="R6" i="41" s="1"/>
  <c r="G103" i="41"/>
  <c r="R11" i="41" s="1"/>
  <c r="G97" i="41"/>
  <c r="G105" i="41"/>
  <c r="R7" i="41" s="1"/>
  <c r="G142" i="41"/>
  <c r="G95" i="41"/>
  <c r="R2" i="41" s="1"/>
  <c r="G99" i="41"/>
  <c r="R9" i="41" s="1"/>
  <c r="G104" i="41"/>
  <c r="R10" i="41" s="1"/>
  <c r="D26" i="6"/>
  <c r="D28" i="6" s="1"/>
  <c r="G26" i="6"/>
  <c r="G28" i="6" s="1"/>
  <c r="G98" i="41"/>
  <c r="R13" i="41" s="1"/>
  <c r="S13" i="41" s="1"/>
  <c r="T13" i="41" s="1"/>
  <c r="U13" i="41" s="1"/>
  <c r="G101" i="41"/>
  <c r="R8" i="41" s="1"/>
  <c r="G102" i="41"/>
  <c r="R5" i="41" s="1"/>
  <c r="G141" i="41"/>
  <c r="G143" i="41"/>
  <c r="D6" i="26"/>
  <c r="B54" i="61"/>
  <c r="D14" i="26"/>
  <c r="N52" i="61"/>
  <c r="B58" i="61"/>
  <c r="C58" i="61" s="1"/>
  <c r="G114" i="41"/>
  <c r="R22" i="41" s="1"/>
  <c r="G116" i="41"/>
  <c r="R27" i="41" s="1"/>
  <c r="S27" i="41" s="1"/>
  <c r="T27" i="41" s="1"/>
  <c r="U27" i="41" s="1"/>
  <c r="G115" i="41"/>
  <c r="R24" i="41" s="1"/>
  <c r="S24" i="41" s="1"/>
  <c r="T24" i="41" s="1"/>
  <c r="U24" i="41" s="1"/>
  <c r="I26" i="6"/>
  <c r="I28" i="6" s="1"/>
  <c r="K86" i="41"/>
  <c r="E152" i="41" s="1"/>
  <c r="H26" i="6"/>
  <c r="H28" i="6" s="1"/>
  <c r="K85" i="41"/>
  <c r="E147" i="41" s="1"/>
  <c r="J26" i="6"/>
  <c r="J28" i="6" s="1"/>
  <c r="K87" i="41"/>
  <c r="D46" i="26"/>
  <c r="E46" i="26" s="1"/>
  <c r="F46" i="26" s="1"/>
  <c r="G46" i="26" s="1"/>
  <c r="D26" i="26"/>
  <c r="D10" i="26"/>
  <c r="D18" i="26"/>
  <c r="D42" i="26"/>
  <c r="C14" i="6"/>
  <c r="C16" i="6"/>
  <c r="C30" i="6" s="1"/>
  <c r="C32" i="6" s="1"/>
  <c r="D54" i="26"/>
  <c r="C15" i="6"/>
  <c r="B15" i="6" s="1"/>
  <c r="D30" i="26"/>
  <c r="D38" i="26"/>
  <c r="C13" i="6"/>
  <c r="B13" i="6" s="1"/>
  <c r="D22" i="26" s="1"/>
  <c r="D58" i="26"/>
  <c r="C17" i="6"/>
  <c r="B17" i="6" s="1"/>
  <c r="G123" i="41"/>
  <c r="R28" i="41" s="1"/>
  <c r="S28" i="41" s="1"/>
  <c r="T28" i="41" s="1"/>
  <c r="U28" i="41" s="1"/>
  <c r="G130" i="41"/>
  <c r="R40" i="41" s="1"/>
  <c r="G135" i="41"/>
  <c r="R30" i="41" s="1"/>
  <c r="S30" i="41" s="1"/>
  <c r="T30" i="41" s="1"/>
  <c r="U30" i="41" s="1"/>
  <c r="G132" i="41"/>
  <c r="R38" i="41" s="1"/>
  <c r="S38" i="41" s="1"/>
  <c r="T38" i="41" s="1"/>
  <c r="U38" i="41" s="1"/>
  <c r="G133" i="41"/>
  <c r="R34" i="41" s="1"/>
  <c r="S34" i="41" s="1"/>
  <c r="T34" i="41" s="1"/>
  <c r="U34" i="41" s="1"/>
  <c r="G129" i="41"/>
  <c r="R36" i="41" s="1"/>
  <c r="G124" i="41"/>
  <c r="R31" i="41" s="1"/>
  <c r="S31" i="41" s="1"/>
  <c r="T31" i="41" s="1"/>
  <c r="U31" i="41" s="1"/>
  <c r="G127" i="41"/>
  <c r="R4" i="41" s="1"/>
  <c r="G125" i="41"/>
  <c r="R20" i="41" s="1"/>
  <c r="G122" i="41"/>
  <c r="R33" i="41" s="1"/>
  <c r="S33" i="41" s="1"/>
  <c r="T33" i="41" s="1"/>
  <c r="U33" i="41" s="1"/>
  <c r="G131" i="41"/>
  <c r="R3" i="41" s="1"/>
  <c r="G134" i="41"/>
  <c r="R29" i="41" s="1"/>
  <c r="S29" i="41" s="1"/>
  <c r="T29" i="41" s="1"/>
  <c r="U29" i="41" s="1"/>
  <c r="G126" i="41"/>
  <c r="R32" i="41" s="1"/>
  <c r="S32" i="41" s="1"/>
  <c r="T32" i="41" s="1"/>
  <c r="U32" i="41" s="1"/>
  <c r="G128" i="41"/>
  <c r="R35" i="41" s="1"/>
  <c r="S35" i="41" s="1"/>
  <c r="T35" i="41" s="1"/>
  <c r="U35" i="41" s="1"/>
  <c r="G64" i="61" l="1"/>
  <c r="G65" i="61" s="1"/>
  <c r="C18" i="6"/>
  <c r="B59" i="61"/>
  <c r="B60" i="61" s="1"/>
  <c r="N54" i="61"/>
  <c r="B55" i="61"/>
  <c r="N55" i="61" s="1"/>
  <c r="G155" i="41"/>
  <c r="G153" i="41"/>
  <c r="G154" i="41"/>
  <c r="G158" i="41"/>
  <c r="G157" i="41"/>
  <c r="G156" i="41"/>
  <c r="G149" i="41"/>
  <c r="R52" i="41" s="1"/>
  <c r="S52" i="41" s="1"/>
  <c r="T52" i="41" s="1"/>
  <c r="U52" i="41" s="1"/>
  <c r="G148" i="41"/>
  <c r="R45" i="41" s="1"/>
  <c r="D58" i="61"/>
  <c r="C59" i="61"/>
  <c r="C60" i="61" s="1"/>
  <c r="B16" i="6"/>
  <c r="D50" i="26" s="1"/>
  <c r="C26" i="6"/>
  <c r="C28" i="6" s="1"/>
  <c r="K80" i="41"/>
  <c r="E81" i="41" s="1"/>
  <c r="B14" i="6"/>
  <c r="D34" i="26" s="1"/>
  <c r="B18" i="6" l="1"/>
  <c r="G86" i="41"/>
  <c r="R17" i="41" s="1"/>
  <c r="S17" i="41" s="1"/>
  <c r="T17" i="41" s="1"/>
  <c r="U17" i="41" s="1"/>
  <c r="G83" i="41"/>
  <c r="G84" i="41"/>
  <c r="G87" i="41"/>
  <c r="R18" i="41" s="1"/>
  <c r="S18" i="41" s="1"/>
  <c r="T18" i="41" s="1"/>
  <c r="U18" i="41" s="1"/>
  <c r="G82" i="41"/>
  <c r="G89" i="41"/>
  <c r="G85" i="41"/>
  <c r="G88" i="41"/>
  <c r="R16" i="41" s="1"/>
  <c r="S16" i="41" s="1"/>
  <c r="T16" i="41" s="1"/>
  <c r="U16" i="41" s="1"/>
  <c r="E58" i="61"/>
  <c r="D59" i="61"/>
  <c r="D60" i="61" s="1"/>
  <c r="R15" i="41" l="1"/>
  <c r="R19" i="41"/>
  <c r="S19" i="41" s="1"/>
  <c r="T19" i="41" s="1"/>
  <c r="U19" i="41" s="1"/>
  <c r="E59" i="61"/>
  <c r="E60" i="61" s="1"/>
  <c r="F58" i="61"/>
  <c r="G58" i="61" l="1"/>
  <c r="F59" i="61"/>
  <c r="F60" i="61" s="1"/>
  <c r="S15" i="41"/>
  <c r="T15" i="41" s="1"/>
  <c r="U15" i="41" s="1"/>
  <c r="R77" i="41"/>
  <c r="H58" i="61" l="1"/>
  <c r="G59" i="61"/>
  <c r="G60" i="61" s="1"/>
  <c r="I58" i="61" l="1"/>
  <c r="H59" i="61"/>
  <c r="H60" i="61" s="1"/>
  <c r="J58" i="61" l="1"/>
  <c r="I59" i="61"/>
  <c r="I60" i="61" s="1"/>
  <c r="J59" i="61" l="1"/>
  <c r="J60" i="61" s="1"/>
  <c r="K58" i="61"/>
  <c r="L58" i="61" l="1"/>
  <c r="K59" i="61"/>
  <c r="K60" i="61" s="1"/>
  <c r="M58" i="61" l="1"/>
  <c r="L59" i="61"/>
  <c r="L60" i="61" s="1"/>
  <c r="M59" i="61" l="1"/>
  <c r="N58" i="61"/>
  <c r="N59" i="61" l="1"/>
  <c r="M60" i="61"/>
  <c r="N60" i="61" s="1"/>
  <c r="R375" i="73"/>
  <c r="S375" i="73" l="1"/>
  <c r="S583" i="73" s="1"/>
  <c r="R583" i="73"/>
  <c r="W375" i="73"/>
  <c r="X375" i="73" l="1"/>
  <c r="X583" i="73" s="1"/>
  <c r="W583" i="73"/>
</calcChain>
</file>

<file path=xl/comments1.xml><?xml version="1.0" encoding="utf-8"?>
<comments xmlns="http://schemas.openxmlformats.org/spreadsheetml/2006/main">
  <authors>
    <author>Damien Marov</author>
  </authors>
  <commentList>
    <comment ref="B23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Final two invoices from Blacktown Council.  FDA 12 &amp; 05</t>
        </r>
      </text>
    </comment>
  </commentList>
</comments>
</file>

<file path=xl/comments2.xml><?xml version="1.0" encoding="utf-8"?>
<comments xmlns="http://schemas.openxmlformats.org/spreadsheetml/2006/main">
  <authors>
    <author>Damien Marov</author>
  </authors>
  <commentList>
    <comment ref="E3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Paid on the 09/09/15</t>
        </r>
      </text>
    </comment>
    <comment ref="O3" authorId="0" shapeId="0">
      <text>
        <r>
          <rPr>
            <b/>
            <sz val="9"/>
            <color indexed="81"/>
            <rFont val="Tahoma"/>
            <family val="2"/>
          </rPr>
          <t>Damien Marov:  Sep1</t>
        </r>
        <r>
          <rPr>
            <sz val="9"/>
            <color indexed="81"/>
            <rFont val="Tahoma"/>
            <family val="2"/>
          </rPr>
          <t xml:space="preserve">
PMWR  $48,720
Materials $ 13,389.62
Cable install  $29,320.33
Splicing,  $11,588.00</t>
        </r>
      </text>
    </comment>
    <comment ref="E4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Paid on the 09/09/15</t>
        </r>
      </text>
    </comment>
    <comment ref="O4" authorId="0" shapeId="0">
      <text>
        <r>
          <rPr>
            <b/>
            <sz val="9"/>
            <color indexed="81"/>
            <rFont val="Tahoma"/>
            <family val="2"/>
          </rPr>
          <t>Damien Marov:  Sep 2</t>
        </r>
        <r>
          <rPr>
            <sz val="9"/>
            <color indexed="81"/>
            <rFont val="Tahoma"/>
            <family val="2"/>
          </rPr>
          <t xml:space="preserve">
Materials,  $15,409.16
PMRWs,  $331,887.00
Cable Install,  $33,255.02
Splicing, $ 14,378.00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Quote as of the 5/11/15</t>
        </r>
      </text>
    </comment>
    <comment ref="I7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Quote as of the 226/11/15</t>
        </r>
      </text>
    </comment>
  </commentList>
</comments>
</file>

<file path=xl/comments3.xml><?xml version="1.0" encoding="utf-8"?>
<comments xmlns="http://schemas.openxmlformats.org/spreadsheetml/2006/main">
  <authors>
    <author>Damien Marov</author>
  </authors>
  <commentList>
    <comment ref="T18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Peter Hanley inability to follow instructions cause dteh job to blow out..</t>
        </r>
      </text>
    </comment>
    <comment ref="U22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High Overhead due to the lack of invoicing for the month.</t>
        </r>
      </text>
    </comment>
    <comment ref="AC23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TBA on the MWA paper work</t>
        </r>
      </text>
    </comment>
    <comment ref="AC27" authorId="0" shapeId="0">
      <text>
        <r>
          <rPr>
            <b/>
            <sz val="9"/>
            <color indexed="81"/>
            <rFont val="Tahoma"/>
            <family val="2"/>
          </rPr>
          <t>Damien Marov:
TBA on MWA</t>
        </r>
      </text>
    </comment>
    <comment ref="AC33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TBA on MWA no date</t>
        </r>
      </text>
    </comment>
  </commentList>
</comments>
</file>

<file path=xl/comments4.xml><?xml version="1.0" encoding="utf-8"?>
<comments xmlns="http://schemas.openxmlformats.org/spreadsheetml/2006/main">
  <authors>
    <author>Damien Marov</author>
  </authors>
  <commentList>
    <comment ref="P20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Including restoration cost.</t>
        </r>
      </text>
    </comment>
  </commentList>
</comments>
</file>

<file path=xl/comments5.xml><?xml version="1.0" encoding="utf-8"?>
<comments xmlns="http://schemas.openxmlformats.org/spreadsheetml/2006/main">
  <authors>
    <author>Damien Marov</author>
  </authors>
  <commentList>
    <comment ref="Q36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Council resto of road crossing and 10%</t>
        </r>
      </text>
    </comment>
    <comment ref="Q90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Check variation amount once compleet</t>
        </r>
      </text>
    </comment>
    <comment ref="N542" authorId="0" shapeId="0">
      <text>
        <r>
          <rPr>
            <b/>
            <sz val="9"/>
            <color indexed="81"/>
            <rFont val="Tahoma"/>
            <family val="2"/>
          </rPr>
          <t>Damien Marov: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<sst xmlns="http://schemas.openxmlformats.org/spreadsheetml/2006/main" count="13352" uniqueCount="3348">
  <si>
    <t>Company</t>
  </si>
  <si>
    <t>Invoice No</t>
  </si>
  <si>
    <t>Date of Invoice</t>
  </si>
  <si>
    <t>Payment Month</t>
  </si>
  <si>
    <t>FDA</t>
  </si>
  <si>
    <t>Cat</t>
  </si>
  <si>
    <t>Amount</t>
  </si>
  <si>
    <t>FDA 03 Drops</t>
  </si>
  <si>
    <t>FDA 02 Drops</t>
  </si>
  <si>
    <t>FDA 01 Drops</t>
  </si>
  <si>
    <t>FDA 11 Drops</t>
  </si>
  <si>
    <t>FDA 13 Drops</t>
  </si>
  <si>
    <t>FDA 09 Drops</t>
  </si>
  <si>
    <t>FDA 10 Drops</t>
  </si>
  <si>
    <t>FDA 12 Drops</t>
  </si>
  <si>
    <t>Overhead</t>
  </si>
  <si>
    <t xml:space="preserve"> </t>
  </si>
  <si>
    <t>Revenue</t>
  </si>
  <si>
    <t>DJC Cost</t>
  </si>
  <si>
    <t>Job No.</t>
  </si>
  <si>
    <t>Job Name</t>
  </si>
  <si>
    <t>ID No.</t>
  </si>
  <si>
    <t>Date</t>
  </si>
  <si>
    <t>Memo</t>
  </si>
  <si>
    <t>Debit</t>
  </si>
  <si>
    <t>Credit</t>
  </si>
  <si>
    <t>Type of Cost</t>
  </si>
  <si>
    <t>(blank)</t>
  </si>
  <si>
    <t>Grand Total</t>
  </si>
  <si>
    <t>Row Labels</t>
  </si>
  <si>
    <t>Sum of Amount</t>
  </si>
  <si>
    <t>Project Cost</t>
  </si>
  <si>
    <t>PipeNetworks</t>
  </si>
  <si>
    <t>FSAM / Job</t>
  </si>
  <si>
    <t>Client</t>
  </si>
  <si>
    <t>Column Labels</t>
  </si>
  <si>
    <t>Actual Cost Overhead + Gilbert</t>
  </si>
  <si>
    <t>Total Revenue</t>
  </si>
  <si>
    <t>Total Cost</t>
  </si>
  <si>
    <t>Total Margin</t>
  </si>
  <si>
    <t>Total Margin %</t>
  </si>
  <si>
    <t>Cumlative Total Revenue Received</t>
  </si>
  <si>
    <t>Cumlative Total Cost</t>
  </si>
  <si>
    <t>Cumlative Total Margin</t>
  </si>
  <si>
    <t>Cumlative Total Margin %</t>
  </si>
  <si>
    <t xml:space="preserve">Cost </t>
  </si>
  <si>
    <t>Sum of Credit</t>
  </si>
  <si>
    <t>OH Allocation</t>
  </si>
  <si>
    <t>PIPE</t>
  </si>
  <si>
    <t>Month Incurred Credit or Debit</t>
  </si>
  <si>
    <t>Sum of Debit</t>
  </si>
  <si>
    <t>Project Revenue</t>
  </si>
  <si>
    <t>Pipe PO No:</t>
  </si>
  <si>
    <t>Datateks Invoice No:</t>
  </si>
  <si>
    <t>Invoice Submission date</t>
  </si>
  <si>
    <t>Invoices paid</t>
  </si>
  <si>
    <t>Description:</t>
  </si>
  <si>
    <t>Submitted Value</t>
  </si>
  <si>
    <t>Remaining Claim</t>
  </si>
  <si>
    <t>Part Claim</t>
  </si>
  <si>
    <t xml:space="preserve">Submitted Invoice </t>
  </si>
  <si>
    <t>Cost</t>
  </si>
  <si>
    <t>Margin</t>
  </si>
  <si>
    <t>Margin %</t>
  </si>
  <si>
    <t>Payment Due</t>
  </si>
  <si>
    <t>Date Submitted</t>
  </si>
  <si>
    <t>Telstra Job Number</t>
  </si>
  <si>
    <t>Material Cost</t>
  </si>
  <si>
    <t>Labour Cost</t>
  </si>
  <si>
    <t>Payment Status</t>
  </si>
  <si>
    <t xml:space="preserve">Difference Revenue vs Cost </t>
  </si>
  <si>
    <t>Network Shortfall Sydney</t>
  </si>
  <si>
    <t>Network Shortfall Canberra</t>
  </si>
  <si>
    <t>Initial Value</t>
  </si>
  <si>
    <t>Blank</t>
  </si>
  <si>
    <t>Actual Premise built</t>
  </si>
  <si>
    <t>Payment Claim Value</t>
  </si>
  <si>
    <t>Actual $/premise</t>
  </si>
  <si>
    <t>Payment Claim Date</t>
  </si>
  <si>
    <t>Comments</t>
  </si>
  <si>
    <t>Total Rev</t>
  </si>
  <si>
    <t>Canberra Net Shortfall: Rev Vs Cost</t>
  </si>
  <si>
    <t>Sydney Net Shortfall: Rev Vs Cost</t>
  </si>
  <si>
    <t>2BLK11 LNDN, Aerial &amp; Drops: Rev Vs Cost</t>
  </si>
  <si>
    <t>PipeNetworks: Rev Vs Cost</t>
  </si>
  <si>
    <t>ServiceStream: Rev Vs Cost</t>
  </si>
  <si>
    <t>Waiting on Council for final quote</t>
  </si>
  <si>
    <t>Actual Payment Date</t>
  </si>
  <si>
    <t>Walkouts</t>
  </si>
  <si>
    <t>%</t>
  </si>
  <si>
    <t>Submitted Invoice Month</t>
  </si>
  <si>
    <t>Average over the project</t>
  </si>
  <si>
    <t>Outstanding payments from Pipe Networks</t>
  </si>
  <si>
    <t>missed payment from March 2015</t>
  </si>
  <si>
    <t>FDA 14 Drops</t>
  </si>
  <si>
    <t xml:space="preserve">25% initial Mob </t>
  </si>
  <si>
    <t>Actual Cost</t>
  </si>
  <si>
    <t>Margin $</t>
  </si>
  <si>
    <t>Syndeticom</t>
  </si>
  <si>
    <t>Datateks or Craig Comms</t>
  </si>
  <si>
    <t>Duplicate</t>
  </si>
  <si>
    <t>Rev @ 100%</t>
  </si>
  <si>
    <t>Total Cost including Over head</t>
  </si>
  <si>
    <t>Total Cost just Direct Sub Contractor Cost</t>
  </si>
  <si>
    <t>Status</t>
  </si>
  <si>
    <t>All FDA Council Resto</t>
  </si>
  <si>
    <t>NBN CO Payment on PC</t>
  </si>
  <si>
    <t>Location</t>
  </si>
  <si>
    <t>Inv No.</t>
  </si>
  <si>
    <t>FSAM/MPS</t>
  </si>
  <si>
    <t>Date Expected Payment</t>
  </si>
  <si>
    <t>NBN PM</t>
  </si>
  <si>
    <t>Month Claimed</t>
  </si>
  <si>
    <t>Sum of Revenue</t>
  </si>
  <si>
    <t>Average of Margin %</t>
  </si>
  <si>
    <t>Sum of Margin</t>
  </si>
  <si>
    <t>Count of Location2</t>
  </si>
  <si>
    <t>Sum of Material Cost</t>
  </si>
  <si>
    <t>Sum of Labour Cost</t>
  </si>
  <si>
    <t>Sep Portion, Drops and Variations</t>
  </si>
  <si>
    <t>2BLK-12 Financials</t>
  </si>
  <si>
    <t>Aerial Walkout Version 1</t>
  </si>
  <si>
    <t>FDA 15 Drops</t>
  </si>
  <si>
    <t>FDA 16 Drops</t>
  </si>
  <si>
    <t>Aerial Walkout Version 2 (32hrs)</t>
  </si>
  <si>
    <t>FDA 02 Peters Street U/G Build</t>
  </si>
  <si>
    <t>FDA 09 Eggleton Street U/G Build</t>
  </si>
  <si>
    <t>Re splicing &amp; Testing of Aerial LSS Cables</t>
  </si>
  <si>
    <t>Revised Actual</t>
  </si>
  <si>
    <t xml:space="preserve">   </t>
  </si>
  <si>
    <t>FDA 02  Dunstable Road</t>
  </si>
  <si>
    <t>FDA 14 Stuart Mould Cr</t>
  </si>
  <si>
    <t>FDA 12 Viola Pl</t>
  </si>
  <si>
    <t>% of Mob $</t>
  </si>
  <si>
    <t>Grand total PMRWs &amp; Drops Initial value</t>
  </si>
  <si>
    <t>Grand total Including variations Estimate</t>
  </si>
  <si>
    <t>NBN Greenfields</t>
  </si>
  <si>
    <t>Sep Portion 1, FDA's 1,2,9,11,12,16</t>
  </si>
  <si>
    <t>Sep Portion 2, FDA 3,10,13,14,15</t>
  </si>
  <si>
    <t>Price per premises</t>
  </si>
  <si>
    <t>Damo</t>
  </si>
  <si>
    <t>O/head Cost per month</t>
  </si>
  <si>
    <t>Steve</t>
  </si>
  <si>
    <t>Peter</t>
  </si>
  <si>
    <t>Peter H</t>
  </si>
  <si>
    <t>Sydeticom: Rev Vs Cost</t>
  </si>
  <si>
    <t>Network Shortfall Central Coast</t>
  </si>
  <si>
    <t>Central Coast  Net Shortfall: Rev Vs Cost</t>
  </si>
  <si>
    <t>Cost at Completion</t>
  </si>
  <si>
    <t>Total Net Margin</t>
  </si>
  <si>
    <t>Average Net Margin</t>
  </si>
  <si>
    <t>Minor Works</t>
  </si>
  <si>
    <t>Payment to date March 2016</t>
  </si>
  <si>
    <t>Margin $ to date March 2016</t>
  </si>
  <si>
    <t>Margin to date March 2016</t>
  </si>
  <si>
    <t>Opti Tip Incident, 2BLK-12-01 LSS-05 MPT 016, 75 Peter St Lalor Park</t>
  </si>
  <si>
    <t>Minor Works Various</t>
  </si>
  <si>
    <t>NBN Greenfields Rev Vs Cost</t>
  </si>
  <si>
    <t>2COR Drops Rev Vs Cost</t>
  </si>
  <si>
    <t>2LJT-04 LNDN Rev Vs Cost</t>
  </si>
  <si>
    <t>2LJT-05 Drops Rev Vs Cost</t>
  </si>
  <si>
    <t>21/04/16</t>
  </si>
  <si>
    <t>26/04/16</t>
  </si>
  <si>
    <t>Magin %</t>
  </si>
  <si>
    <t>Optitip Repair</t>
  </si>
  <si>
    <t>Payment Claim 1</t>
  </si>
  <si>
    <t>Payment Claim 3</t>
  </si>
  <si>
    <t>Payment Claim 2</t>
  </si>
  <si>
    <t>Payment Claim 4</t>
  </si>
  <si>
    <t>Payment Claim 5</t>
  </si>
  <si>
    <t>Payment Claim 6</t>
  </si>
  <si>
    <t>Peters Street Aerial to UG</t>
  </si>
  <si>
    <t>Payment Claim 7</t>
  </si>
  <si>
    <t>Walkout V2 Non Cert Poles and MPT</t>
  </si>
  <si>
    <t>Sep 2 PMRWs</t>
  </si>
  <si>
    <t>Resplicing</t>
  </si>
  <si>
    <t>Totals 2016/17</t>
  </si>
  <si>
    <t>Cost breakup</t>
  </si>
  <si>
    <t>RT622706 - DF Link - Level 1, 28 George Street, Sydney NSW to Level 1, 17-23 Talavera Road,</t>
  </si>
  <si>
    <t>Central Coast</t>
  </si>
  <si>
    <t>2LJT04MPS038</t>
  </si>
  <si>
    <t>1 Daniel Close</t>
  </si>
  <si>
    <t>Sam Mikhail</t>
  </si>
  <si>
    <t>Jul-16</t>
  </si>
  <si>
    <t>Completed and Submitted</t>
  </si>
  <si>
    <t>Inv 11230</t>
  </si>
  <si>
    <t>NBN Co</t>
  </si>
  <si>
    <t>2LJT-04</t>
  </si>
  <si>
    <t>2016 - 17 Financials</t>
  </si>
  <si>
    <t>33 ALDEBARAN ST, CRANEBROOK, NSW 2749</t>
  </si>
  <si>
    <t>Sydney</t>
  </si>
  <si>
    <t>Sam Belani</t>
  </si>
  <si>
    <t>2PTH11MPS028,  2PTH‐11‐13</t>
  </si>
  <si>
    <t>Payment Date</t>
  </si>
  <si>
    <t>Suburb</t>
  </si>
  <si>
    <t>Overhead Cost</t>
  </si>
  <si>
    <t>NBN PO/PM</t>
  </si>
  <si>
    <t xml:space="preserve">AYCA-2PBQFJ 102 Kanahooka Rd </t>
  </si>
  <si>
    <t>Dapto</t>
  </si>
  <si>
    <t>Invoiced</t>
  </si>
  <si>
    <t>Completed and handover forwarded</t>
  </si>
  <si>
    <t>Ertan Cicek</t>
  </si>
  <si>
    <t xml:space="preserve">AYCA-2I7RJL 135 Southern Cross Ave Middleton Grange </t>
  </si>
  <si>
    <t xml:space="preserve">Middleton Grange </t>
  </si>
  <si>
    <t xml:space="preserve">AYCA-2KHI4F The Vault </t>
  </si>
  <si>
    <t>Coffs Harbour</t>
  </si>
  <si>
    <t>Andrew Patalis</t>
  </si>
  <si>
    <t>AYCA-20KSI0 Redgum Ridge Estate</t>
  </si>
  <si>
    <t>Wollongong</t>
  </si>
  <si>
    <t>Prospect</t>
  </si>
  <si>
    <t>Andrew Mahassy</t>
  </si>
  <si>
    <t xml:space="preserve">AYCA-24VU33 Bunya Lot 3075-3077 </t>
  </si>
  <si>
    <t>Doonside</t>
  </si>
  <si>
    <t xml:space="preserve">AYCA-24VUME - Bunya Lot 6208 </t>
  </si>
  <si>
    <t>AYCA-24VSRG - Bunya Lot 2272</t>
  </si>
  <si>
    <t xml:space="preserve">AYCA-24VUGB - Bunya Lot 6000 </t>
  </si>
  <si>
    <t>AYCA-24VU9K - Bunya Lot 5055</t>
  </si>
  <si>
    <t>Inv 11246</t>
  </si>
  <si>
    <t>AYCA‐1F7EBL ‐ Lampada</t>
  </si>
  <si>
    <t>Tamworth</t>
  </si>
  <si>
    <t>Mark Leal</t>
  </si>
  <si>
    <t>AYCA-26BG82 Breakfast Point - 7D3</t>
  </si>
  <si>
    <t>Mortlake/Cabarita</t>
  </si>
  <si>
    <t>Lindy Chan</t>
  </si>
  <si>
    <t>AYCA-2BJH68 -Southlakes Estate</t>
  </si>
  <si>
    <t>Dubbo</t>
  </si>
  <si>
    <t>AYCA-WWC93 - Sugar Valley Lifestyle Estate</t>
  </si>
  <si>
    <t>Newcastle</t>
  </si>
  <si>
    <t>AYCA-2BM7CJ - Magnolia Estate</t>
  </si>
  <si>
    <t>May-16</t>
  </si>
  <si>
    <t>Jun-16</t>
  </si>
  <si>
    <t>Sum of Overhead Cost</t>
  </si>
  <si>
    <t>Sum of Total Cost</t>
  </si>
  <si>
    <t>Inv 11253</t>
  </si>
  <si>
    <t>Inv 11252</t>
  </si>
  <si>
    <t>Inv 11250</t>
  </si>
  <si>
    <t>Inv 11248</t>
  </si>
  <si>
    <t>Inv 11247</t>
  </si>
  <si>
    <t>Inv 11249</t>
  </si>
  <si>
    <t>AYCA-2R1JTT -Greenway</t>
  </si>
  <si>
    <t>Riverstone</t>
  </si>
  <si>
    <t>Aug-16</t>
  </si>
  <si>
    <t>KSJDA</t>
  </si>
  <si>
    <t xml:space="preserve">2LJT-04 FDA-38-PDH-0001 </t>
  </si>
  <si>
    <t>1 Daniel Close ‐ PON Patching</t>
  </si>
  <si>
    <t>PC Due</t>
  </si>
  <si>
    <t>22 Alanson Av Bulli</t>
  </si>
  <si>
    <t>PCD Workmanship 511066‐208073794</t>
  </si>
  <si>
    <t>Ahmad Faqiri</t>
  </si>
  <si>
    <t>Inv 11260</t>
  </si>
  <si>
    <t>Inv 11259</t>
  </si>
  <si>
    <t>AYCA‐1BGK5U Project Independence</t>
  </si>
  <si>
    <t>Crace</t>
  </si>
  <si>
    <t>AYCA‐2Q7AAG Land and Housing Penrith</t>
  </si>
  <si>
    <t>Penrith</t>
  </si>
  <si>
    <t>Paid, 21/07/16</t>
  </si>
  <si>
    <t>Canberra</t>
  </si>
  <si>
    <t>189 Gilmore Road</t>
  </si>
  <si>
    <t>9QBN08MPS028</t>
  </si>
  <si>
    <t>Tina Mok</t>
  </si>
  <si>
    <t>Inv 11275</t>
  </si>
  <si>
    <t>Inv 11276</t>
  </si>
  <si>
    <t>9QBN03 MPS103</t>
  </si>
  <si>
    <t>12 Morisset Street Queanbeyan,  189 Gilmore Road</t>
  </si>
  <si>
    <t>Unit 6 -18 Gilmore Road</t>
  </si>
  <si>
    <t>9QBN05MPS090</t>
  </si>
  <si>
    <t>9QBN05MPS119</t>
  </si>
  <si>
    <t>Unit 5 -83-85 Tharwa Road</t>
  </si>
  <si>
    <t>Inv 11277</t>
  </si>
  <si>
    <t>Inv 11278</t>
  </si>
  <si>
    <t>Schokmans</t>
  </si>
  <si>
    <t>NBN Greenfields AYCA-24VSRG - Bunya Lot 2272</t>
  </si>
  <si>
    <t>NBN Greenfields AYCA-24VU9K - Bunya Lot 5055</t>
  </si>
  <si>
    <t>NBN Greenfields AYCA-24VUJT - Bunya Lot 6207</t>
  </si>
  <si>
    <t>NBN Greenfields AYCA-2R1JTT -Greenway</t>
  </si>
  <si>
    <t xml:space="preserve">NBN Greenfields AYCA-24O1QL - 85 Jamison Road </t>
  </si>
  <si>
    <t>DJC  Cost</t>
  </si>
  <si>
    <t>Inv 11254</t>
  </si>
  <si>
    <t>Date Invoice Created</t>
  </si>
  <si>
    <t>Inv 11312</t>
  </si>
  <si>
    <t>Inv 11311</t>
  </si>
  <si>
    <t>9CVI02MPS095 DCD Priority - TOW000012997405</t>
  </si>
  <si>
    <t>Level 1, 17 Moore St, Canberra</t>
  </si>
  <si>
    <t>9CVI02MPS116 TOW000011288252</t>
  </si>
  <si>
    <t>OFFC 1, Lvl 5 71 NORTHBOURNE AV CANBERRA</t>
  </si>
  <si>
    <t>9CVI02MPS054 TOW000013224012 LOC000140067459</t>
  </si>
  <si>
    <t>GRIFFIN CENTRE ROOM LIFT PHONE, 20 GENGE ST CANBERRA</t>
  </si>
  <si>
    <t>9CVI-02-14-MPT-001 Serial MPT</t>
  </si>
  <si>
    <t>15 Childers St</t>
  </si>
  <si>
    <t>9QBN08MPS044 &amp; 045</t>
  </si>
  <si>
    <t>8 &amp; 10 Nimmitabel ST QUEANBEYAN WEST</t>
  </si>
  <si>
    <t>9CVI-02-19</t>
  </si>
  <si>
    <t>Verity Lane</t>
  </si>
  <si>
    <t>9CVI01MPS061</t>
  </si>
  <si>
    <t>108 Northbourne Ave</t>
  </si>
  <si>
    <t>9CVI02MPS237</t>
  </si>
  <si>
    <t>188 London CCT</t>
  </si>
  <si>
    <t>511066-209291405</t>
  </si>
  <si>
    <t>27 RIVER ST  OAKS ESTATE ACT 2620</t>
  </si>
  <si>
    <t>ORD000055923288 / TOW000013795979</t>
  </si>
  <si>
    <t>MELBOURNE BUILDING SHOP 2, 72 ALINGA ST CANBERRA</t>
  </si>
  <si>
    <t>Inv 11315</t>
  </si>
  <si>
    <t>Inv 11316</t>
  </si>
  <si>
    <t>Inv 11317</t>
  </si>
  <si>
    <t>Inv 11318</t>
  </si>
  <si>
    <t>Inv 11319</t>
  </si>
  <si>
    <t>Inv 11320</t>
  </si>
  <si>
    <t>Inv 11321</t>
  </si>
  <si>
    <t>Inv 11322</t>
  </si>
  <si>
    <t>Inv 11323</t>
  </si>
  <si>
    <t>Inv 11324</t>
  </si>
  <si>
    <t>Adrian Mills</t>
  </si>
  <si>
    <t>Altus</t>
  </si>
  <si>
    <t>Paid 04/08/16</t>
  </si>
  <si>
    <t>GST Inc</t>
  </si>
  <si>
    <t>AYCA-LYZ4T -Wallis Creek</t>
  </si>
  <si>
    <t>Wallis Creek</t>
  </si>
  <si>
    <t>OH Allocation per project vs rev</t>
  </si>
  <si>
    <t>Paid 11/08/16</t>
  </si>
  <si>
    <t>July Overhead</t>
  </si>
  <si>
    <t>July rev Total</t>
  </si>
  <si>
    <t xml:space="preserve">Overhead Cost July </t>
  </si>
  <si>
    <t>Overhead Cost August</t>
  </si>
  <si>
    <t>Overhead Cost Sept</t>
  </si>
  <si>
    <t>Overhead Cost Oct</t>
  </si>
  <si>
    <t>Inv 11335</t>
  </si>
  <si>
    <t xml:space="preserve">2LJT04MPS038 </t>
  </si>
  <si>
    <t>Craig Comms</t>
  </si>
  <si>
    <t>Network Shortfall</t>
  </si>
  <si>
    <t>HELD ORDER 14 Thuroong Pl Cranebrook</t>
  </si>
  <si>
    <t>2PTH‐11‐11</t>
  </si>
  <si>
    <t>Azar Toyserkany</t>
  </si>
  <si>
    <t>DJC</t>
  </si>
  <si>
    <t xml:space="preserve">DJC </t>
  </si>
  <si>
    <t>AYCA-24VU9K - Bunya Lot 5099</t>
  </si>
  <si>
    <t>Inv 11342</t>
  </si>
  <si>
    <t>Inv 11350</t>
  </si>
  <si>
    <t>Inv 11349</t>
  </si>
  <si>
    <t>Inv 11348</t>
  </si>
  <si>
    <t>Inv 11347</t>
  </si>
  <si>
    <t>Inv 11343</t>
  </si>
  <si>
    <t>Inv 11344</t>
  </si>
  <si>
    <t>Inv 11346</t>
  </si>
  <si>
    <t>Aug rev Total</t>
  </si>
  <si>
    <t>Aug Overhead</t>
  </si>
  <si>
    <t>5-25 Berkeley Road, Glenning Valley</t>
  </si>
  <si>
    <t xml:space="preserve">2LJT01MPS014 </t>
  </si>
  <si>
    <t>Jay Shrestha</t>
  </si>
  <si>
    <t>Inv 11345</t>
  </si>
  <si>
    <t>NBN Greenfields AYCA-26BG82 Breakfast Point</t>
  </si>
  <si>
    <t xml:space="preserve">NBN Greenfields AYCA-20KSI0 Redgum Ridge Estate </t>
  </si>
  <si>
    <t xml:space="preserve">NBN Greenfields AYCA-2I7RJL 135 Southern Cross Ave Middleton Grange
</t>
  </si>
  <si>
    <t>AYCA-2AW2N9-  2-10 Tyler street, Campbelltown</t>
  </si>
  <si>
    <t>Casey</t>
  </si>
  <si>
    <t>Campbelltown</t>
  </si>
  <si>
    <t>Robert Taylor</t>
  </si>
  <si>
    <t>Sep-16</t>
  </si>
  <si>
    <t xml:space="preserve">NBN Greenfields AYCA-2BM7CJ - Magnolia Estate
</t>
  </si>
  <si>
    <t>NBN Greenfields AYCA-WWC93-Sugar Valley Lifestyle Estat</t>
  </si>
  <si>
    <t>NBN Greenfields AYCA-2BJH68-Southlakes Estate</t>
  </si>
  <si>
    <t>NBN Greenfields AYCA-2PBQFJ - Kanahooka</t>
  </si>
  <si>
    <t>DJC Internals</t>
  </si>
  <si>
    <t xml:space="preserve">NBN Greenfields AYCA-2KHI4F The Vault </t>
  </si>
  <si>
    <t>IX5257C01 Duct Access Study Request - CA3777096 - Dark Fibre link between Ground Floor, 21 Vidler Avenue Woy Woy NSW and 42 Mann Street, Gosford NSW</t>
  </si>
  <si>
    <t>Sum of Submitted Value</t>
  </si>
  <si>
    <t>Invoice Month</t>
  </si>
  <si>
    <t>Paid 18/08/16</t>
  </si>
  <si>
    <t>John Luker</t>
  </si>
  <si>
    <t>Payment Claim 8</t>
  </si>
  <si>
    <t>Council Restoration</t>
  </si>
  <si>
    <t>Sep 1 PMRW's</t>
  </si>
  <si>
    <t>Inv 11365</t>
  </si>
  <si>
    <t>2GOS-04 Drops</t>
  </si>
  <si>
    <t>2GOS-05 Drops</t>
  </si>
  <si>
    <t xml:space="preserve">175 Walters rd blacktown NSW LOC000135691929 </t>
  </si>
  <si>
    <t>Held Order</t>
  </si>
  <si>
    <t>Inv 11377</t>
  </si>
  <si>
    <t>Paid 23/08/16</t>
  </si>
  <si>
    <r>
      <t xml:space="preserve">RT622706 - DF Link - Level 1, 28 George Street, Sydney NSW to Level 1, 17-23 Talavera Road, </t>
    </r>
    <r>
      <rPr>
        <sz val="11"/>
        <color rgb="FFFF0000"/>
        <rFont val="Calibri"/>
        <family val="2"/>
        <scheme val="minor"/>
      </rPr>
      <t>Splicing</t>
    </r>
  </si>
  <si>
    <t>Internat DJC Cost</t>
  </si>
  <si>
    <t>Sept rev Total</t>
  </si>
  <si>
    <t>Sept Overhead</t>
  </si>
  <si>
    <t>Paid 25/08/16</t>
  </si>
  <si>
    <t xml:space="preserve">RT632496 RT632497 - Cust Project - 30 Ross St to 400 Harris St </t>
  </si>
  <si>
    <t xml:space="preserve">AYCA-35B3CV- Schofield </t>
  </si>
  <si>
    <t>Schofields</t>
  </si>
  <si>
    <t>Inv 11407</t>
  </si>
  <si>
    <t>9QBN08MPS078</t>
  </si>
  <si>
    <t>52 MCCRAE ST</t>
  </si>
  <si>
    <t>MDU Variations_20160727 - 15 Edinburgh Ave</t>
  </si>
  <si>
    <t>9CVI02MPS047</t>
  </si>
  <si>
    <t>9CRC10MPS013</t>
  </si>
  <si>
    <t>TOW000013648577 LOC000110371504 - UNIT 6, 21 KRANTZCKE CCT NICHOLLS</t>
  </si>
  <si>
    <t>9CRC10MPS018</t>
  </si>
  <si>
    <t>TOW000013783470 LOC000112451193 - UNIT 24, 23 TEMPERLEY ST NICHOLLS</t>
  </si>
  <si>
    <t>9CRC10MPS019</t>
  </si>
  <si>
    <t>TOW000013432629 - SHOP 5, 251 CRAWFORD ST QUEANBEYAN</t>
  </si>
  <si>
    <t>9QBN03MPS034</t>
  </si>
  <si>
    <t>Inv 11415</t>
  </si>
  <si>
    <t>Inv 11414</t>
  </si>
  <si>
    <t>Inv 11416</t>
  </si>
  <si>
    <t>Inv 11411</t>
  </si>
  <si>
    <t>Inv 11412</t>
  </si>
  <si>
    <t>Inv 11413</t>
  </si>
  <si>
    <t>Oct-16</t>
  </si>
  <si>
    <t xml:space="preserve">AYCA-2LWX4U-2MAI-02-Finch Crescent </t>
  </si>
  <si>
    <t>Maitland</t>
  </si>
  <si>
    <t>AYCA-2CZWG0 - ARV Kingswood</t>
  </si>
  <si>
    <t>Kingswood</t>
  </si>
  <si>
    <t>Paid 06/09/16</t>
  </si>
  <si>
    <t>Inv 11417</t>
  </si>
  <si>
    <t>Added 2015-16 figures</t>
  </si>
  <si>
    <t>Include in the figure is the 2015-16 numbers</t>
  </si>
  <si>
    <t>AYCA-2DJ6MC Peterson Estate 3 Stage 3B</t>
  </si>
  <si>
    <t>Armidale</t>
  </si>
  <si>
    <t xml:space="preserve">ORD000056464722 / TOW000013947443 </t>
  </si>
  <si>
    <t>UNIT 5, 319 MANN ST  GOSFORD</t>
  </si>
  <si>
    <t>Inv 11426</t>
  </si>
  <si>
    <t xml:space="preserve">TOW000014456761 </t>
  </si>
  <si>
    <t>25 Hutton Road Held Order</t>
  </si>
  <si>
    <t>NBN Greenfields AYCA-2BU21S-Block 7 Section 136 Casey</t>
  </si>
  <si>
    <t>AYCA-1WQ908 McCauleys Beach - Lots 600-619</t>
  </si>
  <si>
    <t>Bulli</t>
  </si>
  <si>
    <t>Inv 11419</t>
  </si>
  <si>
    <t>Inv 11418</t>
  </si>
  <si>
    <t>NBN Minor Works</t>
  </si>
  <si>
    <t>NBN Greenfields AYCA‐1BGK5U Project Independence</t>
  </si>
  <si>
    <t>NBN Greenfields AYCA-LYZ4T -Wallis Creek</t>
  </si>
  <si>
    <t>Inv 11339</t>
  </si>
  <si>
    <t>Inv 11340</t>
  </si>
  <si>
    <t>NBN Greenfield AYCA‐1F7EBL ‐ Lampada</t>
  </si>
  <si>
    <t xml:space="preserve">NBN Greenfields AYCA-24VUME - Bunya Lot 6208 </t>
  </si>
  <si>
    <t xml:space="preserve">NBN Greenfields AYCA-24VUGB - Bunya Lot 6000 </t>
  </si>
  <si>
    <t xml:space="preserve">NBN Greenfields AYCA-24VU33 Bunya Lot 3075-3077 </t>
  </si>
  <si>
    <t xml:space="preserve">NBN Greenfields AYCA-24VU6N - Bunya Lot 5014 </t>
  </si>
  <si>
    <t>NBN Greenfields AYCA-24VU9K - Bunya Lot 5099</t>
  </si>
  <si>
    <t>NBN Greenfields AYCA‐2Q7AAG Land and Housing Penrith</t>
  </si>
  <si>
    <t xml:space="preserve">2WLG-08-03 </t>
  </si>
  <si>
    <t xml:space="preserve">2WLG-08-00-MPS-201 </t>
  </si>
  <si>
    <t xml:space="preserve">2WLG-08-00-MPS-152 </t>
  </si>
  <si>
    <t>Unit 7, 70-74 Smith St</t>
  </si>
  <si>
    <t>Unit 2, 4 Market Place</t>
  </si>
  <si>
    <t>TOW000013903053 LOC000110936522 - UNIT 8, 15 FREDA BENNETT CCT NICHOLLS</t>
  </si>
  <si>
    <t>7 Flinders St</t>
  </si>
  <si>
    <t>AYCA-NGFYK-Wentworth Point LOT 9</t>
  </si>
  <si>
    <t>Silverwater</t>
  </si>
  <si>
    <t>Mark leal</t>
  </si>
  <si>
    <t>Wyong</t>
  </si>
  <si>
    <t>AYCA 1780KC Johns Road Wadalba</t>
  </si>
  <si>
    <t>Gosford</t>
  </si>
  <si>
    <t xml:space="preserve">AYCA-3B3VXN-Mann Street Gosford </t>
  </si>
  <si>
    <t>Inv 11445</t>
  </si>
  <si>
    <t>Inv 11446</t>
  </si>
  <si>
    <t>Inv 11438</t>
  </si>
  <si>
    <t>Paid 15/09/16</t>
  </si>
  <si>
    <t>Paid 13/09/16</t>
  </si>
  <si>
    <t>Lot 2, 175 Walters rd blacktown</t>
  </si>
  <si>
    <t>AYCA-1QR3ND Hillview Rise</t>
  </si>
  <si>
    <t>Kellyville</t>
  </si>
  <si>
    <t>Glenfield</t>
  </si>
  <si>
    <t>Oct rev Total</t>
  </si>
  <si>
    <t>Oct Overhead</t>
  </si>
  <si>
    <t>Inv 11474</t>
  </si>
  <si>
    <t>Inv 11476</t>
  </si>
  <si>
    <t>inv 11475</t>
  </si>
  <si>
    <t>Inv 11477</t>
  </si>
  <si>
    <t>Inv 11478</t>
  </si>
  <si>
    <t>Paid 22/09/16</t>
  </si>
  <si>
    <t>2WLG-08</t>
  </si>
  <si>
    <t>RT625696, CN25786 (External/Internal Hauling, Splicing) 21 Vidler Avenue Woy Woy NSW and 42 Mann Street, Gosford NSW</t>
  </si>
  <si>
    <t>Paid 27/09/16</t>
  </si>
  <si>
    <t>Inv 11496</t>
  </si>
  <si>
    <t xml:space="preserve">9CRC-02 TOW000010473767  </t>
  </si>
  <si>
    <t>ACTEW AGL Power Substation - Mirrabei Dr, Ngunnawal</t>
  </si>
  <si>
    <t xml:space="preserve">9CVI02MPS166 TOW000014090216 </t>
  </si>
  <si>
    <t>SE1 22 Garema Pl</t>
  </si>
  <si>
    <t>9QBN03MPS106 - TOW000012704932</t>
  </si>
  <si>
    <t>7-9 Morriset St</t>
  </si>
  <si>
    <t>Inv - 11504</t>
  </si>
  <si>
    <t>Inv - 11502</t>
  </si>
  <si>
    <t>Inv - 11503</t>
  </si>
  <si>
    <t>Inv 11511</t>
  </si>
  <si>
    <t>Inv 11514</t>
  </si>
  <si>
    <t>Shaher Aslam / Jay Shrestha</t>
  </si>
  <si>
    <t>Status Won / Loss</t>
  </si>
  <si>
    <t>Won</t>
  </si>
  <si>
    <t>Type of Work</t>
  </si>
  <si>
    <t>Held Orders</t>
  </si>
  <si>
    <t>Huntingwood</t>
  </si>
  <si>
    <t>2WLG-01 &amp; 2WLG-02</t>
  </si>
  <si>
    <t>Various Loactions within 01 &amp; 02</t>
  </si>
  <si>
    <t>Liverpool</t>
  </si>
  <si>
    <t>AYCA-1RX8QD Redgum Ridge Estate - 12</t>
  </si>
  <si>
    <t>Amount Quoted</t>
  </si>
  <si>
    <t>Won quote</t>
  </si>
  <si>
    <t>AYCA-2E2WXJ - Shallows 6</t>
  </si>
  <si>
    <t>Nov-16</t>
  </si>
  <si>
    <t>Customer required date</t>
  </si>
  <si>
    <t>Project Award Date</t>
  </si>
  <si>
    <t>Project Quote Submitted</t>
  </si>
  <si>
    <t>Difference CRD to Award</t>
  </si>
  <si>
    <t>Days to Award</t>
  </si>
  <si>
    <t>Days average for PC Accpetance</t>
  </si>
  <si>
    <t>PM</t>
  </si>
  <si>
    <t>Site Name</t>
  </si>
  <si>
    <t>Pending on Outcome</t>
  </si>
  <si>
    <t>Quoted Sum Won</t>
  </si>
  <si>
    <t>PC Request Submit Date</t>
  </si>
  <si>
    <t>PC Due Date</t>
  </si>
  <si>
    <t>PC Cert issued</t>
  </si>
  <si>
    <t>Date PC Approved</t>
  </si>
  <si>
    <t>Day difference between PC Request and PC Granted</t>
  </si>
  <si>
    <t>Quoted Sum Loss</t>
  </si>
  <si>
    <t>Won Less than $2K</t>
  </si>
  <si>
    <t>Won Greater than 2K to 5K</t>
  </si>
  <si>
    <t>Won Greater than 5K</t>
  </si>
  <si>
    <t>Count of Quoted Sum Won</t>
  </si>
  <si>
    <t>Dave Yoemans</t>
  </si>
  <si>
    <t>Michael Tran</t>
  </si>
  <si>
    <t>Count of Won Less than $2K</t>
  </si>
  <si>
    <t>Count of Won Greater than 2K to 5K</t>
  </si>
  <si>
    <t>Count of Won Greater than 5K</t>
  </si>
  <si>
    <t>Count of Site Name</t>
  </si>
  <si>
    <t>Count of Quoted Sum Loss</t>
  </si>
  <si>
    <t>Count of Pending on Outcome</t>
  </si>
  <si>
    <t>Sum of Quoted Sum Won</t>
  </si>
  <si>
    <t xml:space="preserve">AYCA-2FOK7Q - RedBank Estate - 4 </t>
  </si>
  <si>
    <t>AYCA-1WA1Y6 21-24 Railway Road Meadowbank</t>
  </si>
  <si>
    <t>Date Project Completions handed over</t>
  </si>
  <si>
    <t xml:space="preserve">AYCA-3FV0PQ - 60 Industrial Drive 1 &amp; 2 </t>
  </si>
  <si>
    <t>Inv 11552</t>
  </si>
  <si>
    <t>Inv 11551</t>
  </si>
  <si>
    <t>Inv 11549</t>
  </si>
  <si>
    <t>Inv 11553</t>
  </si>
  <si>
    <t>Total Hours</t>
  </si>
  <si>
    <t xml:space="preserve">NBN Greenfields AYCA-35B3CV- Schofield </t>
  </si>
  <si>
    <t>NBN Greenfields AYCA 1780KC Johns Road Wadalba</t>
  </si>
  <si>
    <t>NBN Greenfields AYCA-LYZ4T- Wallis Creek</t>
  </si>
  <si>
    <t>Anna Juranic</t>
  </si>
  <si>
    <t>State</t>
  </si>
  <si>
    <t>NSW</t>
  </si>
  <si>
    <t>ACT</t>
  </si>
  <si>
    <t>Shaher Aslam</t>
  </si>
  <si>
    <t xml:space="preserve">AYCA-2N2GYJ - Tatton Park - 6 </t>
  </si>
  <si>
    <t>Paid 18/10/16</t>
  </si>
  <si>
    <t>Win % per PM</t>
  </si>
  <si>
    <t>Total Jobs Per PM</t>
  </si>
  <si>
    <r>
      <t xml:space="preserve">AYCA-24VUJT - Bunya Lot 6207 </t>
    </r>
    <r>
      <rPr>
        <sz val="11"/>
        <color rgb="FFFF0000"/>
        <rFont val="Arial Narrow"/>
        <family val="2"/>
      </rPr>
      <t>+ vari PON Patch</t>
    </r>
  </si>
  <si>
    <r>
      <t xml:space="preserve">AYCA-24VU6N - Bunya Lot 5014 </t>
    </r>
    <r>
      <rPr>
        <sz val="11"/>
        <color rgb="FFFF0000"/>
        <rFont val="Arial Narrow"/>
        <family val="2"/>
      </rPr>
      <t>+ vari PON Patch</t>
    </r>
  </si>
  <si>
    <r>
      <t xml:space="preserve">AYCA-24O1QL - 85 Jamison Road </t>
    </r>
    <r>
      <rPr>
        <sz val="11"/>
        <color rgb="FFFF0000"/>
        <rFont val="Arial Narrow"/>
        <family val="2"/>
      </rPr>
      <t>+ Vari for Breakout &amp; temp resto</t>
    </r>
  </si>
  <si>
    <r>
      <t xml:space="preserve">AYCA-2BU21S -  Block 7 Section 136 Casey </t>
    </r>
    <r>
      <rPr>
        <sz val="11"/>
        <color rgb="FFFF0000"/>
        <rFont val="Arial Narrow"/>
        <family val="2"/>
      </rPr>
      <t>including Casey and Kanahooka vari</t>
    </r>
  </si>
  <si>
    <t>Shell Harbour</t>
  </si>
  <si>
    <t>Figtree</t>
  </si>
  <si>
    <t>Boambee Valley</t>
  </si>
  <si>
    <t>Inv 11568</t>
  </si>
  <si>
    <t>AYCA-32OIQA Gracewood Kellyville</t>
  </si>
  <si>
    <t>Inv 11567</t>
  </si>
  <si>
    <t>NBN Minor Works Various Rev Vs Cost</t>
  </si>
  <si>
    <t>Meadowbank</t>
  </si>
  <si>
    <t>Dec-16</t>
  </si>
  <si>
    <t>AYCA-2XCYEX Elysium, 47-49 Mowatt Street,</t>
  </si>
  <si>
    <t>Queanbeyan</t>
  </si>
  <si>
    <t>AYCA-2DSDPB-3 Glenfield Road, Glenfield + Variation</t>
  </si>
  <si>
    <t xml:space="preserve">Total </t>
  </si>
  <si>
    <t>Inv 11580</t>
  </si>
  <si>
    <t>Inv 11581</t>
  </si>
  <si>
    <t>Inv 11582</t>
  </si>
  <si>
    <t>Inv 11583</t>
  </si>
  <si>
    <t>Inv 11587</t>
  </si>
  <si>
    <t>Inv 11586</t>
  </si>
  <si>
    <t>AYCA‐22IZTU Charles Sturt Estate ‐ 4B</t>
  </si>
  <si>
    <t>AYCA-1W6XSN - Alex Ave Schofields - 7A</t>
  </si>
  <si>
    <t>Craig</t>
  </si>
  <si>
    <t>Loss Quotes</t>
  </si>
  <si>
    <r>
      <t>AYCA-2PFFWC - 19 Brae Street, Prospect</t>
    </r>
    <r>
      <rPr>
        <sz val="11"/>
        <color rgb="FFFF0000"/>
        <rFont val="Arial Narrow"/>
        <family val="2"/>
      </rPr>
      <t xml:space="preserve"> and Variation</t>
    </r>
  </si>
  <si>
    <t>NBN Greenfields - AYCA-2CZWG0 - ARV Kingswood</t>
  </si>
  <si>
    <t>NBN Greenfields - AYCA-1QR3ND Hillview Rise</t>
  </si>
  <si>
    <t>NBN Greenfields - AYCA-NGFYK-Wentworth Point LOT 9</t>
  </si>
  <si>
    <t>Central Coast Council</t>
  </si>
  <si>
    <t>AYCA-3HNMNR - Uraga Pty Ltd ATF The Uraga Family Trust</t>
  </si>
  <si>
    <t>Edmondson Park</t>
  </si>
  <si>
    <t>Milan Khanal</t>
  </si>
  <si>
    <t>Inv 11661</t>
  </si>
  <si>
    <t>NBN Greenfields AYCA-1WQ908 McCauleys Beach - Lots 600-619</t>
  </si>
  <si>
    <t>NBN Greenfields AYCA-NGFYK-Wentworth Point LOT 9</t>
  </si>
  <si>
    <t>NBN Greenfields  AYCA-2PFFWC-19 Brae Street, Prospect</t>
  </si>
  <si>
    <t>NBN Greenfields  AYCA-1QR3ND Hillview Rise</t>
  </si>
  <si>
    <t>NBN Greenfields AYCA-2DSDBP - 3 Glenfield Road, Glenfield - 1</t>
  </si>
  <si>
    <t>NBN Greenfields AYCA-2N2GYJ – Tatton Park -6</t>
  </si>
  <si>
    <t xml:space="preserve">NBN Greenfields  AYCA-1RX8QD Redgum Ridge Estate – 12 </t>
  </si>
  <si>
    <t xml:space="preserve">NBN Greenfields AYCA-2E2WXJ - Shallows 6 </t>
  </si>
  <si>
    <t xml:space="preserve">NBN Greenfields AYCA-3B3VXN-Mann Street Gosford </t>
  </si>
  <si>
    <t>NBN Greenfields AYCA-2CZWG0-ARV Kingswood</t>
  </si>
  <si>
    <t>NBN Greenfields AYCA-2DJ6MC Peterson Estate Stage 3 - 3B</t>
  </si>
  <si>
    <t>Paid 29/09/16</t>
  </si>
  <si>
    <t>Paid 23/09/16</t>
  </si>
  <si>
    <t>Paid 1/09/16</t>
  </si>
  <si>
    <t>Paid 30/09/16</t>
  </si>
  <si>
    <t xml:space="preserve">NBN Greenfields AYCA-2LWX4U-2MAI-02-Finch Crescent </t>
  </si>
  <si>
    <t>Project V</t>
  </si>
  <si>
    <t>Date(s)</t>
  </si>
  <si>
    <t>Name</t>
  </si>
  <si>
    <t>Time In</t>
  </si>
  <si>
    <t>Time Out</t>
  </si>
  <si>
    <t>Hours Worked</t>
  </si>
  <si>
    <t>Break</t>
  </si>
  <si>
    <t>Craig Smith</t>
  </si>
  <si>
    <t>Peter Henley</t>
  </si>
  <si>
    <t>Martin Pether</t>
  </si>
  <si>
    <t>Tobie Hynes</t>
  </si>
  <si>
    <t>NENSW0226-2MSV-02-68 Elizabeth Street, Moss Vale V2</t>
  </si>
  <si>
    <t>NENSW0156 - 2TAH-01-62-64 Menangle Rd, Picton V2</t>
  </si>
  <si>
    <t>Moss Vale</t>
  </si>
  <si>
    <t>Picton</t>
  </si>
  <si>
    <t>NBN Greenfields AYCA-2GRPSA 2 Barney St Kiama</t>
  </si>
  <si>
    <t>Others</t>
  </si>
  <si>
    <t>Craig Comm Nov</t>
  </si>
  <si>
    <t>Peter Hanley</t>
  </si>
  <si>
    <t>hrs</t>
  </si>
  <si>
    <t>Nelson Bay</t>
  </si>
  <si>
    <t>Inv 11660</t>
  </si>
  <si>
    <t>Net %</t>
  </si>
  <si>
    <t>Craig Comm Oct</t>
  </si>
  <si>
    <t>Jan-17</t>
  </si>
  <si>
    <t>Variation</t>
  </si>
  <si>
    <t>Blue Mountains</t>
  </si>
  <si>
    <t xml:space="preserve">AYCA-2B2DZQ - Greenview Parade - 1 </t>
  </si>
  <si>
    <t>Nov Rev Total</t>
  </si>
  <si>
    <t>Nov O/Head</t>
  </si>
  <si>
    <t>Overhead Cost Nov</t>
  </si>
  <si>
    <t>Overhead Cost Dec</t>
  </si>
  <si>
    <t xml:space="preserve">AYCA-157236 - Macquarie Park Village - 1 </t>
  </si>
  <si>
    <t>Inv 11764</t>
  </si>
  <si>
    <t>Inv 11763</t>
  </si>
  <si>
    <t>Inv 11755</t>
  </si>
  <si>
    <t>AYCA-2HQZXU - Remembrance Drive - 1D</t>
  </si>
  <si>
    <t>Camden</t>
  </si>
  <si>
    <t>2LIV-04</t>
  </si>
  <si>
    <t>AYCA-1RO4NM - 31 CROWN STREET</t>
  </si>
  <si>
    <t>AYCA-23JF57 - Charlotte Gardens - 1</t>
  </si>
  <si>
    <t>Inv 11793</t>
  </si>
  <si>
    <t>Inv 11800</t>
  </si>
  <si>
    <t>AYCA-428F2C - 167-173 Foxall</t>
  </si>
  <si>
    <t>Test Equipment &amp; Tools</t>
  </si>
  <si>
    <t>Cost Code</t>
  </si>
  <si>
    <t>2BLK-11 LNDN + Variations</t>
  </si>
  <si>
    <t>Servicestream</t>
  </si>
  <si>
    <t>Overhead Credit</t>
  </si>
  <si>
    <t>Telstra</t>
  </si>
  <si>
    <t>2BLK-12 PMRWs</t>
  </si>
  <si>
    <t>Sum</t>
  </si>
  <si>
    <t xml:space="preserve">NBN Greenfields - AYCA-32OIQA - Gracewood Kellyville </t>
  </si>
  <si>
    <t>NBN Greenfields - AYCA‐2Q7AAG Land and Housing Penrith</t>
  </si>
  <si>
    <t xml:space="preserve">NBN Greenfields - AYCA-2B2DZQ - Greenview Parade </t>
  </si>
  <si>
    <t>NBN Greenfields - AYCA-37LWLY - Backhouse Street</t>
  </si>
  <si>
    <t>NBN Greenfields - AYCA-32OUIO - 5-7 Wonga Street, Canterbury</t>
  </si>
  <si>
    <t>NBN Greenfields - AYCA-3HNMNR - Uraga</t>
  </si>
  <si>
    <t>AYCA-32OUIO - 5-7 Wonga Street, Canterbury</t>
  </si>
  <si>
    <t>Canterbury</t>
  </si>
  <si>
    <t>AYCA-3G7XGQ    Loaders Lane Coffs Harbour - 2A.</t>
  </si>
  <si>
    <t xml:space="preserve">Vipin K Gajula </t>
  </si>
  <si>
    <t>AYCA-30IORM - Luxe on Eve - 1</t>
  </si>
  <si>
    <t>Newtown</t>
  </si>
  <si>
    <t>Hornsby</t>
  </si>
  <si>
    <t>Feb-17</t>
  </si>
  <si>
    <t>Mar-17</t>
  </si>
  <si>
    <t>Inv 11869</t>
  </si>
  <si>
    <t>Inv 11871</t>
  </si>
  <si>
    <t>AYCA-39BLYW - 18 Victoria St, Coffs Harbour – 1</t>
  </si>
  <si>
    <t xml:space="preserve">AYCA-3OGHM6 - Botanica - Lidcombe - 88a </t>
  </si>
  <si>
    <t xml:space="preserve"> AYCA-2LPEZ4 - 2-6 Messiter Street Campsie - 1</t>
  </si>
  <si>
    <t>AYCA-3DOTZW - Industrial Development at 6 Money Close</t>
  </si>
  <si>
    <t>AYCA-36D744 - Grace-SHA - 1 Version 2</t>
  </si>
  <si>
    <t>Inv 11885</t>
  </si>
  <si>
    <t>AYCA-2N2GU7 - Tatton Park – 8</t>
  </si>
  <si>
    <t>Smeaton Grange</t>
  </si>
  <si>
    <r>
      <t xml:space="preserve">AYCA-3P61JX-Princes Court - 1 </t>
    </r>
    <r>
      <rPr>
        <sz val="11"/>
        <color rgb="FFFF3300"/>
        <rFont val="Arial Narrow"/>
        <family val="2"/>
      </rPr>
      <t>copper</t>
    </r>
  </si>
  <si>
    <r>
      <t xml:space="preserve">AYCA-3H6ZBG - 61 Smeaton Grange Rd Smeaton Grange, </t>
    </r>
    <r>
      <rPr>
        <sz val="11"/>
        <color rgb="FFFF3300"/>
        <rFont val="Arial Narrow"/>
        <family val="2"/>
      </rPr>
      <t>copper</t>
    </r>
  </si>
  <si>
    <r>
      <t xml:space="preserve">AYCA-37LWLY - Backhouse Street - 1 </t>
    </r>
    <r>
      <rPr>
        <sz val="11"/>
        <color rgb="FFFF3300"/>
        <rFont val="Arial Narrow"/>
        <family val="2"/>
      </rPr>
      <t>Copper</t>
    </r>
  </si>
  <si>
    <r>
      <t xml:space="preserve">AYCA-32ARIB – Dowling Street </t>
    </r>
    <r>
      <rPr>
        <sz val="11"/>
        <color rgb="FFFF3300"/>
        <rFont val="Arial Narrow"/>
        <family val="2"/>
      </rPr>
      <t>Copper</t>
    </r>
  </si>
  <si>
    <t>Overhead Cost Jan 2017</t>
  </si>
  <si>
    <t>Overhead Cost Feb 2017</t>
  </si>
  <si>
    <t>Dec Rev Total</t>
  </si>
  <si>
    <t>Dec O/H Total</t>
  </si>
  <si>
    <t>Jan O/H Total</t>
  </si>
  <si>
    <t>Jan Rev Total</t>
  </si>
  <si>
    <t xml:space="preserve">AYCA-3HE07T - 37 Bridge Street - 1 </t>
  </si>
  <si>
    <t>Campsie</t>
  </si>
  <si>
    <t>AYCA-3LJLKQ - 72 CAM ST CAMBRIDGE PARK - 1</t>
  </si>
  <si>
    <t>AYCA-2ONMWX -  Brookwood Estate - 2</t>
  </si>
  <si>
    <t>Lidcombe</t>
  </si>
  <si>
    <r>
      <t xml:space="preserve">AYCA-35RM69 - 209 Hill St – 3 </t>
    </r>
    <r>
      <rPr>
        <sz val="11"/>
        <color rgb="FFFF0000"/>
        <rFont val="Arial Narrow"/>
        <family val="2"/>
      </rPr>
      <t>Copper</t>
    </r>
  </si>
  <si>
    <t>Emmanual</t>
  </si>
  <si>
    <t>Michael Tram</t>
  </si>
  <si>
    <t>AYCA-2XQPKW - Australian Int'l Academy Kellyville - 3</t>
  </si>
  <si>
    <t>Rouse Hill</t>
  </si>
  <si>
    <t>Inv 11938</t>
  </si>
  <si>
    <t xml:space="preserve">2WLG - MPS-062-144-191-190-197-241 &amp; 2WLG-08 </t>
  </si>
  <si>
    <t>Nth Ryde</t>
  </si>
  <si>
    <t>Inv 11947</t>
  </si>
  <si>
    <t xml:space="preserve"> AYCA-3A6FG3 - Roseglass - 1</t>
  </si>
  <si>
    <t>Inv 19955</t>
  </si>
  <si>
    <t>Orange</t>
  </si>
  <si>
    <t>TBA</t>
  </si>
  <si>
    <t>Inv 11967</t>
  </si>
  <si>
    <t>Inv 11966</t>
  </si>
  <si>
    <t>Sum of Total Revenue</t>
  </si>
  <si>
    <t>Inv 11965</t>
  </si>
  <si>
    <t>Inv 11970</t>
  </si>
  <si>
    <t>Kiama</t>
  </si>
  <si>
    <t>Inv 11972</t>
  </si>
  <si>
    <t>NBN A417 Greenfield &amp; MDU</t>
  </si>
  <si>
    <t>NBN Greenfields, Minor Works</t>
  </si>
  <si>
    <t>Contract</t>
  </si>
  <si>
    <t>A417 Greenfield MDU</t>
  </si>
  <si>
    <t>A401/Greenfield</t>
  </si>
  <si>
    <t>A401/Minor works</t>
  </si>
  <si>
    <t>Long Jetty</t>
  </si>
  <si>
    <t>Jan-00</t>
  </si>
  <si>
    <t>May-17</t>
  </si>
  <si>
    <t xml:space="preserve">NBN Greenfields - AYCA-24O1QL - 85 Jamison Road </t>
  </si>
  <si>
    <t>PC Request Date Submitted</t>
  </si>
  <si>
    <t>Sth Coast</t>
  </si>
  <si>
    <t>Central West</t>
  </si>
  <si>
    <t>Nth Coast</t>
  </si>
  <si>
    <t>Blacktown</t>
  </si>
  <si>
    <t>Coniston</t>
  </si>
  <si>
    <t>Nabeel Jaimon</t>
  </si>
  <si>
    <t>L&amp;M Trenchless</t>
  </si>
  <si>
    <t>Inv 1207</t>
  </si>
  <si>
    <t>AYCA-2IMIS4 - Merewether St  Llewellyn St Merewether</t>
  </si>
  <si>
    <t>2CBT-09</t>
  </si>
  <si>
    <t>FttB Build</t>
  </si>
  <si>
    <t>Taree</t>
  </si>
  <si>
    <t>Tech Choices Projects Yet award</t>
  </si>
  <si>
    <t>AYCA‐403X85 ‐ 55‐57 Bexley Road Campsie – 1</t>
  </si>
  <si>
    <t>Terrigal</t>
  </si>
  <si>
    <t>DDA</t>
  </si>
  <si>
    <t>Sydney Staff &amp; Wagga staff</t>
  </si>
  <si>
    <t>Nabel Jaimon</t>
  </si>
  <si>
    <t xml:space="preserve">Visionstream </t>
  </si>
  <si>
    <t>FTTB Survey and Design</t>
  </si>
  <si>
    <t>Port Kembla</t>
  </si>
  <si>
    <t>Parramatta</t>
  </si>
  <si>
    <t>Zetland</t>
  </si>
  <si>
    <t>Strathfield</t>
  </si>
  <si>
    <t>AYCA-41AC7Q - Horsley Drive Business Park</t>
  </si>
  <si>
    <t xml:space="preserve">AYCA-4118T1 - HORSLEY DRIVE BUSINESS PARK </t>
  </si>
  <si>
    <t>Wadalba</t>
  </si>
  <si>
    <t>AARnet</t>
  </si>
  <si>
    <t>ICQ-315 IPT2073 WSU Parramatta Square Western Lead-in</t>
  </si>
  <si>
    <t>Matt Putland</t>
  </si>
  <si>
    <t>Direct Award</t>
  </si>
  <si>
    <t>Epping</t>
  </si>
  <si>
    <t>ICQ-459 NSW Health Auburn Hospital</t>
  </si>
  <si>
    <t>Auburn</t>
  </si>
  <si>
    <t>Rainer</t>
  </si>
  <si>
    <t>Andrew Partalis</t>
  </si>
  <si>
    <t>Andrew Patarlis</t>
  </si>
  <si>
    <t>Visionstream DJC Internals</t>
  </si>
  <si>
    <t>Sub Contractor Revenue</t>
  </si>
  <si>
    <t>Overhead Materials</t>
  </si>
  <si>
    <t>AYCA-2VZLWA - National Ave &amp; Glades Parkway - 1.</t>
  </si>
  <si>
    <t>MW20311 - 2LIV-04 - Liverpool various sites</t>
  </si>
  <si>
    <t>Sth NSW</t>
  </si>
  <si>
    <t>Albury</t>
  </si>
  <si>
    <t>Total Greenfield jobs for the month</t>
  </si>
  <si>
    <t>Total minor works Jobs for the Month</t>
  </si>
  <si>
    <r>
      <t xml:space="preserve">2BLK-07  Huntingwood - </t>
    </r>
    <r>
      <rPr>
        <sz val="11"/>
        <color rgb="FFFF0000"/>
        <rFont val="Arial Narrow"/>
        <family val="2"/>
      </rPr>
      <t>Additional Variations</t>
    </r>
  </si>
  <si>
    <t>Jamberoo</t>
  </si>
  <si>
    <t>Richmond</t>
  </si>
  <si>
    <t>Woy Woy</t>
  </si>
  <si>
    <t>Albion Park</t>
  </si>
  <si>
    <t>Terabla</t>
  </si>
  <si>
    <t>Carlingford</t>
  </si>
  <si>
    <t>MWI / MWA number</t>
  </si>
  <si>
    <t xml:space="preserve">MW20495 </t>
  </si>
  <si>
    <t>MW20311</t>
  </si>
  <si>
    <t>Inv 11969b</t>
  </si>
  <si>
    <t>AYCA-47WSFU - 4 Hansons Rd North Nowra</t>
  </si>
  <si>
    <t>Inv 9507818</t>
  </si>
  <si>
    <t>AARNet</t>
  </si>
  <si>
    <t>Inv 9507819</t>
  </si>
  <si>
    <t>Inv 9507859</t>
  </si>
  <si>
    <t>MW20679 - 2LJT-02 - MPS-012 - 3 Corella</t>
  </si>
  <si>
    <t>MW20736</t>
  </si>
  <si>
    <t>2GOS-01-04 - 3-7 Wharf-East Gosford Public School-Unit 3 354 Mann.</t>
  </si>
  <si>
    <t>MW20718</t>
  </si>
  <si>
    <t>2LJT-04-07-08 Unit 2, 234 The Entrance Road</t>
  </si>
  <si>
    <t>2GOS-01</t>
  </si>
  <si>
    <t>MW20425</t>
  </si>
  <si>
    <t>2LIV-04 - Liverpool, MPS-001-050-074-095-141-169-198-205</t>
  </si>
  <si>
    <t>Matiland</t>
  </si>
  <si>
    <t>MW20187 - 2CBT-01-14_10 &amp; 2CBT-04-14</t>
  </si>
  <si>
    <t>2CBT‐09 ‐ MPS‐001 ‐ FTTN‐FTTB Construction (MIMA)</t>
  </si>
  <si>
    <t>Lisarow</t>
  </si>
  <si>
    <t xml:space="preserve">Drummoyne </t>
  </si>
  <si>
    <t>AYCA-42RWMG - Hat Hill Road – 1</t>
  </si>
  <si>
    <t>AYCA-3NYZIL - 2 Cathay Pl</t>
  </si>
  <si>
    <t>2WLG-07</t>
  </si>
  <si>
    <t>MW20828</t>
  </si>
  <si>
    <t>2WLG-01_2LIV-04 - Crown, Kembla, Macquarie, George</t>
  </si>
  <si>
    <t>MW20812</t>
  </si>
  <si>
    <t>Merrylands</t>
  </si>
  <si>
    <t>Bargo</t>
  </si>
  <si>
    <t>MW20680 - 2BLK-02/07 - MPS-032 &amp; MPS-010</t>
  </si>
  <si>
    <t>2BLK-12-07 - Lot 21 Western MTQY/2 Rudders/Unit 40 - 15 Valediction</t>
  </si>
  <si>
    <t>MW20764</t>
  </si>
  <si>
    <t>2BLK-12</t>
  </si>
  <si>
    <t>AYCA-42J4C9 - 54 Tyrone Pl</t>
  </si>
  <si>
    <t>Bankstown</t>
  </si>
  <si>
    <t>Cameron Park</t>
  </si>
  <si>
    <t>AYCA‐46PUI1 ‐2HBD‐21 ‐ 724 Pittwater Rd Brookvale – 1</t>
  </si>
  <si>
    <t>Inv 12261</t>
  </si>
  <si>
    <t>Inv 12262</t>
  </si>
  <si>
    <t>Inv 12265</t>
  </si>
  <si>
    <t>Inv 12264</t>
  </si>
  <si>
    <t>Inv 12260</t>
  </si>
  <si>
    <t>Inv 12267</t>
  </si>
  <si>
    <t>Inv 12266</t>
  </si>
  <si>
    <t>Inv 12275</t>
  </si>
  <si>
    <t>Inv 12272</t>
  </si>
  <si>
    <t>Inv 12263</t>
  </si>
  <si>
    <t>Inv 12269</t>
  </si>
  <si>
    <t>Inv 12065b</t>
  </si>
  <si>
    <t>Inv 12268</t>
  </si>
  <si>
    <t>2WLG-01 &amp; 2LIV-04</t>
  </si>
  <si>
    <t>2WLG-07 - MPS-889 - 438 Crown Street Wollongong</t>
  </si>
  <si>
    <t>MW20817 - 2LIV-12 - 2QUA – 02- 2PTH-02 - Glenfield_Margo_Jamison</t>
  </si>
  <si>
    <t>Various</t>
  </si>
  <si>
    <t>Londonderry</t>
  </si>
  <si>
    <t>Bowral</t>
  </si>
  <si>
    <t>AYCA-45XOFT - 2LIV-04 - Lodges Road – 1</t>
  </si>
  <si>
    <t xml:space="preserve">AYCA-456RTL -2MRS-03 -Non Standard Builds - Oakleigh Way </t>
  </si>
  <si>
    <t>AYCA-3UGXHS -282 Newcastle Road</t>
  </si>
  <si>
    <t>AYCA-3137ZW  - Torrance Investments Pty Ltd</t>
  </si>
  <si>
    <t>Inv 9512031</t>
  </si>
  <si>
    <t xml:space="preserve">ICQ-459 IPT2506 NSW HEALTH AUBURN HOSPITAL  </t>
  </si>
  <si>
    <t>Mary Angly</t>
  </si>
  <si>
    <t>COG</t>
  </si>
  <si>
    <t>Inv 1100</t>
  </si>
  <si>
    <t>Inv 1078</t>
  </si>
  <si>
    <t>Edmonton</t>
  </si>
  <si>
    <t>AYCA-3YVYF5 - 1 Dairy Place Yass.</t>
  </si>
  <si>
    <t>Inv 9506687</t>
  </si>
  <si>
    <t>Inv 1803487</t>
  </si>
  <si>
    <t>Hills Council</t>
  </si>
  <si>
    <t>Waiting on Variation Approval</t>
  </si>
  <si>
    <t>Waiting on DY NBN</t>
  </si>
  <si>
    <t>Inv 9513752</t>
  </si>
  <si>
    <t>Payment Claim</t>
  </si>
  <si>
    <t>A401 Greenfields</t>
  </si>
  <si>
    <t>A417 MDU New Devs</t>
  </si>
  <si>
    <t>MW20749 - 2KEL-07 - AYCA-3R9JM5 - 31 Memorial Av</t>
  </si>
  <si>
    <t>Approved</t>
  </si>
  <si>
    <t>Variation Proposal</t>
  </si>
  <si>
    <t>Waiting for Approval</t>
  </si>
  <si>
    <t>Request for PC</t>
  </si>
  <si>
    <t>MW20554 - AYCA-2DO5HN - MNJG 145 Princes Hwy Dapto - 1</t>
  </si>
  <si>
    <t>Response Date</t>
  </si>
  <si>
    <t>Issue</t>
  </si>
  <si>
    <t>Document Name</t>
  </si>
  <si>
    <t>Project Name</t>
  </si>
  <si>
    <t>Item Number</t>
  </si>
  <si>
    <t>Inv 12338</t>
  </si>
  <si>
    <t>Blackheath</t>
  </si>
  <si>
    <t>AYCA-44LXQI - Tongarra</t>
  </si>
  <si>
    <t>AYCA-3YUT4L - Brundah Road – 1</t>
  </si>
  <si>
    <t>Shaher Aslan</t>
  </si>
  <si>
    <t>Waiting on Variation Approval submitted 2/7</t>
  </si>
  <si>
    <t>Sand 4 U</t>
  </si>
  <si>
    <t>Inv 16233</t>
  </si>
  <si>
    <t>Inv 12352</t>
  </si>
  <si>
    <t>Inv 12150 &amp; 12150b</t>
  </si>
  <si>
    <t>Variation Request submitted</t>
  </si>
  <si>
    <t>Waiting for PC &amp; Variation approval</t>
  </si>
  <si>
    <t>Inv 12353</t>
  </si>
  <si>
    <t>Inv 12354</t>
  </si>
  <si>
    <t>Inv 12355</t>
  </si>
  <si>
    <t>Inv 003</t>
  </si>
  <si>
    <t>Inv 12356</t>
  </si>
  <si>
    <t>MW20612 - AYCA-3NXX2P - 7 Cascade Circuit Albion Park</t>
  </si>
  <si>
    <t>Waiting on PC sent in 25/6, Variation 3/7</t>
  </si>
  <si>
    <t>Inv 12357</t>
  </si>
  <si>
    <t>Waiting on Payment Claim approval</t>
  </si>
  <si>
    <t>Inv 12267b</t>
  </si>
  <si>
    <t>Inv 12362</t>
  </si>
  <si>
    <t>Inv 12359</t>
  </si>
  <si>
    <t>Inv 12358</t>
  </si>
  <si>
    <t>Narellan</t>
  </si>
  <si>
    <t>Inv 12364</t>
  </si>
  <si>
    <t>Asquith</t>
  </si>
  <si>
    <t>Inv 987582.99 374012</t>
  </si>
  <si>
    <t>Inv 12332</t>
  </si>
  <si>
    <t>Inv 9508561</t>
  </si>
  <si>
    <t>Inv 9513611</t>
  </si>
  <si>
    <t>Inv 9513614</t>
  </si>
  <si>
    <t>Inv 9513612</t>
  </si>
  <si>
    <t>Inv 9513613</t>
  </si>
  <si>
    <t>Wollongong / Liverpool</t>
  </si>
  <si>
    <t>MW20966 - 2BLK-11 - AYCA-3W8LJB - 42-44 Norfolk St</t>
  </si>
  <si>
    <t>MW20939 - 2PEN-64 - AYCA-2Y4BYB -344 GWH Wentworthville – 1- EXTERNAL</t>
  </si>
  <si>
    <t>Wentworthville</t>
  </si>
  <si>
    <t>MW20806 - 2EPS-61 -AYCA-42J4C9– 54 Tyrone Place, Erskine Park - Loscam</t>
  </si>
  <si>
    <t>Erskine Park</t>
  </si>
  <si>
    <t>VisionStream</t>
  </si>
  <si>
    <t>Visionstream DJC</t>
  </si>
  <si>
    <t>Overhead Vehicles</t>
  </si>
  <si>
    <t>AARNet DJC Internals</t>
  </si>
  <si>
    <t>NBN A417 MDU DJC</t>
  </si>
  <si>
    <t>NBN A417 MDU DJC Internals</t>
  </si>
  <si>
    <t>NBN A417 MDU</t>
  </si>
  <si>
    <t>AARNet DJC</t>
  </si>
  <si>
    <t>ARRNet</t>
  </si>
  <si>
    <t xml:space="preserve">AARNet DJC </t>
  </si>
  <si>
    <t>PC, Variation &amp; Payment Comments</t>
  </si>
  <si>
    <t>Aug-17</t>
  </si>
  <si>
    <t>Jul-17</t>
  </si>
  <si>
    <t>Jun-17</t>
  </si>
  <si>
    <t>Sep-17</t>
  </si>
  <si>
    <t>Count of Total Revenue</t>
  </si>
  <si>
    <t>Morphet</t>
  </si>
  <si>
    <t>Waiting on PC and Variation submission</t>
  </si>
  <si>
    <t>Croydon park</t>
  </si>
  <si>
    <t>AYCA-4BCVPP -Stage 2 Wattle Rd</t>
  </si>
  <si>
    <t>AYCA-4DWSZZ-  81 Albatross Way - NSB – SURVEY</t>
  </si>
  <si>
    <t>AYCA-4F1FWW_AYCA-4GRO21 - NSB 13 Vantage 55 Kingston</t>
  </si>
  <si>
    <t>AYCA-4IA7K9 - 9CVI-21 - 22 Condamine St</t>
  </si>
  <si>
    <t xml:space="preserve">AYCA-4JN54Z (Elderslie - TH5) </t>
  </si>
  <si>
    <t>Inv 17</t>
  </si>
  <si>
    <t>Variation Approval</t>
  </si>
  <si>
    <t>AYCA-3RBG8Z - 20-29 Lake Street – 1</t>
  </si>
  <si>
    <t>AYCA-49DNJ1 - Nowra BP &amp; McDonalds - 1-  INTERNAL AND EXTERNAL</t>
  </si>
  <si>
    <t>Old Bar</t>
  </si>
  <si>
    <t>MW20441 - AYCA-3KSRGR - Norberta St, The Entrance - 1</t>
  </si>
  <si>
    <t>MW20613 - AYCA-3CGK8N - Tulkaba View – 1</t>
  </si>
  <si>
    <t>Parramatta Road</t>
  </si>
  <si>
    <t>MW20436 - AYCA-3B8YY0 - Warrana Place – 2</t>
  </si>
  <si>
    <t>Payment Schedule Received</t>
  </si>
  <si>
    <t>Requested PC</t>
  </si>
  <si>
    <t>MW20718 - 2LJT-04-07-08 Unit 2, 234 The Entrance Road</t>
  </si>
  <si>
    <t>MW20736 - 2GOS-01-04 - 3-7 Wharf-East Gosford Public School-Unit 3 354 Mann.</t>
  </si>
  <si>
    <t>MW20764 - 2BLK-12-07 - Lot 21 Western MTQY/2 Rudders/Unit 40 - 15 Valediction</t>
  </si>
  <si>
    <r>
      <t xml:space="preserve">MW20951   - </t>
    </r>
    <r>
      <rPr>
        <sz val="10"/>
        <color theme="1"/>
        <rFont val="Arial"/>
        <family val="2"/>
      </rPr>
      <t xml:space="preserve">2ROU-03 - AYCA-486V6Q  - Non Standard Builds - McCarthy Street </t>
    </r>
  </si>
  <si>
    <t>Franklin</t>
  </si>
  <si>
    <t>MW21016 - AYCA-3UESPG -9CRC-06 -IVAR Villas Internals</t>
  </si>
  <si>
    <t>MW21016 - AYCA-3UESPG -9CRC-06 -IVAR Villas Externals</t>
  </si>
  <si>
    <t>MW21067 - 2PTH-01 - AYCA-3VF189 - 293-295 Jamison - 1</t>
  </si>
  <si>
    <t>AYCA-1Z6XAC -1-9 Florence Street &amp; 19-23 Quinn Street</t>
  </si>
  <si>
    <t>Rutherford</t>
  </si>
  <si>
    <t>MW21026 - 2HOR-62 - AYCA-3TQB8K - MOUNT COLAH GARDENS - 2 - EXTERNAL</t>
  </si>
  <si>
    <t>Mt Colah</t>
  </si>
  <si>
    <t>MW21054 - 2MAI-11 - AYCA-2NU9NV - Northwood Retirement Village - 1 - INTERNAL</t>
  </si>
  <si>
    <t>MW21053 - 2MAI-04 - AYCA-38QQO3-Walka Grange - 8 - INTERNAL</t>
  </si>
  <si>
    <t>MW21052 - 2MAI-11 - AYCA-3OLAP3-WA Brown INTERNAL</t>
  </si>
  <si>
    <t>MW21031 - 2KEL-07 -AYCA-36X4LO - 7 Fairway Drive</t>
  </si>
  <si>
    <t>Milpera</t>
  </si>
  <si>
    <t>MW21034 - 2LIV-04 - AYCA-2XM8XA - Castlereagh Projects PTY LTD - 1- EXTERNAL</t>
  </si>
  <si>
    <t>MW20941 - 2KEL-01 - AYCA-2KQ04J -112 Hambledon</t>
  </si>
  <si>
    <t xml:space="preserve">Ertan Cicek </t>
  </si>
  <si>
    <t>Payment schedule received 21/7,  payment made on the 26/7</t>
  </si>
  <si>
    <t>Quibcon</t>
  </si>
  <si>
    <t>Inv 532</t>
  </si>
  <si>
    <t>Inv 1803528</t>
  </si>
  <si>
    <t>Inv 1803532</t>
  </si>
  <si>
    <t xml:space="preserve">MW20627 - AYCA-40UYFT - 2PKE-06 - Berkeley </t>
  </si>
  <si>
    <t>MW21024 - AYCA-4JN54Z - 2NRN-05 - Elderslie - TH5</t>
  </si>
  <si>
    <t>Elderslie</t>
  </si>
  <si>
    <t>MW20844 - 2TAH-02 - AYCA-3YUT4L - Brundah Road - 1</t>
  </si>
  <si>
    <t>Thirlmere</t>
  </si>
  <si>
    <t>AYCA-4EMSE3_AYCA-4GM40D - 15 Allman_Talana Hill</t>
  </si>
  <si>
    <t>AYCA-45UVAF - Non Standard Builds - 15 Baldi Drive</t>
  </si>
  <si>
    <t>MW20797 - SOPR MWI  - 2RYD-03 - AYCA-1SUDYS – 15 Porter Street, Ryde - La Pearl - 1</t>
  </si>
  <si>
    <t>MW20318 - AYCA-35AM2J - NENSW0608 - Yarrandale Road</t>
  </si>
  <si>
    <t>AYCA-29RFVG - Breakfast Point - 7D1 Providence</t>
  </si>
  <si>
    <t>AYCA-4IDMPC- 9 Fitzpatrick St - 1</t>
  </si>
  <si>
    <t xml:space="preserve">MW21021 - 2MGO-20 -AYCA-45UVAF - Non Standard Builds - 15 Baldi </t>
  </si>
  <si>
    <t>Silverdale</t>
  </si>
  <si>
    <t>Ryde</t>
  </si>
  <si>
    <t>Inv 2293</t>
  </si>
  <si>
    <t>Inv 2294</t>
  </si>
  <si>
    <t>Inv 2295</t>
  </si>
  <si>
    <t>AYCA-47PV52 - Non Standard Builds - 22-24 Barry Road</t>
  </si>
  <si>
    <t>Payment Claim submitted 9/9/17</t>
  </si>
  <si>
    <t>Variation Proposal Submitted 9/8/17</t>
  </si>
  <si>
    <t>MW20719 - AYCA-3RWSQB - 26 Kalinya Close, Cameron Park – 1</t>
  </si>
  <si>
    <t>Variation submitted 9/8/17</t>
  </si>
  <si>
    <t>Variation Submitted 09/08/17</t>
  </si>
  <si>
    <t>Vriation Submitted 9/08/17</t>
  </si>
  <si>
    <t>MW20699 - AYCA-3BSZ4M - 41 &amp; 55 Rynan Ave</t>
  </si>
  <si>
    <t>Variation submitted 9/08/17</t>
  </si>
  <si>
    <t>Variation Submitted 9/8/17</t>
  </si>
  <si>
    <t>Waiting on PC approval sent in 14/6, variation submitted 9/8/17</t>
  </si>
  <si>
    <t>MW21108 - AYCA-4D6F80 - 2NEW-03 - CASA - Terraces - Estate</t>
  </si>
  <si>
    <t>Erskinwille</t>
  </si>
  <si>
    <t>MW20777 - 2HBD-21 - AYCA-46PUI1 - 724 Pittwater Rd</t>
  </si>
  <si>
    <t>Brookvale</t>
  </si>
  <si>
    <t>MW21065 - AYCA-3JKNRK -2ROU-02 -15-19 Hillview - 2B</t>
  </si>
  <si>
    <t>MW20876 - SOPR MWI - 2RIV-02 - 34-36 Schofields - North Park - 10</t>
  </si>
  <si>
    <t>AYCA-49I4SO - 72 Brolgan Road</t>
  </si>
  <si>
    <t>AYCA-48HYBB - 89 Hammond Avenue</t>
  </si>
  <si>
    <t>AYCA-461JCF - 8 Creole Road</t>
  </si>
  <si>
    <t>AYCA-4H1TB6 - Sampson St - 1</t>
  </si>
  <si>
    <t>PC 33 days, Payment schedule 17days,  payment made on the 10/8/17</t>
  </si>
  <si>
    <t>39 days for payment claim to come through</t>
  </si>
  <si>
    <t>39 Days for payment claim approval</t>
  </si>
  <si>
    <t>Up to V3 of Variation request, Chris A handling it now.  Submitted payment claim on the 10/8</t>
  </si>
  <si>
    <t>MW21056 - 2KNS-04 - AYCA-4BYB3Q -33 Dunning Ave - 1- EXTERNAL</t>
  </si>
  <si>
    <t>Rosebery</t>
  </si>
  <si>
    <t>AYCA-476RM9 - Non Standard Builds - 87-91 Campbell St</t>
  </si>
  <si>
    <t>Waiting on variation approval</t>
  </si>
  <si>
    <t>Waiting on access to one site, Macquarie Street</t>
  </si>
  <si>
    <t xml:space="preserve">MW20875 - ACYA-3W8TJD - 31-33 Irelands Road Blacktown </t>
  </si>
  <si>
    <t>Inv 9517404</t>
  </si>
  <si>
    <t>Inv 951738</t>
  </si>
  <si>
    <t>Credit AARNet</t>
  </si>
  <si>
    <t>Credit TANDEM - ISG</t>
  </si>
  <si>
    <t>Credit E-Toll</t>
  </si>
  <si>
    <t>Number of days from payment Schedule to payment</t>
  </si>
  <si>
    <t>Double Bay</t>
  </si>
  <si>
    <t>MW21120 - 2EDG-62 - AYCA-4GJD8J - 10 COURT ROAD - External</t>
  </si>
  <si>
    <t>MW20949 - 2MAI-06 - AYCA-4F1FWW_AYCA-4GRO21 - NSB 13 Vantage 55 Kingston</t>
  </si>
  <si>
    <t>MW20667 - AYCA-41NF6X - Non Standard Builds - Miller St    BUILD</t>
  </si>
  <si>
    <t>MW20673 - 2BLK-11 - AYCA-3RN6QW - 19-21 Irelands Road, Blacktown</t>
  </si>
  <si>
    <t>MW20894 - 2KEL-08 - AYCA-42POJA - Non Standard Builds - Memorial Ave Kelly Build</t>
  </si>
  <si>
    <t>payment schedule received 14/8</t>
  </si>
  <si>
    <t>Inv 12498</t>
  </si>
  <si>
    <t>Inv 12049b</t>
  </si>
  <si>
    <t>Inv 12501</t>
  </si>
  <si>
    <t xml:space="preserve">MW21085 - 2ROU-02 - AYCA-47PV52 - Non Standard Builds - 22-24 Barry Road </t>
  </si>
  <si>
    <t>Inv 9516894</t>
  </si>
  <si>
    <t>NBN A417</t>
  </si>
  <si>
    <t>Inv 12496</t>
  </si>
  <si>
    <t>Inv 1803569</t>
  </si>
  <si>
    <t>MW21095 - AYCA-4K6BDG - Melito Drive Externals</t>
  </si>
  <si>
    <t>AYCA-4K6BDG - Melito Drive - 1</t>
  </si>
  <si>
    <t>Inv 12360a</t>
  </si>
  <si>
    <t>MW20946 - 2OBA-20 - AYCA-4DWSZZ-  81 Albatross Way - NSB - SURVEY</t>
  </si>
  <si>
    <t>MW20814 - 2NLB-05  - AYCA-4E7Y0D - Albatross Ave and Cu, Survey</t>
  </si>
  <si>
    <t>Salamanda Bay</t>
  </si>
  <si>
    <t>MW21062 - 2REV-20  - AYCA-4IDMPC- 9 Fitzpatrick St - 1</t>
  </si>
  <si>
    <t xml:space="preserve">MW20983 - 2RYD-01 - AYCA-2ZD7NM - 86-94 Blaxland Rd </t>
  </si>
  <si>
    <t>MW20677 - AYCA-3ENYEX - Cleopatra St Blackheath</t>
  </si>
  <si>
    <t xml:space="preserve">MW20730 - AYCA-3ZFK8V - 2NRN-10 - 11-19 Waler </t>
  </si>
  <si>
    <t>MW20927 - 2ASH-61 - AYCA-482KZM - Lionsgate Projects – 1</t>
  </si>
  <si>
    <t>MW20828 - 2WLG-07 - MPS-889 - 438 Crown Street Wollongong.</t>
  </si>
  <si>
    <t>MW20812 - 2WLG-01 - 2LIV-04 - Crown, Kembla, Macquarie, George</t>
  </si>
  <si>
    <t>MW20888 - 2HOR-62 - AYCA-39AB50 -2HOR-62 -JAAN – 1</t>
  </si>
  <si>
    <t>MW20729 - COR-04 - AYCA-4D6AY6 - 94 POPES RD</t>
  </si>
  <si>
    <t>Wonoona</t>
  </si>
  <si>
    <t>MW20858 - 2ROU-03 - AYCA-3R9WD2 - 2 Foxall Rd</t>
  </si>
  <si>
    <t>MW21092 2BRG-03 AYCA-1NGPGW- Gledswood</t>
  </si>
  <si>
    <t>MW20865 - 2NWR-03 - AYCA-2K3SGD - Elian Crescent 1.</t>
  </si>
  <si>
    <t>MW21086 - 2ORG-02 - AYCA-4BZJJB - 49 Moulder St - 2</t>
  </si>
  <si>
    <t>MW20705 - AYCA-3QCL7A - 48 Arnold Avenue Kellyville</t>
  </si>
  <si>
    <t>MW20644 - AYCA-35B3X9 -  Renocorp Australia Pty Ltd - 1</t>
  </si>
  <si>
    <t xml:space="preserve">MW20620 - 2EPP-05 - AYCA-3071BP - Macquarie Park Village - 2 </t>
  </si>
  <si>
    <t xml:space="preserve">MW20669 - AYCA-47X9GS - Mackenzie Residences - Strathfield - 1 </t>
  </si>
  <si>
    <t>MW20686 - AYCA-1RBL6L - The North Village , Kellyville - 1</t>
  </si>
  <si>
    <t>MW20725 - AYCA-3I8QKP - 6-8 Biara Street, Bargo – 11</t>
  </si>
  <si>
    <t>Alliance Geotechnical</t>
  </si>
  <si>
    <t>Inv 0203</t>
  </si>
  <si>
    <t>MW20791 - 2RIV-01 - AYCA-3W8B3W - 43 Church St - 1</t>
  </si>
  <si>
    <t>Inv 1803572</t>
  </si>
  <si>
    <t>MW20385 - AYCA-38OMCL - 6 Hepher Rd, Campbelltown</t>
  </si>
  <si>
    <t xml:space="preserve">MW20720 - AYCA-4BHWVV - Argyle Community Housing - 1 </t>
  </si>
  <si>
    <t xml:space="preserve">MW20688 - AYCA-42LEI4 - MNR Investment Group Pty Ltd - 1 </t>
  </si>
  <si>
    <t>MW20877 - 2RIV-02 - 34-36 Schofields - North Park  - 9</t>
  </si>
  <si>
    <t>MW20882 - 2BLK-07 - AYCA-468EU5 - 299 Flushcombe - 1</t>
  </si>
  <si>
    <t>MW20898 - 2MIL-01 -AYCA-45L86C-Non Standard Builds - Zulu Road – Build</t>
  </si>
  <si>
    <t>MW20493 - 2KNS-02 - AYCA-1BR2R4 - Link Apartments Zetland - 1</t>
  </si>
  <si>
    <t>MW20554 - 2DAP-02 - AYCA-2DO5HN - MNJG 145</t>
  </si>
  <si>
    <t>MW20409 - AYCA-2ONMWX -  Brookwood Estate - 2</t>
  </si>
  <si>
    <t>MW20442 - 2TGL-02 - AYCA-30RVNV - Rockpool – 1</t>
  </si>
  <si>
    <t xml:space="preserve">MW20264 - 2NLB-02 - AYCA-32ARIB - Dowling St </t>
  </si>
  <si>
    <t xml:space="preserve">MW20552 - 2WYO-02 - AYCA-394Y1I - 13 Colonial St </t>
  </si>
  <si>
    <t>MW20367 - 2NRN-03 - AYCA-3H6ZBG - 61 Smeaton Grange Rd,</t>
  </si>
  <si>
    <t>MW20649 - 2RCH-03 - AYCA-2MLHJO - Macquarie Street Subdivision</t>
  </si>
  <si>
    <t>MW20628 - AYCA-32PR0X - 2ROU-03 - 21 Hezlett Rd Kellyville 1</t>
  </si>
  <si>
    <t>MW20532 - 2WYO-01 - AYCA-47OSBM - Pacific Business Centre</t>
  </si>
  <si>
    <t>MW21006 - 2NWR-02 - AYCA-49DNJ1 - Nowra BP &amp; McDonalds - 1-  INTERNAL AND EXTERNAL</t>
  </si>
  <si>
    <t>Nowra</t>
  </si>
  <si>
    <t>MW21074 - 2ABN-01 - AYCA-461JCF - 8 Creole Road</t>
  </si>
  <si>
    <t>MW20507 - AYCA-2Y5DX4 - Bridgeland Investment</t>
  </si>
  <si>
    <t>MW20386 - 2CBT-03 - AYCA-39MU9X - Macarthur Mazda</t>
  </si>
  <si>
    <t>MW20543 - AYCA-3SR1C6 - 1140 Pemberton St Albury</t>
  </si>
  <si>
    <t>MW20489 - AYCA-3ZU1PE - 89 Old Hume Highway, Camden</t>
  </si>
  <si>
    <t>MW20477 - 2HOM-01 - AYCA-40BZFT - 51-55 Homebush Rd Strathfield</t>
  </si>
  <si>
    <t>MW20660 - AYCA-45D358 NSB Albuera Close SITE SURVEY</t>
  </si>
  <si>
    <t>MW20821 - AYCA-45D358 NSB Albuera Close -  BUILD</t>
  </si>
  <si>
    <t xml:space="preserve">MW20765 - 2HOR-63 - AYCA-2ZE1AV - 1 &amp; 1A Cowan Road, Mount Colah - Killara </t>
  </si>
  <si>
    <t>MW21095 - AYCA-4K6BDG - Melito Drive Internals</t>
  </si>
  <si>
    <t xml:space="preserve">MW20491 - AYCA-3W8T05 - 2PAR-60 - Amos St </t>
  </si>
  <si>
    <t>MW20604 - AYCA-46I5YX - 878 Pacific Hwy, Lisarow</t>
  </si>
  <si>
    <t>MW21223 - AYCA-2568YW - 25 29 Harbour St NBN - Harbour St</t>
  </si>
  <si>
    <t>MW21250 - AYCA-4BEC9X-2LIV-68-The Birdwood</t>
  </si>
  <si>
    <t>MW21221 - 2CRO-01 - AYCA-1UEMOR - Shearwater Landing</t>
  </si>
  <si>
    <t>Kurnell</t>
  </si>
  <si>
    <t>MW21178 - 2LID-06 - AYCA-32WJ4A - John St - 2 - INTERNAL</t>
  </si>
  <si>
    <t>MW21153 - 2NRN-03 - AYCA-4EAKM1 - 63 SGR - 1 - INTERNAL</t>
  </si>
  <si>
    <t>MW20648-2KEL-03 -AYCA-3BH4IQ - Lot A, 8 Merriville Road - 1</t>
  </si>
  <si>
    <t>Nov-17</t>
  </si>
  <si>
    <t>Oct-17</t>
  </si>
  <si>
    <t>MW20727 - 2NRN-10 - AYCA-3UYW26 - P150 - Internals</t>
  </si>
  <si>
    <t>MW20728 - 2NRN-10 - AYCA-3UYW26 - P150 – Externals</t>
  </si>
  <si>
    <t>inv 9518845</t>
  </si>
  <si>
    <t>Variation Claim Amount</t>
  </si>
  <si>
    <t>Inv 2324</t>
  </si>
  <si>
    <t>MW21041 - 2OBA-20 - AYCA-4L6PEC - NSB - Old Bar Survey</t>
  </si>
  <si>
    <t>MW21270 - 2BTH-01 - AYCA-47Y3BF - Arndilly</t>
  </si>
  <si>
    <t>MW21249 - AYCA-4F6JI6-2WLG-08-NSB - 72-74 Cliff Road</t>
  </si>
  <si>
    <t>MW21226 - 2MSV-02 - AYCA-3PR30G - 12-16 Watson Road</t>
  </si>
  <si>
    <t>MW21209 - AYCA-4K7VB2 -2TWH-05 - River Views – 1</t>
  </si>
  <si>
    <t>Tweed Heads</t>
  </si>
  <si>
    <t>Inv 12562</t>
  </si>
  <si>
    <t>MW21261 - AYCA-30PYA6 - 2MIL-01 - CEO St Francis College - 1</t>
  </si>
  <si>
    <t>Miller</t>
  </si>
  <si>
    <t>Driect Award</t>
  </si>
  <si>
    <t xml:space="preserve">MW21266 - OOMWI - 2NRN-03 - AYCA-3MUJP4 - 11 McPherson Rd, Smeaton Grange – 1 </t>
  </si>
  <si>
    <t>MW21032 - AYCA-4L57RB - 2MDG-01 -NSB - Bateman Ave Mudgee</t>
  </si>
  <si>
    <t>MW21244 - AYCA-4J7JTW - 2LIV-03 - Passefield St</t>
  </si>
  <si>
    <t>Marsden Park</t>
  </si>
  <si>
    <t>Inv 12573</t>
  </si>
  <si>
    <t>Inv 12572</t>
  </si>
  <si>
    <t>Inv 12568</t>
  </si>
  <si>
    <t>Inv 2339</t>
  </si>
  <si>
    <t>Inv 2338</t>
  </si>
  <si>
    <t>Inv 2337</t>
  </si>
  <si>
    <t>Inv 2336</t>
  </si>
  <si>
    <t>Inv 2309</t>
  </si>
  <si>
    <t xml:space="preserve">FTTB Build </t>
  </si>
  <si>
    <t>2DAL-23 MPS-004</t>
  </si>
  <si>
    <t>2DAL-23 MPS-003</t>
  </si>
  <si>
    <t xml:space="preserve">MW20801 - 2RCH-05- AYCA-35BURW - 503-505 Londonderry Road </t>
  </si>
  <si>
    <t>Inv 27</t>
  </si>
  <si>
    <t>OS Cable Services</t>
  </si>
  <si>
    <t>Inv 26</t>
  </si>
  <si>
    <t>MW20786 - 2LIV-03 - AYCA-47DIBW - Dale Development – 1</t>
  </si>
  <si>
    <t>INV 4045A</t>
  </si>
  <si>
    <t>Inv 2341</t>
  </si>
  <si>
    <t>Inv 2340</t>
  </si>
  <si>
    <t xml:space="preserve">MW21072 - 2PKS-20 - AYCA-49I4SO - 72 Brolgan Road </t>
  </si>
  <si>
    <t>MW21281 - AYCA-3K4RCM - 2RIV-03 - Marsden Park Tonzat Development - 2</t>
  </si>
  <si>
    <t>Parkes</t>
  </si>
  <si>
    <t xml:space="preserve">MW21293 - 2LIV-63 - AYCA-4GNO0E - Coopers Paddock - 1-  INTERNAL </t>
  </si>
  <si>
    <t>MW20905 - 2NLT-09 - AYCA-47ENGU - 16 WALL – 1</t>
  </si>
  <si>
    <t>Wallsend</t>
  </si>
  <si>
    <t>MW21097 - 2LIV-04 - AYCA-476RM9 - NSB - 87-91 Campbell St Build</t>
  </si>
  <si>
    <t>MW21284 - 9DKI-07 - AYCA-3ZXA9V - 10 BAKEWELL ST -  COOMBS</t>
  </si>
  <si>
    <t>Deakin</t>
  </si>
  <si>
    <t>Inv 12499</t>
  </si>
  <si>
    <t>Inv 12590</t>
  </si>
  <si>
    <t>Inv 12589</t>
  </si>
  <si>
    <t>Inv 12588</t>
  </si>
  <si>
    <t>Inv 12587</t>
  </si>
  <si>
    <t>Inv 12586</t>
  </si>
  <si>
    <t>MW21286 - AYCA-4DREB8 - 2PKE-08 - 85 William James Drive Cordeaux Heigh</t>
  </si>
  <si>
    <t>MW21285 - AYCA-496F3H - 2MSV-04 - 8 Bendooley Street Bowral</t>
  </si>
  <si>
    <t>MW21290 - AYCA-49VQSG - 2CAS-23 - 4 Jabiru Place - Castle Hill</t>
  </si>
  <si>
    <t>MW21288 - AYCA-4BG97M - 2WET-21 - 8 Magnolia Street Greystanes</t>
  </si>
  <si>
    <t>MW21289 - AYCA-45YGSM - 2WAG-05 - 138 Elizabeth Avenue Forest Hill</t>
  </si>
  <si>
    <t>MW21287 - AYCA-4BSSM6 - 2WAG-10 - 10 Fisher Place Lloyd</t>
  </si>
  <si>
    <t xml:space="preserve">MW20555 - AYCA-2Q8I3Y -  2ROU-03 - 16-20 Withers Road – 3 </t>
  </si>
  <si>
    <t>MW20475 - 2ROU-03 - AYCA-3HUY3N- 4 Wickham Blvd</t>
  </si>
  <si>
    <t>Inv 12361 &amp;12361b</t>
  </si>
  <si>
    <t>MW21145 - AYCA-4KU6BE -OOMWI - 2WET-20 - Seniors Housing</t>
  </si>
  <si>
    <t>MW21123 - 2TAR -02 - AYCA-4LIG38 - Non Standard Builds Survey</t>
  </si>
  <si>
    <t>MW21073 - 2WAG-05 AYCA-48HYBB - 89 Hammond Ave</t>
  </si>
  <si>
    <t>Wagga Wagga</t>
  </si>
  <si>
    <t>MW21080 - AYCA-2K262F - 2MSV-05 - Rochester Park - 1</t>
  </si>
  <si>
    <t>MW21321 - AYCA-44VVQL - 2FOE-22 - 9,21, 23 Churchill Road Forster</t>
  </si>
  <si>
    <t>Dave Yeomans</t>
  </si>
  <si>
    <t>Inv 17/1108</t>
  </si>
  <si>
    <t>Inv 12627</t>
  </si>
  <si>
    <t>Inv 12574</t>
  </si>
  <si>
    <t>Inv 12600</t>
  </si>
  <si>
    <t>Inv 12606</t>
  </si>
  <si>
    <t>MW20758 -  AYCA-3ETV2Y - 2BAN-64 - 21-25 Leonard Street - 1</t>
  </si>
  <si>
    <t>Inv 12614</t>
  </si>
  <si>
    <t>Inv 12608</t>
  </si>
  <si>
    <t xml:space="preserve">MW21015 - AYCA-1Z6XAC -1-9 Florence Street &amp; 19-23 Quinn Street </t>
  </si>
  <si>
    <t>Pendle Hill</t>
  </si>
  <si>
    <t>MW20798 - AYCA-2LT5GF - Castlereagh Street - 1</t>
  </si>
  <si>
    <t>MW20698 - AYCA-1SQ3K5 - 189 Macquarie Street</t>
  </si>
  <si>
    <t>MW20692 - AYCA-2HTGPP - Scalabrini Village Residential</t>
  </si>
  <si>
    <t xml:space="preserve">MW20495 - 2CBT-09 - MPS-01 - FTTN-FTTB Construction </t>
  </si>
  <si>
    <t xml:space="preserve">MW20154 - 2WLG-01 &amp; 02 </t>
  </si>
  <si>
    <t>MW21392 - 2MIL-20 - AYCA-4NGNW3 - LOT 421 &amp; 422, 10-12 PROGRESS CIRCUIT</t>
  </si>
  <si>
    <t>2RIV-02-AYCA-1XO4MJ,  Hub install for Craig Comms</t>
  </si>
  <si>
    <t>Craig Smith (Craig Comms)</t>
  </si>
  <si>
    <t>Goulburn</t>
  </si>
  <si>
    <t>Inv 12631</t>
  </si>
  <si>
    <t>MW21395 - 2BTH-01 - AYCA-4LYVIU - Arndilly - 2</t>
  </si>
  <si>
    <t>MW21397 - AYCA-32WJ4A - 2LID-06 -  John St - 2- EXTERNAL</t>
  </si>
  <si>
    <t>Inv 12363 &amp; b</t>
  </si>
  <si>
    <t>MW21314 - 2BLK-10 - AYCA-4NCJ90 - Fine Property Group - 1- EXTERNAL</t>
  </si>
  <si>
    <t>Inv 12639</t>
  </si>
  <si>
    <t>Inv 12638</t>
  </si>
  <si>
    <t>Inv 12637</t>
  </si>
  <si>
    <t>Inv 12636</t>
  </si>
  <si>
    <t>Inv 12635</t>
  </si>
  <si>
    <t>Inv 12633</t>
  </si>
  <si>
    <t>Inv 12634</t>
  </si>
  <si>
    <t>Average Over Head Cost as % on Rev to June 2017</t>
  </si>
  <si>
    <t>Average Over Head Cost to June 2017</t>
  </si>
  <si>
    <t>Average DJC Cost to June 2017</t>
  </si>
  <si>
    <t>Average Margin % per month to June 2017</t>
  </si>
  <si>
    <t>Average Margin per month to June 2017</t>
  </si>
  <si>
    <t>Average cost per month to June 2017</t>
  </si>
  <si>
    <t>Average rev per month to June 2017</t>
  </si>
  <si>
    <t>West NSW</t>
  </si>
  <si>
    <t>Mudgee</t>
  </si>
  <si>
    <t>MW21381 - 2LIV-03 - AYCA-4B5X29 - 209-213 Memorial Ave - 1- EXTERNAL</t>
  </si>
  <si>
    <t>MW21384 - 2PEN-65  - AYCA-4LWMQ0 - 271 Dunmore Street - 1- EXTERNAL</t>
  </si>
  <si>
    <t>Inv 12497</t>
  </si>
  <si>
    <t xml:space="preserve">MW20585 - AYCA-3KUUY6 - 2WOY-09 - Brittwood </t>
  </si>
  <si>
    <t>Inv 12655</t>
  </si>
  <si>
    <t>Inv 12654</t>
  </si>
  <si>
    <t>Inv 12653</t>
  </si>
  <si>
    <t>Inv 12652</t>
  </si>
  <si>
    <t>Inv 2366</t>
  </si>
  <si>
    <t>Inv 2367</t>
  </si>
  <si>
    <t>Inv 2365</t>
  </si>
  <si>
    <t>Inv 2364</t>
  </si>
  <si>
    <t>Inv 2363</t>
  </si>
  <si>
    <t>Inv 9517888</t>
  </si>
  <si>
    <t>MW20116 - AYCA-3I8XUO - 2RDL-60 - Highgardens – 1- EXTERNAL</t>
  </si>
  <si>
    <t>Eastwood</t>
  </si>
  <si>
    <t>MW20106 - 2ROU-02 - AYCA-30C7IB - Hillview Rise - 6</t>
  </si>
  <si>
    <t>Pacific Utilities</t>
  </si>
  <si>
    <t>Inv 0224</t>
  </si>
  <si>
    <t>2DAL-24 MPS-008</t>
  </si>
  <si>
    <t>Inv 12685</t>
  </si>
  <si>
    <t>Inv 12641</t>
  </si>
  <si>
    <t>Inv 12686</t>
  </si>
  <si>
    <t>Inv 12684</t>
  </si>
  <si>
    <t>MW20115 - 2PTH-02 - AYCA-4OSDE9 - ONYX - 1- EXTERNAL</t>
  </si>
  <si>
    <t xml:space="preserve">MW21430 - 2RIV-02 - AYCA-3347PM - The Maples - 3 </t>
  </si>
  <si>
    <t>MW21425 - 2LIV-04 - AYCA-2IQYU1 - Macquaire St Development – 1-EXTERNAL</t>
  </si>
  <si>
    <t>LCC</t>
  </si>
  <si>
    <t>Inv 10251</t>
  </si>
  <si>
    <t>MW21385 - 2BLK-10 - AYCA-4A93XN - 43 Graham St - Doonside - 1</t>
  </si>
  <si>
    <t xml:space="preserve">Andrew Mahassy\Ertan Cicek </t>
  </si>
  <si>
    <t>MW21426 - 2PTH-05 - AYCA-3QAOV2 - Meyer Timber NSW - 1-EXTERNAL and INTERNAL</t>
  </si>
  <si>
    <t>MW21400 - 2MTT-02 - AYCA-4JV9PM - Wattle St Colo Vale - 1</t>
  </si>
  <si>
    <t>MW21398 - 2MSV-03 - AYCA-3MIX48 - Sutherland Park Estate - 1</t>
  </si>
  <si>
    <t>Colo Vale</t>
  </si>
  <si>
    <t>Linda Stahlgren Bouveng</t>
  </si>
  <si>
    <t>9QBN</t>
  </si>
  <si>
    <t>MW21423</t>
  </si>
  <si>
    <t>MW21423 - 9QBN-03 - 16 Ellerton Drive Queanbeyan NSW</t>
  </si>
  <si>
    <t>CSPO issued 16/10/2017</t>
  </si>
  <si>
    <t>MW21322 - 2SHH-02 - AYCA-4FHB4D - 3 Bellbird Close Barrack Heights</t>
  </si>
  <si>
    <t>MW21380 - 2YON-01 - AYCA-4MRFUW - 1 Patterson Avenue, Young – 1</t>
  </si>
  <si>
    <t>MW21325 - 2NRL-20 - AYCA-2QFUTJ - Camden Day Hospital - 1</t>
  </si>
  <si>
    <t>MW21373 - 2WET-65 - AYCA-4O5GBC - 106 - 108 Chifley St - Smithfield</t>
  </si>
  <si>
    <t>MW21401 - 2PTH-11 - AYCA-4RYUIS -  Non Standard Builds - Assisi Close Cranebrook</t>
  </si>
  <si>
    <t>MW21415 - 2WOY-04 - AYCA-357A3D - 243 Blackwall Rd Woy Woy</t>
  </si>
  <si>
    <t>MW21416 - 2ORG-05 - AYCA-4H25NY - 12 Wakeford – 1</t>
  </si>
  <si>
    <t xml:space="preserve">MW20150 - 2BLK-06 - AYCA-3W8B2F - 6 Old Church Lane </t>
  </si>
  <si>
    <t>MW21067 - 2PTH-01 - AYCA-3VF189 - 293-295 Jamison – 1 EXTERNAL</t>
  </si>
  <si>
    <t>Inv 12688</t>
  </si>
  <si>
    <t>Inv 12689</t>
  </si>
  <si>
    <t>Inv 12687</t>
  </si>
  <si>
    <t>Bossley Park</t>
  </si>
  <si>
    <t>MW21438 - 2ORG-01 - AYCA-4J2IIB - Majestic Way - 1</t>
  </si>
  <si>
    <t>MW21205 - 2RIV-02 - AYCA-3349N6 - Schofields Farm Road - The Maples 2</t>
  </si>
  <si>
    <t>MW20833 - 2RIV-02 - AYCA-334H1X - The Maples - 4</t>
  </si>
  <si>
    <t>MW21311 - 2WAU-21 - AYCA-4N13KQ - 127 Cameron St</t>
  </si>
  <si>
    <t>MW21379 ‐ 2TUM‐20 ‐ AYCA‐4QFUB7 ‐ Non Standard Builds ‐ Emery Place Tumut</t>
  </si>
  <si>
    <t>MW20076 - AYCA-4TBHNX - 2SHH-05 - Non Standard Builds - 125 Lake Entrance - SURVEY MWI Pack</t>
  </si>
  <si>
    <t>Inv 12690</t>
  </si>
  <si>
    <t>Inv 12640</t>
  </si>
  <si>
    <t>Inv 12691</t>
  </si>
  <si>
    <t>Inv 12713</t>
  </si>
  <si>
    <t>Inv 12712</t>
  </si>
  <si>
    <t>MW20843 - 2KCL-02 - AYCA-4EIN5M - 171 Casuarina Way Pty Ltd – 1- EXTERNAL</t>
  </si>
  <si>
    <t>Casuarina</t>
  </si>
  <si>
    <t>MW21289 -  2WAG-05 - AYCA-45YGSM - 138 Elizabeth Avenue Forest Hill</t>
  </si>
  <si>
    <t>MW21285 - 2MSV-04 - AYCA-496F3H - 8 Bendooley Street Bowral</t>
  </si>
  <si>
    <t>MW21386 - AYCA-3BBYF2 - 2PTH-05 - 40-50 Union Rd, Penrith  EXTERNAL</t>
  </si>
  <si>
    <t>MW21373 - 2WET-65 - AYCA-4O5GBC - 106 - 108 Chifley St - Smithfield - 1- EXTERNAL</t>
  </si>
  <si>
    <t>Smithfield</t>
  </si>
  <si>
    <t>MW20917 - 2LID-03 - AYCA-3A485K - Lidbury Street Berala - 1 - EXTERNAL</t>
  </si>
  <si>
    <t>Berala</t>
  </si>
  <si>
    <t>MW21452 - AYCA-4FFBGM - 2PIT-01 - The Oaks Development</t>
  </si>
  <si>
    <t>Pitt Town</t>
  </si>
  <si>
    <t>MW21453 - 2LIV-04 - AYCA-2RVC4H - 100 Macquarie Street Liverpool - 1- EXTERNAL</t>
  </si>
  <si>
    <t>Inv 2383</t>
  </si>
  <si>
    <t>Inv 2382</t>
  </si>
  <si>
    <t>Inv 2381</t>
  </si>
  <si>
    <t>Inv 2378</t>
  </si>
  <si>
    <t>Inv 2379</t>
  </si>
  <si>
    <t>Inv 2380</t>
  </si>
  <si>
    <t>Inv 2320</t>
  </si>
  <si>
    <t>Barrack Heights</t>
  </si>
  <si>
    <t>Bathurst</t>
  </si>
  <si>
    <t>MW21457 - AYCA-4QLE5J -2NEW-63 -Ara on Park - 1-EXTERNAL</t>
  </si>
  <si>
    <t>Eskineville</t>
  </si>
  <si>
    <t>MW21458 - 2LID-07 - AYCA-4DZEDU-2LID-07-Auburn Vista - 1 - EXTERNAL</t>
  </si>
  <si>
    <t>Aubrn</t>
  </si>
  <si>
    <t xml:space="preserve">MW21471 - 2KIL-63 - AYCA-2T1HEY -RIDGE CENTRE - 1-E XTERNAL </t>
  </si>
  <si>
    <t>Gordon</t>
  </si>
  <si>
    <t>Inv 0004</t>
  </si>
  <si>
    <t>Inv 1803621</t>
  </si>
  <si>
    <t>Inv 1803622</t>
  </si>
  <si>
    <t>Inv 12744</t>
  </si>
  <si>
    <t>MW21483 - 2ASH-05  - AYCA-2Y1KQS - Charles Banks  1- EXTERNAL</t>
  </si>
  <si>
    <t>Inv 1803629</t>
  </si>
  <si>
    <t>PO 0308</t>
  </si>
  <si>
    <t>MW21459 - AYCA-4DWSZZ -2OBA-20 -NSB - 81 Albatross Way</t>
  </si>
  <si>
    <t>MW21464 - 2NRN-03 - AYCA-4EAKM1-63 SGR - 1- EXTERNAL</t>
  </si>
  <si>
    <t>MW21037 - AYCA-32NN4T -2MSV-05 -Blue Gum Rd Estate – 1</t>
  </si>
  <si>
    <t>MW21472 - OOMWI - 2GRK-01 - AYCA-4G5CSP - 20 Stanley Street Wyongah</t>
  </si>
  <si>
    <t>MW21473 - OOMWI - AYCA-3TNJ90-64 James Sea Drive, Green Point</t>
  </si>
  <si>
    <t>Inv 12759</t>
  </si>
  <si>
    <t>Inv 1803630</t>
  </si>
  <si>
    <t>Inv 25</t>
  </si>
  <si>
    <t>MW21484 - 2ARM-04 - AYCA-2CO7SU - Brown - 1</t>
  </si>
  <si>
    <t xml:space="preserve">Nth West </t>
  </si>
  <si>
    <t>MW21467 - 9QBN-03- AYCA-4QEPB9- Ian &amp; Cathy Darman - 1- EXTERNAL</t>
  </si>
  <si>
    <t>Greg Mouler</t>
  </si>
  <si>
    <t>2BLK-07</t>
  </si>
  <si>
    <t>MW21456</t>
  </si>
  <si>
    <t xml:space="preserve">MW21456 - 2BLK-07-16, 51 Huntingwood Drive </t>
  </si>
  <si>
    <t>MW21488 - OOMWI - 2ROU-03 - AYCA-4877L8 - Non Standard Builds - Windon Avenue</t>
  </si>
  <si>
    <t>MW21493 - OOMWI - 2PTH-02 - AYCA-3O0SC6 - Hope Gardens - 1</t>
  </si>
  <si>
    <t xml:space="preserve">MW20425 - 2WLG - MPS-062-144-191-190-197-241 &amp; 2WLG-08 </t>
  </si>
  <si>
    <t>MW20615 - AYCA-3ZMQUE - Grove Family Trust - 1</t>
  </si>
  <si>
    <t>MW20652 - AYCA-1CI2SU - Jenkins - East, West &amp; South</t>
  </si>
  <si>
    <t xml:space="preserve">MW20682 - AYCA-3NDQ7T - 2ROU-04 - 67 Barry Street </t>
  </si>
  <si>
    <t>MW20897 - AYCA-3UMID0 - 2BLK-01 - 25 ALLAWAH ST, BLACKTOWN</t>
  </si>
  <si>
    <t xml:space="preserve">MW21478-2MYF-02 - AYCA-4PIZ8V  -The Furnace - 1 – EXTERNAL    </t>
  </si>
  <si>
    <t>Mayfield</t>
  </si>
  <si>
    <t>MW21495 - OOMWI - 2COR-04 - AYCA-4UUWX6 - Non Standard Build - 13 Popes Rd Woonona - SURVEY MWI Pack</t>
  </si>
  <si>
    <t>MW21459 -  AYCA-4DWSZZ -2OBA-20 -NSB - 81 Albatross Way</t>
  </si>
  <si>
    <t>Inv 12787</t>
  </si>
  <si>
    <t>MW20076 - 2NWR-03 - AYCA-4SHR9U -2NWR-03 -Sequacious - 1</t>
  </si>
  <si>
    <t>Sogand Mohtat</t>
  </si>
  <si>
    <t>South Nowra</t>
  </si>
  <si>
    <t>MW21507 - OOMWI - 2WAG-05 - AYCA-4Q1LKQ -The Mill Commercial Development - 1</t>
  </si>
  <si>
    <t>Dec-17</t>
  </si>
  <si>
    <t>MW21271 -OOMWI-2MRS-03-AYCA-45TAFX  - Cooranbong - 1</t>
  </si>
  <si>
    <t>MW21506-AYCA-4TCZPJ-2MIL-20-LOT 421 &amp; 422, PROGRESS CIRCUIT</t>
  </si>
  <si>
    <t>Wauchope</t>
  </si>
  <si>
    <t>MW21488 - 2ROU-03 - AYCA-4877L8 - Non Standard Builds - Windon Avenue</t>
  </si>
  <si>
    <t>Inv 12797</t>
  </si>
  <si>
    <t>Inv 12802</t>
  </si>
  <si>
    <t>Inv 12801</t>
  </si>
  <si>
    <t>Inv 12800</t>
  </si>
  <si>
    <t>Inv 12799</t>
  </si>
  <si>
    <t>Inv 12803</t>
  </si>
  <si>
    <t xml:space="preserve">MW21512 - OOMWI - 2NLT-09 - AYCA-4IUR86 -Clarendene - 1 </t>
  </si>
  <si>
    <t>Inv 12805</t>
  </si>
  <si>
    <t>Inv 12807</t>
  </si>
  <si>
    <t>Inv 12806</t>
  </si>
  <si>
    <t>Inv 17/1153</t>
  </si>
  <si>
    <t>Inv 12826</t>
  </si>
  <si>
    <t>Inv 12829</t>
  </si>
  <si>
    <t xml:space="preserve">MW21408 - OOMWI - 2ROC-04 - AYCA-4GCT7O - Baxter International Hotel - 1 </t>
  </si>
  <si>
    <t>Woonona</t>
  </si>
  <si>
    <t>Inv 12804</t>
  </si>
  <si>
    <t>Young</t>
  </si>
  <si>
    <t xml:space="preserve">MW21495 -AYCA-4UUWX6 - NSB - 13 Popes Rd Woonona - SURVEY </t>
  </si>
  <si>
    <t>MW20661 - 2LIV-04 - AYCA-476RM9 - 87-91 Campbell St NSB Survey</t>
  </si>
  <si>
    <t>MW20662 - 2KEL-08 - AYCA-42POJA - NSB - Memorial Ave Kelly Survey</t>
  </si>
  <si>
    <t>MW20154</t>
  </si>
  <si>
    <t xml:space="preserve">CSPO issued </t>
  </si>
  <si>
    <t>CN</t>
  </si>
  <si>
    <t xml:space="preserve">NBN Co Sydney - 2BLK-02/07 - MPS-032 &amp; MPS-010 </t>
  </si>
  <si>
    <t>CN-12453</t>
  </si>
  <si>
    <t>NBN Co Sydney - AYCA-2TB25H - Glenmore Park 2 - 1</t>
  </si>
  <si>
    <t>CN-12411</t>
  </si>
  <si>
    <t xml:space="preserve">NBN Co Sydney - AYCA-3HE07T - 37 Bridge Street - 1 _x000D_
difference from RCTI </t>
  </si>
  <si>
    <t>CN-12409</t>
  </si>
  <si>
    <t>INV</t>
  </si>
  <si>
    <t>B VISA E-TOLL July 2017</t>
  </si>
  <si>
    <t>E-Toll Business Operations Centre - PLATE IDENTIFIED - CHV14B</t>
  </si>
  <si>
    <t>E-Toll Business Operations Centre - TAG NO 3830879 SPARE</t>
  </si>
  <si>
    <t>TNT Australia Pty Ltd - 10/07/17 42797030_x000D_
Murrurundi</t>
  </si>
  <si>
    <t>51385216</t>
  </si>
  <si>
    <t>TNT Australia Pty Ltd - 5/07/17 982000101060_x000D_
Minchinbury/Dubbo</t>
  </si>
  <si>
    <t>Middy's Data &amp; Electrical - Freight to Minchinbury</t>
  </si>
  <si>
    <t>71 A89447</t>
  </si>
  <si>
    <t>Mitronics - MC.DSA_x000D_
Digital Support Agreement - Chargeable</t>
  </si>
  <si>
    <t>878589</t>
  </si>
  <si>
    <t>Mitronics - MC.COLOUR.PAGE_x000D_
Serial No - A02E041005704_x000D_
Colour Last Read - 215,883 8/06/2017_x000D_
Current Read - 219,102 Prints - 3,219</t>
  </si>
  <si>
    <t>Mitronics - MC.BLACK.PAGE_x000D_
Serial No - A02E041005704 Black Last Read - 210,907 8/06/2017_x000D_
Current Read - 212,354 Prints - 1,447</t>
  </si>
  <si>
    <t>Ultimate Positioning Group - Data Preparation</t>
  </si>
  <si>
    <t>PJ10006348</t>
  </si>
  <si>
    <t>Ultimate Positioning Group - 88181-04_x000D_
Trimble Geo 7X handheld with rangefinder (H-Star Floodlight)_x000D_
Hire for the day of 27/07/17</t>
  </si>
  <si>
    <t>Boom Logistics - Fuel Levy</t>
  </si>
  <si>
    <t>200I997920</t>
  </si>
  <si>
    <t>Boom Logistics - Hire of 18m Industrial Travel Tower and Operator</t>
  </si>
  <si>
    <t>Bunnings Warehouse - Marker Sharpie Med White Paint Marker</t>
  </si>
  <si>
    <t>7173/01534596</t>
  </si>
  <si>
    <t xml:space="preserve">Bunnings Warehouse - Holesaw HSS Sutton 16mm Viper H114 </t>
  </si>
  <si>
    <t xml:space="preserve">Bunnings Warehouse - Holesaw Arbor Viper Sutton 14-30mm </t>
  </si>
  <si>
    <t>Bunnings Warehouse - Screws Timber Type 17 HP BHD 8-15x32 pk100 1-241-9202-6</t>
  </si>
  <si>
    <t>015-74350-7016</t>
  </si>
  <si>
    <t>Bunnings Warehouse - Rivets Steel 100pk Zenith 42 1/8 Diax1/8 Grip ARS0070</t>
  </si>
  <si>
    <t>TLE Electrical - NBN CETs - For Type 3 jobs_x000D_
CLIL&amp; Neutral Link 100A 500V 7 Hole F/Wiring P/Mount Black</t>
  </si>
  <si>
    <t>422851-760</t>
  </si>
  <si>
    <t>Bunnings Warehouse - Plugs Wall Green Ramset 7x35mm Bag50 WPG735/B50</t>
  </si>
  <si>
    <t>City of Parramatta - Pitt St Parking_x000D_
Meter No: PIT01-0A_x000D_
Mo 10 Jul 2017</t>
  </si>
  <si>
    <t>11233</t>
  </si>
  <si>
    <t>City of Parramatta - Pitt St Parking_x000D_
Meter No: PIT01-0A_x000D_
Tu 11 Jul 2017</t>
  </si>
  <si>
    <t>11256</t>
  </si>
  <si>
    <t>11250</t>
  </si>
  <si>
    <t>Steel Supplies - Fuel Surcharge</t>
  </si>
  <si>
    <t>395320</t>
  </si>
  <si>
    <t>TLE Electrical - PDL51M/B_x000D_
Surface Socket Rear Connect 10A 250V White</t>
  </si>
  <si>
    <t>423557-760</t>
  </si>
  <si>
    <t>TLE Electrical - SALS9041TCWH_x000D_
D/Light Rnd Fixed Drv c/o 92mm 10W LED 3K/42K/57K White Dimm</t>
  </si>
  <si>
    <t>Bunnings Warehouse - Blade Diamond Standard 115x22mm 8040115</t>
  </si>
  <si>
    <t>015-52475-7173</t>
  </si>
  <si>
    <t>TANDEM - ISG Management Pty Ltd - 26900102_x000D_
Tie, Cable Self-Locking UV Res 300x3</t>
  </si>
  <si>
    <t>22075</t>
  </si>
  <si>
    <t>TANDEM - ISG Management Pty Ltd - 26900092_x000D_
Tie, Cable Self-Locking UV Res 2.5x100</t>
  </si>
  <si>
    <t>Middy's Data &amp; Electrical - Concrete Telstra P4 Pit Cover</t>
  </si>
  <si>
    <t xml:space="preserve">TANDEM - ISG Management Pty Ltd - 7300229_x000D_
Gas Cylinder, CO2 Tdux Inflation </t>
  </si>
  <si>
    <t>22176</t>
  </si>
  <si>
    <t>TANDEM - ISG Management Pty Ltd - 7300194_x000D_
Duct Sealing System, Wrap around Tdux60</t>
  </si>
  <si>
    <t>TANDEM - ISG Management Pty Ltd - 7300196_x000D_
Duct Sealing System, Wrap around Tdux 100</t>
  </si>
  <si>
    <t>Bunnings Warehouse - Light work LED Arlec 20W 1400LM Recharge</t>
  </si>
  <si>
    <t>7016/01589625</t>
  </si>
  <si>
    <t>Bunnings Warehouse - Light Work LED 2x20W Tripod</t>
  </si>
  <si>
    <t>Middy's Data &amp; Electrical - FXC FPA25-FPA25B_x000D_
Coupler M25 FPA/L/H25B IP66</t>
  </si>
  <si>
    <t>71 A89514</t>
  </si>
  <si>
    <t>Middy's Data &amp; Electrical - FXC FPAS25B-50M_x000D_
Conduit Flexible Nylon 25mm</t>
  </si>
  <si>
    <t>Middy's Data &amp; Electrical - T&amp;B HF025-B50_x000D_
Conduit Hiflex 25mm Black 50m Roll</t>
  </si>
  <si>
    <t>Middy's Data &amp; Electrical - BVC 124045_x000D_
Pit P8 Plastic Telstra 99/162</t>
  </si>
  <si>
    <t>71 A89540</t>
  </si>
  <si>
    <t>City Centre Car Park - Parramatta - In: 27/07/17 10:49_x000D_
Out: 27/07/17 13:17</t>
  </si>
  <si>
    <t>A2</t>
  </si>
  <si>
    <t>Middy's Data &amp; Electrical - RAY TDUX-60-A788_x000D_
Inflatable Sealing Sys 40-60mm MOQ10</t>
  </si>
  <si>
    <t>71 A89563</t>
  </si>
  <si>
    <t>Rainer James Barrozo - 2DAL-26-00-MPS-007</t>
  </si>
  <si>
    <t>0003</t>
  </si>
  <si>
    <t>Complete Onsite Group - Traffic Control - AYCA-3KSRGR _x000D_
Norberta St The Entrance 20/06/17 07:00-15:30 (8.5hrs) x 2 including travel</t>
  </si>
  <si>
    <t>INV-1112</t>
  </si>
  <si>
    <t>Warriewood Consultancy - Datateks Day Rate</t>
  </si>
  <si>
    <t>INV-0121</t>
  </si>
  <si>
    <t>KSJDA Pty Ltd - NBN MWA _x000D_
MW20436-AYCA-3B8YY0 - Warrana Place, Taree</t>
  </si>
  <si>
    <t>17/1055</t>
  </si>
  <si>
    <t>5SMITHS - NBN MWA20436 - AYCA-3B8YY0 - Warrana Place_x000D_
Splicing, Testing, Instal and Test NTU</t>
  </si>
  <si>
    <t>01803528</t>
  </si>
  <si>
    <t>5SMITHS - AARNet Auburn Hospital_x000D_
Prepare 48SMOF Cable, Splice &amp; Terminate Fibres, Testing</t>
  </si>
  <si>
    <t>01803532</t>
  </si>
  <si>
    <t>INV-0122</t>
  </si>
  <si>
    <t>Complete Onsite Group - Traffic Control Plans</t>
  </si>
  <si>
    <t>INV-1179</t>
  </si>
  <si>
    <t>Complete Onsite Group - Traffic Control Works</t>
  </si>
  <si>
    <t>Qubicon Group - Night works completed 25th and 26th July 17 as per agreement</t>
  </si>
  <si>
    <t>00000532</t>
  </si>
  <si>
    <t>INV-1207</t>
  </si>
  <si>
    <t>PE</t>
  </si>
  <si>
    <t>Earnings</t>
  </si>
  <si>
    <t>Payroll Expense Journal - PD-522</t>
  </si>
  <si>
    <t>Payroll Expense Journal - PD-557</t>
  </si>
  <si>
    <t>Payroll Expense Journal - PD-559</t>
  </si>
  <si>
    <t>Payroll Expense Journal - PD-566</t>
  </si>
  <si>
    <t>Payroll Expense Journal - PD-569</t>
  </si>
  <si>
    <t>Reimbursements</t>
  </si>
  <si>
    <t>Superannuation Expense</t>
  </si>
  <si>
    <t>PAY</t>
  </si>
  <si>
    <t>E-Toll Business Operations Centre - Surcharge on Top- up account per transaction</t>
  </si>
  <si>
    <t>E-toll top July 2017</t>
  </si>
  <si>
    <t>Etoll July 2017</t>
  </si>
  <si>
    <t>TNT Australia Pty Ltd - Account service fee</t>
  </si>
  <si>
    <t>Etoll - July 2017</t>
  </si>
  <si>
    <t>National Australia Bank - Bank Guarantees</t>
  </si>
  <si>
    <t>NBN CO Bank Guarantees</t>
  </si>
  <si>
    <t>Woolworths Limited - Twinings Tea Bags English Brkfst 50pk</t>
  </si>
  <si>
    <t>001176</t>
  </si>
  <si>
    <t>Woolworths Limited - Moccona F/D Coffee Clasc Drk Rst 400G</t>
  </si>
  <si>
    <t>Woolworths Limited - CSR Sugar White 1kg</t>
  </si>
  <si>
    <t>Officeworks Superstores - Ctn Reflex Cpy Ppr 80gsm A4</t>
  </si>
  <si>
    <t>9093236001910598</t>
  </si>
  <si>
    <t>Australia Post - EP Small Satchel_x000D_
Tracking no: 606 35321290 094</t>
  </si>
  <si>
    <t>02/39492</t>
  </si>
  <si>
    <t>Optus - Acct Number: 8106 5990 7001 41_x000D_
0413257544 on Wireless Broadband 200GB</t>
  </si>
  <si>
    <t>812412804</t>
  </si>
  <si>
    <t>Optus - Service Charges_x000D_
0413257544 on Home Wireless 200GB</t>
  </si>
  <si>
    <t>817612441</t>
  </si>
  <si>
    <t>Optus - Account Charges</t>
  </si>
  <si>
    <t>Telstra Acc # 898 8808 200 - Sydney</t>
  </si>
  <si>
    <t>P 459 486 251-3</t>
  </si>
  <si>
    <t>Bunnings Warehouse - Batteries AA Duracell 30pk</t>
  </si>
  <si>
    <t>7016/00188253</t>
  </si>
  <si>
    <t>Bunnings Warehouse - Duracell Coppertop C8 8 Pack</t>
  </si>
  <si>
    <t>Sunlite Mitre 10 - Dust Pan &amp; Brush Set Green</t>
  </si>
  <si>
    <t>31319809</t>
  </si>
  <si>
    <t>The Australian Reinforcing Company - Bulk Bags 90x90x90 _x000D_
Length: 0.900_x000D_
Width: 0.900</t>
  </si>
  <si>
    <t>3091157</t>
  </si>
  <si>
    <t>The Australian Reinforcing Company - Bulk Bags 60x60x60 _x000D_
Length: 0.600_x000D_
Width: 0.600</t>
  </si>
  <si>
    <t>Steel Supplies - 2400.x3000.x.WG224</t>
  </si>
  <si>
    <t>Steel Supplies - 40 x 40 x 2.0 RHS ***Gal***x 8.0mtr</t>
  </si>
  <si>
    <t>Bunnings Warehouse - Vacuum Accessory Vax 5pk Vac Bags 30400</t>
  </si>
  <si>
    <t>7016/00109537</t>
  </si>
  <si>
    <t>Cleanaway - 25/07/17_x000D_
1 x Bin Not Out 1.5m Bin</t>
  </si>
  <si>
    <t>11914991</t>
  </si>
  <si>
    <t>Cleanaway - 28/07/17_x000D_
1 x Clear 1.5m Bin</t>
  </si>
  <si>
    <t>Cleanaway - 31/07/17_x000D_
1 x Environmental Fee</t>
  </si>
  <si>
    <t>Cleanaway - 6/07/17_x000D_
1 x Clear 1.5m Recycle Bin</t>
  </si>
  <si>
    <t>Cleanaway - 11/07/17_x000D_
1 x Clear 1.5m Bin</t>
  </si>
  <si>
    <t>Cleanaway - 20/07/17_x000D_
1 x Clear 1.5m Recycle Bin</t>
  </si>
  <si>
    <t>GILCIN - Rent 19/07/2017 - 18/08/2017_x000D_
Unit 26, 10 John Hines Ave, Minchinbury NSW</t>
  </si>
  <si>
    <t>0010</t>
  </si>
  <si>
    <t>Tranquil Natural Spring Water - 15litre spring water bottles, delivered on 12/07/17</t>
  </si>
  <si>
    <t>00085406</t>
  </si>
  <si>
    <t>2530105</t>
  </si>
  <si>
    <t>2444346</t>
  </si>
  <si>
    <t>00485752</t>
  </si>
  <si>
    <t>197387</t>
  </si>
  <si>
    <t>5357/34 04</t>
  </si>
  <si>
    <t>3202080</t>
  </si>
  <si>
    <t>1706376</t>
  </si>
  <si>
    <t>001/2521</t>
  </si>
  <si>
    <t>1611928</t>
  </si>
  <si>
    <t>352610</t>
  </si>
  <si>
    <t>Transport Repair Services Pty Ltd - Enviro</t>
  </si>
  <si>
    <t>00025985</t>
  </si>
  <si>
    <t>Transport Repair Services Pty Ltd - Labour</t>
  </si>
  <si>
    <t>Transport Repair Services Pty Ltd - Fuel Filter</t>
  </si>
  <si>
    <t>Transport Repair Services Pty Ltd - Air Element</t>
  </si>
  <si>
    <t>Transport Repair Services Pty Ltd - Oil Filter</t>
  </si>
  <si>
    <t>BP Connect Kellyville - Diesel 84.03L @ $1.309</t>
  </si>
  <si>
    <t>170704 16:59</t>
  </si>
  <si>
    <t>BP Chipping Norton - Diesel 76.38L @ $1.139</t>
  </si>
  <si>
    <t>894640</t>
  </si>
  <si>
    <t>Caltex Yass - Diesel 90.60L @ $1.243</t>
  </si>
  <si>
    <t>20666</t>
  </si>
  <si>
    <t>Metro Petroleum Boorowa - Diesel 83.51L @ $1.199</t>
  </si>
  <si>
    <t>9625/33 01</t>
  </si>
  <si>
    <t>Bunnings Warehouse - Washer Mudguard ZP Zenith snpk 3/8 pk10 EBP1010</t>
  </si>
  <si>
    <t>7016/00109534</t>
  </si>
  <si>
    <t>Bunnings Warehouse - Washer Square Galv Romak M10 50x50x3 each FST083</t>
  </si>
  <si>
    <t>Bunnings Warehouse - Wipes Cleaning Mr Clean 200pk Handy Wipes Roll PB276</t>
  </si>
  <si>
    <t>Bunnings Warehouse - Washer Spring ZP Zenith SNPK 3/8 pk30 EBN1010</t>
  </si>
  <si>
    <t>Bunnings Warehouse - Wahers Hi Tensile 3/8 - 10mm pk30</t>
  </si>
  <si>
    <t>Bunnings Warehouse - Bolts &amp; Nuts HX Hi Tensile 10x35mm YZ GD8.8 pk4</t>
  </si>
  <si>
    <t>BP Connect Minchinbury - Diesel 96.08L @ $1.249</t>
  </si>
  <si>
    <t>410302</t>
  </si>
  <si>
    <t xml:space="preserve">Allianz - MCIS Levies </t>
  </si>
  <si>
    <t>3713242369-0</t>
  </si>
  <si>
    <t>Allianz - Premium</t>
  </si>
  <si>
    <t>Speedway Liverpool - Diesel 47.60L @ $1.099</t>
  </si>
  <si>
    <t>1577/34 02</t>
  </si>
  <si>
    <t>Caltex Coolongolook - Vortex Diesel 59.22L @ $1.269</t>
  </si>
  <si>
    <t>48973</t>
  </si>
  <si>
    <t>7 Eleven Minchinbury - Diesel 64.37L @ $1.239</t>
  </si>
  <si>
    <t>2450160</t>
  </si>
  <si>
    <t>BP Mays Hill - Diesel 58.64L @ $1.279</t>
  </si>
  <si>
    <t>0155/01 05</t>
  </si>
  <si>
    <t>16616</t>
  </si>
  <si>
    <t>4078222</t>
  </si>
  <si>
    <t>002/6558</t>
  </si>
  <si>
    <t>23730825</t>
  </si>
  <si>
    <t>2442791</t>
  </si>
  <si>
    <t>1206106</t>
  </si>
  <si>
    <t>Autobarn Campbelltown - RB1650B Cross Bar 1650mm Black Commercial</t>
  </si>
  <si>
    <t>46</t>
  </si>
  <si>
    <t>Autobarn Campbelltown - RL210S10 Leg Bracket 210mm Strap no 10</t>
  </si>
  <si>
    <t>Eureka Operations - Coles Express - Diesel 55.12L @ $1.339</t>
  </si>
  <si>
    <t>1472873</t>
  </si>
  <si>
    <t>MJ</t>
  </si>
  <si>
    <t>SYDNEY VEHICLE  AND TEST EQUIPMENT RENTAL - TEST EQUIPMENT MONTHLY RENTAL</t>
  </si>
  <si>
    <t>#35959</t>
  </si>
  <si>
    <t>SYDNEY VEHICLE  AND TEST EQUIPMENT RENTAL - Forklift</t>
  </si>
  <si>
    <t xml:space="preserve">SYDNEY VEHICLE  AND TEST EQUIPMENT RENTAL - CHV14B -HILUX MONTHLY RENTAL - BUILT 06/13, TOYOTA HILUX, KUN26R MY12 SR DOUBLE CAB, UTILITY DUAL CAB, MANUAL, 3.0 LTR 4 CYL, DIESEL, DIRECT INJECTION TURBO INTERCOOLED, WHITE, REGO CHV14B NSW, ENG NO. 1KDA212793, VIN </t>
  </si>
  <si>
    <t>Supagas - 4 x Monthly Rental of LPG 15kg Cylinder</t>
  </si>
  <si>
    <t>88990-7-2017</t>
  </si>
  <si>
    <t>Supagas - 2 x LPG 15kg cylinder</t>
  </si>
  <si>
    <t>E-Toll Business Operations Centre - TAG NO 4088301 CHV14B Toyota Hilux SYD</t>
  </si>
  <si>
    <t>E-Toll Business Operations Centre - TAG NO 10166430_x000D_ KE BX10GL Izuzu Tipper</t>
  </si>
  <si>
    <t>E-Toll Business Operations Centre - TAG NO 3829695 _x000D_GC GCC00K F250 Ford</t>
  </si>
  <si>
    <t xml:space="preserve">E-Toll Business Operations Centre - TAG NO 3665998 GB BU59MS Toyota Hiace Van </t>
  </si>
  <si>
    <t xml:space="preserve">E-Toll Business Operations Centre - TAG NO 4088300 SPARE </t>
  </si>
  <si>
    <t>E-Toll Business Operations Centre - TAG NO 10166426_x000D_ DMJ74G</t>
  </si>
  <si>
    <t>NBN Sydney</t>
  </si>
  <si>
    <t>VPL</t>
  </si>
  <si>
    <t>Inv 12853</t>
  </si>
  <si>
    <t>Inv 12851</t>
  </si>
  <si>
    <t>Inv 12852</t>
  </si>
  <si>
    <t>2DAL-23-MPS-003 FttB Build</t>
  </si>
  <si>
    <t>2DAL-23-MPS-004 FttB Build</t>
  </si>
  <si>
    <t>2DAL-24-MPS-008 FttB Build</t>
  </si>
  <si>
    <t>Sam Harwood</t>
  </si>
  <si>
    <t>Thornton</t>
  </si>
  <si>
    <t>N/A</t>
  </si>
  <si>
    <t>MWxxxxx Datateks - New Dev MDU 476TI5 Freight Linz  Annexure B - RFQ 7 Mar 2016</t>
  </si>
  <si>
    <t>MWxxxxx Datateks - New Dev MDU 4JI593-2BYB-21 Banksia Byron Bay  Annexure B - RFQ 7 Mar 2016</t>
  </si>
  <si>
    <t>Paul Hales</t>
  </si>
  <si>
    <t>MW21516 - AYCA-4TB2X9 - NSB - Wirrinya Pl Grasmere - SURVEY</t>
  </si>
  <si>
    <t>MW21311 - AYCA-4N13KQ - 2WAU-21 - 127 Cameron St</t>
  </si>
  <si>
    <t xml:space="preserve">MW21108 - 2NEW-03 - AYCA-4D6F80 - Casa - Terraces </t>
  </si>
  <si>
    <t>Inv 2415</t>
  </si>
  <si>
    <t>Inv 2416</t>
  </si>
  <si>
    <t>Inv 2417</t>
  </si>
  <si>
    <t>Inv 2418</t>
  </si>
  <si>
    <t>Inv 2419</t>
  </si>
  <si>
    <t>Inv 2420</t>
  </si>
  <si>
    <t>Inv 2422</t>
  </si>
  <si>
    <t>Inv 2423</t>
  </si>
  <si>
    <t>NBN New Devs</t>
  </si>
  <si>
    <t>NBN Brownfields</t>
  </si>
  <si>
    <t>NBN A401</t>
  </si>
  <si>
    <t>Inv 12813</t>
  </si>
  <si>
    <t>Inv 12812</t>
  </si>
  <si>
    <t>Inv 12825</t>
  </si>
  <si>
    <t>Inv 12814</t>
  </si>
  <si>
    <t>Inv 12811</t>
  </si>
  <si>
    <t>Inv 12830</t>
  </si>
  <si>
    <t>Inv 12828</t>
  </si>
  <si>
    <t>Inv 12798</t>
  </si>
  <si>
    <t>Inv 12827</t>
  </si>
  <si>
    <t>Inv 12836</t>
  </si>
  <si>
    <t>Inv 12874</t>
  </si>
  <si>
    <t>Inv 12873</t>
  </si>
  <si>
    <t>Inv 12872</t>
  </si>
  <si>
    <t>Inv 12871</t>
  </si>
  <si>
    <t>Inv 12875</t>
  </si>
  <si>
    <t>Inv 12878</t>
  </si>
  <si>
    <t>Inv 12877</t>
  </si>
  <si>
    <t>MW21512 - AYCA-4IUR86 - 2NLT-09 - Clarendene - 1</t>
  </si>
  <si>
    <t>MW21483 - AYCA-2Y1KQS - Charles Banks – 1- EXTERNAL</t>
  </si>
  <si>
    <t>MW21425 - AYCA-2IQYU1 - 2LIV-04 - Macquaire St Development – 1-EXTERNAL</t>
  </si>
  <si>
    <t>Inv 2431</t>
  </si>
  <si>
    <t>Inv 12884</t>
  </si>
  <si>
    <t>Jan-18</t>
  </si>
  <si>
    <t>Inv 10255</t>
  </si>
  <si>
    <t>Inv 10258</t>
  </si>
  <si>
    <t>Inv 10259</t>
  </si>
  <si>
    <t>MW20865 - AYCA-2K3SGD - 2NWR-03 - Elian Crescent 1.</t>
  </si>
  <si>
    <t>MW21322 - AYCA-4FHB4D - 2SHH-02 - 3 Bellbird Close Barrack Heights</t>
  </si>
  <si>
    <t>MW21006 - AYCA-49DNJ1 - Nowra BP &amp; McDonalds - 1-  INTERNAL AND EXTERNAL</t>
  </si>
  <si>
    <t xml:space="preserve">MW21471 - AYCA-2T1HEY -2KIL-63 - RIDGE CENTRE - 1-E XTERNAL </t>
  </si>
  <si>
    <t>Inv 12870</t>
  </si>
  <si>
    <t>Inv 2451</t>
  </si>
  <si>
    <t xml:space="preserve">Global Elite technologies   </t>
  </si>
  <si>
    <t>Inv 114</t>
  </si>
  <si>
    <t>MW21426 - AYCA-3QAOV2 - 2PTH-05 - Meyer Timber NSW</t>
  </si>
  <si>
    <t xml:space="preserve">MW21293 - AYCA-4GNO0E - 2LIV-63 - Coopers Paddock - 1-  INTERNAL </t>
  </si>
  <si>
    <t xml:space="preserve">MW21205 - AYCA-3349N6 - 2RIV-02 - The Maples - 2             </t>
  </si>
  <si>
    <t>MW21458 - AYCA-4DZEDU-2LID-07-Auburn Vista - 1 - EXTERNAL</t>
  </si>
  <si>
    <t>MW21281 - AYCA-3K4RCM - Marsden Park Tonzat Development - 2</t>
  </si>
  <si>
    <t>MW21381 - AYCA-4B5X29 - 2LIV-03 - 209-213 Memorial Ave - 1- EXTERNAL</t>
  </si>
  <si>
    <t xml:space="preserve">MW21104 - AYCA-3UHHF8-2LIV-12-25 Glenfield Road </t>
  </si>
  <si>
    <t>Number of days since response submission</t>
  </si>
  <si>
    <t>Inv 12915</t>
  </si>
  <si>
    <t>Inv 12916</t>
  </si>
  <si>
    <t>Cumberland Council</t>
  </si>
  <si>
    <t>Inv 67449</t>
  </si>
  <si>
    <t>Inv 17/1167</t>
  </si>
  <si>
    <t>Inv 17/1166</t>
  </si>
  <si>
    <t>Inv 12876</t>
  </si>
  <si>
    <t>MW21523 - 2EPP-62 - AYCA-20PHAM-20-28 CAMBRIDGE ST EPPING</t>
  </si>
  <si>
    <t>Inv 12914</t>
  </si>
  <si>
    <t>MW21524 -  AYCA-47C97W-2BLK-01 -51 Kildare Rd Blacktown</t>
  </si>
  <si>
    <t>The average payment date timeframe from submission of payment claim to payment in the last 7 months  is 26 days.  Contracted 15 days</t>
  </si>
  <si>
    <t>VPL - FttB Build 2DAL-23 &amp; 24</t>
  </si>
  <si>
    <t>MW21521-2ROU-02-AYCA-1OHQX6 -Lake Promenade - Building C- EXTERNAL</t>
  </si>
  <si>
    <t>MWxxxxx Datateks - New Dev MDU 4V3WL4-2PTM-Port Macq  Annexure B - RFQ 7 Mar 2016</t>
  </si>
  <si>
    <t>MW21390 - 2KIA - AYCA-4QG9AV - NSB - 33 Shoalhaven St K - Datateks NBN Quote</t>
  </si>
  <si>
    <t>Inv 1803673</t>
  </si>
  <si>
    <t>VPL - FttB Re Design 2DAL-26</t>
  </si>
  <si>
    <t>NBN A401 New Devs</t>
  </si>
  <si>
    <t>NBN A401 New Devs DJC Internals</t>
  </si>
  <si>
    <t>NBN A401 New Devs DJC</t>
  </si>
  <si>
    <t>NBN A401 Minor Works DJC Internals</t>
  </si>
  <si>
    <t>NBN A401 Minor Works DJC</t>
  </si>
  <si>
    <t>NBN A401 Minor Works</t>
  </si>
  <si>
    <t>NBN A401 New Devs Credit</t>
  </si>
  <si>
    <t>NBN A401 Minor Works Credit</t>
  </si>
  <si>
    <t>NBN A417 MDU Credit</t>
  </si>
  <si>
    <t>Tool Allowance GC</t>
  </si>
  <si>
    <t>Greg &amp; Karsten</t>
  </si>
  <si>
    <t xml:space="preserve">Tool Allowance Earnings, Greg &amp; Karsten </t>
  </si>
  <si>
    <t>Tool Allowance Earnings, Brendan</t>
  </si>
  <si>
    <t>TA Reimbursements</t>
  </si>
  <si>
    <t>TA Reimbursements - GC</t>
  </si>
  <si>
    <t>Overhead Gilbert TA in Sydney $185 a Day = 19.8 days in the month in Sydney</t>
  </si>
  <si>
    <t>Earnings GC</t>
  </si>
  <si>
    <t xml:space="preserve">Superannuation Expense AA </t>
  </si>
  <si>
    <t>Superannuation Expense RM</t>
  </si>
  <si>
    <t>Super AA</t>
  </si>
  <si>
    <t>Super  RM</t>
  </si>
  <si>
    <t>Superannuation Expense Sonya</t>
  </si>
  <si>
    <t>Superannuation Expense GC</t>
  </si>
  <si>
    <t>Earnings Telephone Sonya</t>
  </si>
  <si>
    <t>Telephone AA &amp; RM</t>
  </si>
  <si>
    <t>Telephone</t>
  </si>
  <si>
    <t>Earnings Wages Sonya</t>
  </si>
  <si>
    <t>Wages AA</t>
  </si>
  <si>
    <t>Wages RM</t>
  </si>
  <si>
    <t>Overhead, Civils Truck Pipe Tray</t>
  </si>
  <si>
    <r>
      <t xml:space="preserve">Eureka Operations - Coles Express - Diesel 106.66L @ $1.369   </t>
    </r>
    <r>
      <rPr>
        <sz val="11"/>
        <color rgb="FFFF0000"/>
        <rFont val="Arial Narrow"/>
        <family val="2"/>
      </rPr>
      <t>GC</t>
    </r>
  </si>
  <si>
    <r>
      <t xml:space="preserve">7 Eleven Minchinbury - Diesel 160.30L @ $1.239 </t>
    </r>
    <r>
      <rPr>
        <sz val="11"/>
        <color rgb="FFFF0000"/>
        <rFont val="Arial Narrow"/>
        <family val="2"/>
      </rPr>
      <t xml:space="preserve"> GC</t>
    </r>
  </si>
  <si>
    <r>
      <t xml:space="preserve">United Wagga Wagga - Diesel 55.13L @ $1.229 </t>
    </r>
    <r>
      <rPr>
        <sz val="11"/>
        <color rgb="FFFF0000"/>
        <rFont val="Arial Narrow"/>
        <family val="2"/>
      </rPr>
      <t xml:space="preserve">  Alex C</t>
    </r>
  </si>
  <si>
    <t>VPL Sydney</t>
  </si>
  <si>
    <r>
      <t>BP Smeaton Grange - ULP 45.83L @ $1.349</t>
    </r>
    <r>
      <rPr>
        <sz val="11"/>
        <color rgb="FFFF0000"/>
        <rFont val="Arial Narrow"/>
        <family val="2"/>
      </rPr>
      <t xml:space="preserve"> GB</t>
    </r>
  </si>
  <si>
    <r>
      <t xml:space="preserve">Metro Haberfield - Premium ULP 50.36L @ $1.299 </t>
    </r>
    <r>
      <rPr>
        <sz val="11"/>
        <color rgb="FFFF0000"/>
        <rFont val="Arial Narrow"/>
        <family val="2"/>
      </rPr>
      <t>GB</t>
    </r>
  </si>
  <si>
    <r>
      <t xml:space="preserve">7 Eleven The Entrance - ULP 46.78L @ $1.179  </t>
    </r>
    <r>
      <rPr>
        <sz val="11"/>
        <color rgb="FFFF0000"/>
        <rFont val="Arial Narrow"/>
        <family val="2"/>
      </rPr>
      <t>GB</t>
    </r>
  </si>
  <si>
    <r>
      <t xml:space="preserve">7 Eleven Croydon Park - Premium ULP 49.24L @ $1.379 </t>
    </r>
    <r>
      <rPr>
        <sz val="11"/>
        <color rgb="FFFF0000"/>
        <rFont val="Arial Narrow"/>
        <family val="2"/>
      </rPr>
      <t xml:space="preserve"> GB</t>
    </r>
  </si>
  <si>
    <r>
      <t xml:space="preserve">Woolworths Petrol - Vortex ULP 39.16L @ $1.199 </t>
    </r>
    <r>
      <rPr>
        <sz val="11"/>
        <color rgb="FFFF0000"/>
        <rFont val="Arial Narrow"/>
        <family val="2"/>
      </rPr>
      <t xml:space="preserve"> GB</t>
    </r>
  </si>
  <si>
    <r>
      <t xml:space="preserve">7 Eleven Drummoyne - E10 ULP 52.24L @ $1.177  </t>
    </r>
    <r>
      <rPr>
        <sz val="11"/>
        <color rgb="FFFF0000"/>
        <rFont val="Arial Narrow"/>
        <family val="2"/>
      </rPr>
      <t>GB</t>
    </r>
  </si>
  <si>
    <r>
      <t xml:space="preserve">BP Smeaton Grange - ULP 47.81L @ $1.369  </t>
    </r>
    <r>
      <rPr>
        <sz val="11"/>
        <color rgb="FFFF0000"/>
        <rFont val="Arial Narrow"/>
        <family val="2"/>
      </rPr>
      <t>GB</t>
    </r>
  </si>
  <si>
    <t>Vehicles</t>
  </si>
  <si>
    <r>
      <t xml:space="preserve">Caltex Yass - LPG 53.93L @ $0.749, </t>
    </r>
    <r>
      <rPr>
        <sz val="11"/>
        <color rgb="FFFF0000"/>
        <rFont val="Arial Narrow"/>
        <family val="2"/>
      </rPr>
      <t>Falcon Wagon</t>
    </r>
  </si>
  <si>
    <r>
      <t xml:space="preserve">7 Eleven Kings Park - LPG 61.10L @ $0.649, </t>
    </r>
    <r>
      <rPr>
        <sz val="11"/>
        <color rgb="FFFF0000"/>
        <rFont val="Arial Narrow"/>
        <family val="2"/>
      </rPr>
      <t>Falcon Wagon</t>
    </r>
  </si>
  <si>
    <t>Woolworths Petrol - Diesel 46.98L @ $1.215, Brendan</t>
  </si>
  <si>
    <t>7 Eleven Minchinbury - Diesel 47.03L @ $1.249,  Brendan</t>
  </si>
  <si>
    <t>7 Eleven Minchinbury - Diesel 50.49L @ $1.249,  Brendan</t>
  </si>
  <si>
    <t>7 Eleven Eastern Creek - Diesel 53.58L @ $1.239,  Brendan</t>
  </si>
  <si>
    <t>SYDNEY VEHICLE  AND TEST EQUIPMENT RENTAL - DMJ74G,  Brendan</t>
  </si>
  <si>
    <t>SYDNEY VEHICLE  AND TEST EQUIPMENT RENTAL - BU59MS -HIACE RENTAL -  Greg</t>
  </si>
  <si>
    <t>NBN Minor Works - MW20764 - 2BLK-12-07 - Lot 21 Western MTQY</t>
  </si>
  <si>
    <t>NBN New Devs - MW21024 - AYCA-4JN54Z - 2NRN-05 - Elderslie</t>
  </si>
  <si>
    <t>NBN New Devs - MW20877 - AYCA-4992YE - 2RIV-02 - 34-36 Schofields - North Park  - 9</t>
  </si>
  <si>
    <t>NBN New Devs - MW20786 - SOPR MWI - 2LIV-03 - AYCA-47DIBW - Dale Development</t>
  </si>
  <si>
    <t xml:space="preserve">NBN New Devs - MW20644 - AYCA-35B3X9 -  Renocorp Australia Pty Ltd </t>
  </si>
  <si>
    <t>NBN New Devs - MW20441 - AYCA-3KSRGR - Norberta St, The Entrance</t>
  </si>
  <si>
    <t>NBN New Devs - MW20729 - COR-04 - AYCA-4D6AY6 - 94 POPES RD</t>
  </si>
  <si>
    <t>NBN New Devs - MW20758 - 2BAN-64 - AYCA-3ETV2Y - 21-25 Leonard Street</t>
  </si>
  <si>
    <t>NBN New Devs - MW20876 - 2RIV-02 -AYCA-499AY5 - 34-36 Schofields - North Park - 10</t>
  </si>
  <si>
    <t>NBN New Devs - MW20585 - AYCA-3KUUY6 - 2WOY-09 - Brittwood</t>
  </si>
  <si>
    <t>NBN New Devs - MW20797 - 2RYD-03 - AYCA-1SUDYS – 15 Porter St Ryde - La Pearl</t>
  </si>
  <si>
    <t>NBN New Devs - MW20620 - 2EPP-05 - AYCA-3071BP - Macquarie Park Village</t>
  </si>
  <si>
    <t xml:space="preserve">NBN New Devs - MW21052 - AYCA-3OLAP3 - 2MAI-11 - WA Brown </t>
  </si>
  <si>
    <t>NBN New Devs - MW20821 - AYCA-45D358 NSB Albuera Close -  BUILD</t>
  </si>
  <si>
    <t>NBN New Devs - MW20436 - AYCA-3B8YY0 - Warrana Place</t>
  </si>
  <si>
    <t xml:space="preserve">NBN A417 - MW20531 - AYCA-2TB25H - Glenmore Park 2 </t>
  </si>
  <si>
    <t>NBN A401 New Devs - MW20387- AYCA-3HE07T - 37 Bridge Street - 1</t>
  </si>
  <si>
    <t>NBN Minor Works - MW20680 - 2BLK-02/07 - MPS-032 &amp; MPS-010</t>
  </si>
  <si>
    <t>NBN New Devs - MW20686 - AYCA-1RBL6L - The North Village , Kellyville</t>
  </si>
  <si>
    <t>NBN New Devs - MW20613 - AYCA-3CGK8N - Tulkaba View – 1</t>
  </si>
  <si>
    <t>NBN Minor Works - MW20718 - 2LJT-04-07-08 Unit 2, 234 The Entrance Road</t>
  </si>
  <si>
    <t>Earnings Kasrten &amp; Ash</t>
  </si>
  <si>
    <t>NBN A401 New Devs Internals</t>
  </si>
  <si>
    <t>New Devs - MW21024 - AYCA-4JN54Z - 2NRN-05 - Elderslie</t>
  </si>
  <si>
    <t>ARRNet - ICQ-315 IPT2073 WSU Parramatta Square Western Lead-in</t>
  </si>
  <si>
    <t>NBN New Devs - MW20649 - 2RCH-03 - AYCA-2MLHJO - Macquarie Street Subdivision - South Windsor</t>
  </si>
  <si>
    <t>NBN New Devs - MW20720 - AYCA-4BHWVV - Argyle Community Housing</t>
  </si>
  <si>
    <t>NBN New Devs - MW20786 - 2LIV-03 - AYCA-47DIBW - Dale Development</t>
  </si>
  <si>
    <t>Earning Greg &amp; Brendan</t>
  </si>
  <si>
    <t>NBN New Devs -  MW20877 - AYCA-4992YE - 2RIV-02 - 34-36 Schofields - North Park  - 9</t>
  </si>
  <si>
    <t>NBN New Devs - MW20817 - 2LIV-12_2QUA_02_2PTH-02 - Glenfield_Margo_Jamison</t>
  </si>
  <si>
    <t>NBN New Devs - MW20898 - 2MIL-01 - AYCA-45L86C  -NSB - Zulu Road – Build</t>
  </si>
  <si>
    <t>Earnings Brendan</t>
  </si>
  <si>
    <t>NBN new Devs - MW20882 - 2BLK-07 - AYCA-468EU5 - 299 Flushcombe - 1</t>
  </si>
  <si>
    <t>MW21570 - AYCA-1L7010  - 2LID-08 - Mixed Use Development - Tower A and B</t>
  </si>
  <si>
    <t xml:space="preserve">MW21550-2HUR-65-AYCA-4SJ25V 121A Mulga Rd Oatley </t>
  </si>
  <si>
    <t>MW21549-2LIV-03-AYCA-48U5AE-Flat Building - 1</t>
  </si>
  <si>
    <t>MW21537-AYCA-424B5V- 2LID-05- 9-13 GELIBOLU PARADE, AUBURN</t>
  </si>
  <si>
    <t xml:space="preserve">MW21540-2LIV-02- AYCA-3DOI9R 166/176-178 Terminus ST ,Liverpool </t>
  </si>
  <si>
    <t>Green Point</t>
  </si>
  <si>
    <t>Superannuation Expense Brendan</t>
  </si>
  <si>
    <t xml:space="preserve">AARNet - ICQ-459 IPT2506 NSW HEALTH AUBURN HOSPITAL  </t>
  </si>
  <si>
    <t>MW21538-2PAR-63-AYCA-44DU8G 8-10 FRASER ST, WESTMEAD</t>
  </si>
  <si>
    <t>Westmead</t>
  </si>
  <si>
    <t>Inv 12933</t>
  </si>
  <si>
    <t>Inv 12934</t>
  </si>
  <si>
    <t>MW21613-AYCA-4M07QT- 2CBT-06-12 Capertee St Ruse</t>
  </si>
  <si>
    <t>Ruse</t>
  </si>
  <si>
    <t>MW21591 - AYCA-3KWVLI - 2ROU-03 - 4 Curtis Road, Kellyville - 1</t>
  </si>
  <si>
    <t>MW21506 - AYCA-4TCZPJ-2MIL-20-LOT 421 &amp; 422, PROGRESS CIRCUIT</t>
  </si>
  <si>
    <t>MW21472 - 2GRK-01 - AYCA-4G5CSP - 20 Stanley Street Wyongah</t>
  </si>
  <si>
    <t>Wyongah</t>
  </si>
  <si>
    <t>Inv 12985</t>
  </si>
  <si>
    <t>MW21505-AYCA-2AS459-2LID-05 -22-26 Ann Street Lidcombe</t>
  </si>
  <si>
    <t>MW21637-AYCA-4OHMS3 - 2BLK-07 -35 Holbeche road, Arndell Park - 1</t>
  </si>
  <si>
    <t>Arndell Park</t>
  </si>
  <si>
    <t>MW21649- AYCA-1Y6XJM-2KIL-61-GORDON 2 – 1</t>
  </si>
  <si>
    <t>MW21639-AYCA-4SZLC6 -2PTH-02- William Younis - 1</t>
  </si>
  <si>
    <t>MW21620- AYCA-4SM2C7 - 2LIV-03-60-62 Passefield Street, Liverpool</t>
  </si>
  <si>
    <t xml:space="preserve">MW21556  - AYCA-1XCONO -2NEW-22 - Ablin Erskineville Pty Ltd </t>
  </si>
  <si>
    <t>Erskinville</t>
  </si>
  <si>
    <t>MW21611-AYCA-3K2CFZ -2CBT-05-Modco Boarding House 1</t>
  </si>
  <si>
    <t>MW21642- AYCA-48KUSD-2NRN-10 - 79-85 TURNER ROAD, GREGORY HILLS</t>
  </si>
  <si>
    <t>Gregory Hills</t>
  </si>
  <si>
    <t>MW21706 - AYCA-4IYJ4J -2PTH-02 - CRONIN EQUITY PTY LTD - 1</t>
  </si>
  <si>
    <t>MW21651-AYCA-21BAAK-2BAN-64-Stacey Apartments - 1</t>
  </si>
  <si>
    <t>MW21699-AYCA-3E5O97-2ROU-03-Hancy - 1</t>
  </si>
  <si>
    <t>Ashfield</t>
  </si>
  <si>
    <t>MW21704 - AYCA-4RDSRL - 2BLK-12-bedford gardens - 1</t>
  </si>
  <si>
    <t>Feb-18</t>
  </si>
  <si>
    <t>Mar-18</t>
  </si>
  <si>
    <t>Inv 12984</t>
  </si>
  <si>
    <t>Inv 13019</t>
  </si>
  <si>
    <t>Inv 13022</t>
  </si>
  <si>
    <t>Inv 13023</t>
  </si>
  <si>
    <t>Inv 13021</t>
  </si>
  <si>
    <t>MW21718-AYCA-4TB2X9- 2NRL-22-NSB - Wirrinya Pl Grasme</t>
  </si>
  <si>
    <t>Grasmere</t>
  </si>
  <si>
    <t xml:space="preserve">MW21724-AYCA-3TP6RP-2SIL-04-Majors Bay Mortlake Residential </t>
  </si>
  <si>
    <t>Mortlake</t>
  </si>
  <si>
    <t>MW21728-AYCA-4HTS7R-2RIV-03-875 RICHMOND RD, MARSDEN PARK</t>
  </si>
  <si>
    <t>Inv 13026</t>
  </si>
  <si>
    <t>Inv 13028</t>
  </si>
  <si>
    <t>Inv 13024</t>
  </si>
  <si>
    <t>Inv 13030</t>
  </si>
  <si>
    <t xml:space="preserve">MW21408 - AYCA-4GCT7O - 2ROC-04 - Baxter International Hotel - 1 </t>
  </si>
  <si>
    <t>MW21512 - 2NLT-09 - AYCA-4IUR86 -Clarendene - 1</t>
  </si>
  <si>
    <t>Inv 1803724</t>
  </si>
  <si>
    <t>Clause 15.9 &amp; 19.7 Payment 15 days from submission of payment claim</t>
  </si>
  <si>
    <t>MW21457 - 2NEW-63 - AYCA-4QLE5J - Ara on Park - 1 - EXTERNAL</t>
  </si>
  <si>
    <t>MW21539 - 2WLG-05 - AYCA-4SJ1RQ 18 Armstrong St West Wollongong NSW 2500 –INTERNAL</t>
  </si>
  <si>
    <t>MW21552 - 2KNS-21 - AYCA-4SJ1RQ 18 Armstrong St West Wollongong NSW 2500 -EXTERNAL</t>
  </si>
  <si>
    <t>MW21538 - 2PAR-63-AYCA-44DU8G 8-10 FRASER ST, WESTMEAD, NSW, 2145</t>
  </si>
  <si>
    <t>Inv 18/1175</t>
  </si>
  <si>
    <t>MW20843 - AYCA-4EIN5M - 2KCL-02 - 171 Casuarina Way Pty Ltd - 1- EXTERNAL</t>
  </si>
  <si>
    <t>Inv 13031</t>
  </si>
  <si>
    <t>Inv 2475</t>
  </si>
  <si>
    <t>Inv 2474</t>
  </si>
  <si>
    <t>Inv 2473</t>
  </si>
  <si>
    <t>Inv 2452</t>
  </si>
  <si>
    <t>Inv 2460</t>
  </si>
  <si>
    <t>Inv 2472</t>
  </si>
  <si>
    <t>Inv 2471</t>
  </si>
  <si>
    <t>Inv 2469</t>
  </si>
  <si>
    <t>Inv 2468</t>
  </si>
  <si>
    <t>Inv 2310</t>
  </si>
  <si>
    <t>MW21386 - 2PTH-05 - AYCA-3BBYF2 - 40-50 Union Rd, Penrith</t>
  </si>
  <si>
    <t>Inv 2467</t>
  </si>
  <si>
    <r>
      <t>MW20777 - AYCA-46PUI1 -2HBD-21 - 724 Pittwater Rd Brookvale</t>
    </r>
    <r>
      <rPr>
        <sz val="11"/>
        <color rgb="FFFF0000"/>
        <rFont val="Calibri"/>
        <family val="2"/>
        <scheme val="minor"/>
      </rPr>
      <t xml:space="preserve"> / Lakeview</t>
    </r>
  </si>
  <si>
    <t>Inv 2470</t>
  </si>
  <si>
    <t>Inv 1803727</t>
  </si>
  <si>
    <t>Inv 13048</t>
  </si>
  <si>
    <t>Inv 12068</t>
  </si>
  <si>
    <t>Inv 13082</t>
  </si>
  <si>
    <t>Inv 12986</t>
  </si>
  <si>
    <t>MW21552 - AYCA-4SJ1RQ - 2KNS-21 - 18 Armstrong St West Wollongong, Externals</t>
  </si>
  <si>
    <t>MW21539 - AYCA-4SJ1RQ - 2WLG-05 - 18 Armstrong St West Wollongong NSW 2500 -INTERNAL</t>
  </si>
  <si>
    <t>Total Payment Claim Amount</t>
  </si>
  <si>
    <t>Inv 13120</t>
  </si>
  <si>
    <t>Inv 13119</t>
  </si>
  <si>
    <t>Inv 13118</t>
  </si>
  <si>
    <t>Inv 13117</t>
  </si>
  <si>
    <t>Inv 13116</t>
  </si>
  <si>
    <t>AYCA-4VVZEF - 2OBA-20 - NSB - Trevally Ave Old Bar - Survey</t>
  </si>
  <si>
    <t>Cylas</t>
  </si>
  <si>
    <t>Inv 1038</t>
  </si>
  <si>
    <t>Inv 1039</t>
  </si>
  <si>
    <t>Inv 1040</t>
  </si>
  <si>
    <t>Inv 1041</t>
  </si>
  <si>
    <t>Inv 138937</t>
  </si>
  <si>
    <t>Mascot</t>
  </si>
  <si>
    <t>Inv 12932</t>
  </si>
  <si>
    <t>Inv 13006</t>
  </si>
  <si>
    <t>MW21328 - AYCA-40UXV5 - 2PTH-02 - 163 Parker St - South Penrith - 1-  INTERNAL</t>
  </si>
  <si>
    <t>MW20778 - AYCA-40UXV5 - 163 Parker St, South Penrith Ext</t>
  </si>
  <si>
    <t>Inv 0254</t>
  </si>
  <si>
    <t>AYCA-3K4RCM - Marsden Park Tonzat Development – 1 and 2</t>
  </si>
  <si>
    <t>MW21756-AYCA-3K4RCM-2RIV-03-Marsden Park Tonzat Development - 2</t>
  </si>
  <si>
    <t>Inv 13027</t>
  </si>
  <si>
    <t>Inv 13150</t>
  </si>
  <si>
    <t>Inv 13025 &amp; 13151</t>
  </si>
  <si>
    <t>Inv 13114</t>
  </si>
  <si>
    <t>Inv 13152</t>
  </si>
  <si>
    <t>Inv 13122</t>
  </si>
  <si>
    <t>Inv 13153</t>
  </si>
  <si>
    <t>Inv 1042</t>
  </si>
  <si>
    <t>MW21551 - AYCA-4EN7KA - 2KNS-04 - Lewis &amp; Co - 1</t>
  </si>
  <si>
    <t>MW21056 - AYCA-4BYB3Q -33 Dunning Ave - 1- EXTERNAL</t>
  </si>
  <si>
    <t>MW21369 - AYCA-4EEPL6 - Rosebery Park - EXTERNAL</t>
  </si>
  <si>
    <t>MW21373 - AYCA-4O5GBC -  2WET-65 - 106 Chifley Street - Smithfield</t>
  </si>
  <si>
    <t>Inv 13164</t>
  </si>
  <si>
    <t>CN-12520</t>
  </si>
  <si>
    <t xml:space="preserve">NBN Co Sydney - MW20679 - OOMWI - 2LJT-02 - MPS-012 - 3 Corella </t>
  </si>
  <si>
    <t>INV-12360a</t>
  </si>
  <si>
    <t>CN-12509</t>
  </si>
  <si>
    <t>CN-12500</t>
  </si>
  <si>
    <t>NBN Co Sydney - MW20500 - AYCA-1ET803 - PEEL RIVER ESTATE – 1_MT_LFN</t>
  </si>
  <si>
    <t>INV-12168a</t>
  </si>
  <si>
    <t xml:space="preserve">NBN Co Sydney - MW20417 - AYCA-2XQPKW - Australian Int'l Academy Kellyville - 3 </t>
  </si>
  <si>
    <t>INV-12163b</t>
  </si>
  <si>
    <t>INV-12496</t>
  </si>
  <si>
    <t>NBN Co Sydney - MW20613 - AYCA-3CGK8N - Tulkaba View – 1</t>
  </si>
  <si>
    <t>INV-12498</t>
  </si>
  <si>
    <t xml:space="preserve">NBN Co Sydney - MW20876 - SOPR MWI - 2RIV-02 AYCA - 499AY5 - 34-36 Schofields - North Park - 10 external </t>
  </si>
  <si>
    <t>INV-12499a</t>
  </si>
  <si>
    <t>Total</t>
  </si>
  <si>
    <t>Balance</t>
  </si>
  <si>
    <t>DATATEKS Pty Ltd</t>
  </si>
  <si>
    <t>From 1 Aug 2017 to 31 Aug 2017</t>
  </si>
  <si>
    <t>Type</t>
  </si>
  <si>
    <t>Transaction</t>
  </si>
  <si>
    <t>Reference</t>
  </si>
  <si>
    <t>SUEZ Recycling &amp; Recovery Pty Ltd - Asbestos Disposal_x000D_
Time in: 14/08/17 9:13am_x000D_
Time out: 14/08/17 9:27_x000D_
0.80t @ $350/t</t>
  </si>
  <si>
    <t>DR210180520.0</t>
  </si>
  <si>
    <t>Wagga Wagga Council - Waste Depot - Asbestos Disposal @ $7.8125 per bag (NBN Dubbo AYCA-35AM2J)</t>
  </si>
  <si>
    <t>496549</t>
  </si>
  <si>
    <t>B VISA E-TOLL August 2017</t>
  </si>
  <si>
    <t>E-Toll Business Operations Centre - TAG NO 3665998 GB BU59MS Toyota Hiace Van</t>
  </si>
  <si>
    <t>TNT Australia Pty Ltd - 14/08/17_x000D_
Con note no: 806938646_x000D_
Destination: Mayfield</t>
  </si>
  <si>
    <t>51603379</t>
  </si>
  <si>
    <t>Kennards Hire - 37833_x000D_
Trailer - Furniture (L92820)_x000D_
From 26/07/17 to 1/08/17</t>
  </si>
  <si>
    <t>18533963</t>
  </si>
  <si>
    <t>Kennards Hire - 370764_x000D_
Scaffold - Alum 3.5m Double Width_x000D_
From 26/07/17 to 1/08/17</t>
  </si>
  <si>
    <t>882355</t>
  </si>
  <si>
    <t>Mitronics - MC.COLOUR.PAGE_x000D_
Serial No - A02E041005704_x000D_
Colour Last Read - 219,102 8/07/2017_x000D_
Current Read - 220,630 Prints - 1,528</t>
  </si>
  <si>
    <t>Mitronics - MC.BLACK.PAGE_x000D_
Serial No - A02E041005704 Black Last Read - 212,354 8/07/2017_x000D_
Current Read - 212,632 Prints - 278</t>
  </si>
  <si>
    <t>Bunnings Warehouse - Sealant Construct Polyurethane 310ml 2HP Crt Gry Sikaflex Pro</t>
  </si>
  <si>
    <t>020-23154-7214</t>
  </si>
  <si>
    <t>ALTUS Traffic - NBN Network Shortfall_x000D_
Supply of traffic controllers at Job# 610495534-0803 2BLK-07-16-Brabham_x000D_
Great Western Highway, Eastern Creek</t>
  </si>
  <si>
    <t>9517382</t>
  </si>
  <si>
    <t>ALTUS Traffic - AARNet-759635-03082_x000D_
Supply of Traffic Controllers at Macquarie St, Parramatta._x000D_
Job No: 610494886-0803</t>
  </si>
  <si>
    <t>9517404</t>
  </si>
  <si>
    <t>Bunnings Warehouse - Selleys Armour Flex 465g White 100353</t>
  </si>
  <si>
    <t>013-92075-7086</t>
  </si>
  <si>
    <t>Bunnings Warehouse - Conduit Fit Trade pk50 Deta 25mm Metal Half Saddle2686BT</t>
  </si>
  <si>
    <t>Bunnings Warehouse - Trowel Plasterer Trojan 19mm Sml TJ10030</t>
  </si>
  <si>
    <t>Middy's Data &amp; Electrical - OME 25DTF_x000D_
Duct Tape Flame Retard 0 13x48mmx30m Silver</t>
  </si>
  <si>
    <t>71 A89887</t>
  </si>
  <si>
    <t>Middy's Data &amp; Electrical - RIP 25WH_x000D_
Tape PVC 19mm x 20m Roll White</t>
  </si>
  <si>
    <t>Middy's Data &amp; Electrical - RIP 25BK_x000D_
Tape PVC 19mm x 20m Roll Black</t>
  </si>
  <si>
    <t>Silverdale Sand &amp; Soil Pty Ltd - Delivery</t>
  </si>
  <si>
    <t>00050946</t>
  </si>
  <si>
    <t>Silverdale Sand &amp; Soil Pty Ltd - 20mm Crushed Asphalt</t>
  </si>
  <si>
    <t>Middy's Data &amp; Electrical - REP SB-S36701_x000D_
Sharpie Retractable Marker Fine Point Bk</t>
  </si>
  <si>
    <t>Middy's Data &amp; Electrical - RAY 4-1191891-1_x000D_
TDux-35 Inflatable Seal Sys MOQ25 258512</t>
  </si>
  <si>
    <t>TANDEM - ISG Management Pty Ltd - 43300011_x000D_
Tape, PVC Adhesive 19mm Wide Black Roll</t>
  </si>
  <si>
    <t>22587</t>
  </si>
  <si>
    <t>TANDEM - ISG Management Pty Ltd - 4300038_x000D_
Tape, Adh Duct Sealing PVC 50mmx30m Silver</t>
  </si>
  <si>
    <t>TANDEM - ISG Management Pty Ltd - 64202001_x000D_
Screw, SD Type 17 SS Hex 14-10GX35mm</t>
  </si>
  <si>
    <t>Middy's Data &amp; Electrical - AMP G35J_x000D_
Wall Plugs in jar green 35mmx12g (pk 100)</t>
  </si>
  <si>
    <t>TANDEM - ISG Management Pty Ltd - 43300263_x000D_
Tape, PVC Adhesive 18mm x 20m Red Roll</t>
  </si>
  <si>
    <t>TLE Electrical - APPMC25GR_x000D_
Flex Conduit Elect M/Duty 25mm 10mPVC Grey</t>
  </si>
  <si>
    <t>739598-280</t>
  </si>
  <si>
    <t>TLE Electrical - APPJC20WH_x000D_
Coupling Plain-Plain 20mm PVC White</t>
  </si>
  <si>
    <t>TLE Electrical - REEGSA6854C_x000D_
Roof and Plumbing Sealant Clear 300g Cartridge</t>
  </si>
  <si>
    <t>739634-280</t>
  </si>
  <si>
    <t>TLE Electrical - CLI180/25_x000D_
Half Saddle Metal 25mm ZP Steel</t>
  </si>
  <si>
    <t>TLE Electrical - CLI180A25_x000D_
Half Saddle Metal 6.5mm Fixing 25mm ZP steel</t>
  </si>
  <si>
    <t>Travel &amp; Entertainment Transactions</t>
  </si>
  <si>
    <t>Eddie Road Lunch Shop - Lunch supplied for Staff meeting</t>
  </si>
  <si>
    <t>534398</t>
  </si>
  <si>
    <t>Subcontractors - Sydney  Transactions</t>
  </si>
  <si>
    <t>Schokman Pty Limited - NBN MWA - Various Jobs 020817</t>
  </si>
  <si>
    <t>2290</t>
  </si>
  <si>
    <t>ALTUS Traffic - Supply of Traffic Controllers at Corner of Civil Place and Macquarie St, Parramatta 25/07/17 &amp; 26/07/17</t>
  </si>
  <si>
    <t>9516894</t>
  </si>
  <si>
    <t>INV-0126</t>
  </si>
  <si>
    <t>Schokman Pty Limited - NBN MWA AYCA-4D6AY6_x000D_
Non Standard Build - 94 Popes Rd</t>
  </si>
  <si>
    <t>2293</t>
  </si>
  <si>
    <t>Schokman Pty Limited - NBN MWA AYCA-4615YX_x000D_
878 Pacific Hwy, Lisarow</t>
  </si>
  <si>
    <t>2294</t>
  </si>
  <si>
    <t>Schokman Pty Limited - NBN MWA AYCA-482KZM _x000D_
35 Georges River Rd, Croydon Park</t>
  </si>
  <si>
    <t>2295</t>
  </si>
  <si>
    <t>O.S Cable Services Pty Ltd - AARNet Parramatta Job 7/08/17</t>
  </si>
  <si>
    <t>00025</t>
  </si>
  <si>
    <t>O.S Cable Services Pty Ltd - AARNet Parramatta Job 3/08/17</t>
  </si>
  <si>
    <t>INV-0127</t>
  </si>
  <si>
    <t>Schokman Pty Limited - NBN MWA20491 - AYCA-3W8T05-2PAR-60 Amos St</t>
  </si>
  <si>
    <t>2312</t>
  </si>
  <si>
    <t xml:space="preserve">ALTUS Traffic - AYCA-2568YW-25-29 Harbour St - Traffic Control 22/08/17 Docket 610945858 06:30-16:00 x 2_x000D_
</t>
  </si>
  <si>
    <t>9518845</t>
  </si>
  <si>
    <t xml:space="preserve">ALTUS Traffic - AYCA-2568YW-25-29 Harbour St - Traffic Control 21/08/17 Docket 610945253 06:30-16:00 x 2 incl ROL and TCP_x000D_
</t>
  </si>
  <si>
    <t>5SMITHS - NBN MWA _x000D_
MW20367-2NRN-03-AYCA-3H6ZBG_x000D_
61 Smeaton Grange Rd</t>
  </si>
  <si>
    <t>01803569</t>
  </si>
  <si>
    <t>Allow Tools Transactions - Tech</t>
  </si>
  <si>
    <t>Payroll Expense Journal - PD-570</t>
  </si>
  <si>
    <t>Payroll Expense Journal - PD-574</t>
  </si>
  <si>
    <t>Payroll Expense Journal - PD-579</t>
  </si>
  <si>
    <t>Payroll Expense Journal - PD-583</t>
  </si>
  <si>
    <t>GC</t>
  </si>
  <si>
    <t>Tools</t>
  </si>
  <si>
    <t>WE 13/8/2017</t>
  </si>
  <si>
    <t>DW,BA,ENW - NBN ACT</t>
  </si>
  <si>
    <t>WE 20/8/2017</t>
  </si>
  <si>
    <t>DH,DW - NBN ACT</t>
  </si>
  <si>
    <t xml:space="preserve">Allow Tools A/T  Transactions - Tech/Trainee </t>
  </si>
  <si>
    <t>MR - NBN ACT</t>
  </si>
  <si>
    <t>Allow Travel/OT Transactions  - Tech</t>
  </si>
  <si>
    <t>Reimbursements - GC</t>
  </si>
  <si>
    <t>OTTA</t>
  </si>
  <si>
    <t xml:space="preserve">DW,BA,ENW - NBN ACT </t>
  </si>
  <si>
    <t>WR</t>
  </si>
  <si>
    <t>CC</t>
  </si>
  <si>
    <t>Direct Wages Transactions</t>
  </si>
  <si>
    <t>Wages</t>
  </si>
  <si>
    <t xml:space="preserve">Direct Wages A/T Transactions- Tech/Trainee </t>
  </si>
  <si>
    <t>MR -NBN ACT</t>
  </si>
  <si>
    <t>Payroll Tax Expense Transactions</t>
  </si>
  <si>
    <t>NSW Office of State Revenue - NSW OSR Payroll Tax July 2017 - Sydney 28%</t>
  </si>
  <si>
    <t>NSW OSR Payroll Tax July 2017</t>
  </si>
  <si>
    <t>Superannuation Transactions - Admin</t>
  </si>
  <si>
    <t xml:space="preserve">AA </t>
  </si>
  <si>
    <t>Super</t>
  </si>
  <si>
    <t>RM</t>
  </si>
  <si>
    <t>Superannuation (5-3002) Transactions  - Techs</t>
  </si>
  <si>
    <t>DH,DW,MR-NBN ACT</t>
  </si>
  <si>
    <t>Telephone Allowance Transactions- ADMIN</t>
  </si>
  <si>
    <t>AA &amp; RM</t>
  </si>
  <si>
    <t>Tele</t>
  </si>
  <si>
    <t>Wages &amp; Salaries Transactions- ADMIN</t>
  </si>
  <si>
    <t>AA</t>
  </si>
  <si>
    <t>Account Fees - Companies Transactions - ETOLL FEES &amp; TNT</t>
  </si>
  <si>
    <t>Etoll - August 2017</t>
  </si>
  <si>
    <t>TNT Australia Pty Ltd - Account Service Fee</t>
  </si>
  <si>
    <t>E-toll August 2017</t>
  </si>
  <si>
    <t>Etoll top up August 2017</t>
  </si>
  <si>
    <t>Accounting Fees Transactions</t>
  </si>
  <si>
    <t>Easdowns Business Specialists - Monthly Instalment per 2018 Service Agreement</t>
  </si>
  <si>
    <t>122257</t>
  </si>
  <si>
    <t>Legal Fees Transactions</t>
  </si>
  <si>
    <t xml:space="preserve">Wade Ryan Contracting - HSEQ Services for Month of July 2017_x000D_
</t>
  </si>
  <si>
    <t>294</t>
  </si>
  <si>
    <t>Office Supplies -  Sydney Transactions</t>
  </si>
  <si>
    <t>Officeworks Superstores - Canon PG645 Ink Black</t>
  </si>
  <si>
    <t>9094236001678412</t>
  </si>
  <si>
    <t>Officeworks Superstores - Reflex Ultra A4 Peper White 500 sheet 5 pack</t>
  </si>
  <si>
    <t>155514254</t>
  </si>
  <si>
    <t>Officeworks Superstores - Scott Roll Towel 18cm x 140m 8 pack</t>
  </si>
  <si>
    <t>Telephone / Internet Transactions</t>
  </si>
  <si>
    <t>822699744</t>
  </si>
  <si>
    <t>P 247 924 641-4</t>
  </si>
  <si>
    <t>Tools &amp; Equipment - Sydney Transactions</t>
  </si>
  <si>
    <t>C.R. Kennedy &amp; Company Pty Ltd - LG753466_x000D_
Digicat 200 Main PCB Serviced and repaired</t>
  </si>
  <si>
    <t>1184616</t>
  </si>
  <si>
    <t>Office/Wrkshp Main - Sydney Transactions</t>
  </si>
  <si>
    <t>Cleanaway - 22/08/17_x000D_
1 x Clear 1.5m Bin</t>
  </si>
  <si>
    <t>11924980</t>
  </si>
  <si>
    <t>Cleanaway - 31/08/17_x000D_
1 x Bin not out 1.5m Recycle</t>
  </si>
  <si>
    <t>Cleanaway - 1 x Environmental Fee</t>
  </si>
  <si>
    <t>Cleanaway - 3/08/17_x000D_
1 x Clear 1.5m Recycle Bin</t>
  </si>
  <si>
    <t>Cleanaway - 8/08/17_x000D_
1 x Clear 1.5m Bin</t>
  </si>
  <si>
    <t>Cleanaway - 17/08/17_x000D_
1 x Clear 1.5m Recycle Bin</t>
  </si>
  <si>
    <t>Rates Transactions</t>
  </si>
  <si>
    <t>Sydney Water - Wastewater (sewerage) Service</t>
  </si>
  <si>
    <t>5663 689</t>
  </si>
  <si>
    <t>Rent  - Sydney Transactions</t>
  </si>
  <si>
    <t>GILCIN - Rent 19/08/2017 - 18/09/2017_x000D_
Unit 26, 10 John Hines Ave, Minchinbury NSW</t>
  </si>
  <si>
    <t>0012</t>
  </si>
  <si>
    <t>Water Transactions</t>
  </si>
  <si>
    <t>Sydney Water - Metered Standpipe permit fee 1/07/17 - 30/06/17</t>
  </si>
  <si>
    <t>5521 624</t>
  </si>
  <si>
    <t>Sydney Water - Water</t>
  </si>
  <si>
    <t>Sydney Water - Water Service</t>
  </si>
  <si>
    <t>63C00K 2013 Holden SS - Gilbert Transactions</t>
  </si>
  <si>
    <t>Eureka Operations - Coles Express - E10 ULP 64.05L @ $1.249</t>
  </si>
  <si>
    <t>2668538</t>
  </si>
  <si>
    <t>7 Eleven Pheasants Nest Nth - E10 ULP 55.90L @ $1.279</t>
  </si>
  <si>
    <t>4659141</t>
  </si>
  <si>
    <t>BE38NA 2010 Toyota Land Cruiser -  Gilbert Transactions</t>
  </si>
  <si>
    <t>Eureka Operations - Coles Express - Diesel 158.96L @ $1.369</t>
  </si>
  <si>
    <t>1479439</t>
  </si>
  <si>
    <t>BU59MS 2013 Hiace Van - Sydney GB Transactions</t>
  </si>
  <si>
    <t>Caltex Heathcote - Vortex ULP 44.99L @ $1.334</t>
  </si>
  <si>
    <t>76512</t>
  </si>
  <si>
    <t>7 Eleven Minchinbury - ULP 51.06L @ $1.184</t>
  </si>
  <si>
    <t>2464205</t>
  </si>
  <si>
    <t>7 Eleven Burwood - Premium ULP 46.12L @ $1.509</t>
  </si>
  <si>
    <t>2818387</t>
  </si>
  <si>
    <t>7 Eleven Croydon Park - Premium ULP 46.51L @ $1.419</t>
  </si>
  <si>
    <t>1741874</t>
  </si>
  <si>
    <t>7 Eleven Windsor - Premium ULP 48.16L @ $1.413</t>
  </si>
  <si>
    <t>1962031</t>
  </si>
  <si>
    <t>AP Punchbowl - E10 ULP 36.52L @ $1.098</t>
  </si>
  <si>
    <t>2463188</t>
  </si>
  <si>
    <t>Caltex Lakemba - Vortex ULP 49.67L  @ $1.319</t>
  </si>
  <si>
    <t>21030</t>
  </si>
  <si>
    <t>Ultra Tune St Marys - Air Filter</t>
  </si>
  <si>
    <t>313566</t>
  </si>
  <si>
    <t>Ultra Tune St Marys - ECU Test/Scan</t>
  </si>
  <si>
    <t>Ultra Tune St Marys - Environmental Levy</t>
  </si>
  <si>
    <t>Ultra Tune St Marys - Labour</t>
  </si>
  <si>
    <t>Ultra Tune St Marys - Oil Filter</t>
  </si>
  <si>
    <t>Ultra Tune St Marys - FMX Magnatec professional 10W/30</t>
  </si>
  <si>
    <t>Ultra Tune St Marys - Workshop Consumables</t>
  </si>
  <si>
    <t>Ultra Tune St Marys - Sump Plug Washer</t>
  </si>
  <si>
    <t>BX10GL Sydney Tipper Transactions</t>
  </si>
  <si>
    <t>Transport Repair Services Pty Ltd - Rego ticket</t>
  </si>
  <si>
    <t>00026011</t>
  </si>
  <si>
    <t>BP Davis Road - Diesel 84.87L @ $1.280</t>
  </si>
  <si>
    <t>01-726784</t>
  </si>
  <si>
    <t>BP Marsden Park - Ultimate Diesel 88.96L @ $1.259</t>
  </si>
  <si>
    <t>BP Werrington - Ultimate Diesel 87.41L @ $1.239</t>
  </si>
  <si>
    <t>170811 07:03</t>
  </si>
  <si>
    <t>BP Leppington - Diesel 95.81L @ $1.169</t>
  </si>
  <si>
    <t>704087</t>
  </si>
  <si>
    <t>BP Wollongong - Ultimate Diesel 74.75L @ $1.299</t>
  </si>
  <si>
    <t>864942</t>
  </si>
  <si>
    <t>BP Connect Minchinbury - Diesel 76.08L @ $1.249</t>
  </si>
  <si>
    <t>495316</t>
  </si>
  <si>
    <t xml:space="preserve">BP Davis Road - Ultimate Diesel 91.34L @ $1.259 </t>
  </si>
  <si>
    <t>01-747014</t>
  </si>
  <si>
    <t>CGCOOK 2012 Toyota Rav 4  - Cindy Transactions</t>
  </si>
  <si>
    <t>Caltex Yass - E10 ULP 53.73L @ $1.247</t>
  </si>
  <si>
    <t>63576</t>
  </si>
  <si>
    <t>CHV14B 2013 Toyota Hilux - Sydney PJ Transactions</t>
  </si>
  <si>
    <t>7 Eleven Eastern Creek - Diesel 53.18L @ $1.2194</t>
  </si>
  <si>
    <t>1230678</t>
  </si>
  <si>
    <t>Eureka Operations - Coles Express - Diesel 60.05L @ $1.299</t>
  </si>
  <si>
    <t>1644331</t>
  </si>
  <si>
    <t>Caltex Eastern Creek - Vortex Diesel 35.12L @ $1.259</t>
  </si>
  <si>
    <t>42117</t>
  </si>
  <si>
    <t>CYY40G 2015 Toyota Hilux - Dylan Transactions</t>
  </si>
  <si>
    <t>Caltex Queanbeyan - Vortex Diesel 64.51L @ $1.219</t>
  </si>
  <si>
    <t>51997</t>
  </si>
  <si>
    <t>Caltex Mitchell - Vortex Diesel 63.78L @ $1.319</t>
  </si>
  <si>
    <t>48406</t>
  </si>
  <si>
    <t>DMJ74G 2017 Hiace Van - Sydney Transactions</t>
  </si>
  <si>
    <t>Woolworths Petrol - Vortex Diesel 54.48L @ $1.199</t>
  </si>
  <si>
    <t>001/9458</t>
  </si>
  <si>
    <t>BP Smeaton Grange - Ultimate Diesel 52.92L @ $1.199</t>
  </si>
  <si>
    <t>212797</t>
  </si>
  <si>
    <t>Eureka Operations - Coles Express - Diesel 55.59L @ $1.299</t>
  </si>
  <si>
    <t>1923789</t>
  </si>
  <si>
    <t>7 Eleven Blair Athol - Diesel 57.05L @ $1.279</t>
  </si>
  <si>
    <t>3555924</t>
  </si>
  <si>
    <t xml:space="preserve">Eureka Operations - Coles Express - Diesel 56.80L  @ $1.299 </t>
  </si>
  <si>
    <t>1940213</t>
  </si>
  <si>
    <t>Equipment &amp; Vehicle expense Transactions</t>
  </si>
  <si>
    <t>From 1 Aug 2017 to 31Aug 2017</t>
  </si>
  <si>
    <t xml:space="preserve">SYDNEY VEHICLE  AND TEST EQUIPMENT RENTAL - BU59MS -HIACE RENTAL - </t>
  </si>
  <si>
    <t>SYDNEY VEHICLE  AND TEST EQUIPMENT RENTAL - DMJ74G</t>
  </si>
  <si>
    <t>Forklift  - Sydney Transactions</t>
  </si>
  <si>
    <t>Supagas - 2 x Monthly Rental of LPG 15kg Cylinder</t>
  </si>
  <si>
    <t>88990-8-2017</t>
  </si>
  <si>
    <t>Supagas - 1 x LPG 15kg Cylinder</t>
  </si>
  <si>
    <t>Generators Transactions</t>
  </si>
  <si>
    <t>BP Marsden Park - ULP 18.38L @ $1.469</t>
  </si>
  <si>
    <t>Trailers Transactions</t>
  </si>
  <si>
    <t>Ontime Mechanical Services - TB38YH_x000D_
Pink Slip_x000D_
Reflectors_x000D_
Brake Adjustment</t>
  </si>
  <si>
    <t>0301071</t>
  </si>
  <si>
    <t xml:space="preserve">NBN Co Sydney - MW20720 - AYCA-4BHWVV - Argyle Community Housing - 1 </t>
  </si>
  <si>
    <t>NBN Co Sydney - MW20554 - AYCA-2DO5HN - MNJG 145 Princes Hwy Dapto - 1</t>
  </si>
  <si>
    <t>MW20554 - AYCA-2DO5HN - MNJG 145 Princes Hwy Dapto</t>
  </si>
  <si>
    <t xml:space="preserve">MW20679 - 2LJT-02 - MPS-012 - 3 Corella </t>
  </si>
  <si>
    <t xml:space="preserve">NBN Co Sydney -  MW20187 - 2CBT-01-14_10 &amp; 2CBT-04-14
incorrect adjustment amount </t>
  </si>
  <si>
    <t xml:space="preserve">NBN Co Sydney -  MW20187 - 2CBT-01-14_10 &amp; 2CBT-04-14 </t>
  </si>
  <si>
    <t xml:space="preserve"> MW20500 - AYCA-1ET803 - PEEL RIVER ESTATE</t>
  </si>
  <si>
    <t xml:space="preserve">MW20417 - AYCA-2XQPKW - Australian Int'l Academy Kellyville </t>
  </si>
  <si>
    <t xml:space="preserve">MW20720 - AYCA-4BHWVV - Argyle Community Housing </t>
  </si>
  <si>
    <t xml:space="preserve">MW20613 - AYCA-3CGK8N - Tulkaba View </t>
  </si>
  <si>
    <t>MW20876 - 2RIV-02 AYCA - 499AY5 - 34-36 Schofields - North Park - 10</t>
  </si>
  <si>
    <t>E-Toll Business Operations Centre - TAG NO 10166430_x000D_ KE BX10GL Izuzu Tipper SYD</t>
  </si>
  <si>
    <t>E-Toll Business Operations Centre - TAG NO 10166426_x000D_ DMJ74G Toyota Hiace SYD</t>
  </si>
  <si>
    <t xml:space="preserve">E-Toll Business Operations Centre - Video Fee </t>
  </si>
  <si>
    <t xml:space="preserve">E-Toll Business Operations Centre - PLATE IDENTIFIED - BX04GL </t>
  </si>
  <si>
    <t>E-Toll Business Operations Centre - TAG NO 4088301 _x000D_ CHV14B Toyota Hilux SYD</t>
  </si>
  <si>
    <t>E-Toll Business Operations Centre - TAG NO 3166280 _x000D_ GC BE38NA Toyota cruiser Gilbert</t>
  </si>
  <si>
    <t>E-Toll Business Operations Centre - TAG NO 3829695 _x000D_ GC GCC00K F250 Ford</t>
  </si>
  <si>
    <t>E-Toll Business Operations Centre - TAG NO 3665999 _x000D_Gilbert Commodore
GC 63C00K Holden Commodore</t>
  </si>
  <si>
    <t xml:space="preserve">MW21638- AYCA-3NFID7-2PTH-04 - Tench Ave Jamisontown 1 </t>
  </si>
  <si>
    <t>MW21551 - 2KNS-04 - AYCA-4EN7KA - Lewis &amp; Co - 1</t>
  </si>
  <si>
    <t>Alexandria</t>
  </si>
  <si>
    <t>Inv 13121</t>
  </si>
  <si>
    <t>MW21791-2LID-04-AYCA-468RZY-23 Railway Parade - Internals</t>
  </si>
  <si>
    <t>MW21705-AYCA-468RZY-2LID-04-23 RAILWAY PARADE - externals</t>
  </si>
  <si>
    <t>MW21271  -AYCA-45TAFX  - 2MRS-03-Cooranbong - 1</t>
  </si>
  <si>
    <t>Morriset</t>
  </si>
  <si>
    <t>MW21703 - AYCA-41SAXG - 2MIL-04 - Stage 2 Lagana</t>
  </si>
  <si>
    <t>MW21821-2NRN-10-AYCA-52OMAH-18 Bluett Dr, Smeaton Grange</t>
  </si>
  <si>
    <t>Inv 13193</t>
  </si>
  <si>
    <t>Inv 13192</t>
  </si>
  <si>
    <t>Inv 13202</t>
  </si>
  <si>
    <t>Inv 13201</t>
  </si>
  <si>
    <t>MW21583 - AYCA-497W67- 9BLC-04- Hillside Villas Block</t>
  </si>
  <si>
    <t>Lawson</t>
  </si>
  <si>
    <t xml:space="preserve">2ROU-02-AYCA-4YPSLH - Home Co Rouse Hill – 1 </t>
  </si>
  <si>
    <t xml:space="preserve">MW21324 - AYCA-4L3K9Q - 2GLB-01 - Kidd Crt - 1 </t>
  </si>
  <si>
    <t>MW21507 - AYCA-4Q1LKQ - 2WAG-05 - The Mill Commercial Development - 1</t>
  </si>
  <si>
    <t>MW21473 - AYCA-3TNJ90-64 - 2ERN-03 - James Sea Drive, Green Point</t>
  </si>
  <si>
    <t>Inv 13234</t>
  </si>
  <si>
    <t>Inv 13233</t>
  </si>
  <si>
    <t>Inv 13232</t>
  </si>
  <si>
    <t>MW21819-2BTH-02-AYCA-4KXY8F-1 Wark Parade, Windradyne</t>
  </si>
  <si>
    <t>MW21919-2KEL-07-AYCA-35Q2VE-9 Fairway Drive, Kellyville</t>
  </si>
  <si>
    <t>MW21884-2LIV-03- AYCA-47OO3O- 188-190 Moore st, Liverpool</t>
  </si>
  <si>
    <t>MW21876-2BLK-03 - AYCA-21PVTM - 5 Second Avenue, Blacktown</t>
  </si>
  <si>
    <t>Inv 13244</t>
  </si>
  <si>
    <t>Inv 13248</t>
  </si>
  <si>
    <t>Inv 13249</t>
  </si>
  <si>
    <t>Inv 13247</t>
  </si>
  <si>
    <t>2RIV-03 - Schofield Rd, Schofield NSW - Held Orders x 2_RFQ</t>
  </si>
  <si>
    <t>2RIV-03 - Schofield Rd, Schofield NSW - Held Orders x 4_RFQ</t>
  </si>
  <si>
    <t>Erwin Kurniawan</t>
  </si>
  <si>
    <t>2RIV-03</t>
  </si>
  <si>
    <t>MW21946-2COR-04-AYCA-4XKUSR-13 Popes Rd, Woonona</t>
  </si>
  <si>
    <t>MW21923 - AYCA-4AOOM9 - 2NRN-01 - 12 - 13 SPRINGS RD, SPRING FARM</t>
  </si>
  <si>
    <t>Spring Farm</t>
  </si>
  <si>
    <t>MW21909 - AYCA-32NN4T -2MSV-05 -Blue Gum Rd Estate – 1</t>
  </si>
  <si>
    <t>MW21820-AYCA-4W4BKH-2HOM-02-38 Weeroona Rd, Strathfield</t>
  </si>
  <si>
    <t>MW21857-AYCA-442ZEA- 2PAR-63-2 Good st, Westmead</t>
  </si>
  <si>
    <t>MW21947-2MIL-01-AYCA-54T32P-Ryan &amp; Burrows Avenue</t>
  </si>
  <si>
    <t>Apr-18</t>
  </si>
  <si>
    <t>May-18</t>
  </si>
  <si>
    <t>Inv 13280</t>
  </si>
  <si>
    <t xml:space="preserve">INC000006813370 – UNIT 1 15 DALGETTY ST, NARRANDERA </t>
  </si>
  <si>
    <t>NBN Assurance</t>
  </si>
  <si>
    <t>Narrandera</t>
  </si>
  <si>
    <t>INC000007052036 – 29 Grosvenor St, Narrandera</t>
  </si>
  <si>
    <t>INC000007238836 - Lot 4, 100 Beach Rd, Batemans Bay, NSW</t>
  </si>
  <si>
    <t>Batemans Bay</t>
  </si>
  <si>
    <t xml:space="preserve">INC000007003327 – UNIT 4 14 WEWAK ST, ASHMONT </t>
  </si>
  <si>
    <t>Ashmont</t>
  </si>
  <si>
    <t>INC000007272347 – 21 APEX AV, MOUNT VICTORIA</t>
  </si>
  <si>
    <t>Mount Victoria</t>
  </si>
  <si>
    <t>Inv 13284</t>
  </si>
  <si>
    <t>Inv 13285</t>
  </si>
  <si>
    <t>Inv 13286</t>
  </si>
  <si>
    <t>INC000007034536 - Unit 129, 2 Windjana Street, Harrison, ACT</t>
  </si>
  <si>
    <t>Harrison</t>
  </si>
  <si>
    <t>Inv 13264</t>
  </si>
  <si>
    <t xml:space="preserve">INC000007203040 – 6 EDWARDS ST, KATOOMBA </t>
  </si>
  <si>
    <t>Katoomba</t>
  </si>
  <si>
    <t>Tony Gabriel</t>
  </si>
  <si>
    <t>Inv 13287</t>
  </si>
  <si>
    <t>INC000007193370 – 2-4 GORDON RD, LEURA</t>
  </si>
  <si>
    <t>Leura</t>
  </si>
  <si>
    <t>INC000007130519 – 17 APEX AV, MOUNT VICTORIA</t>
  </si>
  <si>
    <t>INC000007103438 – 8 EASTVIEW AV, LEURA</t>
  </si>
  <si>
    <t>Inv 13288</t>
  </si>
  <si>
    <t>Inv 13290</t>
  </si>
  <si>
    <t>MW21390 - AYCA-4QG9AV - NSB - 33 Shoalhaven St Kiama</t>
  </si>
  <si>
    <t>MW21921-AYCA-4MOKVP-2TAR-01-22 Elwell CL, Beresfield</t>
  </si>
  <si>
    <t>Beresfield</t>
  </si>
  <si>
    <t xml:space="preserve">MW21875 - AYCA-42N8QF-  2PEN-67- Macklin 38 </t>
  </si>
  <si>
    <t>Inv 13291</t>
  </si>
  <si>
    <t>02470125 - Lot 1, 42 Oxley Drive, Bowral, NSW 2576 (ROBINWOOD COTTAGE)</t>
  </si>
  <si>
    <t>Inv 13292</t>
  </si>
  <si>
    <t>Inv 13289</t>
  </si>
  <si>
    <t>MW21827-2COR-09-AYCA-4O03IQ-17 Ryan Street, Balgownie</t>
  </si>
  <si>
    <t>Balgownie</t>
  </si>
  <si>
    <t>Inv 115</t>
  </si>
  <si>
    <t>MW20767 - AYCA-1PM9JB - 2GRA-64 -  Merrylands Rd</t>
  </si>
  <si>
    <t>Inv 1051</t>
  </si>
  <si>
    <t>MW20767 - AYCA-1PM9JB - 2GRA-64 - Merrylands Rd</t>
  </si>
  <si>
    <t>Inv 146792</t>
  </si>
  <si>
    <t>Inv 150049</t>
  </si>
  <si>
    <t>Inv 1052</t>
  </si>
  <si>
    <t>Inv 1053</t>
  </si>
  <si>
    <t>Inv 1054</t>
  </si>
  <si>
    <t>Inv 1055</t>
  </si>
  <si>
    <t xml:space="preserve">MW21369 - AYCA-4EEPL6 - 2KNS-03 - Rosebery Park - 3 </t>
  </si>
  <si>
    <t>Inv 1057</t>
  </si>
  <si>
    <t>Inv 1058</t>
  </si>
  <si>
    <t>51 Alliance Avenue Morisset</t>
  </si>
  <si>
    <t>Inv 1059</t>
  </si>
  <si>
    <t>Inv 1060</t>
  </si>
  <si>
    <t>MW21861-2RED-03-AYCA-4GPKZN-713-717 Elizabeth St, Waterloo</t>
  </si>
  <si>
    <t>Waterloo</t>
  </si>
  <si>
    <t>MW21821-2NRN-10-AYCA-52OMAH-18 Bluett Dr, Smeaton Grange Int</t>
  </si>
  <si>
    <t>AYCA-4GRO21 NSB - 55 Kingston Parade, Heatherbrae,</t>
  </si>
  <si>
    <t xml:space="preserve">AYCA-4L6PEC- Non Standard Builds - Brook Close Old Bar </t>
  </si>
  <si>
    <t>Inv 13293</t>
  </si>
  <si>
    <t>INC000006963999 – LOT 24, 69 VICTORIA ST, KATOOMBA</t>
  </si>
  <si>
    <t>Inv 1062</t>
  </si>
  <si>
    <t>MW21946-AYCA-4XKUSR-13 Popes Rd Woonona</t>
  </si>
  <si>
    <t>MW21971 -AYCA-4X6TWU  2LID-08 - -43 - 47 Harrow Rd, Auburn</t>
  </si>
  <si>
    <t>MW21967-AYCA-4UKN6A-2WET-65-727 The Horsley Dr, Smithfield</t>
  </si>
  <si>
    <t>Inv 13274</t>
  </si>
  <si>
    <t>Inv 13273</t>
  </si>
  <si>
    <t>Inv 13275</t>
  </si>
  <si>
    <t>Inv 13276</t>
  </si>
  <si>
    <t>Inv 13278</t>
  </si>
  <si>
    <t>Inv 13279</t>
  </si>
  <si>
    <t>Inv 13281</t>
  </si>
  <si>
    <t>Inv 13282</t>
  </si>
  <si>
    <t>Inv 13283</t>
  </si>
  <si>
    <t>Inv 13299</t>
  </si>
  <si>
    <t>INC000007044511 - Lot 857, 93 Leumeah Street, Sanctuary Point, NSW 2540</t>
  </si>
  <si>
    <t>Sanctuary Point</t>
  </si>
  <si>
    <t xml:space="preserve">INC000007193370 – 2-4 GORDON RD, LEURA </t>
  </si>
  <si>
    <t>INC000007112970 – 201 KATOOMBA ST, KATOOMBA</t>
  </si>
  <si>
    <t>Inv 13312</t>
  </si>
  <si>
    <t>INC000007115529 – UNIT 1 95 LURLINE ST, KATOOMBA</t>
  </si>
  <si>
    <t xml:space="preserve">INC000007194856 – 31 SUNBEAM AV, BLACKHEATH </t>
  </si>
  <si>
    <t>Hunter West Civil &amp; Data</t>
  </si>
  <si>
    <t>MW21537 - AYCA-424B5V- 2LID-05- 9-13 GELIBOLU PARADE, AUBURN</t>
  </si>
  <si>
    <t>NBN A418</t>
  </si>
  <si>
    <t>MW21970-2PEN-66-AYCA-4YZGFK-51 Boronia St, South Wentworthville</t>
  </si>
  <si>
    <t>MW21652-AYCA-2ILOMV - 2ASH-05-INFINTY - 1</t>
  </si>
  <si>
    <t>MW21924-2ROU-33-AYCA-41E0L5-33 FOXALL RD, KELLYVILLE</t>
  </si>
  <si>
    <t>Inv 13302</t>
  </si>
  <si>
    <t>Inv 13300</t>
  </si>
  <si>
    <t>Inv 13315</t>
  </si>
  <si>
    <t>Inv 13316</t>
  </si>
  <si>
    <t>Inv 151016</t>
  </si>
  <si>
    <t>Inv 1803795</t>
  </si>
  <si>
    <t>Greg Moeller</t>
  </si>
  <si>
    <t>MW21456 - 2BLK-07-16, 51 Huntingwood Drive</t>
  </si>
  <si>
    <t>2BLK-07  Huntingwood - Additional Variations</t>
  </si>
  <si>
    <t xml:space="preserve">MW20951   - 2ROU-03 - AYCA-486V6Q  - Non Standard Builds - McCarthy Street </t>
  </si>
  <si>
    <t>Jun-18</t>
  </si>
  <si>
    <t>Inv 13277</t>
  </si>
  <si>
    <t>Inv 13317</t>
  </si>
  <si>
    <t>Inv 13314</t>
  </si>
  <si>
    <t>Inv 13318</t>
  </si>
  <si>
    <t>Inv 13301</t>
  </si>
  <si>
    <t>Inv 13319</t>
  </si>
  <si>
    <t>Inv 13313</t>
  </si>
  <si>
    <t>Inv 13311</t>
  </si>
  <si>
    <t>Inv 13323</t>
  </si>
  <si>
    <t>Inv 13325</t>
  </si>
  <si>
    <t>Inv 13324</t>
  </si>
  <si>
    <t>Bundanoon</t>
  </si>
  <si>
    <t>Inv  0001</t>
  </si>
  <si>
    <t>Inv  0002</t>
  </si>
  <si>
    <t>Inv 0003</t>
  </si>
  <si>
    <t>Inv 0005</t>
  </si>
  <si>
    <t>Inv 0006</t>
  </si>
  <si>
    <t>inv 0007</t>
  </si>
  <si>
    <t>Field Solutions</t>
  </si>
  <si>
    <t>23 Narabang Way Road crossing</t>
  </si>
  <si>
    <t>Belrose</t>
  </si>
  <si>
    <t>Brian Ahern</t>
  </si>
  <si>
    <t>Milton</t>
  </si>
  <si>
    <t>MW21456 - 2BLK-07-16 - 51 Huntingwood Drive</t>
  </si>
  <si>
    <t>MW21924-AYCA-41E0L5-2ROU-33-33 FOXALL RD, KELLYVILLE</t>
  </si>
  <si>
    <t>MW21970-AYCA-4YZGFK-2PEN-66-51 Boronia St, South Wentworthville</t>
  </si>
  <si>
    <t>MW21861-AYCA-4GPKZN-2RED-03-713-717 Elizabeth St, Waterloo</t>
  </si>
  <si>
    <t>MW21827-AYCA-4O03IQ-2COR-09-17 Ryan Street, Balgownie</t>
  </si>
  <si>
    <t>MW21947-AYCA-54T32P-2MIL-01-Ryan &amp; Burrows Avenue</t>
  </si>
  <si>
    <t>MW21876-AYCA-21PVTM - 2BLK-03 - 5 Second Avenue, Blacktown</t>
  </si>
  <si>
    <t>MW21884-AYCA-47OO3O- 2LIV-03- 188-190 Moore st, Liverpool</t>
  </si>
  <si>
    <t>MW21919-AYCA-35Q2VE-2KEL-07-9 Fairway Drive, Kellyville</t>
  </si>
  <si>
    <t>MW21819-AYCA-4KXY8F-2BTH-02-1 Wark Parade, Windradyne</t>
  </si>
  <si>
    <t>MW21791-AYCA-468RZY-2LID-04-23 Railway Parade - Internals</t>
  </si>
  <si>
    <t>MW21551 -AYCA-4EN7KA -  2KNS-04 - Lewis &amp; Co - 1</t>
  </si>
  <si>
    <t>MW21512 - AYCA-4IUR86 -2NLT-09 - Clarendene - 1</t>
  </si>
  <si>
    <t>MW21472 -  AYCA-4G5CSP - 2GRK-01 - 20 Stanley Street Wyongah</t>
  </si>
  <si>
    <t xml:space="preserve">MW21540-AYCA-3DOI9R -2LIV-02- 166/176-178 Terminus ST ,Liverpool </t>
  </si>
  <si>
    <t>Inv 13333</t>
  </si>
  <si>
    <t>Inv 13332</t>
  </si>
  <si>
    <t>Inv 13331</t>
  </si>
  <si>
    <t>Inv 13330</t>
  </si>
  <si>
    <t>NBN Assurance Wagga</t>
  </si>
  <si>
    <t>NBN Assurance Sydney</t>
  </si>
  <si>
    <t>Oak Flats</t>
  </si>
  <si>
    <t>Inv 13334</t>
  </si>
  <si>
    <t>Worrigee</t>
  </si>
  <si>
    <t>Inv 13337</t>
  </si>
  <si>
    <t>Inv 13338</t>
  </si>
  <si>
    <t>MW21835-AYCA-4MJ7W3-2WRO-63-201 Chapel St, Armidale</t>
  </si>
  <si>
    <t>MW21979-2RIV-03 - Schofield Rd, Schofield, NSW - Held Orders x 2</t>
  </si>
  <si>
    <t>MW21977-2RIV-03 - South St, Schofield NSW - Held Orders x 4</t>
  </si>
  <si>
    <t>Inv 13327</t>
  </si>
  <si>
    <t>Inv 13328</t>
  </si>
  <si>
    <t>CSPO Issued 7/3/18</t>
  </si>
  <si>
    <t>???</t>
  </si>
  <si>
    <t>Yass</t>
  </si>
  <si>
    <t>Maryland</t>
  </si>
  <si>
    <t>Cowra</t>
  </si>
  <si>
    <t>MW21994-AYCA-4W4BKH-2HOM-02-38 Weeroona Rd Strathfield INT</t>
  </si>
  <si>
    <t>MW21820-AYCA-4W4BKH-2HOM-02-38 Weeroona Rd, Strathfield Ext</t>
  </si>
  <si>
    <t>MW21881-AYCA-2YGB4Y-2BLK-01-EXTERNAL</t>
  </si>
  <si>
    <t>MW22007-AYCA-4VJFPP-2NEW-22-19-21 Eve St, Erskineville</t>
  </si>
  <si>
    <t>MW21401 - AYCA-4RYUIS - 2PTH-11 -NSB- Assisi Close Cranebrook</t>
  </si>
  <si>
    <t>Cranebrook</t>
  </si>
  <si>
    <t>MW21493 - AYCA-3O0SC6 - 2PTH-02 - Hope Gardens - 1</t>
  </si>
  <si>
    <t>Hope Gardens</t>
  </si>
  <si>
    <t>Inv 13353</t>
  </si>
  <si>
    <t>Inv 13340</t>
  </si>
  <si>
    <t>Tolland</t>
  </si>
  <si>
    <t>Leeton</t>
  </si>
  <si>
    <t>Inv 13354</t>
  </si>
  <si>
    <t>Inv 13356</t>
  </si>
  <si>
    <t>Inv 13357</t>
  </si>
  <si>
    <t>Inv 13358</t>
  </si>
  <si>
    <t>Inv 13355</t>
  </si>
  <si>
    <t>Inv 13329</t>
  </si>
  <si>
    <t>Inv 13326</t>
  </si>
  <si>
    <t>MW21911-AYCA-4YPSLH-2ROU-02-6/4 COMMMERCIAL RD, ROUSE HILL</t>
  </si>
  <si>
    <t>Inv 13367</t>
  </si>
  <si>
    <t>Inv 13371</t>
  </si>
  <si>
    <t>Inv 0284</t>
  </si>
  <si>
    <t>MW22009-AYCA-4L6PEC-2OBA-20-Brooks close, Old Bar</t>
  </si>
  <si>
    <t>MW22011-AYCA-4GRO21-2RTC-20-55 Kingston Parade, Heatherbae</t>
  </si>
  <si>
    <t>Heatherbae</t>
  </si>
  <si>
    <t>Inv 13047</t>
  </si>
  <si>
    <t>Inv 12988</t>
  </si>
  <si>
    <t>Inv 13098</t>
  </si>
  <si>
    <t>Inv 13246</t>
  </si>
  <si>
    <t>Forecast Rev By Month</t>
  </si>
  <si>
    <t>Friend Civil</t>
  </si>
  <si>
    <t>Inv 1187</t>
  </si>
  <si>
    <t>Balgowlah</t>
  </si>
  <si>
    <t>MW21898-AYCA-26KP9Q-2ROU-02-Caddies Boulevard &amp; White Hart Drive, Rouse Hill</t>
  </si>
  <si>
    <t>Inv 13370</t>
  </si>
  <si>
    <t>Inv 13369</t>
  </si>
  <si>
    <t>Inv 13377</t>
  </si>
  <si>
    <t>MW22033 -AYCA-4PX9WA- 2YAS-01 - 23 Browne Street Yass</t>
  </si>
  <si>
    <t>Ingelburn</t>
  </si>
  <si>
    <t>Balgowie</t>
  </si>
  <si>
    <t>Aurburn</t>
  </si>
  <si>
    <t>MW22053-AYCA-4O03IQ-2COR-09-17 Ryan Street Balgownie Int</t>
  </si>
  <si>
    <t>MW22055-AYCA-52ZO0L-2LID-04-32 Norval St Auburn   INT</t>
  </si>
  <si>
    <t>MW22035-AYCA-4C4E63-2CWR-01-11 Liverpool Street Cowra</t>
  </si>
  <si>
    <t>MW22017-AYCA-413V2N-2HOM-03-16 - 20 Smallwood Ave, Homebush</t>
  </si>
  <si>
    <t>Homebush</t>
  </si>
  <si>
    <t>MW21966-AYCA-52950S-2BUR-65-147 - 153 Liverpool Rd, Burwood</t>
  </si>
  <si>
    <t>Burwood</t>
  </si>
  <si>
    <t>MW21821-AYCA-52OMAH-2NRN-10-18 Bluett Dr, Smeaton Grange Externals</t>
  </si>
  <si>
    <t>Caringbah</t>
  </si>
  <si>
    <t>Inv 1803802</t>
  </si>
  <si>
    <t>Marrickville</t>
  </si>
  <si>
    <t>MW21959-AYCA-52OMAH-2NRN-10-18 Bluett Dr Smeaton Grang Int</t>
  </si>
  <si>
    <t>Inv 13387</t>
  </si>
  <si>
    <t>Inv 13386</t>
  </si>
  <si>
    <t>Inv 13388</t>
  </si>
  <si>
    <t>Inv 13320</t>
  </si>
  <si>
    <t>Inv 13400</t>
  </si>
  <si>
    <t>Inv 13399</t>
  </si>
  <si>
    <t>INC000007228306 - 2 Lovelle St, Moss Vale, NSW</t>
  </si>
  <si>
    <t>INC000007076078 - Lot 10, 15 Moles Street, Albion Park,</t>
  </si>
  <si>
    <t>Inv 13409</t>
  </si>
  <si>
    <t>Medlow Bath</t>
  </si>
  <si>
    <t>Inv 13411</t>
  </si>
  <si>
    <t>Inv 13415</t>
  </si>
  <si>
    <t>Inv 13413</t>
  </si>
  <si>
    <t>Inv 13412</t>
  </si>
  <si>
    <t>Inv 13410</t>
  </si>
  <si>
    <t>INC000007271428 – Lot 12, 21 Sharwood Pl, Gerringong</t>
  </si>
  <si>
    <t>Gerringong</t>
  </si>
  <si>
    <t>Inv 13419</t>
  </si>
  <si>
    <t>Bella Vista</t>
  </si>
  <si>
    <t>Actual Rev By Month Paid</t>
  </si>
  <si>
    <t>MW22080-2QUA-02-AYCA-3I5VJ6-67 Dongola Circuit Schofields</t>
  </si>
  <si>
    <t>Coledale</t>
  </si>
  <si>
    <t>Adelong</t>
  </si>
  <si>
    <t>INC000007302762- Lot 81, 70 Point St, Bulli</t>
  </si>
  <si>
    <t>Inv 1064</t>
  </si>
  <si>
    <t>Inv 1082</t>
  </si>
  <si>
    <t>Glen Alpine</t>
  </si>
  <si>
    <t>Villawood</t>
  </si>
  <si>
    <t>Homebush West</t>
  </si>
  <si>
    <t>Inv 13420</t>
  </si>
  <si>
    <t>Inv 13421</t>
  </si>
  <si>
    <t>Inv 13422</t>
  </si>
  <si>
    <t>INC000007403862 –  49 RACECOURSE RD, ORANGE</t>
  </si>
  <si>
    <t>Inv 13423</t>
  </si>
  <si>
    <t>Inv 13424</t>
  </si>
  <si>
    <t>Inv 13430</t>
  </si>
  <si>
    <t>Inv 13425</t>
  </si>
  <si>
    <t>Inv 13427</t>
  </si>
  <si>
    <t>Inv 13426</t>
  </si>
  <si>
    <t>Inv 1065</t>
  </si>
  <si>
    <t>MW21453 - AYCA-2RVC4H - 2LIV-04 - 100 Macquarie Street Liverpool - 1- EXTERNAL</t>
  </si>
  <si>
    <t>MW21006 - AYCA-49DNJ1 - 2NWR-02 - Nowra BP &amp; McDonalds - 1-  INTERNAL AND EXTERNAL</t>
  </si>
  <si>
    <t>Inv 1081</t>
  </si>
  <si>
    <t>Inv 1083</t>
  </si>
  <si>
    <t>Inv 1084</t>
  </si>
  <si>
    <t>MW21835-AYCA-4MJ7W3-2WRO-63-8-10 Park Ave, Waitara</t>
  </si>
  <si>
    <t>Waitara</t>
  </si>
  <si>
    <t>Inv 1085</t>
  </si>
  <si>
    <t>Inv 1086</t>
  </si>
  <si>
    <t>Inv 1087</t>
  </si>
  <si>
    <t>Inv 1088</t>
  </si>
  <si>
    <t>Inv 1089</t>
  </si>
  <si>
    <t>Inv 1090</t>
  </si>
  <si>
    <t>Inv 13434</t>
  </si>
  <si>
    <t>Inv 13433</t>
  </si>
  <si>
    <t>Inv 13432</t>
  </si>
  <si>
    <t>Inv 13431</t>
  </si>
  <si>
    <t>Inv 13429</t>
  </si>
  <si>
    <t>Inv 13414</t>
  </si>
  <si>
    <t xml:space="preserve">MW22098-AYCA-4RWURH-2CES-02-147 Mathieson Street Bellbird Heights </t>
  </si>
  <si>
    <t xml:space="preserve">MW22034-AYCA-4DZ83F-2NLT-01-6 Callan Avenue Maryland </t>
  </si>
  <si>
    <t>MW22032-AYCA-4C48KZ-2MDG-01-4 Lewis Street Mudgee</t>
  </si>
  <si>
    <t>Inv 1095</t>
  </si>
  <si>
    <t>Inv 1094</t>
  </si>
  <si>
    <t>Inv 13435</t>
  </si>
  <si>
    <t>Inv 116</t>
  </si>
  <si>
    <t>MW22072-AYCA-4YFIWK-2HOM-03-4 EXTER RD, HOMEBUSH WEST</t>
  </si>
  <si>
    <t>MW21271 - AYCA-45TAFX  - 2MRS-03-Cooranbong - 1</t>
  </si>
  <si>
    <t>MW20777 - AYCA-46PUI1 -2HBD-21 - 724 Pittwater Rd Brookvale / Lakeview</t>
  </si>
  <si>
    <t>MW20104 2GOS-06 LNDN Koala</t>
  </si>
  <si>
    <t>MW20615 - AYCA-3ZMQUE - Grove Family Trust – 1</t>
  </si>
  <si>
    <t>Wireless &amp; Optical</t>
  </si>
  <si>
    <t>Inv 0195</t>
  </si>
  <si>
    <t>MW21062 - AYCA-4IDMPC- 2REV-20 - 9 Fitzpatrick St - 1</t>
  </si>
  <si>
    <t>MW21092 - AYCA-1NGPGW - 2BRG-03Gledswood</t>
  </si>
  <si>
    <t>MW21223 - AYCA-2568YW - 25 29 Harbour St</t>
  </si>
  <si>
    <t>MW20939 - AYCA-2Y4BYB -2PEN-64 - 344 GWH Wentworthville – 1- EXTERNAL</t>
  </si>
  <si>
    <t>MW21919 - AYCA-35Q2VE-2KEL-07-9 Fairway Drive, Kellyville</t>
  </si>
  <si>
    <t>Hurlestone Park</t>
  </si>
  <si>
    <t>MW22094-AYCA-4LM7HH-2UND-61-590-602 New Canterbury Rd, Hurlstone Park</t>
  </si>
  <si>
    <t>MW21923 - AYCA-4AOOM9 - 2NRN-01 - 12-13 SPRINGS RD, SPRING FARM</t>
  </si>
  <si>
    <t>Inv 13322</t>
  </si>
  <si>
    <t xml:space="preserve">MW22096-AYCA-3W384B-2HOR-62-433-437 Pacific Highway, Asquith </t>
  </si>
  <si>
    <t>MW20941 - AYCA-2KQ04J -2KEL-01 - 112 Hambledon</t>
  </si>
  <si>
    <t>MW20367 - AYCA-3H6ZBG - 2NRN-03 - 61 Smeaton Grange Rd,</t>
  </si>
  <si>
    <t xml:space="preserve">MW21478-AYCA-4PIZ8V  -2MYF-02 - The Furnace - 1 – EXTERNAL    </t>
  </si>
  <si>
    <t>Inv 1098</t>
  </si>
  <si>
    <t>MW22095-AYCA-4H8EZO- 2HUH-22-117-123 Victoria Rd, Gladesville</t>
  </si>
  <si>
    <t>Gladesville</t>
  </si>
  <si>
    <t>Bellbird Heights</t>
  </si>
  <si>
    <t>Potts Point</t>
  </si>
  <si>
    <t>Inv 18/1208</t>
  </si>
  <si>
    <t>Inv 1803661</t>
  </si>
  <si>
    <t>Inv 1803726</t>
  </si>
  <si>
    <t>MW21971-AYCA-4X6TWU-2LID-08-43 - 47 Harrow Rd, Auburn, EXT</t>
  </si>
  <si>
    <t>MW22002-AYCA-4X6TWU-2LID-08-43-47 Harrow Rd Auburn,  INT</t>
  </si>
  <si>
    <t>Gledswood Hills</t>
  </si>
  <si>
    <t>Polite Enterprises</t>
  </si>
  <si>
    <t>Inv 11892</t>
  </si>
  <si>
    <t>MW22065-AYCA-4FM8T4-2DBB-01-1L Hennessy Dr Drive Dubbo</t>
  </si>
  <si>
    <t>MW22093-AYCA-4RGB2W-2EAS-62-111-139 Darlinghurst Rd, Potts Point</t>
  </si>
  <si>
    <t>MW22104-AYCA-4DRN0U-2BRG-03-182 Raby Road Gledswood Hills</t>
  </si>
  <si>
    <t xml:space="preserve">MW22071- AYCA-4M02LB -2UND-62-401-405 Illawarra Road, Marrickville </t>
  </si>
  <si>
    <t>MW22057 - AYCA-4EOA07-2MIR-24 - 298-300 Taren Point Rd, Caringbah</t>
  </si>
  <si>
    <t>MW22037-AYCA-53063P-2LIV-03-23 Mayberry Cres, Liverpool</t>
  </si>
  <si>
    <t xml:space="preserve">MW21914 - AYCA-4SRFAN-2BAL-62 - 22/26 Roseberry St Balgowlah NSW </t>
  </si>
  <si>
    <t>MW22024-AYCA-35DF0W-2KEL-07-1, 1A &amp; 1B President Rd, Kellyville</t>
  </si>
  <si>
    <t>MW22022--AYCA-3TBATE-2PAR-6111 Hassall St, Paramatta</t>
  </si>
  <si>
    <t>Inv 13446</t>
  </si>
  <si>
    <t>Inv 13447</t>
  </si>
  <si>
    <t>MW22106-AYCA-4QKWZ8-2RIV-02-Queensbury Street - 2 Schofields</t>
  </si>
  <si>
    <t>MW22105-AYCA-48L8EZ-2MIL-01-27 Tugela Rise Edmondson Park</t>
  </si>
  <si>
    <t>Inv 13462</t>
  </si>
  <si>
    <t>Inv 13448</t>
  </si>
  <si>
    <t>MW22100 - 2KTB-02 - AYCA-4QBUIV - Non Standard Builds - Letitia St Katoomb</t>
  </si>
  <si>
    <t>MW22196 - 2ORG-01 - AYCA-4VVND3 - 258 CLERGATE RD, ORANGE</t>
  </si>
  <si>
    <t>MW22188 - 2BAN-60 - AYCA-4YPJJH - Home Co Chullora - 1</t>
  </si>
  <si>
    <t>Count of Customer required date</t>
  </si>
  <si>
    <t>Count of Date Project Completions handed over</t>
  </si>
  <si>
    <t>MW22183 - 2REV-20 - AYCA-55F4KR -Revesby Industrial Site - 1</t>
  </si>
  <si>
    <t>MW22186 - 2CAS-23 - AYCA-3L48XJ - Mercedes Benz Castle Hill - 1</t>
  </si>
  <si>
    <t>MW22191 - 2MIL-20 - AYCA-4Z4FSB - Mainfreight Logistics - 1</t>
  </si>
  <si>
    <t>Inv 13466</t>
  </si>
  <si>
    <t>MW22208-2KEL-07-AYCA-4PWSOZ-1B Fairway Dr Kellyville</t>
  </si>
  <si>
    <t>MW22200-AYCA-213H8O-2DAP-01-1 Wongawilli Road Wongawilli The Grove- Stage 4</t>
  </si>
  <si>
    <t>Wongawilli</t>
  </si>
  <si>
    <t>MW22196 - AYCA-4VVND3 - 2ORG-01 - 258 CLERGATE RD, ORANGE</t>
  </si>
  <si>
    <t>Sogand Mohat</t>
  </si>
  <si>
    <t xml:space="preserve">MW22177-AYCA-54QSHT-2MIL-20-42A Kurrajong Rd Prestons </t>
  </si>
  <si>
    <t>Prestons</t>
  </si>
  <si>
    <t>Inv 13477</t>
  </si>
  <si>
    <t>Inv 13465</t>
  </si>
  <si>
    <t>Inv 13464</t>
  </si>
  <si>
    <t>Inv 13463</t>
  </si>
  <si>
    <t>MW22183-AYCA-55F4KR-2REV-20-15 Fitzpatrick St, Revesby</t>
  </si>
  <si>
    <t>MW22203-AYCA-2LIFV6-2ROU-02-4 Stringer Rd Kellyville</t>
  </si>
  <si>
    <t>Revesby</t>
  </si>
  <si>
    <t>MW22171-AYCA-54VFA3-2COR-02- 50 Squires Cres Coledale</t>
  </si>
  <si>
    <t xml:space="preserve">MW22186 - AYCA-3L48XJ - 2CAS-23 - 2 Anella Avenue Castle Hill </t>
  </si>
  <si>
    <t>Castle Hill</t>
  </si>
  <si>
    <t>MW22239 - 2KTB-01 - AYCA-552R88 - Lot33-36 The Escarpments - 1</t>
  </si>
  <si>
    <t>MW22209-2ORG-02-AYCA-48LNJ7-Cedar St Orange</t>
  </si>
  <si>
    <t>MW22195 - AYCA-4SOX62-2LIV-03- 186 Moore St Liverpool</t>
  </si>
  <si>
    <t>Inv 988255</t>
  </si>
  <si>
    <t>MW20894 - 2KEL-08 - AYCA-42POJA - NSB - Memorial Ave Kelly Build</t>
  </si>
  <si>
    <t>MW20682 - AYCA-3NDQ7T - 2ROU-04 - 67 Barry Street</t>
  </si>
  <si>
    <t>MW22223-AYCA-4S0RD5-2RIV-03-14 Argowan Rd Schofields</t>
  </si>
  <si>
    <t>Inv 1803863</t>
  </si>
  <si>
    <t>MW20477 - AYCA-40BZFT - 2HOM-01 - 51-55 Homebush Rd Strathfield</t>
  </si>
  <si>
    <t>Inv 1803862</t>
  </si>
  <si>
    <t>Inv 1803861</t>
  </si>
  <si>
    <t>Inv 1803859</t>
  </si>
  <si>
    <t>MW21484 - AYCA-2CO7SU - 2ARM-04 - Brown - 1</t>
  </si>
  <si>
    <t>Comms Connect</t>
  </si>
  <si>
    <t>Inv 10387</t>
  </si>
  <si>
    <t>Inv 1803864</t>
  </si>
  <si>
    <t>Inv 1803865</t>
  </si>
  <si>
    <t>Chullora</t>
  </si>
  <si>
    <t>MW22208-AYCA-4PWSOZ- 2KEL-07-1B Fairway Dr Kellyville</t>
  </si>
  <si>
    <t>MW22258-AYCA-4BT0OX-2RIV-02-66 Schofields Road Schofields</t>
  </si>
  <si>
    <t xml:space="preserve">MW22188-AYCA-4YPJJH-2BAN-60-62 Hume Hwy Chullora </t>
  </si>
  <si>
    <t>MW22100 - AYCA-4QBUIV - 2KTB-02 -  NSB - Letitia St Katoomb</t>
  </si>
  <si>
    <t>MW22264-2WAG-05-AYCA-4YPT3F-145129 - 145 Hammond Ave East Wagga</t>
  </si>
  <si>
    <t>MW22288-2MIL-04-AYCA-4R7UP6-40 Government Rd, Hinchinbrook</t>
  </si>
  <si>
    <t>NBN A401 MW</t>
  </si>
  <si>
    <t xml:space="preserve">MW22108 - INC000007113365 – Lot 2464, 1 Emu Av, Sanctuary Point, NSW </t>
  </si>
  <si>
    <t>MW22109 - INC000007052036 – 29 Grosvenor St, Narrandera</t>
  </si>
  <si>
    <t>MW22110 - INC000007232295 – 13 KUNDIBAR ST, KATOOMBA</t>
  </si>
  <si>
    <t>MW22111 - INC000007080982 – 10 LORNA CL, BUNDANOON</t>
  </si>
  <si>
    <t xml:space="preserve">MW22112 - INC000006813370 – UNIT 1 15 DALGETTY ST, NARRANDERA </t>
  </si>
  <si>
    <t xml:space="preserve">MW22113 - INC000007099865 - Lot 241, 75 Barton Street, Oak Flats, NSW </t>
  </si>
  <si>
    <t>Inv 13505</t>
  </si>
  <si>
    <t>Inv 13503</t>
  </si>
  <si>
    <t>Five Dock</t>
  </si>
  <si>
    <t xml:space="preserve">MW22243 - AYCA-4EUBZX - 2PTH-06 - 82 Cox Avenue, Penrith </t>
  </si>
  <si>
    <t>Daen Connect</t>
  </si>
  <si>
    <t>Inv 1</t>
  </si>
  <si>
    <t>Inv 2</t>
  </si>
  <si>
    <t>Inv 1803868</t>
  </si>
  <si>
    <t>Inv 13504</t>
  </si>
  <si>
    <t>Inv 13511</t>
  </si>
  <si>
    <t>Inv 13524</t>
  </si>
  <si>
    <t>MW22117 - INC000007115099 - 64 CHURCH ST, MILTON</t>
  </si>
  <si>
    <t xml:space="preserve">MW22118 - INC000007003327 – UNIT 4 14 WEWAK ST, ASHMONT </t>
  </si>
  <si>
    <t xml:space="preserve">MW22119 - INC000007204274 - LOT 192, 47 ELM ST, ALBION PARK RAIL NSW </t>
  </si>
  <si>
    <t>MW22120 - INC000007212301 – 73 RIDGE ST, LAWSON</t>
  </si>
  <si>
    <t>MW22121 - INC000007123502 - 55 PEPPERMINT DR, WORRIGEE NSW</t>
  </si>
  <si>
    <t>MW22122 - INC000007203801 – 22 SUNBEAM AV, BLACKHEATH</t>
  </si>
  <si>
    <t>MW22123 - INC000007062621 – 195 LURLINE ST, KATOOMBA</t>
  </si>
  <si>
    <t>MW22126 - 02470125 - Lot 1, 42 Oxley Drive, Bowral, NSW 2576 (ROBINWOOD COTTAGE)</t>
  </si>
  <si>
    <t>MW22128 - INC000006963999 – LOT 24, 69 VICTORIA ST, KATOOMBA NSW 2780</t>
  </si>
  <si>
    <t>MW22129 - INC000007193370 – 2-4 GORDON RD, LEURA</t>
  </si>
  <si>
    <t>MW22130 - INC000007103438 – 8 EASTVIEW AV, LEURA</t>
  </si>
  <si>
    <t>MW22131 - INC000007112970 – 201 KATOOMBA ST, KATOOMBA</t>
  </si>
  <si>
    <t>MW22132 - INC000007252034 - Lot 166, 11 Poulton St, Ashmont, NSW</t>
  </si>
  <si>
    <t>MW22133 - INC000007104657 - Lot 232, 30 Crisp Drive, Ashmont</t>
  </si>
  <si>
    <t>MW22138 - INC000007230232 - Lot 257, 14 Toy Pl, Tolland, NSW</t>
  </si>
  <si>
    <t>MW22141 - INC000007222465 - Lot 30, 4 Banksia Avenue, Leeton</t>
  </si>
  <si>
    <t>MW22142 - INC000007223690 - 150 Gurwood St, Wagga Wagga, NSW</t>
  </si>
  <si>
    <t>MW22143 - INC000007228306 - 2 Lovelle St, Moss Vale, NSW</t>
  </si>
  <si>
    <t>MW22144 - INC000007333304 - Lot 16, 21 Foy Av, Medlow Bath</t>
  </si>
  <si>
    <t>MW22145 - INC000007293986 - Lot 22, 33 Foy Av, Medlow Bath</t>
  </si>
  <si>
    <t>MW22146 - INC000007461059 - 27 Foy Av, Medlow Bath</t>
  </si>
  <si>
    <t>MW22147 - INC000007076078 - Lot 10, 15 Moles Street, Albion Park,</t>
  </si>
  <si>
    <t>MW22152 - INC000007065260 - 33 Tumut St, Adelong, NSW</t>
  </si>
  <si>
    <t>MW22153 - INC000007236006 - LOT 5, 19 RESTON GRA, BELLA VISTA</t>
  </si>
  <si>
    <t>MW22154 - INC000007271428 – Lot 12, 21 Sharwood Pl, Gerringong</t>
  </si>
  <si>
    <t>MW22159 - INC000007129251 - 169 Palm Avenue, Leeton</t>
  </si>
  <si>
    <t>MW22160 - INC000007219881 - Lot 165, 13 Poulton St, Ashmont, NSW</t>
  </si>
  <si>
    <t>MW22161 - INC000007088104 - Lot 1823, 4 Englorie Park Drive, Glen Alpine</t>
  </si>
  <si>
    <t>MW22162 - INC000007200382 - UNIT 2, 33 VILLAWOOD PL, VILLAWOOD</t>
  </si>
  <si>
    <t>MW22163 - INC000007246715- LOT 2020, 1106 WINDSOR RD, RIVERSTONE</t>
  </si>
  <si>
    <t>MW22164 - INC000007300655 - Lot 331, 23 Adams St, Ashmont</t>
  </si>
  <si>
    <t>MW22168 - INC000007130519 – 17 APEX AV, MOUNT VICTORIA</t>
  </si>
  <si>
    <t>MW22173 - INC000007474012 –  LOT 122, 44 BALMORAL RD, LEURA</t>
  </si>
  <si>
    <t>MW22061 - INC000007044511 - Lot 857, 93 Leumeah Street, Sanctuary Point, NSW 2540</t>
  </si>
  <si>
    <t>MW22127 - INC000007272347 – 21 APEX AV, MOUNT VICTORIA</t>
  </si>
  <si>
    <t>MW22150 - INC000007302762- Lot 81, 70 Point St, Bulli</t>
  </si>
  <si>
    <t xml:space="preserve">MW22233 - INC000007194856 – 31 SUNBEAM AV, BLACKHEATH </t>
  </si>
  <si>
    <t>MW22234 - INC000007115529 – UNIT 1 95 LURLINE ST, KATOOMBA</t>
  </si>
  <si>
    <t>MW22235 - INC000007210193 - 36 Blakemore Av, Ashmont, NSW</t>
  </si>
  <si>
    <t>MW22172 - INC000007232111 - Lot 224, 20 Elm St, Albion Park Rail, NSW</t>
  </si>
  <si>
    <t>Inv 10401</t>
  </si>
  <si>
    <t>MW22279-AYCA-45Q6J5-2EPP-62-35 Oxford St Epping</t>
  </si>
  <si>
    <t>MW22218 - AYCA-4JMOL9 - 2DRU-60 - 50-52 East St, Five Dock</t>
  </si>
  <si>
    <t>MW22260-AYCA-56YKSC-2CAM-02-38 Wonga St, Canterbury</t>
  </si>
  <si>
    <t>MW22293 - AYCA-4NNOGX - 2PTH-02 - 240-250 Great Western Hwy Kingswood</t>
  </si>
  <si>
    <t>MW22284-AYCA-4KZ476-2PTH-02-38-40 Doonmore St Penrith</t>
  </si>
  <si>
    <t>MW22209-AYCA-48LNJ7-2ORG-02-Cedar St Orange</t>
  </si>
  <si>
    <t>Inv 10388</t>
  </si>
  <si>
    <t>Inv 13523</t>
  </si>
  <si>
    <t>Inv 13514</t>
  </si>
  <si>
    <t>Inv 13515</t>
  </si>
  <si>
    <t>Inv 13516</t>
  </si>
  <si>
    <t>Inv 13520</t>
  </si>
  <si>
    <t>Inv 13517</t>
  </si>
  <si>
    <t>Inv 13518</t>
  </si>
  <si>
    <t>Inv 13521</t>
  </si>
  <si>
    <t>Inv 13519</t>
  </si>
  <si>
    <t>Waiting  CSPO</t>
  </si>
  <si>
    <t>Inv 13525</t>
  </si>
  <si>
    <t>INC000007724800 - Lot 1, 1 Asquith Av, Wentworth Falls</t>
  </si>
  <si>
    <t>Wentworth Falls</t>
  </si>
  <si>
    <t>INC000007317444 - Lot 1, 40 Grenfell St, West Wyalong</t>
  </si>
  <si>
    <t>West Wyalong</t>
  </si>
  <si>
    <t>Inv 13526</t>
  </si>
  <si>
    <t>INC000007476665 - Lot 5, 23 Kookora Street, Griffith</t>
  </si>
  <si>
    <t>Griffth</t>
  </si>
  <si>
    <t>Inv 13530</t>
  </si>
  <si>
    <t>Inv 13529</t>
  </si>
  <si>
    <t>Inv 13531</t>
  </si>
  <si>
    <t>MW22297-AYCA-58QIXQ-2LIV-02-29 SCOTT ST, LIVERPOOL</t>
  </si>
  <si>
    <t>2BRX-01-AYCA-41AL6Q</t>
  </si>
  <si>
    <t>2BUR-03-AYCA-2EBL4P</t>
  </si>
  <si>
    <t>2CAM-60-AYCA-4VCIKM</t>
  </si>
  <si>
    <t xml:space="preserve">2KRG-03-AYCA-2Z4T2N </t>
  </si>
  <si>
    <t>2NRN-05-AYCA-4B5K39</t>
  </si>
  <si>
    <t>2PET-67-AYCA-4W7GEZ,</t>
  </si>
  <si>
    <t>2PET-69-AYCA-3G34XT</t>
  </si>
  <si>
    <t>2ROU-04-AYCA-39XZGZ</t>
  </si>
  <si>
    <t>Branxton</t>
  </si>
  <si>
    <t>Kooringal</t>
  </si>
  <si>
    <t>Narrellen</t>
  </si>
  <si>
    <t>Petersham</t>
  </si>
  <si>
    <t xml:space="preserve">MW22091-AYCA-4MNF1P-2NRN-10-11 &amp; 15 Holborn Circuit, Gregory Hills </t>
  </si>
  <si>
    <t>MW22288-AYCA-4R7UP6-2MIL-04-40 Government Rd, Hinchinbrook</t>
  </si>
  <si>
    <t>Hinchinbrook</t>
  </si>
  <si>
    <t>Andrwe Mahassy</t>
  </si>
  <si>
    <t xml:space="preserve">MW22309-AYCA-3V5BM6-2DRU-61-197-199 Lyons Rd Drummoyne </t>
  </si>
  <si>
    <t>MW22296-AYCA-4RB8MD-2LID-03-2 Clarke St, Berala</t>
  </si>
  <si>
    <t>Adnan Khabbaz</t>
  </si>
  <si>
    <t xml:space="preserve">MW22336 - 2KMS-21 - AYCA-4MJKV1 - Springfields Drive - 1 </t>
  </si>
  <si>
    <t>MW22335 - 2WOY-03 - AYCA-55S741 - Broken Bay – 1</t>
  </si>
  <si>
    <t>MW21390 - AYCA-4QG9AV - NSB - 33 Shoalhaven St Kiama Surevy &amp; Build</t>
  </si>
  <si>
    <t>MW22042-AYCA-4SV0JO2ING-65-41-47 Stennett Rd Ingleburn, Int HMDU</t>
  </si>
  <si>
    <t>MW20949 - AYCA-4F1FWW_AYCA-4GRO21 -2MAI-06 -  NSB 13 Vantage 55 Kingston</t>
  </si>
  <si>
    <t>Inv 13534</t>
  </si>
  <si>
    <t>Inv 13532</t>
  </si>
  <si>
    <t>Inv 13522</t>
  </si>
  <si>
    <t>Inv 13513</t>
  </si>
  <si>
    <t>MW22270 - INC000007238836 - Lot 4, 100 Beach Rd, Batemans Bay, NSW</t>
  </si>
  <si>
    <t>MW22301-AYCA-541Y7O-2WAU-20-728-730 Beechwood</t>
  </si>
  <si>
    <t xml:space="preserve">MW22319-AYCA-33L9HP-2BAN-64-Restwell &amp; Leonard St Bankstown </t>
  </si>
  <si>
    <t>MW22334-AYCA-3V2064-2WAG-01-29 Gibson St, Boorooma</t>
  </si>
  <si>
    <t>Boorooma</t>
  </si>
  <si>
    <t>INC000007540081 - Lot 4, 126 Aberford Street, Coonamble</t>
  </si>
  <si>
    <t>INC000007494309 - LOT 4, 9 DUBBO ST, COONAMBLE</t>
  </si>
  <si>
    <t>INC000007482861 - 52-58 WARATAH ST COWRA</t>
  </si>
  <si>
    <t>INC000007555389- 183 SUMMER ST, ORANGE</t>
  </si>
  <si>
    <t>VPL New Devs</t>
  </si>
  <si>
    <t>Coonamble</t>
  </si>
  <si>
    <t>Lighting Ridge</t>
  </si>
  <si>
    <t>MW21921-AYCA-4MOKVP-2TAR-01-22 Elwell CL, Beresfield &amp; MW21053 - AYCA-38QQO3- 2MAI-04 - Walka Grange - 8 Internals</t>
  </si>
  <si>
    <t>MW22314-AYCA-4A5XPU-2BLK-11-29 Norfolk Street, Blacktown</t>
  </si>
  <si>
    <t>MW21532 - AYCA-4TBHNX - 2SHH-05 - NSB - 125 LAKE ENTRANCE - SURVEY</t>
  </si>
  <si>
    <t>Andrew Mahssy</t>
  </si>
  <si>
    <t>Inv 158472</t>
  </si>
  <si>
    <t>Inv 157420</t>
  </si>
  <si>
    <t>VPL New Devs - 2CAM-60-AYCA-4VCIKM</t>
  </si>
  <si>
    <t>MW22239 -AYCA-552R88 -  2KTB-01 - Lot33-36 The Escarpments - 1</t>
  </si>
  <si>
    <t>VPL New Devs - 2BUR-03-AYCA-2EBL4P</t>
  </si>
  <si>
    <t>Inv 1101</t>
  </si>
  <si>
    <t>Inv 1102</t>
  </si>
  <si>
    <t>Inv 1103</t>
  </si>
  <si>
    <t>Inv 1104</t>
  </si>
  <si>
    <t>Inv 1105</t>
  </si>
  <si>
    <t>Inv 1106</t>
  </si>
  <si>
    <t>Inv 1107</t>
  </si>
  <si>
    <t>Inv 1108</t>
  </si>
  <si>
    <t>Inv 1109</t>
  </si>
  <si>
    <t>Inv 1110</t>
  </si>
  <si>
    <t>Inv 1111</t>
  </si>
  <si>
    <t>Inv 1112</t>
  </si>
  <si>
    <t>MW22124 - INC000007034536 - Unit 129, 2 Windjana Street, Harrison, ACT 2914</t>
  </si>
  <si>
    <t xml:space="preserve">MW22125 - INC000007203040 – 6 EDWARDS ST, KATOOMBA </t>
  </si>
  <si>
    <t>MW22116 - INC000007403862 –  49 RACECOURSE RD, ORANGE</t>
  </si>
  <si>
    <t>Inv 13545</t>
  </si>
  <si>
    <t>Inv 13544</t>
  </si>
  <si>
    <t>Inv 13546</t>
  </si>
  <si>
    <t>Inv 13547</t>
  </si>
  <si>
    <t>Inv 13548</t>
  </si>
  <si>
    <t>Inv 13549</t>
  </si>
  <si>
    <t>Inv 13550</t>
  </si>
  <si>
    <t xml:space="preserve">MW22350-9SCU-07-AYCA-4VAQ8P-11 Prevost Pl MacGregor, ACT </t>
  </si>
  <si>
    <t>Darlinghurst</t>
  </si>
  <si>
    <t>MW22263-AYCA-31DCKF-2EAS-62-18-20 Neild Ave Darlinghurst</t>
  </si>
  <si>
    <t>Inv 10441</t>
  </si>
  <si>
    <t>Inv 13543</t>
  </si>
  <si>
    <t>Inv 13533</t>
  </si>
  <si>
    <t>Inv 13541</t>
  </si>
  <si>
    <t>Inv 13428</t>
  </si>
  <si>
    <t>Lumea</t>
  </si>
  <si>
    <t xml:space="preserve">MW22347-AYCA-4XTH50-2HOM-03-31-35 Smallwood Ave Homebush </t>
  </si>
  <si>
    <t>MW22346-AYCA-50FP2M-2ROU-03-Oxlade Street Kellyville</t>
  </si>
  <si>
    <t>Berkeley</t>
  </si>
  <si>
    <t>MW22336-AYCA-4MJKV1-2KMS-21-Lot 37 Springfields Drive, Greenhill</t>
  </si>
  <si>
    <t>Greenhill</t>
  </si>
  <si>
    <t>Inv 117</t>
  </si>
  <si>
    <t>MW22333 - AYCA-54SUCD - 2PKE-06 - Warehouse Pl Berkeley</t>
  </si>
  <si>
    <t xml:space="preserve">MW22265-AYCA-4R1HNT-2MIL-62-6-8 Facey Cres Lurnea </t>
  </si>
  <si>
    <t>MW22335 - AYCA-55S741 - 2WOY-03 -Broken Bay – 1</t>
  </si>
  <si>
    <t>MW22287-AYCA-4LQOVR-2KEL-08-25 Water Creek Boulevard Kellyville</t>
  </si>
  <si>
    <t>MW22239 - AYCA-552R88 - 2KTB-01 - Lot33-36 The Escarpments - 1</t>
  </si>
  <si>
    <t>Ettalong Beach</t>
  </si>
  <si>
    <t>MW22331-AYCA-3CFI3W-2EPP-05-120 Herring Road Marsfield</t>
  </si>
  <si>
    <t>Marsfield</t>
  </si>
  <si>
    <t xml:space="preserve">MW22313 - AYCA-48S696 - 2BLK-03 -  3-7 Wallace St Blacktown </t>
  </si>
  <si>
    <t>Tuggerah</t>
  </si>
  <si>
    <t>Port Macquarie</t>
  </si>
  <si>
    <t>MW22351-AYCA-49Z80V-2PIT-01-44 Wells Street Pitt Town</t>
  </si>
  <si>
    <t>Arndell park</t>
  </si>
  <si>
    <t>MW21637-AYCA-4OHMS3 - 2BLK-07 -35 Holbeche road, Arndell Park - EXT</t>
  </si>
  <si>
    <t>MW22358-AYCA-4OHMS3-2BLK-07-35 Holbeche Road Arndell Park-INT HMDU</t>
  </si>
  <si>
    <t>Inv 0008</t>
  </si>
  <si>
    <t>Inv 0009</t>
  </si>
  <si>
    <t>Inv 0010</t>
  </si>
  <si>
    <t>MW22392-2WEL-01-AYCA-53Y8BE-17 Nicholii St, Montefiores</t>
  </si>
  <si>
    <t xml:space="preserve">MW22350-AYCA-4VAQ8P-9SCU-07-11 Prevost Pl MacGregor, ACT </t>
  </si>
  <si>
    <t>MacGregor</t>
  </si>
  <si>
    <t xml:space="preserve">MW22378-AYCA-4YJULB-2REV-22-479 Henry Lawson Drive Milperra </t>
  </si>
  <si>
    <t>Milperra</t>
  </si>
  <si>
    <t>MW22405-AYCA-3BBGCI-2RIV-04-737 Windsor Rd Box Hill</t>
  </si>
  <si>
    <t>Box Hill</t>
  </si>
  <si>
    <t xml:space="preserve">MW22341 - INC000007700062 –  20F SYDNEY RD, MUDGEE </t>
  </si>
  <si>
    <t>NBN FttC Drops</t>
  </si>
  <si>
    <t>Miranda</t>
  </si>
  <si>
    <t>Mona Vale</t>
  </si>
  <si>
    <t>Kirsty Doyle</t>
  </si>
  <si>
    <t>MW22372-AYCA-4WVTLQ-2DBB-01-48 Southlakes Parade Dubbo</t>
  </si>
  <si>
    <t>MW22345-AYCA-4R1HAL-2RIV-07-Crown, Edmund, William St-7 Riverstone</t>
  </si>
  <si>
    <t>MW22343 - INC000007442181 - Lot 105, 21 Yeo Cr, Yass</t>
  </si>
  <si>
    <t>VPL - 2ROU-04-AYCA-39XZGZ</t>
  </si>
  <si>
    <t>VPL - DCMA</t>
  </si>
  <si>
    <t>VPL - 2BUR-03-AYCA-2EBL4P</t>
  </si>
  <si>
    <t>Inv 13585</t>
  </si>
  <si>
    <t>Inv 13584</t>
  </si>
  <si>
    <t>Inv 13587</t>
  </si>
  <si>
    <t>Payment Date 8/5/18</t>
  </si>
  <si>
    <t>Inv 13588</t>
  </si>
  <si>
    <t>Inv 13586</t>
  </si>
  <si>
    <t xml:space="preserve">MW22423 - INC000007549981 - LOT 24, 11 GREENE AV, COONAMBLE </t>
  </si>
  <si>
    <t>MW22433-2GLB-04-AYCA-4OJUJI-20 Cathcart St Goulburn</t>
  </si>
  <si>
    <t>MW 22436 - AYCA-4SRFAN-2226 Roseberry St Balgowlah NSW EXT</t>
  </si>
  <si>
    <t xml:space="preserve">MW22437-AYCA-4PIIN5-2RYD-66-101 Church St Ryde </t>
  </si>
  <si>
    <t>MW22422 - INC000007550501- 170 EDWARD ST, ORANGE</t>
  </si>
  <si>
    <t>Nintey Nine Group</t>
  </si>
  <si>
    <t>Inv 553</t>
  </si>
  <si>
    <t>2MON-25 Validation and GIS Services</t>
  </si>
  <si>
    <t>NBN Project Fusion</t>
  </si>
  <si>
    <t>Inv 552</t>
  </si>
  <si>
    <t>2MIR-29 GIS Services</t>
  </si>
  <si>
    <t>MW22139 - INC000007221664 - 92 East Street, Narrandera</t>
  </si>
  <si>
    <t>MW22366-AYCA-117I3H-2RIV-01-34 Station Street Schofields</t>
  </si>
  <si>
    <t>MW22424 - INC000007552115 - 13 NETTLETON DR LIGHTNING RIDGE</t>
  </si>
  <si>
    <t>MW22047-AYCA-53E534-2LIV-12-25 Glenfield Rd, Glenfield  Ext</t>
  </si>
  <si>
    <t>MW22050-AYCA-53E534-2LIV-12-25 Glenfield Rd Glenfield Int</t>
  </si>
  <si>
    <t>Montefiores</t>
  </si>
  <si>
    <t>Wamberal</t>
  </si>
  <si>
    <t>MW22435-AYCA-5576QH-2TGL-02-3 Ghersi Ave Wambera</t>
  </si>
  <si>
    <t>MW22392-AYCA-53Y8BE-2WEL-01-2WEL-01-17 Nicholii St, Montefiores</t>
  </si>
  <si>
    <t>MW22455 - 2KEL-08 - AYCA-3LT1P4 - Sub of 123 Arnold Ave, Kellyville - 2</t>
  </si>
  <si>
    <t>Inv 4157A</t>
  </si>
  <si>
    <t>Inv 4158A</t>
  </si>
  <si>
    <t>Inv 161363</t>
  </si>
  <si>
    <t>VPL New Devs - 2PET-69-AYCA-3G34XT</t>
  </si>
  <si>
    <t>Payment Date ????</t>
  </si>
  <si>
    <t>Inv 13618</t>
  </si>
  <si>
    <t>Inv 13617</t>
  </si>
  <si>
    <t>Inv 13614</t>
  </si>
  <si>
    <t>Inv 13613</t>
  </si>
  <si>
    <t>inv 13612</t>
  </si>
  <si>
    <t>Inv 13597</t>
  </si>
  <si>
    <t>Payment Date 15/05/18</t>
  </si>
  <si>
    <t>Inv 13616</t>
  </si>
  <si>
    <t>VPL - 2NRN-05-AYCA-4B5K39</t>
  </si>
  <si>
    <t>MW20917 - AYCA-3A485K -2LID-03 -  Lidbury Street Berala - 1 - EXTERNAL</t>
  </si>
  <si>
    <t xml:space="preserve">MW22454-AYCA-2CVKCU-2ROT-60-60 Wallgrove Rd Easter Creek </t>
  </si>
  <si>
    <t>Eastern Creek</t>
  </si>
  <si>
    <t>Inv 554</t>
  </si>
  <si>
    <t>2MIR-22 Validation and GIS Services</t>
  </si>
  <si>
    <t xml:space="preserve">MW22433-AYCA-4OJUJI-2GLB-04-20 Cathcart St Goulburn </t>
  </si>
  <si>
    <t>MW22483-2CAH-21-AYCA-4IEHVB-Bottlebrush Place, Lakewood</t>
  </si>
  <si>
    <t>MW417R000044-2ABN-03-AYCA-4YZZ1I-149 The Boulevarde, Oak Flats</t>
  </si>
  <si>
    <t>MW22390-AYCA-4EE89M-2RIV-04-15 Boundary Rd Box Hill</t>
  </si>
  <si>
    <t>MW22477 - AYCA-4XVGZ8 -  2WYO-03 -140 Pacific Highway Tuggerah</t>
  </si>
  <si>
    <t xml:space="preserve">MW417R000034-AYCA-44MH0G-2RYD-63-133-137 Bowden Street Meadowbank </t>
  </si>
  <si>
    <t xml:space="preserve">MW417R000052-AYCA-44H3AU-2STL-65-13 Marshall Avenue St Leonards </t>
  </si>
  <si>
    <t>St Leonards</t>
  </si>
  <si>
    <t xml:space="preserve">MW22472 - AYCA-4Q0G0C-2PTM-23 -20 Scarborough Close Port Macquarie </t>
  </si>
  <si>
    <t xml:space="preserve">MW22474-AYCA-4UE5JN-2LID-03-46-48 Beaumont St </t>
  </si>
  <si>
    <t xml:space="preserve">MW22481 - 2KEL-08 - AYCA-4R2N0H - 6,8,9,11 John Hillas Avenue Kellyville </t>
  </si>
  <si>
    <t xml:space="preserve">MW22501-AYCA-4W183C-2WLG-02-71 Auburn St Wollongong </t>
  </si>
  <si>
    <t>Inv 13638</t>
  </si>
  <si>
    <t>Inv 13637</t>
  </si>
  <si>
    <t>Inv 13636</t>
  </si>
  <si>
    <t>Inv 13634</t>
  </si>
  <si>
    <t>Project</t>
  </si>
  <si>
    <t>Time Start</t>
  </si>
  <si>
    <t>Time Finish</t>
  </si>
  <si>
    <t>Breaks</t>
  </si>
  <si>
    <t>Normal T</t>
  </si>
  <si>
    <t>T x 1.5</t>
  </si>
  <si>
    <t>T x 2</t>
  </si>
  <si>
    <t>Meal Allownace</t>
  </si>
  <si>
    <t>Travel Allowance</t>
  </si>
  <si>
    <t>Staff Name</t>
  </si>
  <si>
    <t>Greg Baylis</t>
  </si>
  <si>
    <t>MW22493 - 2LTO-20 - AYCA-4VG4KY - 23-25 Chelmsford Place Leeton</t>
  </si>
  <si>
    <t>MW417R000049-AYCA-24QAXK-2ROC-03-10 Martin Avenue Arncliffe</t>
  </si>
  <si>
    <t>Arncliffe</t>
  </si>
  <si>
    <t xml:space="preserve">MW417R000051-AYCA-55JW1J-2BOT-01-180 – 188 Maroubra Rd, Maroubra </t>
  </si>
  <si>
    <t>Maroubra</t>
  </si>
  <si>
    <t>Inv 13589</t>
  </si>
  <si>
    <t>Inv 13590</t>
  </si>
  <si>
    <t>Inv 13591</t>
  </si>
  <si>
    <t>Inv 10498</t>
  </si>
  <si>
    <t>Test Equipment per Day</t>
  </si>
  <si>
    <t>Tool Allowance per Day</t>
  </si>
  <si>
    <t>Mobile Allowance per Day</t>
  </si>
  <si>
    <t>Vehicle per day</t>
  </si>
  <si>
    <t>Fuel per day</t>
  </si>
  <si>
    <t>Greg Baylis Rates</t>
  </si>
  <si>
    <t>NT</t>
  </si>
  <si>
    <t>1.5T</t>
  </si>
  <si>
    <t>2T</t>
  </si>
  <si>
    <t>Total Cost Hours work</t>
  </si>
  <si>
    <t>Kartsen Ewerlin</t>
  </si>
  <si>
    <t>Brendna Couper</t>
  </si>
  <si>
    <t>Phil Ives</t>
  </si>
  <si>
    <t>Ashish Chukma</t>
  </si>
  <si>
    <t>Chris Brown</t>
  </si>
  <si>
    <t>Alex Jones</t>
  </si>
  <si>
    <t>Karsten Ewerlin Rates</t>
  </si>
  <si>
    <t>Brendna Couper Rates</t>
  </si>
  <si>
    <t>Phil Ives Rates</t>
  </si>
  <si>
    <t>Ashish Chukma Rates</t>
  </si>
  <si>
    <t>Chris Brown rates</t>
  </si>
  <si>
    <t>Alex Jones Rates</t>
  </si>
  <si>
    <t>Travel Time Allowance</t>
  </si>
  <si>
    <t>Carringbah</t>
  </si>
  <si>
    <t xml:space="preserve">MW22526-AYCA-4T7JU2-2MIR-25-13 Dudley Avenue Caringbah South </t>
  </si>
  <si>
    <t xml:space="preserve">MW22531-AYCA-413Z64-2PAR-64-2B Darcy Rd Westmead </t>
  </si>
  <si>
    <t>Payment date 22/5/18</t>
  </si>
  <si>
    <t>inv 13629</t>
  </si>
  <si>
    <t>Payment Date 22/5/18</t>
  </si>
  <si>
    <t>Inv 13632</t>
  </si>
  <si>
    <t>Inv 13630</t>
  </si>
  <si>
    <t>payment Date 22/5/18</t>
  </si>
  <si>
    <t>Inv 13631</t>
  </si>
  <si>
    <t>Payment Date  22/5/18</t>
  </si>
  <si>
    <t>Inv 13664</t>
  </si>
  <si>
    <t>Inv 12983</t>
  </si>
  <si>
    <t>2CTH-20, Cresent Heads, Validation</t>
  </si>
  <si>
    <t>Cresent Heads</t>
  </si>
  <si>
    <t>2DRG-20, Dorrigo Validation</t>
  </si>
  <si>
    <t xml:space="preserve">Dorrigo </t>
  </si>
  <si>
    <t>2NDS-01, Nords Wharf, Validation</t>
  </si>
  <si>
    <t>Nords Wharf</t>
  </si>
  <si>
    <t>2LCT-01, Lake Cathie, Validation</t>
  </si>
  <si>
    <t>Lake Cathie</t>
  </si>
  <si>
    <t>2ERP-20, Eastern Creek Validation</t>
  </si>
  <si>
    <t>2BGI-20, Boggabri Validations</t>
  </si>
  <si>
    <t>Boggabri</t>
  </si>
  <si>
    <t>2WWA-20, Wee Waa Validations</t>
  </si>
  <si>
    <t>Wee Waa</t>
  </si>
  <si>
    <t>2MAN-20, Manilla Validations</t>
  </si>
  <si>
    <t>Manilla</t>
  </si>
  <si>
    <t>2WLH-20, Walcha Validations</t>
  </si>
  <si>
    <t>Walcha</t>
  </si>
  <si>
    <t>2MIR-21, Miranda Valiadation</t>
  </si>
  <si>
    <t>Inv 556</t>
  </si>
  <si>
    <t>2MIR-26, Validation and GIS services</t>
  </si>
  <si>
    <t>Inv 10497</t>
  </si>
  <si>
    <t>MW22420 - AYCA-4RFDRV - 2KIA-03 - 58 Old Saddleback Road Kiama</t>
  </si>
  <si>
    <t>AYCA‐52JYBU NBN Tech Choice 7 Buggy Crescent McKellar</t>
  </si>
  <si>
    <t>Mckellar</t>
  </si>
  <si>
    <t>MW22472 - 2PTM-23 - AYCA-4Q0G0C-20 Scarborough Close Port Macquarie</t>
  </si>
  <si>
    <t>MW22470-AYCA-2XJBL7-2SIL-02-3 Olympic Blvd Sydney Olympic Park</t>
  </si>
  <si>
    <t>Olympic Park</t>
  </si>
  <si>
    <t xml:space="preserve">MW22478 - AYCA-501QN5 - 2CAS-23 - 30 Pentonville Parade, Castle Hill </t>
  </si>
  <si>
    <t>AYCA-54QQ6Y_48 KALAROO RD REDHEAD</t>
  </si>
  <si>
    <t>Redhead</t>
  </si>
  <si>
    <t>Rosberry</t>
  </si>
  <si>
    <t>Fairfield</t>
  </si>
  <si>
    <t>Qubicon</t>
  </si>
  <si>
    <t>Inv 568</t>
  </si>
  <si>
    <t>Inv 569</t>
  </si>
  <si>
    <t>Corrosion Control Engineering</t>
  </si>
  <si>
    <t>Inv CNI13357</t>
  </si>
  <si>
    <t>MW21820-AYCA-4W4BKH-2HOM-02-38 Weeroona Rd, Strathfield EXT</t>
  </si>
  <si>
    <t>MW22513 - AYCA-4JW63S - 2CRO-21 - 25-29 Tonkin St Cronulla</t>
  </si>
  <si>
    <t>Cronulla</t>
  </si>
  <si>
    <t>Lakewood</t>
  </si>
  <si>
    <t>Payment date 29/05/18</t>
  </si>
  <si>
    <t>Inv 13671</t>
  </si>
  <si>
    <t>Payment Date 29/5/18</t>
  </si>
  <si>
    <t xml:space="preserve">MW22505-2KNS-03-AYCA-4KBL5R-14-18 Primrose Ave &amp; 27-29 Roseberry Ave Rosberry </t>
  </si>
  <si>
    <t>MW22483-AYCA-4IEHVB-2CAH-21-Bottlebrush Place, Lakewood</t>
  </si>
  <si>
    <t>Edgecliffe</t>
  </si>
  <si>
    <t>MW22548-AYCA-48V6NM-2PTH-05-Lord Sheffield Circuit Penrith</t>
  </si>
  <si>
    <t>MW22575-AYCA-4LHC6F-2DBB-01-30 Ritz Pl Dubbo</t>
  </si>
  <si>
    <t>Inv 1115</t>
  </si>
  <si>
    <t>Inv 1116</t>
  </si>
  <si>
    <t>Inv 1117</t>
  </si>
  <si>
    <t>Inv 1118</t>
  </si>
  <si>
    <t>Inv 1119</t>
  </si>
  <si>
    <t>Inv 1120</t>
  </si>
  <si>
    <t>Inv 1121</t>
  </si>
  <si>
    <t>Inv 1122</t>
  </si>
  <si>
    <t>Inv 1123</t>
  </si>
  <si>
    <t>Inv 1124</t>
  </si>
  <si>
    <t>Inv 1125</t>
  </si>
  <si>
    <t>Inv 1126</t>
  </si>
  <si>
    <t>Inv 1127</t>
  </si>
  <si>
    <t>Inv 1128</t>
  </si>
  <si>
    <t xml:space="preserve">MW22532-AYCA-55KUFO-2MIR-22-31 Bay Road Taren Point </t>
  </si>
  <si>
    <t>Taren Point</t>
  </si>
  <si>
    <t xml:space="preserve">MW417R000059-AYCA-59JUMX - 2WAG-02-J83 Trail Street, Wagga Wagga </t>
  </si>
  <si>
    <t>MW22519 - 2COR-01 - AYCA-4V3JM3 - 69 High Street, Thirroul</t>
  </si>
  <si>
    <t>MW22574 - AYCA-4BBYMK - 2ROU-01 - 184 &amp; 186 Old Pitt Town Rd Box Hill</t>
  </si>
  <si>
    <t>Paramount Telecom</t>
  </si>
  <si>
    <t>Inv 092</t>
  </si>
  <si>
    <t xml:space="preserve">MW22520-AYCA-48OYT0-2EDG-65-240 New South Head Road Edgecliff </t>
  </si>
  <si>
    <t>Inv 1129</t>
  </si>
  <si>
    <t>Inv 1130</t>
  </si>
  <si>
    <t>Inv 1131</t>
  </si>
  <si>
    <t>VPL New Devs 2PET-67-AYCA-4W7GEZ</t>
  </si>
  <si>
    <t xml:space="preserve">MW417R000063-2SUX-01-AYCA-52381N-284 River Rd Sussex Inlet </t>
  </si>
  <si>
    <t xml:space="preserve">MW22547-AYCA-547JTQ-2DBB-04-1D Rawson St Dubbo </t>
  </si>
  <si>
    <t>Canterbury Concil</t>
  </si>
  <si>
    <t>MW22579-AYCA-4R1C1M-2RIV-07-William St Riverstone</t>
  </si>
  <si>
    <t>MW417R000149-2ABN-01-AYCA-4M2GZ2-2 Pine Street, Albion Park Rail</t>
  </si>
  <si>
    <t>MW22580-AYCA-52S52D-2BTH-01-18 Hobson Cl Eglinton</t>
  </si>
  <si>
    <t>Eglinton</t>
  </si>
  <si>
    <t>MW417R000141-AYCA-4UXA3J-2ERN-03-1 and 4 Fox Glove Close, Green</t>
  </si>
  <si>
    <t>MW417R000148-2LIS-21-AYCA-4Z992M-2A Napier St Goonellabah; 17 Blue Hills Ave Goonellabah</t>
  </si>
  <si>
    <t>MW417R000151-2RYD-01-AYCA-4PBBAI-6,8,10,12 Anderson Avenue Ryde</t>
  </si>
  <si>
    <t>Inv 1803851</t>
  </si>
  <si>
    <t>MW417R000099-AYCA-577BDS-2BLK-07-36 Huntingwood Drive Huntingwood</t>
  </si>
  <si>
    <t>Inv 118</t>
  </si>
  <si>
    <t>VPL New Devs - 2NRN-05-AYCA-4B5K39</t>
  </si>
  <si>
    <t>Inv 570</t>
  </si>
  <si>
    <t>MW22493 - AYCA-4VG4KY - 2LTO-20 -  23-25 Chelmsford Place Leeton</t>
  </si>
  <si>
    <t>MW417R000205 - INC000007476665 - Lot 5, 23 Kookora Street, Griffith</t>
  </si>
  <si>
    <t>Inv 13685</t>
  </si>
  <si>
    <t>Inv 13683</t>
  </si>
  <si>
    <t>Inv 13686</t>
  </si>
  <si>
    <t>Inv 13690</t>
  </si>
  <si>
    <t>MW417R000065- AYCA-59DV6W-2CRR-72-Nelson St, Fairfield</t>
  </si>
  <si>
    <t>MW417R000209-2GRK-02-AYCA-44H5DT-44 Hakone Rd Woongarrah</t>
  </si>
  <si>
    <t>Inv 557</t>
  </si>
  <si>
    <t>2BRI-20, Validation and GIS services</t>
  </si>
  <si>
    <t>2MAN-20, Validation and GIS services</t>
  </si>
  <si>
    <t>2WWA-20, Validation and GIS services</t>
  </si>
  <si>
    <t>2WLH-20, Validation and GIS services</t>
  </si>
  <si>
    <t xml:space="preserve">MW417R000077-AYCA-5A2Y34-2MAI-03-100 George St East Maitland </t>
  </si>
  <si>
    <t>East Maitland</t>
  </si>
  <si>
    <t>Inv 164447</t>
  </si>
  <si>
    <t>Inv 558</t>
  </si>
  <si>
    <t>2MIR-25, Validation and GIS services</t>
  </si>
  <si>
    <t>Payment Date 31/5/18</t>
  </si>
  <si>
    <t>Inv 13684</t>
  </si>
  <si>
    <t>Payment date 31/5/18</t>
  </si>
  <si>
    <t>Payment Date 31/05/18</t>
  </si>
  <si>
    <t>Casula</t>
  </si>
  <si>
    <t xml:space="preserve">MW417R000070-AYCA-52UC2N-2WRO-63-Beech Rd Casula </t>
  </si>
  <si>
    <t>Payment Date???</t>
  </si>
  <si>
    <t>MW417R000124-AYCA-58BKNK-2RYD-66-2-6 Junction St Ryde</t>
  </si>
  <si>
    <t>MW417R000166-2MIR-31-STELLAR NPDL_MWR (A417)-Miranda</t>
  </si>
  <si>
    <t>MW417R000169-2MIR-29-STELLAR NPDL_MWR (A417)-Miranda</t>
  </si>
  <si>
    <t>Inv 13696</t>
  </si>
  <si>
    <t>Inv 13697</t>
  </si>
  <si>
    <t>Inv 13695</t>
  </si>
  <si>
    <t>Inv 13694</t>
  </si>
  <si>
    <t>Inv 13693</t>
  </si>
  <si>
    <t>Inv 13692</t>
  </si>
  <si>
    <t>Inv 13691</t>
  </si>
  <si>
    <t>MW22100 - AYCA-4QBUIV - 2KTB-02 -  NSB - Letitia St Katoomb v2</t>
  </si>
  <si>
    <t>payment Date 17/5/18</t>
  </si>
  <si>
    <t>payment Date 24/5/18</t>
  </si>
  <si>
    <t>payment Date 5/6/18</t>
  </si>
  <si>
    <t>MW417R000174-2MIR-26-STELLAR NPDL_MWR (A417)-Miranda</t>
  </si>
  <si>
    <t>Quakers Hill</t>
  </si>
  <si>
    <t>MW417R000132-AYCA-4L3R6E-2MIR-26-4-6 Ventura Ave Miranda</t>
  </si>
  <si>
    <t>MW417R000098-AYCA-4TC0MT-2QUA-65-50 Farnham Rd, Quakers Hill</t>
  </si>
  <si>
    <t xml:space="preserve">MW417R000139-AYCA-4IIZWC-2STL-60-22-28 Albany St St Leonards </t>
  </si>
  <si>
    <t xml:space="preserve">MW417R000123-AYCA-523PM8-9MNK-01-8 Beaconsfield St Fyshwick ACT </t>
  </si>
  <si>
    <t>Fyshwick</t>
  </si>
  <si>
    <t>St.Leonards</t>
  </si>
  <si>
    <t>Wolli Creek</t>
  </si>
  <si>
    <t>MW417R000222-AYCA-4VFYJV-2BAN-64-27-37 Percy St, Bankstown</t>
  </si>
  <si>
    <t>MW22050-AYCA-53E534-2LIV-12-25 Glenfield Rd Glenfield Int V2</t>
  </si>
  <si>
    <t xml:space="preserve">MW417R000129-AYCA-4CG9U4-2KNS-04-29-31 Dunning Avenue Rosebery </t>
  </si>
  <si>
    <t>Roseberry</t>
  </si>
  <si>
    <t xml:space="preserve">MW417R000246 - 2WOY-07 - AYCA-4RTZSH - 25 Phegan Street Woy Woy </t>
  </si>
  <si>
    <t xml:space="preserve">MW417R000091-AYCA-57S6JD-2REV-20-50/42 Violet St Revesby </t>
  </si>
  <si>
    <t>MW417R000217-AYCA-5ENHJH-2MIL-01-Browning and Colenso Cct Edmondson Park</t>
  </si>
  <si>
    <t xml:space="preserve">MW417R000161-AYCA-3D0J11-2ROC-02-15-21 Willis St Wolli Creek </t>
  </si>
  <si>
    <t>MW417R000157-2PAR-63-AYCA-4A46K7-208-210 Great Western Hwy, Westmead DFN Design &amp; Construct</t>
  </si>
  <si>
    <t>Inv 559</t>
  </si>
  <si>
    <t>2NDS-01, Validation and GIS services</t>
  </si>
  <si>
    <t>MW417R000044-AYCA-4YZZ1I-2ABN-03-149 The Boulevarde, Oak Flats</t>
  </si>
  <si>
    <t xml:space="preserve">MW417R000063-AYCA-52381N-2SUX-01-284 River Rd Sussex Inlet </t>
  </si>
  <si>
    <t>Sussex Inlet</t>
  </si>
  <si>
    <t>MW417R000170-2MIR-22-STELLAR NPDL_MWR (A417)-Miranda</t>
  </si>
  <si>
    <t>MW417R000180-2MIR-25-STELLAR NPDL_MWR (A417)-Miranda</t>
  </si>
  <si>
    <t>Richard Huffadine</t>
  </si>
  <si>
    <t>MW417R000159-AYCA-4EZRCH-2MIR-26-1-3 Higherdale Ave Miranda</t>
  </si>
  <si>
    <t>MW22455 -AYCA-3LT1P4 -  2KEL-08 - Sub of 123 Arnold Ave, Kellyville - 2</t>
  </si>
  <si>
    <t>MW417R000223 - AYCA-5ALZB0 - 2BLK-07 - 6 Woods CL, Huntingwood</t>
  </si>
  <si>
    <t>MW417R000211-AYCA-56B97M-2SEF-61-1 Tangerine St, Fairfield East</t>
  </si>
  <si>
    <t>MW417R000149-AYCA-4M2GZ2-2ABN-01-2 Pine Street, Albion Park Rail</t>
  </si>
  <si>
    <t>MW417R000172-2MON-25-STELLAR NPDL_MWR (A417)-Mona Vale</t>
  </si>
  <si>
    <t>MW417R000214 - INC000007724800 - Lot 1, 1 Asquith Av, Wentworth Falls</t>
  </si>
  <si>
    <t>Forwarded Invoice to NBN Assurance team 24/4/18, MW signed and submited 7/6</t>
  </si>
  <si>
    <t>Springwood</t>
  </si>
  <si>
    <t>Portland</t>
  </si>
  <si>
    <t>Inv 560</t>
  </si>
  <si>
    <t>2ERP-20, Validation and GIS services</t>
  </si>
  <si>
    <t>MW417R000243-AYCA-56I886-2ASH-64-47 Cecil St, Ashfield</t>
  </si>
  <si>
    <t>MW417R000218-AYCA-34MTV2-2BUR-07-133 Parramatta Rd, Homebush</t>
  </si>
  <si>
    <t>MW417R000238-AYCA-52OEM0-2MON-25-33 Darley St, East, Mona Vale</t>
  </si>
  <si>
    <t>Inv 1803941</t>
  </si>
  <si>
    <t>Inv 13506</t>
  </si>
  <si>
    <t>Inv 13715</t>
  </si>
  <si>
    <t>Inv 13714</t>
  </si>
  <si>
    <t>Payment Date  7/6/18</t>
  </si>
  <si>
    <t>Payment Date 07/06/18</t>
  </si>
  <si>
    <t>Payment Date  07/06/18</t>
  </si>
  <si>
    <t>Inv 13635</t>
  </si>
  <si>
    <t>Inv 13672</t>
  </si>
  <si>
    <t>Inv 13717</t>
  </si>
  <si>
    <t>MW417R000148-AYCA-4Z992M-2LIS-21-2A Napier St Goonellabah; 17 Blue Hills Ave Goonellabah</t>
  </si>
  <si>
    <t>Goonellabah</t>
  </si>
  <si>
    <t>MW22264-AYCA-4YPT3F-145/129 - 2WAG-05-145 Hammond Ave East Wagga Wagga</t>
  </si>
  <si>
    <t>Inv 561</t>
  </si>
  <si>
    <t>2CTH-20, Validation and GIS services</t>
  </si>
  <si>
    <t xml:space="preserve">MW417R000280-AYCA-481ES7-2BTH-09-65 George St Bathurst </t>
  </si>
  <si>
    <t xml:space="preserve">MW417R000126-2HMK-02-AYCA-56Z0PS-37-49 O'Connor St Chippendale </t>
  </si>
  <si>
    <t>Chippendale</t>
  </si>
  <si>
    <t>Inv 13724</t>
  </si>
  <si>
    <t xml:space="preserve">MW22573-AYCA-LYHJJ-2MTT-02-10 Cardigan St Mittagong </t>
  </si>
  <si>
    <t>Mittagong</t>
  </si>
  <si>
    <t xml:space="preserve">MW417R000151-AYCA-4PBBAI-2RYD-01-6,8,10,12 Anderson Avenue Ryde </t>
  </si>
  <si>
    <t>MW417R000299-AYCA-5AZ97T-2BTH-02-1 Wark Parade, Windradyne</t>
  </si>
  <si>
    <t>Windradyne</t>
  </si>
  <si>
    <t xml:space="preserve">MW417R000298-AYCA-5CSK69-2LIV-03-94 Flowerdale Rd, Liverpool </t>
  </si>
  <si>
    <t xml:space="preserve">MW22481 - AYCA-4R2N0H - 2KEL-08 -6,8,9,11 John Hillas Avenue Kellyville </t>
  </si>
  <si>
    <t xml:space="preserve">MW417R000301-AYCA-5AVN4W-2EPP-62-23-25 Forest Grove, Epping </t>
  </si>
  <si>
    <t>MW417R000300-AYCA-57KT5A-2PTH-02-153 Jamison Rd, Penrith</t>
  </si>
  <si>
    <t>MW417R000338‐9KBA‐20‐AYCA‐54NU37‐427‐177 Newman‐Morris Circuit, Oxley, ACT</t>
  </si>
  <si>
    <t>Inv 10445</t>
  </si>
  <si>
    <t>Inv/CR 10583</t>
  </si>
  <si>
    <t xml:space="preserve">MW417R000246 - AYCA-4RTZSH - 2WOY-07 - 25 Phegan Street Woy Woy </t>
  </si>
  <si>
    <t>Inv 113752</t>
  </si>
  <si>
    <t>Inv 13751</t>
  </si>
  <si>
    <t>Appin</t>
  </si>
  <si>
    <t>Inv 13742</t>
  </si>
  <si>
    <t>Inv 13743</t>
  </si>
  <si>
    <t>Inv 13738</t>
  </si>
  <si>
    <t>Payment Date 19/6/18</t>
  </si>
  <si>
    <t>Commencement Payment</t>
  </si>
  <si>
    <t>Inv 13716</t>
  </si>
  <si>
    <t>2POR-20, Validation and GIS services</t>
  </si>
  <si>
    <t>Inv 564</t>
  </si>
  <si>
    <t>Inv 563</t>
  </si>
  <si>
    <t>2LCT-20, Validation and GIS services</t>
  </si>
  <si>
    <t>2DRG-20, Validation and GIS services</t>
  </si>
  <si>
    <t>Inv 562</t>
  </si>
  <si>
    <t xml:space="preserve">MW22430-AYCA-5667HJ-2WAG-01-12-16 Beetson Street Boorooma </t>
  </si>
  <si>
    <t>2SPW-20 - Springwood Valiadation</t>
  </si>
  <si>
    <t>2SPW-21 - Springwood Valiadation</t>
  </si>
  <si>
    <t>2MIR-24 - Miranda Valiadation</t>
  </si>
  <si>
    <t>2POR-20 - Portland Valiadation</t>
  </si>
  <si>
    <t>2MON-28 - Mona Vale Valiadation</t>
  </si>
  <si>
    <t>Nyngan</t>
  </si>
  <si>
    <t>Orchard Hills</t>
  </si>
  <si>
    <t>Eskine park</t>
  </si>
  <si>
    <t>NO CSPO</t>
  </si>
  <si>
    <t>MW417R000348 - AYCA-5F1RYP - 2EDG-66 - 114 New South Head Road, Edgecliff</t>
  </si>
  <si>
    <t>Inv 2048203</t>
  </si>
  <si>
    <t>Inv 2048219</t>
  </si>
  <si>
    <t>Inv 13656</t>
  </si>
  <si>
    <t xml:space="preserve">VPL - 2KRG-03-AYCA-2Z4T2N </t>
  </si>
  <si>
    <t>VPL - 2CAM-60-AYCA-4VCIKM</t>
  </si>
  <si>
    <t>payment Date ?????</t>
  </si>
  <si>
    <t>Payment date 8/06/18</t>
  </si>
  <si>
    <t>MW417R000347-AYCA-397TA7-2TGL-02-6-8 Painters Lane Terrigal</t>
  </si>
  <si>
    <t>MW417R000381-2APN-01-AYCA-5DPOWN-13 Technology Drive Appin INT</t>
  </si>
  <si>
    <t>MW417R000310--AYCA-5DPOWN-2APN-01-13 Technology Dr, Appin EXT</t>
  </si>
  <si>
    <t>MW417R000354-AYCA-57CAFW-2CRO-01-KURNELL 2</t>
  </si>
  <si>
    <t>Inv 1803957</t>
  </si>
  <si>
    <t>MW21092 - AYCA-1NGPGW - 2BRG-03 - Gledswood</t>
  </si>
  <si>
    <t>2NYG-20 Nyngun Validation</t>
  </si>
  <si>
    <t>2ORC-21 Orchard Hills Validation</t>
  </si>
  <si>
    <t>2ERP-21 Estern Creek Validation</t>
  </si>
  <si>
    <t>PO 0460</t>
  </si>
  <si>
    <t>Blacktown Council</t>
  </si>
  <si>
    <t>Inv 565</t>
  </si>
  <si>
    <t>2MIR-31, Validation and GIS services</t>
  </si>
  <si>
    <t>Inv 566</t>
  </si>
  <si>
    <t>Inv 567</t>
  </si>
  <si>
    <t>2SPW-20, Validation and GIS services</t>
  </si>
  <si>
    <t>2SPW-21, Validation and GIS services</t>
  </si>
  <si>
    <t>2MON-28, Validation and GIS services</t>
  </si>
  <si>
    <t>2WWA-20, Wee Waa Validation</t>
  </si>
  <si>
    <t>2MAN-20, Manilla Validation</t>
  </si>
  <si>
    <t>2WLH-20, Walcha Validation</t>
  </si>
  <si>
    <t>MW417R000364-2ABN-03-AYCA-5DBDK2 -8 Werrang St, Albion Park Rail</t>
  </si>
  <si>
    <t>Inv 1017189</t>
  </si>
  <si>
    <t>MW21521-AYCA-1OHQX6 -2ROU-02-Lake Promenade - Building C- EXTERNAL</t>
  </si>
  <si>
    <t>CSPO</t>
  </si>
  <si>
    <t>Validation Cost</t>
  </si>
  <si>
    <t>Total Variation</t>
  </si>
  <si>
    <t xml:space="preserve">Variation Construction Rev </t>
  </si>
  <si>
    <t>Variation SOR Validation additional</t>
  </si>
  <si>
    <t>Estimated Construction Cost</t>
  </si>
  <si>
    <t>2SPW-28 Springwood Validation</t>
  </si>
  <si>
    <t>2MIR-21, Miranda Valiadation, Only Build</t>
  </si>
  <si>
    <t>30% Mobilisation Fee</t>
  </si>
  <si>
    <t>30% onto the construction costs a more realistist number</t>
  </si>
  <si>
    <t>MW417R000383-AYCA-3MEHNA-9BLC-04-Nevertire St, Lawson</t>
  </si>
  <si>
    <t>Oct-18</t>
  </si>
  <si>
    <t>Sep-18</t>
  </si>
  <si>
    <t>Nov-18</t>
  </si>
  <si>
    <t>Inv 1144</t>
  </si>
  <si>
    <t>MW21570-AYCA-1L7010  - 2LID-08 - Mixed Use Development - Tower A and B</t>
  </si>
  <si>
    <t>MW22023-AYCA-48280D - 2RED-03 -  906 Bourke St, Zetland</t>
  </si>
  <si>
    <t>MW22048-AYCA-52ZO0L-2LID-04-32 Norval St, Auburn EXT</t>
  </si>
  <si>
    <t>MW21878-AYCA-2Q0B3G-2PAR-63-148-150 Great Western Hwy, Westmead</t>
  </si>
  <si>
    <t>MW22191-AYCA-4Z4FSB - 2MIL-20 -  Mainfreight Logistics - 1</t>
  </si>
  <si>
    <t>MW21532-AYCA-4TBHNX - 2SHH-05 - NSB - 125 LAKE ENTRANCE - SURVEY</t>
  </si>
  <si>
    <t>Inv 1145</t>
  </si>
  <si>
    <t>Inv 1143</t>
  </si>
  <si>
    <t>Inv 1146</t>
  </si>
  <si>
    <t>Inv 1147</t>
  </si>
  <si>
    <t>Inv 1148</t>
  </si>
  <si>
    <t>Inv 1149</t>
  </si>
  <si>
    <t>Inv 1150</t>
  </si>
  <si>
    <t>Inv 1151</t>
  </si>
  <si>
    <t>Inv 1152</t>
  </si>
  <si>
    <t>Inv 1153</t>
  </si>
  <si>
    <t>MW417R000346-AYCA-57CH4J-2CRO-01-8/268A Captain Cook Dr, Kurnell</t>
  </si>
  <si>
    <t>Inv 10622</t>
  </si>
  <si>
    <t>inv 10615</t>
  </si>
  <si>
    <t>Inv 13592</t>
  </si>
  <si>
    <t>Inv 13741</t>
  </si>
  <si>
    <t>Inv 13667</t>
  </si>
  <si>
    <t>Inv 13752</t>
  </si>
  <si>
    <t>Inv 13776</t>
  </si>
  <si>
    <t>Inv 13775</t>
  </si>
  <si>
    <t>Inv 13774</t>
  </si>
  <si>
    <t>inv 13773</t>
  </si>
  <si>
    <t>Inv 13772</t>
  </si>
  <si>
    <t>Inv 13746</t>
  </si>
  <si>
    <t>Inv 13747</t>
  </si>
  <si>
    <t>Inv 13748</t>
  </si>
  <si>
    <t>Inv 13745</t>
  </si>
  <si>
    <t>Inv 13750</t>
  </si>
  <si>
    <t>Inv 13749</t>
  </si>
  <si>
    <t>MW417R000180-2MIR-25-STELLAR NPDL_MWR (A417)-Miranda, Mob Payment</t>
  </si>
  <si>
    <t>MW417R000166-2MIR-31-STELLAR NPDL_MWR (A417)-Miranda, Mob Payment</t>
  </si>
  <si>
    <t>MW417R000174-2MIR-26-STELLAR NPDL_MWR (A417)-Miranda, Mob Payment</t>
  </si>
  <si>
    <t>MW417R000170-2MIR-22-STELLAR NPDL_MWR (A417)-Miranda, Mob Payment</t>
  </si>
  <si>
    <t>MW417R000172-2MON-25-STELLAR NPDL_MWR (A417)-Mona Vale, Mob Payment</t>
  </si>
  <si>
    <t>MW417R000169-2MIR-29-STELLAR NPDL_MWR (A417)-Miranda, Mob Payment</t>
  </si>
  <si>
    <t>MW417R000157-2PAR-63-AYCA-4A46K7-208-210 Great Western Hwy, Westmead DFN Design &amp; Construct,  Mob payment</t>
  </si>
  <si>
    <t>Payment date 22/6/18</t>
  </si>
  <si>
    <t>Inv 13718</t>
  </si>
  <si>
    <t>Payment Date 26/6/18</t>
  </si>
  <si>
    <t>Commencement Payment, 30% ,Payment Date 14/6/18</t>
  </si>
  <si>
    <t>Commencement Payment, 30% ,Payment Date 14/6/19</t>
  </si>
  <si>
    <t>Commencement Payment, 30% ,Payment Date 14/6/20</t>
  </si>
  <si>
    <t>Commencement Payment, 30% ,Payment Date 14/6/21</t>
  </si>
  <si>
    <t>Commencement Payment, 30% ,Payment Date 14/6/22</t>
  </si>
  <si>
    <t>Commencement Payment, 30% ,Payment Date 14/6/23</t>
  </si>
  <si>
    <t>Commencement Payment, 30% ,Payment Date 14/6/24</t>
  </si>
  <si>
    <t>Payment Date 22/6/18</t>
  </si>
  <si>
    <t>payment date 26/6/18</t>
  </si>
  <si>
    <t>Payment Date 28/6/18</t>
  </si>
  <si>
    <t>payment Date 28/6/18</t>
  </si>
  <si>
    <t>Payment date 28/6/18</t>
  </si>
  <si>
    <t>Michael Gale</t>
  </si>
  <si>
    <t>Inv 116017</t>
  </si>
  <si>
    <t>Inv 116018</t>
  </si>
  <si>
    <t>Inv 116019</t>
  </si>
  <si>
    <t>Inv 10269</t>
  </si>
  <si>
    <t>Inv 10268</t>
  </si>
  <si>
    <t>INC000008387493 - 166 Great Western Hwy, Wentworth Falls</t>
  </si>
  <si>
    <t>MW417R000460 - 2GFT-20 - AYCA-58DKIW - 43 Jondaryan Avenue, Griffith</t>
  </si>
  <si>
    <t>INC000007561589 - Lot 102, 51 Mount St, Yass</t>
  </si>
  <si>
    <t>MW417R000397-AYCA-5BX3DW-2NEW-23-7-9 Hutchinson St, St Peters - 1</t>
  </si>
  <si>
    <t>St Peters</t>
  </si>
  <si>
    <t>MW417R000395 - AYCA-56PP6W-2BAN-67-55-57 Chelmsford Ave, Bankstown</t>
  </si>
  <si>
    <t>INC000008263241 –  24 NELSON RD, KATOOMBA</t>
  </si>
  <si>
    <t>INC000007742541- Lot 18 30 Christabel Street Lawson</t>
  </si>
  <si>
    <t>2MIR-24, Validation and GIS services</t>
  </si>
  <si>
    <t>OverHead / Public Holiday</t>
  </si>
  <si>
    <t>MW22519 - AYCA-4V3JM3 - 2COR-01 - 69 High Street, Thirroul</t>
  </si>
  <si>
    <t>Thirroul</t>
  </si>
  <si>
    <t>Payment Date ???</t>
  </si>
  <si>
    <t>Inv 119</t>
  </si>
  <si>
    <t>Inv 116105</t>
  </si>
  <si>
    <t>Narromine</t>
  </si>
  <si>
    <t>Seven Hills</t>
  </si>
  <si>
    <t>Hay</t>
  </si>
  <si>
    <t>Condobolin</t>
  </si>
  <si>
    <t>Inv 13791</t>
  </si>
  <si>
    <t>Inv 13782</t>
  </si>
  <si>
    <t>Inv 13787</t>
  </si>
  <si>
    <t>Inv 13789</t>
  </si>
  <si>
    <t>Inv 13784</t>
  </si>
  <si>
    <t>Inv 13786</t>
  </si>
  <si>
    <t>Inv 13790</t>
  </si>
  <si>
    <t>Inv 13799</t>
  </si>
  <si>
    <t>Inv 13785</t>
  </si>
  <si>
    <t>Inv 13788</t>
  </si>
  <si>
    <t>INC000007735234 –  12-20 BARNADO ST, WEST WYALONG</t>
  </si>
  <si>
    <t>inv 13783</t>
  </si>
  <si>
    <t>Inv 13798</t>
  </si>
  <si>
    <t>Inv 13795</t>
  </si>
  <si>
    <t>Inv 13794</t>
  </si>
  <si>
    <t>Inv 13781</t>
  </si>
  <si>
    <t>Marshall Directional Drilling</t>
  </si>
  <si>
    <t>Inv 1718</t>
  </si>
  <si>
    <t>MW417R000521-2KTB-01-42-84 Martin St, Katoomba High School, Katoomba</t>
  </si>
  <si>
    <t>Invoice and Artefacts sent on the 3/7/32, rec RFQ, signed and sent back 4/7/18</t>
  </si>
  <si>
    <t>MW417R000520-2WWY-20-34 Church St, West Wyalong, NSW</t>
  </si>
  <si>
    <t>MW417R000516-2HAY-20-Lot 7, 460 Orson St, Hay, NSW-INC000006971761</t>
  </si>
  <si>
    <t>MW417R000514-2WWY-20-12-20 BARNADO ST, WEST WYALONG</t>
  </si>
  <si>
    <t>Inv 13815</t>
  </si>
  <si>
    <t>MW417R000511-2LTO-21-Lot 1, 45 Gossamer St, Leeton</t>
  </si>
  <si>
    <t>MW417R000463-2MIR-28-AYCA-48HHL8-2-22 University Rd &amp; 660-664</t>
  </si>
  <si>
    <t>Lakemba</t>
  </si>
  <si>
    <t>MW417R000503-2CON-20-Lot 11, 15 Busby Street, Condobolin</t>
  </si>
  <si>
    <t>Invoice and Artefacts sent on the 3/7/32, rec RFQ, signed and sent back 5/7/18</t>
  </si>
  <si>
    <t>MW417R000504-2KTB-04-166 Great Western Highway, Wentworth Falls</t>
  </si>
  <si>
    <t>MW417R000507-2ALB-04-Lot 4, 2 Bunker Ct, Albury, NSW-INC000007471430</t>
  </si>
  <si>
    <t>MW417R000468‐2PKS‐20‐AYCA‐4VRIOS‐37 High Street Parkes NSW 2870</t>
  </si>
  <si>
    <t xml:space="preserve">MW417R000508-2WAG-06-Lot 220, 23 Crisp Dr, Ashmont, </t>
  </si>
  <si>
    <t>MW417R000510-2CON-20-74-76 Orange St, Condobolin, NSW-INC000007693413</t>
  </si>
  <si>
    <t>MW417R000508-2WAG-06-Lot 220, 23 Crisp Dr, Ashmont, NSW</t>
  </si>
  <si>
    <t>VPL-2PET-69-AYCA-3G34XT</t>
  </si>
  <si>
    <t>VPL-2PET-67-AYCA-4W7GEZ,</t>
  </si>
  <si>
    <t>VPL-2BRX-01-AYCA-41AL6Q</t>
  </si>
  <si>
    <t xml:space="preserve">MW417R000543-2PKS-21-AYCA-5866DJ-2 Cecile Street, Parkes </t>
  </si>
  <si>
    <t>MW417R000542-2KTB-02-51 DELMONTE AV, MEDLOW BATH-INC000008346619</t>
  </si>
  <si>
    <t>Invoice and Artefacts sent on the 3/7/32, rec RFQ, signed and sent back 6/7/18</t>
  </si>
  <si>
    <t>MW417R000494-AYCA-21R8AP-2WLG-07-12-14 New Dapto Rd Wollongong</t>
  </si>
  <si>
    <t>MW417R000495-AYCA-4X1Z9M-2MIR-26-58/60 Karimbla Rd, Miranda</t>
  </si>
  <si>
    <t>MW417R000461-AYCA-5AXHNZ-2SIL-02-4 Murray Rose Ave, Sydney Olympic Park</t>
  </si>
  <si>
    <t>MW417R000462-AYCA-328OYF-2CBT-05-37-41 Chamberlain St, Campbelltown</t>
  </si>
  <si>
    <t>MW417R000518-AYCA-2V9V2D-2HOR-63-2 Cowan Road &amp; 540A-542 Pacific Highway, Mount Colah</t>
  </si>
  <si>
    <t xml:space="preserve">MW417R000567-2BLK-05-INC000007924200-UNIT 501, LOT 1, 3 FIRST AV, SEVEN HILLS </t>
  </si>
  <si>
    <t>MW417R000568-2KTB-05-INC000007742541-Lot 18, 30 Christabel Street, Lawson</t>
  </si>
  <si>
    <t>MW417R000569-2KTB-02-INC000007293986-Lot 22, 33 Foy Avenue, Medlow Bath</t>
  </si>
  <si>
    <t xml:space="preserve">MW417R000570-2YAS-01-INC000007561589-Lot 102, 51 Mount St, Yass </t>
  </si>
  <si>
    <t>Invoice and Artefacts sent on the 3/7/32, rec RFQ, signed and sent back 7/7/18</t>
  </si>
  <si>
    <t>MW417R000576-2NMN-20-INC000007557971-113 WATTLE CR, NARROMINE</t>
  </si>
  <si>
    <t>Inv 13830</t>
  </si>
  <si>
    <t>Inv 13833</t>
  </si>
  <si>
    <t>Inv 13832</t>
  </si>
  <si>
    <t>Inv 13831</t>
  </si>
  <si>
    <t>Inv 13829</t>
  </si>
  <si>
    <t>Sydney Olympic Park</t>
  </si>
  <si>
    <t>Mount Colah</t>
  </si>
  <si>
    <t>MW417R000502-AYCA-4UMUPA-2KEL-07-21 Fairway Dr, Kellyville</t>
  </si>
  <si>
    <t>MW417R000454 -AYCA-4V7F3M -  2LAK-22 - 23 Willeroo St, Lakemba</t>
  </si>
  <si>
    <t>on hold</t>
  </si>
  <si>
    <t>Burwood Council</t>
  </si>
  <si>
    <t>MW417R000529-AYCA-5ALZB0-2BLK-07-6 Woods Cl Huntingwood</t>
  </si>
  <si>
    <t>Invoice and Artefacts sent on the 3/7/32, rec RFQ, signed and sent back 6/7/18.. Rec CSPO 9/7, 10/7 Sonya to submit Payment Claim</t>
  </si>
  <si>
    <t>Invoice and Artefacts sent on the 3/7/32, rec RFQ, signed and sent back 4/7/18.. Rec CSPO 9/7, 10/7 Sonya to submit Payment Claim</t>
  </si>
  <si>
    <t>MW21979</t>
  </si>
  <si>
    <t>MW21977</t>
  </si>
  <si>
    <t>2RIV-03 - South Street, Schofield NSW - Held Orders x 4_RFQ</t>
  </si>
  <si>
    <t>MW417R000577-2KTB-03-INC000007929584-127 Craigend St, Leura</t>
  </si>
  <si>
    <t>Invoice and Artefacts sent on the 5/7/32, rec RFQ, signed and sent back 6/7/18, Rec CSPO 10/7/18, 11/7 Sonya Submit</t>
  </si>
  <si>
    <t>MW417R000587 - INC0000082632412KTB-01 - 24 NELSON RD, KATOOMBA</t>
  </si>
  <si>
    <t>Invoice and Artefacts sent on the 9/7/32, rec RFQ, signed and sent back 10/7/18</t>
  </si>
  <si>
    <t>Invoice and Artefacts sent on the 3/7/32, rec RFQ, signed and sent back 6/7/18, Rec CSPO 10/7/18, 11/7 Sonya Submit</t>
  </si>
  <si>
    <r>
      <t xml:space="preserve">Invoice and Artefacts sent on the 3/7/32, rec RFQ, signed and sent back 7/7/18, </t>
    </r>
    <r>
      <rPr>
        <sz val="11"/>
        <color rgb="FFFF0000"/>
        <rFont val="Arial Narrow"/>
        <family val="2"/>
      </rPr>
      <t>Rec CSPO 10/7/18, 11/7 Sonya Submit</t>
    </r>
  </si>
  <si>
    <t>Invoice and Artefacts sent on the 3/7/32, rec RFQ, signed and sent back 4/7/18, Rec CSPO 10/7/18, 11/7 Sonya Submit</t>
  </si>
  <si>
    <t>Invoice and Artefacts sent on the 3/7/32, rec RFQ, signed and sent back 5/7/18, Rec CSPO 10/7/18, 11/7 Sonya Submit</t>
  </si>
  <si>
    <t xml:space="preserve">MW417R000595 - 2PTM-09 - AYCA-4OQ160 - 3 Ocean Ridge Terrace, Port Macquarie </t>
  </si>
  <si>
    <t>AusGrid</t>
  </si>
  <si>
    <t>Inv 66128</t>
  </si>
  <si>
    <t>Inv 893 897 917</t>
  </si>
  <si>
    <t>Inv 1721</t>
  </si>
  <si>
    <t>Inv 571</t>
  </si>
  <si>
    <t>2SPW-28, Validation and GIS services</t>
  </si>
  <si>
    <t>Waiting Approval</t>
  </si>
  <si>
    <t>Payemnet Schedule Received</t>
  </si>
  <si>
    <t>Forwarded Invoice to NBN Assurance team 24/4/18, Submited signed MW 6/6/18, Rec CSPO 10/7/18, 12/7 Sonya Submit</t>
  </si>
  <si>
    <t>Invoice and Artefacts sent on the 3/7/32, rec RFQ, signed and sent back 4/7/18, Rec CSPO 10/7/18, 12/7 Sonya Submit</t>
  </si>
  <si>
    <t>MW417R000529-AYCA-5ALZB0-2BLK-07-6 Woods Cl Huntingwood  Int</t>
  </si>
  <si>
    <t>MW417R000223 - AYCA-5ALZB0 - 2BLK-07 - 6 Woods CL, Huntingwood  Ext</t>
  </si>
  <si>
    <t>Inv 13845</t>
  </si>
  <si>
    <t>Inv 13846</t>
  </si>
  <si>
    <t>Inv 13844</t>
  </si>
  <si>
    <t>Payment Date 10/07/18</t>
  </si>
  <si>
    <t>Payment Date 10/7/18</t>
  </si>
  <si>
    <t>Inv 13849</t>
  </si>
  <si>
    <t>Inv 13848</t>
  </si>
  <si>
    <t>Payemnt Date 10/7/18</t>
  </si>
  <si>
    <t>Actual Project Completed for the Month</t>
  </si>
  <si>
    <t xml:space="preserve">Completion vs Customer required date MW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</si>
</sst>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6" formatCode="&quot;$&quot;#,##0;[Red]\-&quot;$&quot;#,##0"/>
    <numFmt numFmtId="8" formatCode="&quot;$&quot;#,##0.00;[Red]\-&quot;$&quot;#,##0.00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%"/>
    <numFmt numFmtId="165" formatCode="&quot;$&quot;#,##0.00"/>
    <numFmt numFmtId="166" formatCode="&quot;$&quot;#,##0.00;[Red]\(&quot;$&quot;#,##0.00\)"/>
    <numFmt numFmtId="167" formatCode="[$$-809]#,##0.00;\-[$$-809]#,##0.00"/>
    <numFmt numFmtId="168" formatCode="_(* #,##0.00_);_(* \(#,##0.00\);_(* &quot;-&quot;??_);_(@_)"/>
    <numFmt numFmtId="169" formatCode="&quot;$&quot;#,##0.00;[Red]&quot;$&quot;#,##0.00"/>
    <numFmt numFmtId="170" formatCode="[$-F400]h:mm:ss\ AM/PM"/>
    <numFmt numFmtId="171" formatCode="m/d/yy;@"/>
    <numFmt numFmtId="172" formatCode="[$-409]h:mm\ AM/PM;@"/>
  </numFmts>
  <fonts count="5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theme="1"/>
      <name val="Arial Narrow"/>
      <family val="2"/>
    </font>
    <font>
      <b/>
      <sz val="11"/>
      <name val="Arial Narrow"/>
      <family val="2"/>
    </font>
    <font>
      <sz val="11"/>
      <name val="Arial Narrow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Tahoma"/>
      <family val="2"/>
    </font>
    <font>
      <sz val="11"/>
      <color rgb="FF000000"/>
      <name val="Calibri"/>
      <family val="2"/>
      <scheme val="minor"/>
    </font>
    <font>
      <sz val="9"/>
      <name val="Arial"/>
      <family val="2"/>
    </font>
    <font>
      <sz val="10"/>
      <name val="Verdana"/>
      <family val="2"/>
    </font>
    <font>
      <sz val="11"/>
      <color rgb="FFFF0000"/>
      <name val="Arial Narrow"/>
      <family val="2"/>
    </font>
    <font>
      <b/>
      <sz val="11"/>
      <color theme="1"/>
      <name val="Arial Narrow"/>
      <family val="2"/>
    </font>
    <font>
      <sz val="11"/>
      <color rgb="FFFF66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</font>
    <font>
      <sz val="11"/>
      <color rgb="FF002060"/>
      <name val="Arial Narrow"/>
      <family val="2"/>
    </font>
    <font>
      <sz val="11"/>
      <color rgb="FF00B0F0"/>
      <name val="Arial Narrow"/>
      <family val="2"/>
    </font>
    <font>
      <b/>
      <i/>
      <sz val="11"/>
      <name val="Arial Narrow"/>
      <family val="2"/>
    </font>
    <font>
      <b/>
      <sz val="13"/>
      <color theme="3"/>
      <name val="Calibri"/>
      <family val="2"/>
      <scheme val="minor"/>
    </font>
    <font>
      <sz val="16"/>
      <name val="Calibri Light"/>
      <family val="2"/>
      <scheme val="major"/>
    </font>
    <font>
      <sz val="11"/>
      <color rgb="FF0070C0"/>
      <name val="Calibri"/>
      <family val="2"/>
      <scheme val="minor"/>
    </font>
    <font>
      <sz val="11"/>
      <color rgb="FFFF3300"/>
      <name val="Arial Narrow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56"/>
      <name val="Calibri"/>
      <family val="2"/>
    </font>
    <font>
      <sz val="9"/>
      <name val="Helv"/>
    </font>
    <font>
      <sz val="12"/>
      <name val="바탕체"/>
      <family val="1"/>
      <charset val="255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9"/>
      <color indexed="8"/>
      <name val="Tahoma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b/>
      <sz val="11"/>
      <color rgb="FFFF0000"/>
      <name val="Arial Narrow"/>
      <family val="2"/>
    </font>
    <font>
      <sz val="11"/>
      <color rgb="FF00B050"/>
      <name val="Arial Narrow"/>
      <family val="2"/>
    </font>
    <font>
      <b/>
      <sz val="11"/>
      <color rgb="FF00B0F0"/>
      <name val="Arial Narrow"/>
      <family val="2"/>
    </font>
    <font>
      <b/>
      <i/>
      <sz val="11"/>
      <color theme="1"/>
      <name val="Arial Narrow"/>
      <family val="2"/>
    </font>
    <font>
      <sz val="11"/>
      <color rgb="FF0070C0"/>
      <name val="Arial Narrow"/>
      <family val="2"/>
    </font>
  </fonts>
  <fills count="4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theme="1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theme="6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thin">
        <color theme="4"/>
      </top>
      <bottom style="medium">
        <color theme="2" tint="-0.499984740745262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541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8" fillId="0" borderId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168" fontId="6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31" applyNumberFormat="0" applyFill="0" applyAlignment="0" applyProtection="0"/>
    <xf numFmtId="44" fontId="1" fillId="0" borderId="0" applyFont="0" applyFill="0" applyBorder="0" applyAlignment="0" applyProtection="0"/>
    <xf numFmtId="0" fontId="30" fillId="0" borderId="0"/>
    <xf numFmtId="0" fontId="1" fillId="0" borderId="0"/>
    <xf numFmtId="44" fontId="1" fillId="0" borderId="0" applyFont="0" applyFill="0" applyBorder="0" applyAlignment="0" applyProtection="0"/>
    <xf numFmtId="0" fontId="6" fillId="0" borderId="0"/>
    <xf numFmtId="0" fontId="6" fillId="0" borderId="0"/>
    <xf numFmtId="0" fontId="31" fillId="20" borderId="35" applyNumberFormat="0" applyAlignment="0" applyProtection="0"/>
    <xf numFmtId="0" fontId="1" fillId="0" borderId="0"/>
    <xf numFmtId="0" fontId="1" fillId="0" borderId="0"/>
    <xf numFmtId="0" fontId="6" fillId="0" borderId="0"/>
    <xf numFmtId="0" fontId="6" fillId="0" borderId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/>
    <xf numFmtId="0" fontId="37" fillId="0" borderId="0" applyNumberFormat="0" applyFill="0" applyBorder="0" applyAlignment="0" applyProtection="0"/>
    <xf numFmtId="0" fontId="38" fillId="0" borderId="0"/>
    <xf numFmtId="0" fontId="38" fillId="0" borderId="0"/>
    <xf numFmtId="0" fontId="6" fillId="0" borderId="0"/>
    <xf numFmtId="0" fontId="6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4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9" fillId="34" borderId="0" applyNumberFormat="0" applyBorder="0" applyAlignment="0" applyProtection="0"/>
    <xf numFmtId="0" fontId="39" fillId="34" borderId="0" applyNumberFormat="0" applyBorder="0" applyAlignment="0" applyProtection="0"/>
    <xf numFmtId="0" fontId="39" fillId="34" borderId="0" applyNumberFormat="0" applyBorder="0" applyAlignment="0" applyProtection="0"/>
    <xf numFmtId="0" fontId="39" fillId="34" borderId="0" applyNumberFormat="0" applyBorder="0" applyAlignment="0" applyProtection="0"/>
    <xf numFmtId="0" fontId="39" fillId="34" borderId="0" applyNumberFormat="0" applyBorder="0" applyAlignment="0" applyProtection="0"/>
    <xf numFmtId="0" fontId="39" fillId="34" borderId="0" applyNumberFormat="0" applyBorder="0" applyAlignment="0" applyProtection="0"/>
    <xf numFmtId="0" fontId="39" fillId="31" borderId="0" applyNumberFormat="0" applyBorder="0" applyAlignment="0" applyProtection="0"/>
    <xf numFmtId="0" fontId="39" fillId="31" borderId="0" applyNumberFormat="0" applyBorder="0" applyAlignment="0" applyProtection="0"/>
    <xf numFmtId="0" fontId="39" fillId="31" borderId="0" applyNumberFormat="0" applyBorder="0" applyAlignment="0" applyProtection="0"/>
    <xf numFmtId="0" fontId="39" fillId="31" borderId="0" applyNumberFormat="0" applyBorder="0" applyAlignment="0" applyProtection="0"/>
    <xf numFmtId="0" fontId="39" fillId="31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2" borderId="0" applyNumberFormat="0" applyBorder="0" applyAlignment="0" applyProtection="0"/>
    <xf numFmtId="0" fontId="39" fillId="32" borderId="0" applyNumberFormat="0" applyBorder="0" applyAlignment="0" applyProtection="0"/>
    <xf numFmtId="0" fontId="39" fillId="32" borderId="0" applyNumberFormat="0" applyBorder="0" applyAlignment="0" applyProtection="0"/>
    <xf numFmtId="0" fontId="39" fillId="32" borderId="0" applyNumberFormat="0" applyBorder="0" applyAlignment="0" applyProtection="0"/>
    <xf numFmtId="0" fontId="39" fillId="32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6" borderId="0" applyNumberFormat="0" applyBorder="0" applyAlignment="0" applyProtection="0"/>
    <xf numFmtId="0" fontId="39" fillId="36" borderId="0" applyNumberFormat="0" applyBorder="0" applyAlignment="0" applyProtection="0"/>
    <xf numFmtId="0" fontId="39" fillId="36" borderId="0" applyNumberFormat="0" applyBorder="0" applyAlignment="0" applyProtection="0"/>
    <xf numFmtId="0" fontId="39" fillId="36" borderId="0" applyNumberFormat="0" applyBorder="0" applyAlignment="0" applyProtection="0"/>
    <xf numFmtId="0" fontId="39" fillId="36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7" fillId="0" borderId="0" applyNumberFormat="0" applyFill="0" applyBorder="0" applyAlignment="0" applyProtection="0"/>
    <xf numFmtId="0" fontId="39" fillId="38" borderId="0" applyNumberFormat="0" applyBorder="0" applyAlignment="0" applyProtection="0"/>
    <xf numFmtId="0" fontId="39" fillId="38" borderId="0" applyNumberFormat="0" applyBorder="0" applyAlignment="0" applyProtection="0"/>
    <xf numFmtId="0" fontId="39" fillId="38" borderId="0" applyNumberFormat="0" applyBorder="0" applyAlignment="0" applyProtection="0"/>
    <xf numFmtId="0" fontId="39" fillId="38" borderId="0" applyNumberFormat="0" applyBorder="0" applyAlignment="0" applyProtection="0"/>
    <xf numFmtId="0" fontId="39" fillId="38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3" fillId="23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6" borderId="0" applyNumberFormat="0" applyBorder="0" applyAlignment="0" applyProtection="0"/>
    <xf numFmtId="0" fontId="39" fillId="36" borderId="0" applyNumberFormat="0" applyBorder="0" applyAlignment="0" applyProtection="0"/>
    <xf numFmtId="0" fontId="39" fillId="36" borderId="0" applyNumberFormat="0" applyBorder="0" applyAlignment="0" applyProtection="0"/>
    <xf numFmtId="0" fontId="39" fillId="36" borderId="0" applyNumberFormat="0" applyBorder="0" applyAlignment="0" applyProtection="0"/>
    <xf numFmtId="0" fontId="39" fillId="36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39" fillId="41" borderId="0" applyNumberFormat="0" applyBorder="0" applyAlignment="0" applyProtection="0"/>
    <xf numFmtId="0" fontId="21" fillId="21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0" fillId="25" borderId="0" applyNumberFormat="0" applyBorder="0" applyAlignment="0" applyProtection="0"/>
    <xf numFmtId="0" fontId="41" fillId="20" borderId="37" applyNumberFormat="0" applyAlignment="0" applyProtection="0"/>
    <xf numFmtId="0" fontId="41" fillId="20" borderId="37" applyNumberFormat="0" applyAlignment="0" applyProtection="0"/>
    <xf numFmtId="0" fontId="41" fillId="20" borderId="37" applyNumberFormat="0" applyAlignment="0" applyProtection="0"/>
    <xf numFmtId="0" fontId="41" fillId="20" borderId="37" applyNumberFormat="0" applyAlignment="0" applyProtection="0"/>
    <xf numFmtId="0" fontId="41" fillId="20" borderId="37" applyNumberFormat="0" applyAlignment="0" applyProtection="0"/>
    <xf numFmtId="0" fontId="41" fillId="20" borderId="37" applyNumberFormat="0" applyAlignment="0" applyProtection="0"/>
    <xf numFmtId="0" fontId="42" fillId="42" borderId="38" applyNumberFormat="0" applyAlignment="0" applyProtection="0"/>
    <xf numFmtId="0" fontId="42" fillId="42" borderId="38" applyNumberFormat="0" applyAlignment="0" applyProtection="0"/>
    <xf numFmtId="0" fontId="42" fillId="42" borderId="38" applyNumberFormat="0" applyAlignment="0" applyProtection="0"/>
    <xf numFmtId="0" fontId="42" fillId="42" borderId="38" applyNumberFormat="0" applyAlignment="0" applyProtection="0"/>
    <xf numFmtId="0" fontId="42" fillId="42" borderId="38" applyNumberFormat="0" applyAlignment="0" applyProtection="0"/>
    <xf numFmtId="0" fontId="42" fillId="42" borderId="38" applyNumberFormat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2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26" borderId="0" applyNumberFormat="0" applyBorder="0" applyAlignment="0" applyProtection="0"/>
    <xf numFmtId="0" fontId="44" fillId="26" borderId="0" applyNumberFormat="0" applyBorder="0" applyAlignment="0" applyProtection="0"/>
    <xf numFmtId="0" fontId="44" fillId="26" borderId="0" applyNumberFormat="0" applyBorder="0" applyAlignment="0" applyProtection="0"/>
    <xf numFmtId="0" fontId="44" fillId="26" borderId="0" applyNumberFormat="0" applyBorder="0" applyAlignment="0" applyProtection="0"/>
    <xf numFmtId="0" fontId="44" fillId="26" borderId="0" applyNumberFormat="0" applyBorder="0" applyAlignment="0" applyProtection="0"/>
    <xf numFmtId="0" fontId="44" fillId="26" borderId="0" applyNumberFormat="0" applyBorder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5" fillId="0" borderId="39" applyNumberFormat="0" applyFill="0" applyAlignment="0" applyProtection="0"/>
    <xf numFmtId="0" fontId="46" fillId="0" borderId="40" applyNumberFormat="0" applyFill="0" applyAlignment="0" applyProtection="0"/>
    <xf numFmtId="0" fontId="46" fillId="0" borderId="40" applyNumberFormat="0" applyFill="0" applyAlignment="0" applyProtection="0"/>
    <xf numFmtId="0" fontId="46" fillId="0" borderId="40" applyNumberFormat="0" applyFill="0" applyAlignment="0" applyProtection="0"/>
    <xf numFmtId="0" fontId="46" fillId="0" borderId="40" applyNumberFormat="0" applyFill="0" applyAlignment="0" applyProtection="0"/>
    <xf numFmtId="0" fontId="46" fillId="0" borderId="40" applyNumberFormat="0" applyFill="0" applyAlignment="0" applyProtection="0"/>
    <xf numFmtId="0" fontId="46" fillId="0" borderId="40" applyNumberFormat="0" applyFill="0" applyAlignment="0" applyProtection="0"/>
    <xf numFmtId="0" fontId="36" fillId="0" borderId="41" applyNumberFormat="0" applyFill="0" applyAlignment="0" applyProtection="0"/>
    <xf numFmtId="0" fontId="36" fillId="0" borderId="41" applyNumberFormat="0" applyFill="0" applyAlignment="0" applyProtection="0"/>
    <xf numFmtId="0" fontId="36" fillId="0" borderId="41" applyNumberFormat="0" applyFill="0" applyAlignment="0" applyProtection="0"/>
    <xf numFmtId="0" fontId="36" fillId="0" borderId="41" applyNumberFormat="0" applyFill="0" applyAlignment="0" applyProtection="0"/>
    <xf numFmtId="0" fontId="36" fillId="0" borderId="41" applyNumberFormat="0" applyFill="0" applyAlignment="0" applyProtection="0"/>
    <xf numFmtId="0" fontId="36" fillId="0" borderId="41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8" fillId="29" borderId="37" applyNumberFormat="0" applyAlignment="0" applyProtection="0"/>
    <xf numFmtId="0" fontId="48" fillId="29" borderId="37" applyNumberFormat="0" applyAlignment="0" applyProtection="0"/>
    <xf numFmtId="0" fontId="48" fillId="29" borderId="37" applyNumberFormat="0" applyAlignment="0" applyProtection="0"/>
    <xf numFmtId="0" fontId="48" fillId="29" borderId="37" applyNumberFormat="0" applyAlignment="0" applyProtection="0"/>
    <xf numFmtId="0" fontId="48" fillId="29" borderId="37" applyNumberFormat="0" applyAlignment="0" applyProtection="0"/>
    <xf numFmtId="0" fontId="48" fillId="29" borderId="37" applyNumberFormat="0" applyAlignment="0" applyProtection="0"/>
    <xf numFmtId="0" fontId="32" fillId="22" borderId="36" applyNumberFormat="0" applyAlignment="0" applyProtection="0"/>
    <xf numFmtId="0" fontId="49" fillId="0" borderId="42" applyNumberFormat="0" applyFill="0" applyAlignment="0" applyProtection="0"/>
    <xf numFmtId="0" fontId="49" fillId="0" borderId="42" applyNumberFormat="0" applyFill="0" applyAlignment="0" applyProtection="0"/>
    <xf numFmtId="0" fontId="49" fillId="0" borderId="42" applyNumberFormat="0" applyFill="0" applyAlignment="0" applyProtection="0"/>
    <xf numFmtId="0" fontId="49" fillId="0" borderId="42" applyNumberFormat="0" applyFill="0" applyAlignment="0" applyProtection="0"/>
    <xf numFmtId="0" fontId="49" fillId="0" borderId="42" applyNumberFormat="0" applyFill="0" applyAlignment="0" applyProtection="0"/>
    <xf numFmtId="0" fontId="49" fillId="0" borderId="42" applyNumberFormat="0" applyFill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50" fillId="43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44" borderId="43" applyNumberFormat="0" applyFont="0" applyAlignment="0" applyProtection="0"/>
    <xf numFmtId="0" fontId="6" fillId="44" borderId="43" applyNumberFormat="0" applyFont="0" applyAlignment="0" applyProtection="0"/>
    <xf numFmtId="0" fontId="6" fillId="44" borderId="43" applyNumberFormat="0" applyFont="0" applyAlignment="0" applyProtection="0"/>
    <xf numFmtId="0" fontId="6" fillId="44" borderId="43" applyNumberFormat="0" applyFont="0" applyAlignment="0" applyProtection="0"/>
    <xf numFmtId="0" fontId="6" fillId="44" borderId="43" applyNumberFormat="0" applyFont="0" applyAlignment="0" applyProtection="0"/>
    <xf numFmtId="0" fontId="6" fillId="44" borderId="43" applyNumberFormat="0" applyFont="0" applyAlignment="0" applyProtection="0"/>
    <xf numFmtId="0" fontId="6" fillId="44" borderId="43" applyNumberFormat="0" applyFont="0" applyAlignment="0" applyProtection="0"/>
    <xf numFmtId="0" fontId="6" fillId="44" borderId="43" applyNumberFormat="0" applyFont="0" applyAlignment="0" applyProtection="0"/>
    <xf numFmtId="0" fontId="6" fillId="44" borderId="43" applyNumberFormat="0" applyFont="0" applyAlignment="0" applyProtection="0"/>
    <xf numFmtId="0" fontId="6" fillId="44" borderId="43" applyNumberFormat="0" applyFont="0" applyAlignment="0" applyProtection="0"/>
    <xf numFmtId="0" fontId="6" fillId="44" borderId="43" applyNumberFormat="0" applyFont="0" applyAlignment="0" applyProtection="0"/>
    <xf numFmtId="0" fontId="6" fillId="44" borderId="43" applyNumberFormat="0" applyFont="0" applyAlignment="0" applyProtection="0"/>
    <xf numFmtId="0" fontId="51" fillId="45" borderId="43">
      <alignment vertical="center"/>
    </xf>
    <xf numFmtId="0" fontId="31" fillId="20" borderId="35" applyNumberFormat="0" applyAlignment="0" applyProtection="0"/>
    <xf numFmtId="0" fontId="31" fillId="20" borderId="35" applyNumberFormat="0" applyAlignment="0" applyProtection="0"/>
    <xf numFmtId="0" fontId="31" fillId="20" borderId="35" applyNumberFormat="0" applyAlignment="0" applyProtection="0"/>
    <xf numFmtId="0" fontId="31" fillId="20" borderId="35" applyNumberFormat="0" applyAlignment="0" applyProtection="0"/>
    <xf numFmtId="0" fontId="31" fillId="20" borderId="35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5" fillId="0" borderId="44" applyNumberFormat="0" applyFill="0" applyAlignment="0" applyProtection="0"/>
    <xf numFmtId="0" fontId="35" fillId="0" borderId="44" applyNumberFormat="0" applyFill="0" applyAlignment="0" applyProtection="0"/>
    <xf numFmtId="0" fontId="35" fillId="0" borderId="44" applyNumberFormat="0" applyFill="0" applyAlignment="0" applyProtection="0"/>
    <xf numFmtId="0" fontId="35" fillId="0" borderId="44" applyNumberFormat="0" applyFill="0" applyAlignment="0" applyProtection="0"/>
    <xf numFmtId="0" fontId="35" fillId="0" borderId="44" applyNumberFormat="0" applyFill="0" applyAlignment="0" applyProtection="0"/>
    <xf numFmtId="0" fontId="35" fillId="0" borderId="44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43" fontId="34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49">
    <xf numFmtId="0" fontId="0" fillId="0" borderId="0" xfId="0"/>
    <xf numFmtId="0" fontId="0" fillId="0" borderId="0" xfId="0" applyBorder="1"/>
    <xf numFmtId="44" fontId="0" fillId="0" borderId="0" xfId="1" applyFont="1"/>
    <xf numFmtId="9" fontId="0" fillId="0" borderId="0" xfId="2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14" fontId="3" fillId="0" borderId="1" xfId="0" applyNumberFormat="1" applyFont="1" applyFill="1" applyBorder="1" applyAlignment="1">
      <alignment horizontal="center"/>
    </xf>
    <xf numFmtId="14" fontId="0" fillId="0" borderId="1" xfId="0" applyNumberFormat="1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8" fontId="0" fillId="0" borderId="1" xfId="0" applyNumberFormat="1" applyBorder="1" applyAlignment="1">
      <alignment horizontal="center"/>
    </xf>
    <xf numFmtId="8" fontId="7" fillId="0" borderId="1" xfId="0" applyNumberFormat="1" applyFont="1" applyBorder="1" applyAlignment="1">
      <alignment horizontal="center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44" fontId="0" fillId="0" borderId="0" xfId="0" applyNumberFormat="1"/>
    <xf numFmtId="44" fontId="3" fillId="0" borderId="4" xfId="1" applyFont="1" applyBorder="1"/>
    <xf numFmtId="0" fontId="2" fillId="4" borderId="0" xfId="0" applyFont="1" applyFill="1"/>
    <xf numFmtId="0" fontId="0" fillId="0" borderId="0" xfId="0" applyAlignment="1">
      <alignment horizontal="left" indent="2"/>
    </xf>
    <xf numFmtId="17" fontId="0" fillId="8" borderId="1" xfId="0" applyNumberFormat="1" applyFill="1" applyBorder="1" applyAlignment="1">
      <alignment horizontal="center"/>
    </xf>
    <xf numFmtId="9" fontId="0" fillId="0" borderId="1" xfId="0" applyNumberFormat="1" applyBorder="1"/>
    <xf numFmtId="16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  <xf numFmtId="165" fontId="0" fillId="0" borderId="0" xfId="0" applyNumberFormat="1"/>
    <xf numFmtId="0" fontId="10" fillId="3" borderId="6" xfId="3" applyFont="1" applyFill="1" applyBorder="1" applyAlignment="1">
      <alignment horizontal="center" wrapText="1"/>
    </xf>
    <xf numFmtId="0" fontId="10" fillId="3" borderId="5" xfId="3" applyFont="1" applyFill="1" applyBorder="1" applyAlignment="1">
      <alignment horizontal="center" wrapText="1"/>
    </xf>
    <xf numFmtId="17" fontId="2" fillId="2" borderId="0" xfId="0" applyNumberFormat="1" applyFont="1" applyFill="1" applyAlignment="1">
      <alignment horizontal="left" vertical="center" wrapText="1"/>
    </xf>
    <xf numFmtId="17" fontId="2" fillId="0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165" fontId="2" fillId="10" borderId="0" xfId="0" applyNumberFormat="1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/>
    </xf>
    <xf numFmtId="17" fontId="2" fillId="10" borderId="0" xfId="0" applyNumberFormat="1" applyFont="1" applyFill="1" applyAlignment="1">
      <alignment horizontal="center" vertical="center" wrapText="1"/>
    </xf>
    <xf numFmtId="17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0" fontId="0" fillId="0" borderId="0" xfId="0" applyFill="1"/>
    <xf numFmtId="165" fontId="0" fillId="0" borderId="0" xfId="0" applyNumberFormat="1" applyFill="1" applyAlignment="1">
      <alignment horizontal="center"/>
    </xf>
    <xf numFmtId="165" fontId="0" fillId="0" borderId="0" xfId="2" applyNumberFormat="1" applyFont="1" applyAlignment="1">
      <alignment horizontal="center"/>
    </xf>
    <xf numFmtId="9" fontId="0" fillId="0" borderId="0" xfId="2" applyFont="1" applyAlignment="1">
      <alignment horizontal="center"/>
    </xf>
    <xf numFmtId="0" fontId="0" fillId="4" borderId="0" xfId="0" applyFill="1"/>
    <xf numFmtId="2" fontId="0" fillId="0" borderId="0" xfId="0" applyNumberFormat="1" applyFill="1" applyAlignment="1">
      <alignment horizontal="left"/>
    </xf>
    <xf numFmtId="14" fontId="0" fillId="0" borderId="0" xfId="0" applyNumberForma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9" xfId="0" applyFill="1" applyBorder="1"/>
    <xf numFmtId="0" fontId="0" fillId="0" borderId="9" xfId="0" applyFill="1" applyBorder="1" applyAlignment="1">
      <alignment horizontal="center"/>
    </xf>
    <xf numFmtId="14" fontId="0" fillId="0" borderId="9" xfId="0" applyNumberFormat="1" applyFill="1" applyBorder="1" applyAlignment="1">
      <alignment horizontal="center"/>
    </xf>
    <xf numFmtId="165" fontId="0" fillId="0" borderId="9" xfId="0" applyNumberFormat="1" applyFill="1" applyBorder="1" applyAlignment="1">
      <alignment horizontal="center"/>
    </xf>
    <xf numFmtId="165" fontId="0" fillId="0" borderId="9" xfId="2" applyNumberFormat="1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left"/>
    </xf>
    <xf numFmtId="0" fontId="0" fillId="0" borderId="11" xfId="0" applyFill="1" applyBorder="1"/>
    <xf numFmtId="0" fontId="0" fillId="0" borderId="11" xfId="0" applyFill="1" applyBorder="1" applyAlignment="1">
      <alignment horizontal="center"/>
    </xf>
    <xf numFmtId="165" fontId="0" fillId="0" borderId="11" xfId="0" applyNumberFormat="1" applyFill="1" applyBorder="1" applyAlignment="1">
      <alignment horizontal="center"/>
    </xf>
    <xf numFmtId="9" fontId="0" fillId="0" borderId="11" xfId="2" applyFont="1" applyBorder="1" applyAlignment="1">
      <alignment horizontal="center"/>
    </xf>
    <xf numFmtId="14" fontId="0" fillId="0" borderId="11" xfId="0" applyNumberFormat="1" applyFill="1" applyBorder="1" applyAlignment="1">
      <alignment horizontal="center"/>
    </xf>
    <xf numFmtId="8" fontId="0" fillId="0" borderId="9" xfId="0" applyNumberFormat="1" applyFill="1" applyBorder="1" applyAlignment="1">
      <alignment horizontal="center"/>
    </xf>
    <xf numFmtId="2" fontId="0" fillId="0" borderId="9" xfId="0" applyNumberFormat="1" applyFill="1" applyBorder="1" applyAlignment="1">
      <alignment horizontal="left"/>
    </xf>
    <xf numFmtId="165" fontId="0" fillId="0" borderId="0" xfId="0" applyNumberFormat="1" applyAlignment="1">
      <alignment horizontal="center"/>
    </xf>
    <xf numFmtId="0" fontId="0" fillId="0" borderId="0" xfId="0" applyFill="1" applyBorder="1"/>
    <xf numFmtId="2" fontId="0" fillId="0" borderId="0" xfId="0" applyNumberFormat="1" applyFill="1" applyBorder="1" applyAlignment="1">
      <alignment horizontal="left"/>
    </xf>
    <xf numFmtId="165" fontId="0" fillId="0" borderId="0" xfId="0" applyNumberFormat="1" applyFill="1" applyBorder="1" applyAlignment="1">
      <alignment horizontal="center"/>
    </xf>
    <xf numFmtId="165" fontId="0" fillId="0" borderId="0" xfId="2" applyNumberFormat="1" applyFont="1" applyBorder="1" applyAlignment="1">
      <alignment horizontal="center"/>
    </xf>
    <xf numFmtId="9" fontId="0" fillId="0" borderId="0" xfId="2" applyFont="1" applyBorder="1" applyAlignment="1">
      <alignment horizontal="center"/>
    </xf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14" fontId="0" fillId="0" borderId="10" xfId="0" applyNumberFormat="1" applyFill="1" applyBorder="1" applyAlignment="1">
      <alignment horizontal="center"/>
    </xf>
    <xf numFmtId="2" fontId="12" fillId="0" borderId="10" xfId="0" applyNumberFormat="1" applyFont="1" applyFill="1" applyBorder="1" applyAlignment="1">
      <alignment horizontal="left"/>
    </xf>
    <xf numFmtId="165" fontId="0" fillId="0" borderId="10" xfId="0" applyNumberFormat="1" applyFill="1" applyBorder="1" applyAlignment="1">
      <alignment horizontal="center"/>
    </xf>
    <xf numFmtId="165" fontId="0" fillId="0" borderId="10" xfId="2" applyNumberFormat="1" applyFont="1" applyBorder="1" applyAlignment="1">
      <alignment horizontal="center"/>
    </xf>
    <xf numFmtId="9" fontId="0" fillId="0" borderId="10" xfId="2" applyFont="1" applyBorder="1" applyAlignment="1">
      <alignment horizontal="center"/>
    </xf>
    <xf numFmtId="2" fontId="3" fillId="0" borderId="0" xfId="0" applyNumberFormat="1" applyFont="1" applyFill="1" applyBorder="1" applyAlignment="1">
      <alignment horizontal="left"/>
    </xf>
    <xf numFmtId="165" fontId="3" fillId="0" borderId="0" xfId="0" applyNumberFormat="1" applyFont="1" applyFill="1" applyBorder="1" applyAlignment="1">
      <alignment horizontal="center"/>
    </xf>
    <xf numFmtId="165" fontId="0" fillId="0" borderId="0" xfId="0" applyNumberFormat="1" applyFill="1" applyAlignment="1">
      <alignment horizontal="left"/>
    </xf>
    <xf numFmtId="165" fontId="2" fillId="4" borderId="0" xfId="1" applyNumberFormat="1" applyFont="1" applyFill="1" applyAlignment="1">
      <alignment horizontal="center"/>
    </xf>
    <xf numFmtId="8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8" fontId="0" fillId="0" borderId="0" xfId="0" applyNumberFormat="1" applyFill="1" applyAlignment="1">
      <alignment horizontal="center"/>
    </xf>
    <xf numFmtId="14" fontId="0" fillId="0" borderId="0" xfId="0" applyNumberFormat="1" applyFill="1"/>
    <xf numFmtId="0" fontId="2" fillId="0" borderId="0" xfId="0" applyFont="1" applyFill="1"/>
    <xf numFmtId="8" fontId="2" fillId="0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165" fontId="0" fillId="0" borderId="0" xfId="0" applyNumberFormat="1" applyFont="1" applyFill="1" applyAlignment="1">
      <alignment horizontal="center"/>
    </xf>
    <xf numFmtId="8" fontId="3" fillId="0" borderId="0" xfId="0" applyNumberFormat="1" applyFont="1" applyFill="1" applyAlignment="1">
      <alignment horizontal="center"/>
    </xf>
    <xf numFmtId="14" fontId="3" fillId="0" borderId="0" xfId="0" applyNumberFormat="1" applyFont="1" applyFill="1" applyAlignment="1">
      <alignment horizontal="center"/>
    </xf>
    <xf numFmtId="0" fontId="3" fillId="0" borderId="0" xfId="0" applyFont="1" applyFill="1"/>
    <xf numFmtId="14" fontId="3" fillId="0" borderId="0" xfId="0" applyNumberFormat="1" applyFont="1" applyFill="1"/>
    <xf numFmtId="8" fontId="0" fillId="0" borderId="0" xfId="0" applyNumberFormat="1" applyFill="1"/>
    <xf numFmtId="0" fontId="14" fillId="0" borderId="0" xfId="0" applyFont="1" applyFill="1" applyAlignment="1">
      <alignment horizontal="center"/>
    </xf>
    <xf numFmtId="8" fontId="2" fillId="0" borderId="0" xfId="0" applyNumberFormat="1" applyFont="1" applyFill="1"/>
    <xf numFmtId="8" fontId="3" fillId="0" borderId="0" xfId="0" applyNumberFormat="1" applyFont="1" applyFill="1"/>
    <xf numFmtId="0" fontId="7" fillId="0" borderId="0" xfId="0" applyFont="1" applyFill="1" applyAlignment="1">
      <alignment horizontal="center"/>
    </xf>
    <xf numFmtId="8" fontId="7" fillId="0" borderId="0" xfId="0" applyNumberFormat="1" applyFont="1" applyFill="1" applyAlignment="1">
      <alignment horizontal="center"/>
    </xf>
    <xf numFmtId="8" fontId="7" fillId="0" borderId="0" xfId="0" applyNumberFormat="1" applyFont="1" applyFill="1"/>
    <xf numFmtId="14" fontId="7" fillId="0" borderId="0" xfId="0" applyNumberFormat="1" applyFont="1" applyFill="1"/>
    <xf numFmtId="8" fontId="13" fillId="0" borderId="0" xfId="0" applyNumberFormat="1" applyFont="1" applyFill="1" applyAlignment="1">
      <alignment horizontal="center"/>
    </xf>
    <xf numFmtId="0" fontId="15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165" fontId="0" fillId="0" borderId="0" xfId="1" applyNumberFormat="1" applyFont="1"/>
    <xf numFmtId="0" fontId="2" fillId="10" borderId="0" xfId="0" applyFont="1" applyFill="1" applyAlignment="1">
      <alignment horizontal="center" vertical="center" wrapText="1"/>
    </xf>
    <xf numFmtId="165" fontId="2" fillId="10" borderId="0" xfId="1" applyNumberFormat="1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15" fontId="0" fillId="0" borderId="0" xfId="0" applyNumberFormat="1"/>
    <xf numFmtId="165" fontId="0" fillId="0" borderId="0" xfId="0" applyNumberFormat="1" applyFill="1"/>
    <xf numFmtId="9" fontId="0" fillId="0" borderId="0" xfId="2" applyFont="1" applyFill="1" applyAlignment="1">
      <alignment horizontal="center"/>
    </xf>
    <xf numFmtId="15" fontId="0" fillId="0" borderId="0" xfId="0" applyNumberFormat="1" applyAlignment="1">
      <alignment horizontal="center"/>
    </xf>
    <xf numFmtId="165" fontId="0" fillId="0" borderId="0" xfId="1" applyNumberFormat="1" applyFont="1" applyFill="1"/>
    <xf numFmtId="0" fontId="7" fillId="0" borderId="0" xfId="0" applyFont="1" applyFill="1"/>
    <xf numFmtId="0" fontId="0" fillId="0" borderId="1" xfId="0" applyBorder="1"/>
    <xf numFmtId="44" fontId="0" fillId="0" borderId="1" xfId="1" applyFont="1" applyBorder="1"/>
    <xf numFmtId="0" fontId="2" fillId="10" borderId="1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44" fontId="1" fillId="14" borderId="1" xfId="7" applyNumberFormat="1" applyFill="1" applyBorder="1" applyAlignment="1">
      <alignment horizontal="center"/>
    </xf>
    <xf numFmtId="9" fontId="0" fillId="0" borderId="0" xfId="2" applyFont="1"/>
    <xf numFmtId="9" fontId="0" fillId="0" borderId="1" xfId="2" applyNumberFormat="1" applyFont="1" applyBorder="1"/>
    <xf numFmtId="8" fontId="0" fillId="0" borderId="0" xfId="0" applyNumberFormat="1"/>
    <xf numFmtId="14" fontId="3" fillId="0" borderId="0" xfId="0" applyNumberFormat="1" applyFont="1" applyAlignment="1">
      <alignment horizontal="center"/>
    </xf>
    <xf numFmtId="0" fontId="3" fillId="0" borderId="0" xfId="0" applyFont="1"/>
    <xf numFmtId="0" fontId="14" fillId="0" borderId="0" xfId="0" applyFont="1"/>
    <xf numFmtId="8" fontId="3" fillId="0" borderId="0" xfId="0" applyNumberFormat="1" applyFont="1"/>
    <xf numFmtId="17" fontId="0" fillId="0" borderId="0" xfId="0" applyNumberFormat="1" applyFont="1" applyFill="1" applyAlignment="1">
      <alignment horizontal="left"/>
    </xf>
    <xf numFmtId="0" fontId="3" fillId="0" borderId="0" xfId="0" applyFont="1" applyFill="1" applyAlignment="1">
      <alignment vertical="center"/>
    </xf>
    <xf numFmtId="0" fontId="3" fillId="9" borderId="0" xfId="0" applyFont="1" applyFill="1"/>
    <xf numFmtId="0" fontId="0" fillId="0" borderId="0" xfId="0" applyFont="1" applyFill="1"/>
    <xf numFmtId="0" fontId="0" fillId="0" borderId="0" xfId="0" applyFont="1"/>
    <xf numFmtId="0" fontId="7" fillId="0" borderId="0" xfId="0" applyFont="1"/>
    <xf numFmtId="14" fontId="3" fillId="9" borderId="0" xfId="0" applyNumberFormat="1" applyFont="1" applyFill="1" applyAlignment="1">
      <alignment horizontal="center"/>
    </xf>
    <xf numFmtId="14" fontId="0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wrapText="1"/>
    </xf>
    <xf numFmtId="0" fontId="17" fillId="0" borderId="0" xfId="0" applyFont="1" applyFill="1"/>
    <xf numFmtId="0" fontId="15" fillId="0" borderId="0" xfId="0" applyFont="1" applyFill="1"/>
    <xf numFmtId="8" fontId="15" fillId="0" borderId="0" xfId="0" applyNumberFormat="1" applyFont="1" applyFill="1"/>
    <xf numFmtId="0" fontId="15" fillId="0" borderId="0" xfId="0" applyFont="1"/>
    <xf numFmtId="8" fontId="15" fillId="0" borderId="0" xfId="0" applyNumberFormat="1" applyFont="1"/>
    <xf numFmtId="0" fontId="0" fillId="9" borderId="0" xfId="0" applyFont="1" applyFill="1"/>
    <xf numFmtId="14" fontId="0" fillId="0" borderId="0" xfId="0" applyNumberFormat="1" applyFont="1" applyAlignment="1">
      <alignment horizontal="center"/>
    </xf>
    <xf numFmtId="44" fontId="2" fillId="0" borderId="0" xfId="0" applyNumberFormat="1" applyFont="1" applyAlignment="1">
      <alignment wrapText="1"/>
    </xf>
    <xf numFmtId="0" fontId="2" fillId="0" borderId="4" xfId="0" applyFont="1" applyBorder="1"/>
    <xf numFmtId="0" fontId="2" fillId="0" borderId="0" xfId="0" applyFont="1" applyBorder="1"/>
    <xf numFmtId="165" fontId="0" fillId="0" borderId="7" xfId="0" applyNumberFormat="1" applyBorder="1"/>
    <xf numFmtId="44" fontId="0" fillId="0" borderId="10" xfId="0" applyNumberFormat="1" applyBorder="1"/>
    <xf numFmtId="165" fontId="0" fillId="0" borderId="10" xfId="0" applyNumberFormat="1" applyBorder="1"/>
    <xf numFmtId="0" fontId="2" fillId="8" borderId="5" xfId="0" applyFont="1" applyFill="1" applyBorder="1"/>
    <xf numFmtId="0" fontId="2" fillId="8" borderId="9" xfId="0" applyFont="1" applyFill="1" applyBorder="1"/>
    <xf numFmtId="9" fontId="0" fillId="4" borderId="15" xfId="2" applyFont="1" applyFill="1" applyBorder="1"/>
    <xf numFmtId="0" fontId="2" fillId="8" borderId="14" xfId="0" applyFont="1" applyFill="1" applyBorder="1"/>
    <xf numFmtId="49" fontId="11" fillId="0" borderId="1" xfId="5" applyNumberFormat="1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center"/>
    </xf>
    <xf numFmtId="9" fontId="0" fillId="0" borderId="0" xfId="0" applyNumberFormat="1"/>
    <xf numFmtId="0" fontId="2" fillId="10" borderId="1" xfId="0" applyFont="1" applyFill="1" applyBorder="1" applyAlignment="1">
      <alignment horizontal="center" wrapText="1"/>
    </xf>
    <xf numFmtId="0" fontId="2" fillId="14" borderId="1" xfId="0" applyFont="1" applyFill="1" applyBorder="1" applyAlignment="1">
      <alignment horizontal="center" wrapText="1"/>
    </xf>
    <xf numFmtId="44" fontId="0" fillId="0" borderId="0" xfId="0" applyNumberFormat="1" applyFill="1"/>
    <xf numFmtId="0" fontId="3" fillId="0" borderId="0" xfId="0" applyFont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165" fontId="0" fillId="0" borderId="4" xfId="0" applyNumberFormat="1" applyBorder="1"/>
    <xf numFmtId="165" fontId="2" fillId="4" borderId="0" xfId="0" applyNumberFormat="1" applyFont="1" applyFill="1"/>
    <xf numFmtId="165" fontId="2" fillId="4" borderId="0" xfId="0" applyNumberFormat="1" applyFont="1" applyFill="1" applyAlignment="1">
      <alignment horizontal="center"/>
    </xf>
    <xf numFmtId="167" fontId="16" fillId="0" borderId="0" xfId="0" applyNumberFormat="1" applyFont="1" applyFill="1" applyBorder="1" applyAlignment="1" applyProtection="1">
      <alignment vertical="center"/>
    </xf>
    <xf numFmtId="167" fontId="16" fillId="0" borderId="0" xfId="0" applyNumberFormat="1" applyFont="1" applyFill="1" applyBorder="1" applyAlignment="1" applyProtection="1">
      <alignment vertical="center" wrapText="1"/>
    </xf>
    <xf numFmtId="165" fontId="7" fillId="0" borderId="0" xfId="0" applyNumberFormat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left"/>
    </xf>
    <xf numFmtId="14" fontId="0" fillId="2" borderId="0" xfId="0" applyNumberFormat="1" applyFill="1"/>
    <xf numFmtId="9" fontId="2" fillId="2" borderId="0" xfId="0" applyNumberFormat="1" applyFont="1" applyFill="1" applyAlignment="1">
      <alignment horizontal="center"/>
    </xf>
    <xf numFmtId="0" fontId="0" fillId="0" borderId="0" xfId="0"/>
    <xf numFmtId="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10" borderId="4" xfId="0" applyFont="1" applyFill="1" applyBorder="1" applyAlignment="1">
      <alignment horizontal="center" wrapText="1"/>
    </xf>
    <xf numFmtId="0" fontId="2" fillId="17" borderId="0" xfId="0" applyFont="1" applyFill="1"/>
    <xf numFmtId="0" fontId="2" fillId="0" borderId="0" xfId="0" applyFont="1" applyFill="1" applyBorder="1"/>
    <xf numFmtId="0" fontId="3" fillId="7" borderId="0" xfId="0" applyFont="1" applyFill="1" applyAlignment="1">
      <alignment horizontal="left"/>
    </xf>
    <xf numFmtId="0" fontId="0" fillId="2" borderId="0" xfId="0" applyFill="1"/>
    <xf numFmtId="165" fontId="2" fillId="0" borderId="0" xfId="0" applyNumberFormat="1" applyFont="1" applyFill="1"/>
    <xf numFmtId="167" fontId="16" fillId="0" borderId="0" xfId="0" applyNumberFormat="1" applyFont="1" applyFill="1" applyBorder="1" applyAlignment="1" applyProtection="1">
      <alignment horizontal="center" vertical="center"/>
    </xf>
    <xf numFmtId="14" fontId="9" fillId="0" borderId="1" xfId="0" applyNumberFormat="1" applyFont="1" applyFill="1" applyBorder="1" applyAlignment="1">
      <alignment horizontal="center"/>
    </xf>
    <xf numFmtId="15" fontId="0" fillId="0" borderId="0" xfId="0" applyNumberFormat="1" applyAlignment="1">
      <alignment horizontal="left"/>
    </xf>
    <xf numFmtId="17" fontId="0" fillId="0" borderId="0" xfId="0" applyNumberFormat="1" applyAlignment="1">
      <alignment horizontal="left"/>
    </xf>
    <xf numFmtId="165" fontId="2" fillId="0" borderId="0" xfId="0" applyNumberFormat="1" applyFont="1" applyFill="1" applyAlignment="1">
      <alignment horizontal="left"/>
    </xf>
    <xf numFmtId="44" fontId="0" fillId="0" borderId="0" xfId="1" applyFont="1" applyAlignment="1">
      <alignment horizontal="left"/>
    </xf>
    <xf numFmtId="17" fontId="0" fillId="0" borderId="0" xfId="0" applyNumberFormat="1" applyFill="1" applyAlignment="1">
      <alignment horizontal="left"/>
    </xf>
    <xf numFmtId="44" fontId="0" fillId="0" borderId="0" xfId="0" applyNumberFormat="1" applyFill="1" applyAlignment="1">
      <alignment horizontal="center"/>
    </xf>
    <xf numFmtId="165" fontId="15" fillId="0" borderId="0" xfId="0" applyNumberFormat="1" applyFont="1" applyFill="1"/>
    <xf numFmtId="164" fontId="0" fillId="0" borderId="0" xfId="2" applyNumberFormat="1" applyFont="1"/>
    <xf numFmtId="0" fontId="7" fillId="0" borderId="0" xfId="0" applyFont="1" applyAlignment="1">
      <alignment horizontal="left"/>
    </xf>
    <xf numFmtId="15" fontId="7" fillId="0" borderId="0" xfId="0" applyNumberFormat="1" applyFont="1" applyAlignment="1">
      <alignment horizontal="left"/>
    </xf>
    <xf numFmtId="165" fontId="7" fillId="0" borderId="0" xfId="0" applyNumberFormat="1" applyFont="1" applyAlignment="1">
      <alignment horizontal="center"/>
    </xf>
    <xf numFmtId="0" fontId="20" fillId="0" borderId="0" xfId="0" applyFont="1" applyAlignment="1">
      <alignment horizontal="left"/>
    </xf>
    <xf numFmtId="15" fontId="20" fillId="0" borderId="0" xfId="0" applyNumberFormat="1" applyFont="1" applyAlignment="1">
      <alignment horizontal="left"/>
    </xf>
    <xf numFmtId="165" fontId="20" fillId="0" borderId="0" xfId="0" applyNumberFormat="1" applyFont="1" applyAlignment="1">
      <alignment horizontal="center"/>
    </xf>
    <xf numFmtId="0" fontId="20" fillId="0" borderId="0" xfId="0" applyFont="1" applyFill="1" applyAlignment="1">
      <alignment horizontal="center"/>
    </xf>
    <xf numFmtId="0" fontId="20" fillId="0" borderId="0" xfId="0" applyFont="1" applyFill="1"/>
    <xf numFmtId="0" fontId="20" fillId="0" borderId="0" xfId="0" applyFont="1"/>
    <xf numFmtId="165" fontId="3" fillId="0" borderId="0" xfId="0" applyNumberFormat="1" applyFont="1" applyFill="1"/>
    <xf numFmtId="14" fontId="0" fillId="9" borderId="0" xfId="0" applyNumberFormat="1" applyFont="1" applyFill="1" applyAlignment="1">
      <alignment horizontal="center"/>
    </xf>
    <xf numFmtId="0" fontId="13" fillId="4" borderId="0" xfId="0" applyFont="1" applyFill="1" applyAlignment="1">
      <alignment horizontal="center" wrapText="1"/>
    </xf>
    <xf numFmtId="0" fontId="0" fillId="0" borderId="0" xfId="0" applyFill="1" applyAlignment="1">
      <alignment wrapText="1"/>
    </xf>
    <xf numFmtId="49" fontId="11" fillId="0" borderId="1" xfId="4" applyNumberFormat="1" applyFont="1" applyFill="1" applyBorder="1" applyAlignment="1">
      <alignment horizontal="left" vertical="top" wrapText="1"/>
    </xf>
    <xf numFmtId="49" fontId="11" fillId="0" borderId="1" xfId="4" applyNumberFormat="1" applyFont="1" applyFill="1" applyBorder="1" applyAlignment="1">
      <alignment horizontal="center" vertical="top" wrapText="1"/>
    </xf>
    <xf numFmtId="165" fontId="7" fillId="0" borderId="0" xfId="0" applyNumberFormat="1" applyFont="1"/>
    <xf numFmtId="0" fontId="3" fillId="0" borderId="0" xfId="0" applyFont="1" applyFill="1" applyAlignment="1">
      <alignment horizontal="center" wrapText="1"/>
    </xf>
    <xf numFmtId="1" fontId="0" fillId="0" borderId="0" xfId="0" applyNumberFormat="1" applyFill="1" applyAlignment="1">
      <alignment horizontal="center"/>
    </xf>
    <xf numFmtId="165" fontId="20" fillId="0" borderId="0" xfId="0" applyNumberFormat="1" applyFont="1" applyFill="1" applyAlignment="1">
      <alignment horizontal="center"/>
    </xf>
    <xf numFmtId="2" fontId="7" fillId="0" borderId="0" xfId="0" applyNumberFormat="1" applyFont="1" applyFill="1" applyAlignment="1">
      <alignment horizontal="left"/>
    </xf>
    <xf numFmtId="9" fontId="0" fillId="0" borderId="0" xfId="2" applyFont="1" applyFill="1" applyBorder="1"/>
    <xf numFmtId="165" fontId="0" fillId="0" borderId="0" xfId="0" applyNumberFormat="1" applyBorder="1"/>
    <xf numFmtId="0" fontId="9" fillId="0" borderId="0" xfId="0" applyFont="1" applyFill="1" applyBorder="1"/>
    <xf numFmtId="0" fontId="9" fillId="0" borderId="0" xfId="0" applyFont="1" applyAlignment="1">
      <alignment horizontal="left"/>
    </xf>
    <xf numFmtId="0" fontId="9" fillId="0" borderId="0" xfId="0" applyFont="1" applyFill="1"/>
    <xf numFmtId="0" fontId="11" fillId="0" borderId="0" xfId="0" applyFont="1" applyFill="1" applyBorder="1"/>
    <xf numFmtId="0" fontId="2" fillId="10" borderId="13" xfId="0" applyFont="1" applyFill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center" wrapText="1"/>
    </xf>
    <xf numFmtId="165" fontId="0" fillId="0" borderId="1" xfId="0" applyNumberFormat="1" applyFont="1" applyFill="1" applyBorder="1" applyAlignment="1">
      <alignment horizontal="center" wrapText="1"/>
    </xf>
    <xf numFmtId="0" fontId="2" fillId="17" borderId="0" xfId="0" applyFont="1" applyFill="1" applyAlignment="1">
      <alignment horizontal="center"/>
    </xf>
    <xf numFmtId="0" fontId="0" fillId="0" borderId="0" xfId="0" applyNumberFormat="1" applyFill="1"/>
    <xf numFmtId="0" fontId="0" fillId="0" borderId="0" xfId="0" applyNumberFormat="1" applyFill="1" applyAlignment="1">
      <alignment horizontal="center"/>
    </xf>
    <xf numFmtId="0" fontId="0" fillId="0" borderId="0" xfId="0" applyFill="1" applyAlignment="1">
      <alignment horizontal="left" indent="1"/>
    </xf>
    <xf numFmtId="0" fontId="0" fillId="0" borderId="0" xfId="0" applyFill="1" applyBorder="1" applyAlignment="1">
      <alignment horizontal="left"/>
    </xf>
    <xf numFmtId="169" fontId="0" fillId="0" borderId="0" xfId="0" applyNumberFormat="1" applyFill="1" applyBorder="1" applyAlignment="1">
      <alignment horizontal="center"/>
    </xf>
    <xf numFmtId="166" fontId="11" fillId="0" borderId="0" xfId="4" applyNumberFormat="1" applyFont="1" applyFill="1" applyBorder="1" applyAlignment="1">
      <alignment horizontal="right" vertical="top" wrapText="1"/>
    </xf>
    <xf numFmtId="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left"/>
    </xf>
    <xf numFmtId="165" fontId="13" fillId="4" borderId="13" xfId="0" applyNumberFormat="1" applyFont="1" applyFill="1" applyBorder="1" applyAlignment="1">
      <alignment horizontal="center"/>
    </xf>
    <xf numFmtId="165" fontId="2" fillId="4" borderId="1" xfId="0" applyNumberFormat="1" applyFont="1" applyFill="1" applyBorder="1" applyAlignment="1">
      <alignment horizontal="center" wrapText="1"/>
    </xf>
    <xf numFmtId="9" fontId="2" fillId="4" borderId="0" xfId="2" applyFont="1" applyFill="1" applyAlignment="1">
      <alignment horizontal="center"/>
    </xf>
    <xf numFmtId="165" fontId="0" fillId="0" borderId="1" xfId="0" applyNumberFormat="1" applyBorder="1" applyAlignment="1">
      <alignment horizontal="center"/>
    </xf>
    <xf numFmtId="9" fontId="0" fillId="0" borderId="1" xfId="2" applyFont="1" applyBorder="1" applyAlignment="1">
      <alignment horizontal="center"/>
    </xf>
    <xf numFmtId="165" fontId="0" fillId="0" borderId="1" xfId="0" applyNumberFormat="1" applyFont="1" applyBorder="1" applyAlignment="1">
      <alignment horizontal="center"/>
    </xf>
    <xf numFmtId="44" fontId="1" fillId="10" borderId="1" xfId="1" applyFill="1" applyBorder="1" applyAlignment="1">
      <alignment horizontal="center"/>
    </xf>
    <xf numFmtId="0" fontId="0" fillId="10" borderId="1" xfId="0" applyFont="1" applyFill="1" applyBorder="1" applyAlignment="1">
      <alignment horizontal="center" wrapText="1"/>
    </xf>
    <xf numFmtId="165" fontId="0" fillId="10" borderId="1" xfId="0" applyNumberFormat="1" applyFont="1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/>
    </xf>
    <xf numFmtId="9" fontId="0" fillId="10" borderId="1" xfId="2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169" fontId="2" fillId="4" borderId="0" xfId="0" applyNumberFormat="1" applyFont="1" applyFill="1" applyBorder="1" applyAlignment="1">
      <alignment horizontal="center"/>
    </xf>
    <xf numFmtId="44" fontId="0" fillId="0" borderId="0" xfId="0" applyNumberFormat="1" applyFill="1" applyBorder="1" applyAlignment="1">
      <alignment horizontal="left"/>
    </xf>
    <xf numFmtId="0" fontId="2" fillId="4" borderId="0" xfId="0" applyFont="1" applyFill="1" applyAlignment="1">
      <alignment horizontal="center"/>
    </xf>
    <xf numFmtId="165" fontId="1" fillId="0" borderId="1" xfId="1" applyNumberFormat="1" applyFill="1" applyBorder="1" applyAlignment="1">
      <alignment horizontal="center"/>
    </xf>
    <xf numFmtId="165" fontId="1" fillId="13" borderId="1" xfId="9" applyNumberFormat="1" applyBorder="1" applyAlignment="1">
      <alignment horizontal="center"/>
    </xf>
    <xf numFmtId="165" fontId="7" fillId="0" borderId="1" xfId="1" applyNumberFormat="1" applyFont="1" applyFill="1" applyBorder="1" applyAlignment="1">
      <alignment horizontal="center"/>
    </xf>
    <xf numFmtId="165" fontId="3" fillId="0" borderId="1" xfId="1" applyNumberFormat="1" applyFont="1" applyFill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9" fontId="2" fillId="4" borderId="0" xfId="0" applyNumberFormat="1" applyFont="1" applyFill="1" applyAlignment="1">
      <alignment horizontal="center"/>
    </xf>
    <xf numFmtId="165" fontId="2" fillId="10" borderId="1" xfId="1" applyNumberFormat="1" applyFont="1" applyFill="1" applyBorder="1" applyAlignment="1">
      <alignment horizontal="center"/>
    </xf>
    <xf numFmtId="165" fontId="7" fillId="0" borderId="13" xfId="1" applyNumberFormat="1" applyFont="1" applyFill="1" applyBorder="1" applyAlignment="1">
      <alignment horizontal="center"/>
    </xf>
    <xf numFmtId="165" fontId="1" fillId="12" borderId="1" xfId="8" applyNumberFormat="1" applyBorder="1" applyAlignment="1">
      <alignment horizontal="center"/>
    </xf>
    <xf numFmtId="165" fontId="3" fillId="0" borderId="13" xfId="0" applyNumberFormat="1" applyFont="1" applyFill="1" applyBorder="1" applyAlignment="1" applyProtection="1">
      <alignment horizontal="center" vertical="center"/>
      <protection locked="0" hidden="1"/>
    </xf>
    <xf numFmtId="9" fontId="3" fillId="0" borderId="13" xfId="2" applyFont="1" applyFill="1" applyBorder="1" applyAlignment="1" applyProtection="1">
      <alignment horizontal="center" vertical="center"/>
      <protection locked="0" hidden="1"/>
    </xf>
    <xf numFmtId="0" fontId="2" fillId="2" borderId="0" xfId="0" applyFont="1" applyFill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21" fillId="0" borderId="0" xfId="0" applyFont="1"/>
    <xf numFmtId="165" fontId="7" fillId="0" borderId="1" xfId="0" applyNumberFormat="1" applyFont="1" applyFill="1" applyBorder="1" applyAlignment="1">
      <alignment horizontal="center" wrapText="1"/>
    </xf>
    <xf numFmtId="165" fontId="7" fillId="0" borderId="1" xfId="0" applyNumberFormat="1" applyFont="1" applyBorder="1" applyAlignment="1">
      <alignment horizontal="center"/>
    </xf>
    <xf numFmtId="9" fontId="7" fillId="0" borderId="1" xfId="2" applyFont="1" applyBorder="1" applyAlignment="1">
      <alignment horizontal="center"/>
    </xf>
    <xf numFmtId="0" fontId="10" fillId="3" borderId="6" xfId="3" applyFont="1" applyFill="1" applyBorder="1" applyAlignment="1">
      <alignment horizontal="left" wrapText="1"/>
    </xf>
    <xf numFmtId="9" fontId="2" fillId="4" borderId="0" xfId="0" applyNumberFormat="1" applyFont="1" applyFill="1"/>
    <xf numFmtId="9" fontId="0" fillId="0" borderId="0" xfId="2" applyNumberFormat="1" applyFont="1" applyBorder="1"/>
    <xf numFmtId="44" fontId="18" fillId="10" borderId="1" xfId="1" applyFont="1" applyFill="1" applyBorder="1" applyAlignment="1">
      <alignment horizontal="center" wrapText="1"/>
    </xf>
    <xf numFmtId="44" fontId="0" fillId="0" borderId="0" xfId="0" applyNumberFormat="1" applyBorder="1"/>
    <xf numFmtId="164" fontId="0" fillId="0" borderId="0" xfId="0" applyNumberFormat="1" applyBorder="1"/>
    <xf numFmtId="44" fontId="0" fillId="15" borderId="1" xfId="0" applyNumberFormat="1" applyFill="1" applyBorder="1"/>
    <xf numFmtId="44" fontId="2" fillId="8" borderId="1" xfId="0" applyNumberFormat="1" applyFont="1" applyFill="1" applyBorder="1"/>
    <xf numFmtId="0" fontId="22" fillId="0" borderId="0" xfId="0" applyFont="1" applyAlignment="1">
      <alignment vertical="center"/>
    </xf>
    <xf numFmtId="165" fontId="10" fillId="3" borderId="0" xfId="3" applyNumberFormat="1" applyFont="1" applyFill="1" applyBorder="1" applyAlignment="1">
      <alignment horizontal="center" wrapText="1"/>
    </xf>
    <xf numFmtId="165" fontId="0" fillId="0" borderId="0" xfId="0" applyNumberFormat="1" applyFont="1"/>
    <xf numFmtId="0" fontId="15" fillId="0" borderId="0" xfId="0" applyFont="1" applyAlignment="1">
      <alignment horizontal="left" vertical="center"/>
    </xf>
    <xf numFmtId="0" fontId="2" fillId="4" borderId="0" xfId="0" applyFont="1" applyFill="1" applyAlignment="1">
      <alignment horizontal="left"/>
    </xf>
    <xf numFmtId="165" fontId="3" fillId="16" borderId="13" xfId="0" applyNumberFormat="1" applyFont="1" applyFill="1" applyBorder="1" applyAlignment="1" applyProtection="1">
      <alignment horizontal="center" vertical="center"/>
      <protection hidden="1"/>
    </xf>
    <xf numFmtId="14" fontId="1" fillId="0" borderId="1" xfId="1" applyNumberFormat="1" applyFill="1" applyBorder="1" applyAlignment="1">
      <alignment horizontal="center"/>
    </xf>
    <xf numFmtId="0" fontId="7" fillId="0" borderId="1" xfId="0" applyFont="1" applyBorder="1" applyAlignment="1">
      <alignment horizontal="left"/>
    </xf>
    <xf numFmtId="165" fontId="3" fillId="0" borderId="7" xfId="0" applyNumberFormat="1" applyFont="1" applyBorder="1"/>
    <xf numFmtId="44" fontId="3" fillId="0" borderId="10" xfId="0" applyNumberFormat="1" applyFont="1" applyBorder="1"/>
    <xf numFmtId="165" fontId="1" fillId="0" borderId="1" xfId="9" applyNumberFormat="1" applyFill="1" applyBorder="1" applyAlignment="1">
      <alignment horizontal="center"/>
    </xf>
    <xf numFmtId="49" fontId="0" fillId="0" borderId="1" xfId="1" applyNumberFormat="1" applyFont="1" applyFill="1" applyBorder="1" applyAlignment="1">
      <alignment horizontal="center"/>
    </xf>
    <xf numFmtId="9" fontId="3" fillId="0" borderId="9" xfId="2" applyFont="1" applyBorder="1" applyAlignment="1">
      <alignment horizontal="center"/>
    </xf>
    <xf numFmtId="165" fontId="11" fillId="0" borderId="1" xfId="4" applyNumberFormat="1" applyFont="1" applyFill="1" applyBorder="1" applyAlignment="1">
      <alignment horizontal="right" vertical="top"/>
    </xf>
    <xf numFmtId="0" fontId="2" fillId="0" borderId="2" xfId="0" applyFont="1" applyBorder="1" applyAlignment="1">
      <alignment horizontal="center"/>
    </xf>
    <xf numFmtId="0" fontId="3" fillId="0" borderId="9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65" fontId="2" fillId="0" borderId="0" xfId="1" applyNumberFormat="1" applyFont="1" applyFill="1" applyAlignment="1">
      <alignment horizontal="center"/>
    </xf>
    <xf numFmtId="0" fontId="0" fillId="0" borderId="0" xfId="0" applyFill="1" applyAlignment="1">
      <alignment horizontal="right"/>
    </xf>
    <xf numFmtId="44" fontId="0" fillId="0" borderId="0" xfId="1" applyFont="1" applyFill="1" applyAlignment="1">
      <alignment horizontal="left"/>
    </xf>
    <xf numFmtId="165" fontId="0" fillId="0" borderId="0" xfId="0" applyNumberFormat="1" applyBorder="1" applyAlignment="1">
      <alignment horizontal="left"/>
    </xf>
    <xf numFmtId="0" fontId="0" fillId="0" borderId="9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65" fontId="7" fillId="0" borderId="0" xfId="1" applyNumberFormat="1" applyFont="1"/>
    <xf numFmtId="15" fontId="7" fillId="0" borderId="0" xfId="0" applyNumberFormat="1" applyFont="1" applyAlignment="1">
      <alignment horizontal="center"/>
    </xf>
    <xf numFmtId="165" fontId="7" fillId="0" borderId="0" xfId="1" applyNumberFormat="1" applyFont="1" applyFill="1"/>
    <xf numFmtId="0" fontId="10" fillId="0" borderId="0" xfId="0" applyFont="1" applyFill="1"/>
    <xf numFmtId="165" fontId="11" fillId="0" borderId="1" xfId="4" applyNumberFormat="1" applyFont="1" applyFill="1" applyBorder="1" applyAlignment="1">
      <alignment horizontal="right" vertical="top" wrapText="1"/>
    </xf>
    <xf numFmtId="0" fontId="9" fillId="0" borderId="0" xfId="0" applyFont="1" applyFill="1" applyBorder="1" applyAlignment="1">
      <alignment horizontal="center"/>
    </xf>
    <xf numFmtId="165" fontId="10" fillId="3" borderId="5" xfId="3" applyNumberFormat="1" applyFont="1" applyFill="1" applyBorder="1" applyAlignment="1">
      <alignment horizontal="center" wrapText="1"/>
    </xf>
    <xf numFmtId="165" fontId="10" fillId="3" borderId="0" xfId="3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15" fontId="0" fillId="0" borderId="0" xfId="0" applyNumberFormat="1" applyFill="1"/>
    <xf numFmtId="9" fontId="0" fillId="8" borderId="1" xfId="0" applyNumberFormat="1" applyFill="1" applyBorder="1"/>
    <xf numFmtId="0" fontId="0" fillId="0" borderId="10" xfId="0" applyBorder="1"/>
    <xf numFmtId="166" fontId="9" fillId="0" borderId="0" xfId="0" applyNumberFormat="1" applyFont="1" applyFill="1" applyBorder="1"/>
    <xf numFmtId="169" fontId="9" fillId="0" borderId="0" xfId="0" applyNumberFormat="1" applyFont="1" applyFill="1" applyBorder="1" applyAlignment="1">
      <alignment horizontal="left"/>
    </xf>
    <xf numFmtId="0" fontId="9" fillId="0" borderId="0" xfId="0" applyNumberFormat="1" applyFont="1" applyFill="1" applyBorder="1" applyAlignment="1">
      <alignment horizontal="center"/>
    </xf>
    <xf numFmtId="169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left" indent="1"/>
    </xf>
    <xf numFmtId="14" fontId="9" fillId="0" borderId="0" xfId="0" applyNumberFormat="1" applyFont="1" applyFill="1" applyAlignment="1">
      <alignment horizontal="left"/>
    </xf>
    <xf numFmtId="0" fontId="9" fillId="0" borderId="0" xfId="0" applyNumberFormat="1" applyFont="1" applyFill="1" applyAlignment="1">
      <alignment horizontal="center"/>
    </xf>
    <xf numFmtId="166" fontId="9" fillId="0" borderId="0" xfId="0" applyNumberFormat="1" applyFont="1" applyFill="1"/>
    <xf numFmtId="0" fontId="0" fillId="0" borderId="10" xfId="0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12" fillId="0" borderId="0" xfId="0" applyFont="1"/>
    <xf numFmtId="165" fontId="7" fillId="0" borderId="7" xfId="0" applyNumberFormat="1" applyFont="1" applyBorder="1"/>
    <xf numFmtId="44" fontId="7" fillId="0" borderId="10" xfId="0" applyNumberFormat="1" applyFont="1" applyBorder="1"/>
    <xf numFmtId="165" fontId="7" fillId="0" borderId="10" xfId="0" applyNumberFormat="1" applyFont="1" applyBorder="1"/>
    <xf numFmtId="0" fontId="3" fillId="0" borderId="0" xfId="0" applyFont="1" applyAlignment="1">
      <alignment wrapText="1"/>
    </xf>
    <xf numFmtId="0" fontId="0" fillId="0" borderId="0" xfId="0" applyFont="1" applyFill="1" applyAlignment="1">
      <alignment horizontal="center"/>
    </xf>
    <xf numFmtId="0" fontId="0" fillId="0" borderId="0" xfId="0"/>
    <xf numFmtId="0" fontId="0" fillId="0" borderId="0" xfId="0" applyFont="1" applyAlignment="1">
      <alignment horizontal="center"/>
    </xf>
    <xf numFmtId="0" fontId="0" fillId="9" borderId="0" xfId="0" applyFont="1" applyFill="1" applyAlignment="1">
      <alignment horizontal="center"/>
    </xf>
    <xf numFmtId="17" fontId="0" fillId="0" borderId="0" xfId="0" applyNumberFormat="1" applyAlignment="1">
      <alignment horizontal="center"/>
    </xf>
    <xf numFmtId="165" fontId="3" fillId="0" borderId="0" xfId="0" applyNumberFormat="1" applyFont="1" applyFill="1" applyAlignment="1">
      <alignment horizontal="center"/>
    </xf>
    <xf numFmtId="8" fontId="15" fillId="0" borderId="0" xfId="0" applyNumberFormat="1" applyFont="1" applyFill="1" applyAlignment="1">
      <alignment horizontal="center"/>
    </xf>
    <xf numFmtId="8" fontId="15" fillId="0" borderId="0" xfId="0" applyNumberFormat="1" applyFont="1" applyAlignment="1">
      <alignment horizontal="center"/>
    </xf>
    <xf numFmtId="8" fontId="3" fillId="0" borderId="0" xfId="0" applyNumberFormat="1" applyFont="1" applyAlignment="1">
      <alignment horizontal="center"/>
    </xf>
    <xf numFmtId="165" fontId="15" fillId="0" borderId="0" xfId="0" applyNumberFormat="1" applyFont="1" applyFill="1" applyAlignment="1">
      <alignment horizontal="center"/>
    </xf>
    <xf numFmtId="0" fontId="13" fillId="4" borderId="0" xfId="0" applyFont="1" applyFill="1" applyAlignment="1">
      <alignment horizontal="left" wrapText="1"/>
    </xf>
    <xf numFmtId="0" fontId="14" fillId="0" borderId="0" xfId="0" applyFont="1" applyAlignment="1">
      <alignment horizontal="left"/>
    </xf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left"/>
    </xf>
    <xf numFmtId="0" fontId="0" fillId="0" borderId="0" xfId="0" applyFont="1" applyFill="1" applyAlignment="1">
      <alignment horizontal="left"/>
    </xf>
    <xf numFmtId="0" fontId="3" fillId="0" borderId="0" xfId="0" applyFont="1" applyFill="1" applyAlignment="1">
      <alignment horizontal="left" wrapText="1"/>
    </xf>
    <xf numFmtId="0" fontId="17" fillId="0" borderId="0" xfId="0" applyFont="1" applyFill="1" applyAlignment="1">
      <alignment horizontal="left"/>
    </xf>
    <xf numFmtId="0" fontId="15" fillId="0" borderId="0" xfId="0" applyFont="1" applyFill="1" applyAlignment="1">
      <alignment horizontal="left"/>
    </xf>
    <xf numFmtId="0" fontId="15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2" fillId="0" borderId="0" xfId="0" applyFont="1" applyAlignment="1">
      <alignment horizontal="left" vertical="center"/>
    </xf>
    <xf numFmtId="2" fontId="0" fillId="0" borderId="10" xfId="0" applyNumberFormat="1" applyFill="1" applyBorder="1" applyAlignment="1">
      <alignment horizontal="left"/>
    </xf>
    <xf numFmtId="6" fontId="0" fillId="0" borderId="0" xfId="0" applyNumberFormat="1"/>
    <xf numFmtId="9" fontId="3" fillId="4" borderId="15" xfId="2" applyFont="1" applyFill="1" applyBorder="1"/>
    <xf numFmtId="0" fontId="9" fillId="0" borderId="0" xfId="0" applyFont="1"/>
    <xf numFmtId="165" fontId="19" fillId="2" borderId="0" xfId="0" applyNumberFormat="1" applyFont="1" applyFill="1" applyAlignment="1">
      <alignment horizontal="center"/>
    </xf>
    <xf numFmtId="165" fontId="9" fillId="0" borderId="0" xfId="0" applyNumberFormat="1" applyFont="1" applyAlignment="1">
      <alignment horizontal="center"/>
    </xf>
    <xf numFmtId="1" fontId="19" fillId="8" borderId="0" xfId="0" applyNumberFormat="1" applyFont="1" applyFill="1" applyAlignment="1">
      <alignment horizontal="center"/>
    </xf>
    <xf numFmtId="165" fontId="23" fillId="0" borderId="0" xfId="0" applyNumberFormat="1" applyFont="1" applyAlignment="1">
      <alignment horizontal="center"/>
    </xf>
    <xf numFmtId="1" fontId="23" fillId="0" borderId="0" xfId="0" applyNumberFormat="1" applyFont="1" applyAlignment="1">
      <alignment horizontal="center"/>
    </xf>
    <xf numFmtId="0" fontId="19" fillId="5" borderId="0" xfId="0" applyFont="1" applyFill="1" applyAlignment="1">
      <alignment vertical="center" wrapText="1"/>
    </xf>
    <xf numFmtId="0" fontId="19" fillId="5" borderId="0" xfId="0" applyFont="1" applyFill="1" applyAlignment="1">
      <alignment horizontal="center" vertical="center" wrapText="1"/>
    </xf>
    <xf numFmtId="165" fontId="19" fillId="5" borderId="0" xfId="0" applyNumberFormat="1" applyFont="1" applyFill="1" applyAlignment="1">
      <alignment horizontal="center" vertical="center" wrapText="1"/>
    </xf>
    <xf numFmtId="165" fontId="19" fillId="18" borderId="0" xfId="0" applyNumberFormat="1" applyFont="1" applyFill="1" applyAlignment="1">
      <alignment horizontal="center" vertical="center" wrapText="1"/>
    </xf>
    <xf numFmtId="1" fontId="19" fillId="5" borderId="0" xfId="0" applyNumberFormat="1" applyFont="1" applyFill="1" applyAlignment="1">
      <alignment horizontal="center" vertical="center" wrapText="1"/>
    </xf>
    <xf numFmtId="0" fontId="19" fillId="0" borderId="0" xfId="0" applyFont="1" applyFill="1" applyAlignment="1">
      <alignment vertical="center" wrapText="1"/>
    </xf>
    <xf numFmtId="0" fontId="9" fillId="0" borderId="0" xfId="0" applyFont="1" applyAlignment="1">
      <alignment wrapText="1"/>
    </xf>
    <xf numFmtId="0" fontId="19" fillId="19" borderId="26" xfId="0" applyFont="1" applyFill="1" applyBorder="1" applyAlignment="1">
      <alignment wrapText="1"/>
    </xf>
    <xf numFmtId="0" fontId="19" fillId="19" borderId="26" xfId="0" applyFont="1" applyFill="1" applyBorder="1" applyAlignment="1">
      <alignment horizontal="center" wrapText="1"/>
    </xf>
    <xf numFmtId="0" fontId="9" fillId="0" borderId="0" xfId="0" applyFont="1" applyAlignment="1">
      <alignment horizontal="center"/>
    </xf>
    <xf numFmtId="14" fontId="9" fillId="0" borderId="0" xfId="0" applyNumberFormat="1" applyFont="1" applyAlignment="1">
      <alignment horizontal="center"/>
    </xf>
    <xf numFmtId="1" fontId="9" fillId="0" borderId="0" xfId="0" applyNumberFormat="1" applyFont="1" applyAlignment="1">
      <alignment horizontal="center"/>
    </xf>
    <xf numFmtId="9" fontId="9" fillId="0" borderId="0" xfId="2" applyFont="1"/>
    <xf numFmtId="165" fontId="9" fillId="0" borderId="0" xfId="0" applyNumberFormat="1" applyFont="1"/>
    <xf numFmtId="0" fontId="9" fillId="0" borderId="0" xfId="0" applyFont="1" applyFill="1" applyAlignment="1">
      <alignment horizontal="center"/>
    </xf>
    <xf numFmtId="8" fontId="9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center"/>
    </xf>
    <xf numFmtId="165" fontId="9" fillId="0" borderId="0" xfId="0" applyNumberFormat="1" applyFont="1" applyFill="1" applyAlignment="1">
      <alignment horizontal="center"/>
    </xf>
    <xf numFmtId="8" fontId="9" fillId="0" borderId="0" xfId="0" applyNumberFormat="1" applyFont="1" applyFill="1" applyAlignment="1">
      <alignment horizontal="center"/>
    </xf>
    <xf numFmtId="0" fontId="11" fillId="0" borderId="0" xfId="0" applyFont="1" applyFill="1"/>
    <xf numFmtId="44" fontId="9" fillId="0" borderId="0" xfId="1" applyFont="1"/>
    <xf numFmtId="0" fontId="10" fillId="4" borderId="0" xfId="0" applyFont="1" applyFill="1" applyAlignment="1">
      <alignment horizontal="center" wrapText="1"/>
    </xf>
    <xf numFmtId="165" fontId="10" fillId="4" borderId="0" xfId="0" applyNumberFormat="1" applyFont="1" applyFill="1" applyAlignment="1">
      <alignment horizontal="center" wrapText="1"/>
    </xf>
    <xf numFmtId="0" fontId="9" fillId="0" borderId="11" xfId="0" applyFont="1" applyBorder="1"/>
    <xf numFmtId="14" fontId="9" fillId="0" borderId="11" xfId="0" applyNumberFormat="1" applyFont="1" applyBorder="1" applyAlignment="1">
      <alignment horizontal="center"/>
    </xf>
    <xf numFmtId="14" fontId="9" fillId="0" borderId="11" xfId="0" applyNumberFormat="1" applyFont="1" applyBorder="1"/>
    <xf numFmtId="14" fontId="9" fillId="0" borderId="11" xfId="0" applyNumberFormat="1" applyFont="1" applyFill="1" applyBorder="1"/>
    <xf numFmtId="165" fontId="9" fillId="0" borderId="11" xfId="0" applyNumberFormat="1" applyFont="1" applyBorder="1"/>
    <xf numFmtId="165" fontId="9" fillId="0" borderId="11" xfId="0" applyNumberFormat="1" applyFont="1" applyBorder="1" applyAlignment="1">
      <alignment horizontal="center"/>
    </xf>
    <xf numFmtId="165" fontId="11" fillId="0" borderId="11" xfId="0" applyNumberFormat="1" applyFont="1" applyFill="1" applyBorder="1" applyAlignment="1">
      <alignment horizontal="center"/>
    </xf>
    <xf numFmtId="9" fontId="9" fillId="0" borderId="11" xfId="2" applyFont="1" applyBorder="1" applyAlignment="1">
      <alignment horizontal="center"/>
    </xf>
    <xf numFmtId="0" fontId="9" fillId="4" borderId="11" xfId="0" applyFont="1" applyFill="1" applyBorder="1" applyAlignment="1">
      <alignment horizontal="center"/>
    </xf>
    <xf numFmtId="14" fontId="9" fillId="0" borderId="11" xfId="0" applyNumberFormat="1" applyFont="1" applyFill="1" applyBorder="1" applyAlignment="1">
      <alignment horizontal="center"/>
    </xf>
    <xf numFmtId="0" fontId="9" fillId="0" borderId="28" xfId="0" applyFont="1" applyBorder="1"/>
    <xf numFmtId="0" fontId="9" fillId="0" borderId="11" xfId="0" applyFont="1" applyBorder="1" applyAlignment="1">
      <alignment horizontal="center"/>
    </xf>
    <xf numFmtId="1" fontId="9" fillId="0" borderId="11" xfId="0" applyNumberFormat="1" applyFont="1" applyBorder="1" applyAlignment="1">
      <alignment horizontal="center"/>
    </xf>
    <xf numFmtId="0" fontId="9" fillId="10" borderId="0" xfId="0" applyFont="1" applyFill="1" applyAlignment="1">
      <alignment horizontal="center"/>
    </xf>
    <xf numFmtId="0" fontId="9" fillId="0" borderId="11" xfId="0" applyFont="1" applyFill="1" applyBorder="1"/>
    <xf numFmtId="14" fontId="9" fillId="0" borderId="10" xfId="0" applyNumberFormat="1" applyFont="1" applyBorder="1" applyAlignment="1">
      <alignment horizontal="center"/>
    </xf>
    <xf numFmtId="14" fontId="9" fillId="0" borderId="0" xfId="0" applyNumberFormat="1" applyFont="1" applyBorder="1"/>
    <xf numFmtId="14" fontId="9" fillId="0" borderId="9" xfId="0" applyNumberFormat="1" applyFont="1" applyBorder="1"/>
    <xf numFmtId="14" fontId="9" fillId="0" borderId="10" xfId="0" applyNumberFormat="1" applyFont="1" applyBorder="1"/>
    <xf numFmtId="165" fontId="19" fillId="0" borderId="0" xfId="0" applyNumberFormat="1" applyFont="1"/>
    <xf numFmtId="9" fontId="19" fillId="0" borderId="0" xfId="2" applyFont="1"/>
    <xf numFmtId="0" fontId="9" fillId="0" borderId="9" xfId="0" applyFont="1" applyBorder="1"/>
    <xf numFmtId="0" fontId="9" fillId="0" borderId="9" xfId="0" applyFont="1" applyFill="1" applyBorder="1"/>
    <xf numFmtId="14" fontId="9" fillId="0" borderId="9" xfId="0" applyNumberFormat="1" applyFont="1" applyBorder="1" applyAlignment="1">
      <alignment horizontal="center"/>
    </xf>
    <xf numFmtId="165" fontId="9" fillId="0" borderId="9" xfId="0" applyNumberFormat="1" applyFont="1" applyBorder="1"/>
    <xf numFmtId="165" fontId="9" fillId="0" borderId="9" xfId="0" applyNumberFormat="1" applyFont="1" applyBorder="1" applyAlignment="1">
      <alignment horizontal="center"/>
    </xf>
    <xf numFmtId="165" fontId="11" fillId="0" borderId="9" xfId="0" applyNumberFormat="1" applyFont="1" applyFill="1" applyBorder="1" applyAlignment="1">
      <alignment horizontal="center"/>
    </xf>
    <xf numFmtId="9" fontId="9" fillId="0" borderId="9" xfId="2" applyFont="1" applyBorder="1" applyAlignment="1">
      <alignment horizontal="center"/>
    </xf>
    <xf numFmtId="14" fontId="9" fillId="0" borderId="9" xfId="0" applyNumberFormat="1" applyFont="1" applyFill="1" applyBorder="1" applyAlignment="1">
      <alignment horizontal="center"/>
    </xf>
    <xf numFmtId="0" fontId="9" fillId="0" borderId="27" xfId="0" applyFont="1" applyBorder="1"/>
    <xf numFmtId="0" fontId="9" fillId="0" borderId="9" xfId="0" applyFont="1" applyBorder="1" applyAlignment="1">
      <alignment horizontal="center"/>
    </xf>
    <xf numFmtId="1" fontId="9" fillId="0" borderId="9" xfId="0" applyNumberFormat="1" applyFont="1" applyBorder="1" applyAlignment="1">
      <alignment horizontal="center"/>
    </xf>
    <xf numFmtId="165" fontId="9" fillId="0" borderId="0" xfId="2" applyNumberFormat="1" applyFont="1"/>
    <xf numFmtId="0" fontId="9" fillId="0" borderId="10" xfId="0" applyFont="1" applyBorder="1"/>
    <xf numFmtId="0" fontId="9" fillId="0" borderId="10" xfId="0" applyFont="1" applyBorder="1" applyAlignment="1">
      <alignment horizontal="center"/>
    </xf>
    <xf numFmtId="165" fontId="9" fillId="0" borderId="11" xfId="0" applyNumberFormat="1" applyFont="1" applyFill="1" applyBorder="1"/>
    <xf numFmtId="14" fontId="9" fillId="0" borderId="9" xfId="0" applyNumberFormat="1" applyFont="1" applyFill="1" applyBorder="1"/>
    <xf numFmtId="14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14" fontId="18" fillId="0" borderId="11" xfId="0" applyNumberFormat="1" applyFont="1" applyBorder="1" applyAlignment="1">
      <alignment horizontal="center"/>
    </xf>
    <xf numFmtId="165" fontId="11" fillId="0" borderId="11" xfId="0" applyNumberFormat="1" applyFont="1" applyBorder="1"/>
    <xf numFmtId="165" fontId="18" fillId="0" borderId="11" xfId="0" applyNumberFormat="1" applyFont="1" applyFill="1" applyBorder="1" applyAlignment="1">
      <alignment horizontal="center"/>
    </xf>
    <xf numFmtId="165" fontId="11" fillId="0" borderId="9" xfId="0" applyNumberFormat="1" applyFont="1" applyBorder="1"/>
    <xf numFmtId="165" fontId="18" fillId="0" borderId="9" xfId="0" applyNumberFormat="1" applyFont="1" applyFill="1" applyBorder="1" applyAlignment="1">
      <alignment horizontal="center"/>
    </xf>
    <xf numFmtId="0" fontId="9" fillId="4" borderId="9" xfId="0" applyFont="1" applyFill="1" applyBorder="1" applyAlignment="1">
      <alignment horizontal="center"/>
    </xf>
    <xf numFmtId="14" fontId="9" fillId="0" borderId="10" xfId="0" applyNumberFormat="1" applyFont="1" applyFill="1" applyBorder="1"/>
    <xf numFmtId="0" fontId="9" fillId="0" borderId="0" xfId="0" applyFont="1" applyBorder="1"/>
    <xf numFmtId="165" fontId="11" fillId="0" borderId="0" xfId="0" applyNumberFormat="1" applyFont="1" applyBorder="1"/>
    <xf numFmtId="165" fontId="9" fillId="0" borderId="0" xfId="0" applyNumberFormat="1" applyFont="1" applyBorder="1" applyAlignment="1">
      <alignment horizontal="center"/>
    </xf>
    <xf numFmtId="9" fontId="9" fillId="0" borderId="0" xfId="2" applyFont="1" applyBorder="1" applyAlignment="1">
      <alignment horizontal="center"/>
    </xf>
    <xf numFmtId="0" fontId="9" fillId="0" borderId="29" xfId="0" applyFont="1" applyBorder="1"/>
    <xf numFmtId="9" fontId="9" fillId="4" borderId="9" xfId="2" applyFont="1" applyFill="1" applyBorder="1" applyAlignment="1">
      <alignment horizontal="center"/>
    </xf>
    <xf numFmtId="9" fontId="9" fillId="0" borderId="9" xfId="2" applyFont="1" applyBorder="1" applyAlignment="1">
      <alignment horizontal="left"/>
    </xf>
    <xf numFmtId="9" fontId="9" fillId="0" borderId="27" xfId="2" applyFont="1" applyBorder="1" applyAlignment="1">
      <alignment horizontal="left"/>
    </xf>
    <xf numFmtId="14" fontId="9" fillId="0" borderId="9" xfId="2" applyNumberFormat="1" applyFont="1" applyBorder="1" applyAlignment="1">
      <alignment horizontal="center"/>
    </xf>
    <xf numFmtId="165" fontId="9" fillId="0" borderId="0" xfId="0" applyNumberFormat="1" applyFont="1" applyBorder="1"/>
    <xf numFmtId="44" fontId="24" fillId="0" borderId="0" xfId="0" applyNumberFormat="1" applyFont="1" applyBorder="1"/>
    <xf numFmtId="14" fontId="9" fillId="0" borderId="0" xfId="0" applyNumberFormat="1" applyFont="1" applyFill="1" applyBorder="1" applyAlignment="1">
      <alignment horizontal="center"/>
    </xf>
    <xf numFmtId="14" fontId="9" fillId="4" borderId="9" xfId="0" applyNumberFormat="1" applyFont="1" applyFill="1" applyBorder="1"/>
    <xf numFmtId="0" fontId="9" fillId="0" borderId="28" xfId="0" applyFont="1" applyFill="1" applyBorder="1"/>
    <xf numFmtId="14" fontId="11" fillId="0" borderId="11" xfId="0" applyNumberFormat="1" applyFont="1" applyBorder="1" applyAlignment="1">
      <alignment horizontal="center"/>
    </xf>
    <xf numFmtId="14" fontId="11" fillId="0" borderId="11" xfId="0" applyNumberFormat="1" applyFont="1" applyBorder="1"/>
    <xf numFmtId="0" fontId="11" fillId="0" borderId="11" xfId="0" applyFont="1" applyFill="1" applyBorder="1"/>
    <xf numFmtId="0" fontId="11" fillId="0" borderId="11" xfId="0" applyFont="1" applyBorder="1"/>
    <xf numFmtId="14" fontId="11" fillId="0" borderId="9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0" fontId="9" fillId="0" borderId="29" xfId="0" applyFont="1" applyBorder="1" applyAlignment="1">
      <alignment horizontal="center"/>
    </xf>
    <xf numFmtId="165" fontId="9" fillId="0" borderId="0" xfId="0" applyNumberFormat="1" applyFont="1" applyAlignment="1">
      <alignment wrapText="1"/>
    </xf>
    <xf numFmtId="0" fontId="19" fillId="0" borderId="0" xfId="0" applyFont="1" applyAlignment="1">
      <alignment horizontal="center"/>
    </xf>
    <xf numFmtId="9" fontId="9" fillId="0" borderId="0" xfId="2" applyFont="1" applyAlignment="1">
      <alignment horizontal="center"/>
    </xf>
    <xf numFmtId="44" fontId="9" fillId="0" borderId="0" xfId="0" applyNumberFormat="1" applyFont="1"/>
    <xf numFmtId="0" fontId="19" fillId="4" borderId="25" xfId="0" applyFont="1" applyFill="1" applyBorder="1"/>
    <xf numFmtId="17" fontId="19" fillId="4" borderId="20" xfId="0" applyNumberFormat="1" applyFont="1" applyFill="1" applyBorder="1" applyAlignment="1">
      <alignment horizontal="center"/>
    </xf>
    <xf numFmtId="17" fontId="19" fillId="7" borderId="16" xfId="0" applyNumberFormat="1" applyFont="1" applyFill="1" applyBorder="1" applyAlignment="1">
      <alignment horizontal="center"/>
    </xf>
    <xf numFmtId="0" fontId="19" fillId="0" borderId="0" xfId="0" applyFont="1"/>
    <xf numFmtId="165" fontId="19" fillId="4" borderId="17" xfId="0" applyNumberFormat="1" applyFont="1" applyFill="1" applyBorder="1"/>
    <xf numFmtId="0" fontId="19" fillId="6" borderId="0" xfId="0" applyFont="1" applyFill="1"/>
    <xf numFmtId="0" fontId="19" fillId="6" borderId="0" xfId="0" applyFont="1" applyFill="1" applyBorder="1"/>
    <xf numFmtId="0" fontId="19" fillId="6" borderId="12" xfId="0" applyFont="1" applyFill="1" applyBorder="1"/>
    <xf numFmtId="0" fontId="19" fillId="6" borderId="17" xfId="0" applyFont="1" applyFill="1" applyBorder="1"/>
    <xf numFmtId="165" fontId="19" fillId="0" borderId="17" xfId="0" applyNumberFormat="1" applyFont="1" applyFill="1" applyBorder="1"/>
    <xf numFmtId="0" fontId="19" fillId="5" borderId="0" xfId="0" applyFont="1" applyFill="1"/>
    <xf numFmtId="165" fontId="11" fillId="5" borderId="4" xfId="1" applyNumberFormat="1" applyFont="1" applyFill="1" applyBorder="1"/>
    <xf numFmtId="165" fontId="11" fillId="5" borderId="21" xfId="1" applyNumberFormat="1" applyFont="1" applyFill="1" applyBorder="1"/>
    <xf numFmtId="0" fontId="19" fillId="7" borderId="0" xfId="0" applyFont="1" applyFill="1"/>
    <xf numFmtId="17" fontId="19" fillId="7" borderId="3" xfId="0" applyNumberFormat="1" applyFont="1" applyFill="1" applyBorder="1" applyAlignment="1">
      <alignment horizontal="center"/>
    </xf>
    <xf numFmtId="17" fontId="19" fillId="7" borderId="1" xfId="0" applyNumberFormat="1" applyFont="1" applyFill="1" applyBorder="1" applyAlignment="1">
      <alignment horizontal="center"/>
    </xf>
    <xf numFmtId="17" fontId="19" fillId="7" borderId="22" xfId="0" applyNumberFormat="1" applyFont="1" applyFill="1" applyBorder="1" applyAlignment="1">
      <alignment horizontal="center"/>
    </xf>
    <xf numFmtId="165" fontId="9" fillId="0" borderId="5" xfId="0" applyNumberFormat="1" applyFont="1" applyBorder="1"/>
    <xf numFmtId="165" fontId="19" fillId="7" borderId="18" xfId="0" applyNumberFormat="1" applyFont="1" applyFill="1" applyBorder="1"/>
    <xf numFmtId="165" fontId="9" fillId="0" borderId="4" xfId="0" applyNumberFormat="1" applyFont="1" applyBorder="1"/>
    <xf numFmtId="165" fontId="9" fillId="0" borderId="21" xfId="0" applyNumberFormat="1" applyFont="1" applyBorder="1"/>
    <xf numFmtId="165" fontId="19" fillId="7" borderId="17" xfId="0" applyNumberFormat="1" applyFont="1" applyFill="1" applyBorder="1"/>
    <xf numFmtId="9" fontId="9" fillId="0" borderId="4" xfId="2" applyFont="1" applyBorder="1"/>
    <xf numFmtId="9" fontId="9" fillId="0" borderId="4" xfId="2" applyNumberFormat="1" applyFont="1" applyBorder="1"/>
    <xf numFmtId="9" fontId="9" fillId="0" borderId="21" xfId="2" applyFont="1" applyBorder="1"/>
    <xf numFmtId="9" fontId="19" fillId="7" borderId="17" xfId="2" applyFont="1" applyFill="1" applyBorder="1"/>
    <xf numFmtId="9" fontId="19" fillId="0" borderId="17" xfId="2" applyFont="1" applyFill="1" applyBorder="1"/>
    <xf numFmtId="165" fontId="11" fillId="0" borderId="4" xfId="1" applyNumberFormat="1" applyFont="1" applyBorder="1"/>
    <xf numFmtId="165" fontId="11" fillId="0" borderId="21" xfId="1" applyNumberFormat="1" applyFont="1" applyBorder="1"/>
    <xf numFmtId="0" fontId="19" fillId="0" borderId="10" xfId="0" applyFont="1" applyBorder="1"/>
    <xf numFmtId="9" fontId="9" fillId="0" borderId="23" xfId="2" applyFont="1" applyBorder="1"/>
    <xf numFmtId="9" fontId="9" fillId="0" borderId="24" xfId="2" applyFont="1" applyBorder="1"/>
    <xf numFmtId="9" fontId="19" fillId="7" borderId="19" xfId="2" applyFont="1" applyFill="1" applyBorder="1"/>
    <xf numFmtId="165" fontId="19" fillId="4" borderId="0" xfId="0" applyNumberFormat="1" applyFont="1" applyFill="1"/>
    <xf numFmtId="164" fontId="19" fillId="4" borderId="0" xfId="2" applyNumberFormat="1" applyFont="1" applyFill="1"/>
    <xf numFmtId="165" fontId="19" fillId="17" borderId="0" xfId="0" applyNumberFormat="1" applyFont="1" applyFill="1"/>
    <xf numFmtId="14" fontId="11" fillId="0" borderId="9" xfId="0" applyNumberFormat="1" applyFont="1" applyBorder="1"/>
    <xf numFmtId="8" fontId="13" fillId="0" borderId="30" xfId="0" applyNumberFormat="1" applyFont="1" applyFill="1" applyBorder="1" applyAlignment="1">
      <alignment horizontal="center"/>
    </xf>
    <xf numFmtId="1" fontId="9" fillId="0" borderId="0" xfId="0" applyNumberFormat="1" applyFont="1" applyBorder="1" applyAlignment="1">
      <alignment horizontal="center"/>
    </xf>
    <xf numFmtId="165" fontId="25" fillId="7" borderId="0" xfId="0" applyNumberFormat="1" applyFont="1" applyFill="1" applyAlignment="1">
      <alignment horizontal="center" wrapText="1"/>
    </xf>
    <xf numFmtId="44" fontId="25" fillId="7" borderId="11" xfId="0" applyNumberFormat="1" applyFont="1" applyFill="1" applyBorder="1"/>
    <xf numFmtId="44" fontId="25" fillId="7" borderId="9" xfId="0" applyNumberFormat="1" applyFont="1" applyFill="1" applyBorder="1"/>
    <xf numFmtId="2" fontId="0" fillId="0" borderId="0" xfId="0" applyNumberFormat="1"/>
    <xf numFmtId="9" fontId="11" fillId="0" borderId="11" xfId="2" applyFont="1" applyBorder="1" applyAlignment="1">
      <alignment horizontal="center"/>
    </xf>
    <xf numFmtId="9" fontId="18" fillId="0" borderId="11" xfId="2" applyFont="1" applyBorder="1" applyAlignment="1">
      <alignment horizontal="center"/>
    </xf>
    <xf numFmtId="9" fontId="18" fillId="0" borderId="0" xfId="2" applyFont="1" applyBorder="1" applyAlignment="1">
      <alignment horizontal="center"/>
    </xf>
    <xf numFmtId="165" fontId="18" fillId="0" borderId="0" xfId="0" applyNumberFormat="1" applyFont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65" fontId="19" fillId="0" borderId="0" xfId="0" applyNumberFormat="1" applyFont="1" applyAlignment="1">
      <alignment horizontal="center"/>
    </xf>
    <xf numFmtId="165" fontId="11" fillId="0" borderId="11" xfId="0" applyNumberFormat="1" applyFont="1" applyBorder="1" applyAlignment="1">
      <alignment horizontal="right"/>
    </xf>
    <xf numFmtId="0" fontId="27" fillId="0" borderId="31" xfId="12" applyFont="1"/>
    <xf numFmtId="0" fontId="26" fillId="0" borderId="31" xfId="12"/>
    <xf numFmtId="0" fontId="28" fillId="0" borderId="0" xfId="0" applyFont="1" applyAlignment="1">
      <alignment horizontal="left"/>
    </xf>
    <xf numFmtId="0" fontId="28" fillId="0" borderId="32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171" fontId="0" fillId="0" borderId="0" xfId="0" applyNumberFormat="1" applyFont="1" applyFill="1" applyBorder="1" applyAlignment="1">
      <alignment horizontal="left"/>
    </xf>
    <xf numFmtId="172" fontId="0" fillId="0" borderId="0" xfId="0" applyNumberFormat="1" applyFont="1" applyFill="1" applyBorder="1" applyAlignment="1">
      <alignment horizontal="left"/>
    </xf>
    <xf numFmtId="4" fontId="0" fillId="0" borderId="0" xfId="0" applyNumberFormat="1" applyFont="1" applyFill="1" applyBorder="1" applyAlignment="1">
      <alignment horizontal="left"/>
    </xf>
    <xf numFmtId="4" fontId="0" fillId="0" borderId="0" xfId="0" applyNumberFormat="1" applyAlignment="1">
      <alignment horizontal="left"/>
    </xf>
    <xf numFmtId="171" fontId="0" fillId="0" borderId="0" xfId="0" applyNumberFormat="1" applyFont="1" applyFill="1" applyAlignment="1">
      <alignment horizontal="left"/>
    </xf>
    <xf numFmtId="170" fontId="0" fillId="0" borderId="0" xfId="0" applyNumberFormat="1" applyAlignment="1">
      <alignment horizontal="left"/>
    </xf>
    <xf numFmtId="14" fontId="2" fillId="0" borderId="0" xfId="0" applyNumberFormat="1" applyFont="1" applyAlignment="1">
      <alignment horizontal="left"/>
    </xf>
    <xf numFmtId="4" fontId="2" fillId="0" borderId="0" xfId="0" applyNumberFormat="1" applyFont="1" applyAlignment="1">
      <alignment horizontal="left"/>
    </xf>
    <xf numFmtId="9" fontId="0" fillId="2" borderId="0" xfId="2" applyFont="1" applyFill="1"/>
    <xf numFmtId="165" fontId="0" fillId="2" borderId="0" xfId="0" applyNumberFormat="1" applyFill="1"/>
    <xf numFmtId="6" fontId="0" fillId="2" borderId="0" xfId="0" applyNumberFormat="1" applyFill="1"/>
    <xf numFmtId="165" fontId="9" fillId="17" borderId="11" xfId="0" applyNumberFormat="1" applyFont="1" applyFill="1" applyBorder="1"/>
    <xf numFmtId="165" fontId="9" fillId="5" borderId="11" xfId="0" applyNumberFormat="1" applyFont="1" applyFill="1" applyBorder="1"/>
    <xf numFmtId="165" fontId="18" fillId="0" borderId="11" xfId="0" applyNumberFormat="1" applyFont="1" applyFill="1" applyBorder="1"/>
    <xf numFmtId="44" fontId="9" fillId="0" borderId="14" xfId="1" applyFont="1" applyBorder="1" applyAlignment="1">
      <alignment horizontal="center"/>
    </xf>
    <xf numFmtId="17" fontId="9" fillId="0" borderId="1" xfId="0" applyNumberFormat="1" applyFont="1" applyFill="1" applyBorder="1" applyAlignment="1">
      <alignment horizontal="center"/>
    </xf>
    <xf numFmtId="44" fontId="18" fillId="0" borderId="14" xfId="1" applyFont="1" applyBorder="1" applyAlignment="1">
      <alignment horizontal="center"/>
    </xf>
    <xf numFmtId="0" fontId="10" fillId="4" borderId="0" xfId="0" applyFont="1" applyFill="1"/>
    <xf numFmtId="44" fontId="19" fillId="4" borderId="14" xfId="1" applyFont="1" applyFill="1" applyBorder="1" applyAlignment="1">
      <alignment horizontal="center"/>
    </xf>
    <xf numFmtId="44" fontId="10" fillId="4" borderId="14" xfId="1" applyFont="1" applyFill="1" applyBorder="1" applyAlignment="1">
      <alignment horizontal="center"/>
    </xf>
    <xf numFmtId="44" fontId="10" fillId="0" borderId="0" xfId="1" applyFont="1" applyFill="1" applyBorder="1" applyAlignment="1">
      <alignment horizontal="center"/>
    </xf>
    <xf numFmtId="44" fontId="19" fillId="0" borderId="0" xfId="1" applyFont="1" applyFill="1" applyBorder="1" applyAlignment="1">
      <alignment horizontal="center"/>
    </xf>
    <xf numFmtId="14" fontId="9" fillId="0" borderId="10" xfId="0" applyNumberFormat="1" applyFont="1" applyFill="1" applyBorder="1" applyAlignment="1">
      <alignment horizontal="center"/>
    </xf>
    <xf numFmtId="0" fontId="18" fillId="0" borderId="11" xfId="0" applyFont="1" applyFill="1" applyBorder="1"/>
    <xf numFmtId="49" fontId="10" fillId="3" borderId="8" xfId="3" applyNumberFormat="1" applyFont="1" applyFill="1" applyBorder="1" applyAlignment="1">
      <alignment horizontal="center" wrapText="1"/>
    </xf>
    <xf numFmtId="0" fontId="2" fillId="18" borderId="0" xfId="0" applyFont="1" applyFill="1"/>
    <xf numFmtId="44" fontId="7" fillId="0" borderId="0" xfId="0" applyNumberFormat="1" applyFont="1"/>
    <xf numFmtId="14" fontId="11" fillId="0" borderId="11" xfId="0" applyNumberFormat="1" applyFont="1" applyFill="1" applyBorder="1" applyAlignment="1">
      <alignment horizontal="center"/>
    </xf>
    <xf numFmtId="0" fontId="9" fillId="0" borderId="0" xfId="0" applyFont="1" applyAlignment="1">
      <alignment horizontal="right"/>
    </xf>
    <xf numFmtId="165" fontId="9" fillId="0" borderId="9" xfId="0" applyNumberFormat="1" applyFont="1" applyFill="1" applyBorder="1"/>
    <xf numFmtId="165" fontId="9" fillId="0" borderId="9" xfId="0" applyNumberFormat="1" applyFont="1" applyFill="1" applyBorder="1" applyAlignment="1">
      <alignment horizontal="center"/>
    </xf>
    <xf numFmtId="165" fontId="19" fillId="0" borderId="33" xfId="0" applyNumberFormat="1" applyFont="1" applyBorder="1"/>
    <xf numFmtId="14" fontId="11" fillId="0" borderId="11" xfId="0" applyNumberFormat="1" applyFont="1" applyFill="1" applyBorder="1"/>
    <xf numFmtId="165" fontId="29" fillId="0" borderId="11" xfId="0" applyNumberFormat="1" applyFont="1" applyFill="1" applyBorder="1"/>
    <xf numFmtId="14" fontId="18" fillId="0" borderId="11" xfId="0" applyNumberFormat="1" applyFont="1" applyFill="1" applyBorder="1"/>
    <xf numFmtId="165" fontId="9" fillId="0" borderId="11" xfId="0" applyNumberFormat="1" applyFont="1" applyFill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1" fontId="9" fillId="0" borderId="11" xfId="0" applyNumberFormat="1" applyFont="1" applyFill="1" applyBorder="1" applyAlignment="1">
      <alignment horizontal="center"/>
    </xf>
    <xf numFmtId="165" fontId="9" fillId="0" borderId="0" xfId="0" applyNumberFormat="1" applyFont="1" applyFill="1"/>
    <xf numFmtId="0" fontId="9" fillId="0" borderId="27" xfId="0" applyFont="1" applyFill="1" applyBorder="1"/>
    <xf numFmtId="0" fontId="9" fillId="0" borderId="0" xfId="0" applyFont="1" applyFill="1" applyAlignment="1">
      <alignment horizontal="left" indent="1"/>
    </xf>
    <xf numFmtId="0" fontId="9" fillId="0" borderId="10" xfId="0" applyFont="1" applyFill="1" applyBorder="1" applyAlignment="1">
      <alignment horizontal="center"/>
    </xf>
    <xf numFmtId="165" fontId="11" fillId="0" borderId="11" xfId="0" applyNumberFormat="1" applyFont="1" applyFill="1" applyBorder="1"/>
    <xf numFmtId="165" fontId="11" fillId="0" borderId="9" xfId="0" applyNumberFormat="1" applyFont="1" applyFill="1" applyBorder="1"/>
    <xf numFmtId="44" fontId="9" fillId="0" borderId="0" xfId="1" applyFont="1" applyFill="1"/>
    <xf numFmtId="165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18" fillId="0" borderId="0" xfId="0" applyFont="1" applyFill="1" applyAlignment="1">
      <alignment horizontal="center"/>
    </xf>
    <xf numFmtId="9" fontId="9" fillId="0" borderId="0" xfId="2" applyFont="1" applyFill="1" applyAlignment="1">
      <alignment horizontal="center"/>
    </xf>
    <xf numFmtId="44" fontId="9" fillId="0" borderId="0" xfId="0" applyNumberFormat="1" applyFont="1" applyFill="1"/>
    <xf numFmtId="0" fontId="9" fillId="0" borderId="0" xfId="0" applyFont="1" applyFill="1" applyAlignment="1">
      <alignment horizontal="right"/>
    </xf>
    <xf numFmtId="14" fontId="9" fillId="0" borderId="0" xfId="0" applyNumberFormat="1" applyFont="1"/>
    <xf numFmtId="0" fontId="0" fillId="0" borderId="0" xfId="0"/>
    <xf numFmtId="14" fontId="0" fillId="0" borderId="0" xfId="0" applyNumberFormat="1" applyAlignment="1">
      <alignment horizontal="left" indent="1"/>
    </xf>
    <xf numFmtId="0" fontId="18" fillId="0" borderId="0" xfId="0" applyFont="1" applyAlignment="1">
      <alignment horizontal="right"/>
    </xf>
    <xf numFmtId="44" fontId="9" fillId="0" borderId="0" xfId="0" applyNumberFormat="1" applyFont="1" applyAlignment="1">
      <alignment horizontal="center"/>
    </xf>
    <xf numFmtId="44" fontId="9" fillId="0" borderId="0" xfId="1" applyFont="1" applyAlignment="1">
      <alignment horizontal="center"/>
    </xf>
    <xf numFmtId="0" fontId="14" fillId="0" borderId="0" xfId="0" applyFont="1" applyFill="1" applyAlignment="1">
      <alignment horizontal="left"/>
    </xf>
    <xf numFmtId="165" fontId="18" fillId="0" borderId="11" xfId="0" applyNumberFormat="1" applyFont="1" applyBorder="1"/>
    <xf numFmtId="165" fontId="9" fillId="17" borderId="0" xfId="0" applyNumberFormat="1" applyFont="1" applyFill="1" applyBorder="1"/>
    <xf numFmtId="44" fontId="25" fillId="7" borderId="0" xfId="0" applyNumberFormat="1" applyFont="1" applyFill="1" applyBorder="1"/>
    <xf numFmtId="164" fontId="9" fillId="0" borderId="23" xfId="2" applyNumberFormat="1" applyFont="1" applyBorder="1"/>
    <xf numFmtId="0" fontId="10" fillId="4" borderId="0" xfId="0" applyFont="1" applyFill="1" applyAlignment="1">
      <alignment horizontal="center" vertical="center" wrapText="1"/>
    </xf>
    <xf numFmtId="165" fontId="10" fillId="4" borderId="0" xfId="0" applyNumberFormat="1" applyFont="1" applyFill="1" applyAlignment="1">
      <alignment horizontal="center" vertical="center" wrapText="1"/>
    </xf>
    <xf numFmtId="165" fontId="25" fillId="7" borderId="0" xfId="0" applyNumberFormat="1" applyFont="1" applyFill="1" applyAlignment="1">
      <alignment horizontal="center" vertical="center" wrapText="1"/>
    </xf>
    <xf numFmtId="0" fontId="9" fillId="0" borderId="0" xfId="0" applyFont="1" applyAlignment="1">
      <alignment vertical="center"/>
    </xf>
    <xf numFmtId="44" fontId="9" fillId="0" borderId="0" xfId="1" applyFont="1" applyAlignment="1">
      <alignment vertical="center"/>
    </xf>
    <xf numFmtId="14" fontId="19" fillId="18" borderId="11" xfId="0" applyNumberFormat="1" applyFont="1" applyFill="1" applyBorder="1"/>
    <xf numFmtId="14" fontId="10" fillId="18" borderId="11" xfId="0" applyNumberFormat="1" applyFont="1" applyFill="1" applyBorder="1"/>
    <xf numFmtId="165" fontId="11" fillId="5" borderId="11" xfId="0" applyNumberFormat="1" applyFont="1" applyFill="1" applyBorder="1"/>
    <xf numFmtId="14" fontId="19" fillId="18" borderId="0" xfId="0" applyNumberFormat="1" applyFont="1" applyFill="1" applyBorder="1"/>
    <xf numFmtId="0" fontId="0" fillId="0" borderId="34" xfId="0" applyFill="1" applyBorder="1"/>
    <xf numFmtId="164" fontId="19" fillId="0" borderId="0" xfId="2" applyNumberFormat="1" applyFont="1" applyFill="1"/>
    <xf numFmtId="17" fontId="0" fillId="0" borderId="0" xfId="0" applyNumberFormat="1"/>
    <xf numFmtId="44" fontId="2" fillId="0" borderId="30" xfId="0" applyNumberFormat="1" applyFont="1" applyBorder="1"/>
    <xf numFmtId="0" fontId="2" fillId="0" borderId="0" xfId="0" applyFont="1" applyAlignment="1">
      <alignment horizontal="right"/>
    </xf>
    <xf numFmtId="44" fontId="0" fillId="0" borderId="30" xfId="0" applyNumberFormat="1" applyBorder="1"/>
    <xf numFmtId="0" fontId="11" fillId="0" borderId="11" xfId="0" applyFont="1" applyFill="1" applyBorder="1" applyAlignment="1">
      <alignment horizontal="center"/>
    </xf>
    <xf numFmtId="0" fontId="18" fillId="0" borderId="0" xfId="0" applyFont="1" applyFill="1"/>
    <xf numFmtId="44" fontId="18" fillId="0" borderId="0" xfId="1" applyFont="1" applyFill="1"/>
    <xf numFmtId="9" fontId="11" fillId="0" borderId="11" xfId="2" applyFont="1" applyFill="1" applyBorder="1" applyAlignment="1">
      <alignment horizontal="center"/>
    </xf>
    <xf numFmtId="0" fontId="11" fillId="0" borderId="28" xfId="0" applyFont="1" applyFill="1" applyBorder="1"/>
    <xf numFmtId="1" fontId="11" fillId="0" borderId="11" xfId="0" applyNumberFormat="1" applyFont="1" applyFill="1" applyBorder="1" applyAlignment="1">
      <alignment horizontal="center"/>
    </xf>
    <xf numFmtId="44" fontId="11" fillId="0" borderId="0" xfId="1" applyFont="1" applyFill="1"/>
    <xf numFmtId="165" fontId="11" fillId="0" borderId="11" xfId="0" applyNumberFormat="1" applyFont="1" applyBorder="1" applyAlignment="1">
      <alignment horizontal="center"/>
    </xf>
    <xf numFmtId="0" fontId="11" fillId="0" borderId="28" xfId="0" applyFont="1" applyBorder="1"/>
    <xf numFmtId="0" fontId="3" fillId="0" borderId="0" xfId="0" applyFont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8" fontId="3" fillId="0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0" fillId="0" borderId="0" xfId="0"/>
    <xf numFmtId="14" fontId="19" fillId="0" borderId="11" xfId="0" applyNumberFormat="1" applyFont="1" applyFill="1" applyBorder="1"/>
    <xf numFmtId="9" fontId="11" fillId="0" borderId="9" xfId="2" applyFont="1" applyFill="1" applyBorder="1" applyAlignment="1">
      <alignment horizontal="center"/>
    </xf>
    <xf numFmtId="14" fontId="19" fillId="4" borderId="11" xfId="0" applyNumberFormat="1" applyFont="1" applyFill="1" applyBorder="1"/>
    <xf numFmtId="165" fontId="19" fillId="2" borderId="30" xfId="0" applyNumberFormat="1" applyFont="1" applyFill="1" applyBorder="1"/>
    <xf numFmtId="9" fontId="19" fillId="2" borderId="30" xfId="2" applyFont="1" applyFill="1" applyBorder="1" applyAlignment="1">
      <alignment horizontal="center"/>
    </xf>
    <xf numFmtId="165" fontId="9" fillId="5" borderId="9" xfId="0" applyNumberFormat="1" applyFont="1" applyFill="1" applyBorder="1"/>
    <xf numFmtId="44" fontId="9" fillId="0" borderId="14" xfId="1" applyFont="1" applyFill="1" applyBorder="1" applyAlignment="1">
      <alignment horizontal="center"/>
    </xf>
    <xf numFmtId="0" fontId="11" fillId="4" borderId="11" xfId="0" applyFont="1" applyFill="1" applyBorder="1" applyAlignment="1">
      <alignment horizontal="center"/>
    </xf>
    <xf numFmtId="0" fontId="10" fillId="46" borderId="0" xfId="0" applyFont="1" applyFill="1" applyAlignment="1">
      <alignment horizontal="center" vertical="center" wrapText="1"/>
    </xf>
    <xf numFmtId="165" fontId="18" fillId="0" borderId="9" xfId="0" applyNumberFormat="1" applyFont="1" applyFill="1" applyBorder="1"/>
    <xf numFmtId="0" fontId="3" fillId="0" borderId="1" xfId="0" applyFont="1" applyBorder="1" applyAlignment="1">
      <alignment horizontal="center"/>
    </xf>
    <xf numFmtId="8" fontId="9" fillId="0" borderId="11" xfId="0" applyNumberFormat="1" applyFont="1" applyFill="1" applyBorder="1" applyAlignment="1">
      <alignment horizontal="center"/>
    </xf>
    <xf numFmtId="14" fontId="19" fillId="18" borderId="11" xfId="0" applyNumberFormat="1" applyFont="1" applyFill="1" applyBorder="1" applyAlignment="1">
      <alignment horizontal="center"/>
    </xf>
    <xf numFmtId="14" fontId="9" fillId="4" borderId="11" xfId="0" applyNumberFormat="1" applyFont="1" applyFill="1" applyBorder="1" applyAlignment="1">
      <alignment horizontal="center"/>
    </xf>
    <xf numFmtId="44" fontId="0" fillId="0" borderId="30" xfId="1" applyFont="1" applyBorder="1"/>
    <xf numFmtId="14" fontId="3" fillId="0" borderId="1" xfId="0" applyNumberFormat="1" applyFont="1" applyBorder="1" applyAlignment="1">
      <alignment horizontal="center"/>
    </xf>
    <xf numFmtId="0" fontId="19" fillId="0" borderId="11" xfId="0" applyFont="1" applyFill="1" applyBorder="1"/>
    <xf numFmtId="0" fontId="18" fillId="0" borderId="11" xfId="0" applyFont="1" applyFill="1" applyBorder="1" applyAlignment="1">
      <alignment horizontal="center"/>
    </xf>
    <xf numFmtId="44" fontId="9" fillId="0" borderId="0" xfId="0" applyNumberFormat="1" applyFont="1" applyFill="1" applyAlignment="1">
      <alignment horizontal="center"/>
    </xf>
    <xf numFmtId="165" fontId="11" fillId="0" borderId="0" xfId="0" applyNumberFormat="1" applyFont="1" applyFill="1" applyAlignment="1">
      <alignment horizontal="center"/>
    </xf>
    <xf numFmtId="44" fontId="9" fillId="0" borderId="0" xfId="1" applyFont="1" applyFill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19" fillId="0" borderId="28" xfId="0" applyFont="1" applyBorder="1"/>
    <xf numFmtId="0" fontId="2" fillId="47" borderId="1" xfId="0" applyFont="1" applyFill="1" applyBorder="1" applyAlignment="1">
      <alignment horizontal="center"/>
    </xf>
    <xf numFmtId="14" fontId="9" fillId="2" borderId="11" xfId="0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center"/>
    </xf>
    <xf numFmtId="14" fontId="9" fillId="0" borderId="0" xfId="0" applyNumberFormat="1" applyFont="1" applyFill="1"/>
    <xf numFmtId="0" fontId="11" fillId="4" borderId="0" xfId="0" applyFont="1" applyFill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165" fontId="19" fillId="0" borderId="1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9" fillId="0" borderId="1" xfId="0" applyFont="1" applyBorder="1" applyAlignment="1">
      <alignment horizontal="center" wrapText="1"/>
    </xf>
    <xf numFmtId="0" fontId="9" fillId="0" borderId="1" xfId="0" applyFont="1" applyBorder="1" applyAlignment="1">
      <alignment wrapText="1"/>
    </xf>
    <xf numFmtId="14" fontId="19" fillId="18" borderId="1" xfId="0" applyNumberFormat="1" applyFont="1" applyFill="1" applyBorder="1" applyAlignment="1">
      <alignment wrapText="1"/>
    </xf>
    <xf numFmtId="0" fontId="9" fillId="0" borderId="1" xfId="0" applyFont="1" applyFill="1" applyBorder="1" applyAlignment="1">
      <alignment horizontal="center" wrapText="1"/>
    </xf>
    <xf numFmtId="14" fontId="19" fillId="4" borderId="1" xfId="0" applyNumberFormat="1" applyFont="1" applyFill="1" applyBorder="1" applyAlignment="1">
      <alignment wrapText="1"/>
    </xf>
    <xf numFmtId="0" fontId="18" fillId="0" borderId="1" xfId="0" applyFont="1" applyFill="1" applyBorder="1" applyAlignment="1">
      <alignment horizontal="center" wrapText="1"/>
    </xf>
    <xf numFmtId="165" fontId="11" fillId="0" borderId="1" xfId="0" applyNumberFormat="1" applyFont="1" applyFill="1" applyBorder="1" applyAlignment="1">
      <alignment horizontal="center" wrapText="1"/>
    </xf>
    <xf numFmtId="0" fontId="11" fillId="0" borderId="1" xfId="0" applyFont="1" applyFill="1" applyBorder="1" applyAlignment="1">
      <alignment horizontal="center" wrapText="1"/>
    </xf>
    <xf numFmtId="14" fontId="10" fillId="18" borderId="1" xfId="0" applyNumberFormat="1" applyFont="1" applyFill="1" applyBorder="1" applyAlignment="1">
      <alignment wrapText="1"/>
    </xf>
    <xf numFmtId="14" fontId="19" fillId="17" borderId="1" xfId="0" applyNumberFormat="1" applyFont="1" applyFill="1" applyBorder="1" applyAlignment="1">
      <alignment wrapText="1"/>
    </xf>
    <xf numFmtId="0" fontId="11" fillId="0" borderId="1" xfId="0" applyFont="1" applyBorder="1" applyAlignment="1">
      <alignment wrapText="1"/>
    </xf>
    <xf numFmtId="0" fontId="9" fillId="0" borderId="1" xfId="0" applyFont="1" applyBorder="1"/>
    <xf numFmtId="0" fontId="11" fillId="0" borderId="1" xfId="0" applyFont="1" applyBorder="1" applyAlignment="1">
      <alignment horizontal="center" wrapText="1"/>
    </xf>
    <xf numFmtId="0" fontId="11" fillId="0" borderId="0" xfId="0" applyFont="1" applyAlignment="1">
      <alignment wrapText="1"/>
    </xf>
    <xf numFmtId="0" fontId="11" fillId="0" borderId="1" xfId="0" applyFont="1" applyFill="1" applyBorder="1" applyAlignment="1">
      <alignment wrapText="1"/>
    </xf>
    <xf numFmtId="0" fontId="18" fillId="0" borderId="1" xfId="0" applyFont="1" applyBorder="1"/>
    <xf numFmtId="0" fontId="9" fillId="0" borderId="1" xfId="0" applyFont="1" applyFill="1" applyBorder="1" applyAlignment="1">
      <alignment wrapText="1"/>
    </xf>
    <xf numFmtId="165" fontId="9" fillId="0" borderId="1" xfId="0" applyNumberFormat="1" applyFont="1" applyBorder="1" applyAlignment="1">
      <alignment horizontal="center" wrapText="1"/>
    </xf>
    <xf numFmtId="165" fontId="18" fillId="0" borderId="1" xfId="0" applyNumberFormat="1" applyFont="1" applyBorder="1" applyAlignment="1">
      <alignment horizontal="center" wrapText="1"/>
    </xf>
    <xf numFmtId="165" fontId="11" fillId="0" borderId="1" xfId="0" applyNumberFormat="1" applyFont="1" applyBorder="1" applyAlignment="1">
      <alignment horizontal="center" wrapText="1"/>
    </xf>
    <xf numFmtId="0" fontId="9" fillId="0" borderId="0" xfId="0" applyFont="1" applyFill="1" applyAlignment="1">
      <alignment wrapText="1"/>
    </xf>
    <xf numFmtId="14" fontId="19" fillId="18" borderId="1" xfId="0" applyNumberFormat="1" applyFont="1" applyFill="1" applyBorder="1" applyAlignment="1">
      <alignment vertical="center" wrapText="1"/>
    </xf>
    <xf numFmtId="14" fontId="18" fillId="0" borderId="0" xfId="0" applyNumberFormat="1" applyFont="1"/>
    <xf numFmtId="14" fontId="19" fillId="8" borderId="1" xfId="0" applyNumberFormat="1" applyFont="1" applyFill="1" applyBorder="1" applyAlignment="1">
      <alignment wrapText="1"/>
    </xf>
    <xf numFmtId="0" fontId="9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4" fontId="19" fillId="18" borderId="1" xfId="0" applyNumberFormat="1" applyFont="1" applyFill="1" applyBorder="1"/>
    <xf numFmtId="2" fontId="9" fillId="0" borderId="0" xfId="0" applyNumberFormat="1" applyFont="1" applyAlignment="1">
      <alignment horizontal="center"/>
    </xf>
    <xf numFmtId="0" fontId="18" fillId="0" borderId="0" xfId="0" applyFont="1"/>
    <xf numFmtId="14" fontId="19" fillId="4" borderId="1" xfId="0" applyNumberFormat="1" applyFont="1" applyFill="1" applyBorder="1"/>
    <xf numFmtId="14" fontId="19" fillId="18" borderId="9" xfId="0" applyNumberFormat="1" applyFont="1" applyFill="1" applyBorder="1"/>
    <xf numFmtId="14" fontId="19" fillId="18" borderId="1" xfId="0" applyNumberFormat="1" applyFont="1" applyFill="1" applyBorder="1" applyAlignment="1">
      <alignment horizontal="right" wrapText="1"/>
    </xf>
    <xf numFmtId="0" fontId="11" fillId="0" borderId="1" xfId="0" applyFont="1" applyBorder="1"/>
    <xf numFmtId="0" fontId="9" fillId="0" borderId="11" xfId="0" applyFont="1" applyBorder="1" applyAlignment="1">
      <alignment horizontal="left" wrapText="1"/>
    </xf>
    <xf numFmtId="0" fontId="11" fillId="0" borderId="0" xfId="0" applyFont="1"/>
    <xf numFmtId="14" fontId="19" fillId="8" borderId="11" xfId="0" applyNumberFormat="1" applyFont="1" applyFill="1" applyBorder="1"/>
    <xf numFmtId="14" fontId="10" fillId="18" borderId="11" xfId="0" applyNumberFormat="1" applyFont="1" applyFill="1" applyBorder="1" applyAlignment="1">
      <alignment horizontal="right"/>
    </xf>
    <xf numFmtId="14" fontId="19" fillId="18" borderId="11" xfId="0" applyNumberFormat="1" applyFont="1" applyFill="1" applyBorder="1" applyAlignment="1">
      <alignment horizontal="right"/>
    </xf>
    <xf numFmtId="14" fontId="10" fillId="18" borderId="1" xfId="0" applyNumberFormat="1" applyFont="1" applyFill="1" applyBorder="1" applyAlignment="1">
      <alignment horizontal="right" wrapText="1"/>
    </xf>
    <xf numFmtId="14" fontId="19" fillId="18" borderId="0" xfId="0" applyNumberFormat="1" applyFont="1" applyFill="1" applyBorder="1" applyAlignment="1">
      <alignment horizontal="right"/>
    </xf>
    <xf numFmtId="165" fontId="19" fillId="17" borderId="0" xfId="0" applyNumberFormat="1" applyFont="1" applyFill="1" applyAlignment="1">
      <alignment horizontal="center" vertical="center" wrapText="1"/>
    </xf>
    <xf numFmtId="0" fontId="19" fillId="2" borderId="0" xfId="0" applyFont="1" applyFill="1" applyAlignment="1">
      <alignment horizontal="center" vertical="center" wrapText="1"/>
    </xf>
    <xf numFmtId="49" fontId="18" fillId="0" borderId="1" xfId="4" applyNumberFormat="1" applyFont="1" applyFill="1" applyBorder="1" applyAlignment="1">
      <alignment horizontal="center" vertical="top" wrapText="1"/>
    </xf>
    <xf numFmtId="49" fontId="18" fillId="0" borderId="1" xfId="4" applyNumberFormat="1" applyFont="1" applyFill="1" applyBorder="1" applyAlignment="1">
      <alignment horizontal="left" vertical="top" wrapText="1"/>
    </xf>
    <xf numFmtId="165" fontId="18" fillId="0" borderId="1" xfId="4" applyNumberFormat="1" applyFont="1" applyFill="1" applyBorder="1" applyAlignment="1">
      <alignment horizontal="right" vertical="top"/>
    </xf>
    <xf numFmtId="165" fontId="11" fillId="0" borderId="1" xfId="4" applyNumberFormat="1" applyFont="1" applyFill="1" applyBorder="1" applyAlignment="1">
      <alignment horizontal="left" vertical="top"/>
    </xf>
    <xf numFmtId="49" fontId="55" fillId="0" borderId="1" xfId="4" applyNumberFormat="1" applyFont="1" applyFill="1" applyBorder="1" applyAlignment="1">
      <alignment horizontal="center" vertical="top" wrapText="1"/>
    </xf>
    <xf numFmtId="49" fontId="24" fillId="0" borderId="1" xfId="4" applyNumberFormat="1" applyFont="1" applyFill="1" applyBorder="1" applyAlignment="1">
      <alignment horizontal="center" vertical="top" wrapText="1"/>
    </xf>
    <xf numFmtId="49" fontId="11" fillId="8" borderId="1" xfId="4" applyNumberFormat="1" applyFont="1" applyFill="1" applyBorder="1" applyAlignment="1">
      <alignment horizontal="center" vertical="top" wrapText="1"/>
    </xf>
    <xf numFmtId="0" fontId="56" fillId="3" borderId="6" xfId="3" applyFont="1" applyFill="1" applyBorder="1" applyAlignment="1">
      <alignment horizontal="center" wrapText="1"/>
    </xf>
    <xf numFmtId="49" fontId="11" fillId="4" borderId="1" xfId="4" applyNumberFormat="1" applyFont="1" applyFill="1" applyBorder="1" applyAlignment="1">
      <alignment horizontal="center" vertical="top" wrapText="1"/>
    </xf>
    <xf numFmtId="0" fontId="11" fillId="0" borderId="11" xfId="0" applyFont="1" applyBorder="1" applyAlignment="1">
      <alignment horizontal="left" wrapText="1"/>
    </xf>
    <xf numFmtId="14" fontId="9" fillId="10" borderId="11" xfId="0" applyNumberFormat="1" applyFont="1" applyFill="1" applyBorder="1"/>
    <xf numFmtId="165" fontId="9" fillId="10" borderId="11" xfId="0" applyNumberFormat="1" applyFont="1" applyFill="1" applyBorder="1"/>
    <xf numFmtId="44" fontId="11" fillId="0" borderId="14" xfId="1" applyFont="1" applyBorder="1" applyAlignment="1">
      <alignment horizontal="center"/>
    </xf>
    <xf numFmtId="49" fontId="55" fillId="0" borderId="1" xfId="4" applyNumberFormat="1" applyFont="1" applyFill="1" applyBorder="1" applyAlignment="1">
      <alignment horizontal="left" vertical="top" wrapText="1"/>
    </xf>
    <xf numFmtId="14" fontId="9" fillId="0" borderId="0" xfId="1" applyNumberFormat="1" applyFont="1" applyFill="1"/>
    <xf numFmtId="0" fontId="11" fillId="0" borderId="10" xfId="0" applyFont="1" applyFill="1" applyBorder="1" applyAlignment="1">
      <alignment horizontal="center"/>
    </xf>
    <xf numFmtId="14" fontId="9" fillId="0" borderId="11" xfId="0" applyNumberFormat="1" applyFont="1" applyFill="1" applyBorder="1" applyAlignment="1">
      <alignment horizontal="center" vertical="center"/>
    </xf>
    <xf numFmtId="14" fontId="9" fillId="48" borderId="11" xfId="0" applyNumberFormat="1" applyFont="1" applyFill="1" applyBorder="1" applyAlignment="1">
      <alignment horizontal="center"/>
    </xf>
    <xf numFmtId="0" fontId="9" fillId="48" borderId="10" xfId="0" applyFont="1" applyFill="1" applyBorder="1" applyAlignment="1">
      <alignment horizontal="center"/>
    </xf>
    <xf numFmtId="1" fontId="9" fillId="48" borderId="11" xfId="0" applyNumberFormat="1" applyFont="1" applyFill="1" applyBorder="1" applyAlignment="1">
      <alignment horizontal="center"/>
    </xf>
    <xf numFmtId="0" fontId="19" fillId="2" borderId="0" xfId="0" applyFont="1" applyFill="1"/>
    <xf numFmtId="0" fontId="9" fillId="2" borderId="0" xfId="0" applyFont="1" applyFill="1"/>
    <xf numFmtId="14" fontId="57" fillId="18" borderId="11" xfId="0" applyNumberFormat="1" applyFont="1" applyFill="1" applyBorder="1"/>
    <xf numFmtId="14" fontId="9" fillId="9" borderId="11" xfId="0" applyNumberFormat="1" applyFont="1" applyFill="1" applyBorder="1"/>
    <xf numFmtId="14" fontId="11" fillId="18" borderId="11" xfId="0" applyNumberFormat="1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165" fontId="9" fillId="10" borderId="9" xfId="0" applyNumberFormat="1" applyFont="1" applyFill="1" applyBorder="1"/>
    <xf numFmtId="0" fontId="3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0" fillId="0" borderId="0" xfId="0"/>
    <xf numFmtId="0" fontId="0" fillId="0" borderId="13" xfId="0" applyBorder="1" applyAlignment="1">
      <alignment horizontal="center"/>
    </xf>
    <xf numFmtId="14" fontId="0" fillId="0" borderId="13" xfId="0" applyNumberFormat="1" applyBorder="1" applyAlignment="1">
      <alignment horizontal="center"/>
    </xf>
    <xf numFmtId="14" fontId="0" fillId="0" borderId="13" xfId="0" applyNumberFormat="1" applyFill="1" applyBorder="1" applyAlignment="1">
      <alignment horizontal="center"/>
    </xf>
    <xf numFmtId="8" fontId="0" fillId="0" borderId="13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14" fontId="0" fillId="0" borderId="6" xfId="0" applyNumberFormat="1" applyBorder="1" applyAlignment="1">
      <alignment horizontal="center"/>
    </xf>
    <xf numFmtId="14" fontId="0" fillId="0" borderId="6" xfId="0" applyNumberFormat="1" applyFill="1" applyBorder="1" applyAlignment="1">
      <alignment horizontal="center"/>
    </xf>
    <xf numFmtId="8" fontId="0" fillId="0" borderId="6" xfId="0" applyNumberFormat="1" applyBorder="1" applyAlignment="1">
      <alignment horizontal="center"/>
    </xf>
    <xf numFmtId="14" fontId="19" fillId="0" borderId="1" xfId="0" applyNumberFormat="1" applyFont="1" applyFill="1" applyBorder="1" applyAlignment="1">
      <alignment wrapText="1"/>
    </xf>
    <xf numFmtId="14" fontId="9" fillId="0" borderId="0" xfId="0" applyNumberFormat="1" applyFont="1" applyFill="1" applyAlignment="1">
      <alignment wrapText="1"/>
    </xf>
    <xf numFmtId="14" fontId="9" fillId="0" borderId="1" xfId="0" applyNumberFormat="1" applyFont="1" applyFill="1" applyBorder="1" applyAlignment="1">
      <alignment wrapText="1"/>
    </xf>
    <xf numFmtId="14" fontId="11" fillId="0" borderId="1" xfId="0" applyNumberFormat="1" applyFont="1" applyFill="1" applyBorder="1" applyAlignment="1">
      <alignment wrapText="1"/>
    </xf>
    <xf numFmtId="165" fontId="19" fillId="4" borderId="0" xfId="0" applyNumberFormat="1" applyFont="1" applyFill="1" applyAlignment="1">
      <alignment horizontal="center"/>
    </xf>
    <xf numFmtId="0" fontId="10" fillId="0" borderId="1" xfId="0" applyFont="1" applyBorder="1" applyAlignment="1">
      <alignment horizontal="center" vertical="center" wrapText="1"/>
    </xf>
    <xf numFmtId="14" fontId="9" fillId="18" borderId="11" xfId="0" applyNumberFormat="1" applyFont="1" applyFill="1" applyBorder="1" applyAlignment="1">
      <alignment horizontal="center"/>
    </xf>
    <xf numFmtId="8" fontId="9" fillId="0" borderId="0" xfId="0" applyNumberFormat="1" applyFont="1"/>
    <xf numFmtId="14" fontId="19" fillId="4" borderId="1" xfId="0" applyNumberFormat="1" applyFont="1" applyFill="1" applyBorder="1" applyAlignment="1">
      <alignment vertical="center" wrapText="1"/>
    </xf>
    <xf numFmtId="14" fontId="19" fillId="4" borderId="1" xfId="0" applyNumberFormat="1" applyFont="1" applyFill="1" applyBorder="1" applyAlignment="1">
      <alignment horizontal="right" wrapText="1"/>
    </xf>
    <xf numFmtId="14" fontId="19" fillId="0" borderId="1" xfId="0" applyNumberFormat="1" applyFont="1" applyFill="1" applyBorder="1"/>
    <xf numFmtId="0" fontId="19" fillId="0" borderId="1" xfId="0" applyFont="1" applyFill="1" applyBorder="1"/>
    <xf numFmtId="1" fontId="19" fillId="0" borderId="1" xfId="0" applyNumberFormat="1" applyFont="1" applyFill="1" applyBorder="1" applyAlignment="1">
      <alignment horizontal="center"/>
    </xf>
    <xf numFmtId="0" fontId="11" fillId="0" borderId="1" xfId="0" applyFont="1" applyFill="1" applyBorder="1"/>
    <xf numFmtId="14" fontId="19" fillId="5" borderId="11" xfId="0" applyNumberFormat="1" applyFont="1" applyFill="1" applyBorder="1"/>
    <xf numFmtId="14" fontId="19" fillId="5" borderId="11" xfId="0" applyNumberFormat="1" applyFont="1" applyFill="1" applyBorder="1" applyAlignment="1">
      <alignment horizontal="right"/>
    </xf>
    <xf numFmtId="14" fontId="19" fillId="4" borderId="9" xfId="0" applyNumberFormat="1" applyFont="1" applyFill="1" applyBorder="1"/>
    <xf numFmtId="14" fontId="19" fillId="4" borderId="9" xfId="0" applyNumberFormat="1" applyFont="1" applyFill="1" applyBorder="1" applyAlignment="1">
      <alignment horizontal="right"/>
    </xf>
    <xf numFmtId="14" fontId="10" fillId="4" borderId="11" xfId="0" applyNumberFormat="1" applyFont="1" applyFill="1" applyBorder="1"/>
    <xf numFmtId="14" fontId="10" fillId="4" borderId="11" xfId="0" applyNumberFormat="1" applyFont="1" applyFill="1" applyBorder="1" applyAlignment="1">
      <alignment horizontal="right"/>
    </xf>
    <xf numFmtId="14" fontId="54" fillId="5" borderId="9" xfId="0" applyNumberFormat="1" applyFont="1" applyFill="1" applyBorder="1"/>
    <xf numFmtId="14" fontId="54" fillId="5" borderId="9" xfId="0" applyNumberFormat="1" applyFont="1" applyFill="1" applyBorder="1" applyAlignment="1">
      <alignment horizontal="right"/>
    </xf>
    <xf numFmtId="14" fontId="54" fillId="5" borderId="11" xfId="0" applyNumberFormat="1" applyFont="1" applyFill="1" applyBorder="1"/>
    <xf numFmtId="14" fontId="54" fillId="5" borderId="11" xfId="0" applyNumberFormat="1" applyFont="1" applyFill="1" applyBorder="1" applyAlignment="1">
      <alignment horizontal="right"/>
    </xf>
    <xf numFmtId="14" fontId="10" fillId="8" borderId="11" xfId="0" applyNumberFormat="1" applyFont="1" applyFill="1" applyBorder="1"/>
    <xf numFmtId="14" fontId="10" fillId="8" borderId="11" xfId="0" applyNumberFormat="1" applyFont="1" applyFill="1" applyBorder="1" applyAlignment="1">
      <alignment horizontal="right"/>
    </xf>
    <xf numFmtId="14" fontId="19" fillId="4" borderId="1" xfId="0" applyNumberFormat="1" applyFont="1" applyFill="1" applyBorder="1" applyAlignment="1">
      <alignment horizontal="right"/>
    </xf>
    <xf numFmtId="14" fontId="19" fillId="10" borderId="11" xfId="0" applyNumberFormat="1" applyFont="1" applyFill="1" applyBorder="1"/>
    <xf numFmtId="14" fontId="10" fillId="0" borderId="11" xfId="0" applyNumberFormat="1" applyFont="1" applyFill="1" applyBorder="1"/>
    <xf numFmtId="14" fontId="10" fillId="0" borderId="11" xfId="0" applyNumberFormat="1" applyFont="1" applyFill="1" applyBorder="1" applyAlignment="1">
      <alignment horizontal="right"/>
    </xf>
    <xf numFmtId="14" fontId="19" fillId="10" borderId="11" xfId="0" applyNumberFormat="1" applyFont="1" applyFill="1" applyBorder="1" applyAlignment="1">
      <alignment horizontal="right"/>
    </xf>
    <xf numFmtId="14" fontId="19" fillId="8" borderId="1" xfId="0" applyNumberFormat="1" applyFont="1" applyFill="1" applyBorder="1" applyAlignment="1">
      <alignment horizontal="right" wrapText="1"/>
    </xf>
    <xf numFmtId="165" fontId="19" fillId="5" borderId="11" xfId="0" applyNumberFormat="1" applyFont="1" applyFill="1" applyBorder="1"/>
    <xf numFmtId="165" fontId="19" fillId="5" borderId="11" xfId="0" applyNumberFormat="1" applyFont="1" applyFill="1" applyBorder="1" applyAlignment="1">
      <alignment horizontal="right"/>
    </xf>
    <xf numFmtId="14" fontId="10" fillId="5" borderId="11" xfId="0" applyNumberFormat="1" applyFont="1" applyFill="1" applyBorder="1"/>
    <xf numFmtId="14" fontId="10" fillId="5" borderId="11" xfId="0" applyNumberFormat="1" applyFont="1" applyFill="1" applyBorder="1" applyAlignment="1">
      <alignment horizontal="right"/>
    </xf>
    <xf numFmtId="14" fontId="19" fillId="4" borderId="11" xfId="0" applyNumberFormat="1" applyFont="1" applyFill="1" applyBorder="1" applyAlignment="1">
      <alignment horizontal="center"/>
    </xf>
    <xf numFmtId="165" fontId="19" fillId="5" borderId="9" xfId="0" applyNumberFormat="1" applyFont="1" applyFill="1" applyBorder="1"/>
    <xf numFmtId="165" fontId="19" fillId="5" borderId="9" xfId="0" applyNumberFormat="1" applyFont="1" applyFill="1" applyBorder="1" applyAlignment="1">
      <alignment horizontal="right"/>
    </xf>
    <xf numFmtId="14" fontId="19" fillId="0" borderId="11" xfId="0" applyNumberFormat="1" applyFont="1" applyFill="1" applyBorder="1" applyAlignment="1">
      <alignment horizontal="right"/>
    </xf>
    <xf numFmtId="14" fontId="19" fillId="4" borderId="11" xfId="0" applyNumberFormat="1" applyFont="1" applyFill="1" applyBorder="1" applyAlignment="1">
      <alignment horizontal="right"/>
    </xf>
    <xf numFmtId="14" fontId="19" fillId="8" borderId="11" xfId="0" applyNumberFormat="1" applyFont="1" applyFill="1" applyBorder="1" applyAlignment="1">
      <alignment horizontal="right"/>
    </xf>
    <xf numFmtId="165" fontId="10" fillId="5" borderId="11" xfId="0" applyNumberFormat="1" applyFont="1" applyFill="1" applyBorder="1"/>
    <xf numFmtId="14" fontId="19" fillId="48" borderId="11" xfId="0" applyNumberFormat="1" applyFont="1" applyFill="1" applyBorder="1"/>
    <xf numFmtId="14" fontId="19" fillId="48" borderId="11" xfId="0" applyNumberFormat="1" applyFont="1" applyFill="1" applyBorder="1" applyAlignment="1">
      <alignment horizontal="right"/>
    </xf>
    <xf numFmtId="14" fontId="19" fillId="17" borderId="11" xfId="0" applyNumberFormat="1" applyFont="1" applyFill="1" applyBorder="1"/>
    <xf numFmtId="14" fontId="10" fillId="48" borderId="11" xfId="0" applyNumberFormat="1" applyFont="1" applyFill="1" applyBorder="1"/>
    <xf numFmtId="14" fontId="10" fillId="48" borderId="11" xfId="0" applyNumberFormat="1" applyFont="1" applyFill="1" applyBorder="1" applyAlignment="1">
      <alignment horizontal="right"/>
    </xf>
    <xf numFmtId="14" fontId="10" fillId="18" borderId="11" xfId="0" applyNumberFormat="1" applyFont="1" applyFill="1" applyBorder="1" applyAlignment="1">
      <alignment horizontal="center"/>
    </xf>
    <xf numFmtId="8" fontId="19" fillId="0" borderId="11" xfId="0" applyNumberFormat="1" applyFont="1" applyFill="1" applyBorder="1"/>
    <xf numFmtId="8" fontId="19" fillId="0" borderId="11" xfId="0" applyNumberFormat="1" applyFont="1" applyFill="1" applyBorder="1" applyAlignment="1">
      <alignment horizontal="right"/>
    </xf>
    <xf numFmtId="9" fontId="19" fillId="0" borderId="0" xfId="2" applyFont="1" applyFill="1"/>
    <xf numFmtId="9" fontId="19" fillId="0" borderId="0" xfId="2" applyFont="1" applyFill="1" applyAlignment="1">
      <alignment horizontal="right"/>
    </xf>
    <xf numFmtId="165" fontId="19" fillId="0" borderId="0" xfId="0" applyNumberFormat="1" applyFont="1" applyFill="1"/>
    <xf numFmtId="0" fontId="19" fillId="0" borderId="0" xfId="0" applyFont="1" applyFill="1"/>
    <xf numFmtId="0" fontId="19" fillId="0" borderId="0" xfId="0" applyFont="1" applyFill="1" applyAlignment="1">
      <alignment horizontal="right"/>
    </xf>
    <xf numFmtId="0" fontId="19" fillId="0" borderId="0" xfId="0" applyFont="1" applyAlignment="1">
      <alignment horizontal="right"/>
    </xf>
    <xf numFmtId="0" fontId="0" fillId="0" borderId="1" xfId="0" applyFont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14" fontId="0" fillId="0" borderId="1" xfId="0" applyNumberFormat="1" applyFont="1" applyFill="1" applyBorder="1" applyAlignment="1">
      <alignment horizontal="center"/>
    </xf>
    <xf numFmtId="14" fontId="0" fillId="0" borderId="13" xfId="0" applyNumberFormat="1" applyFont="1" applyFill="1" applyBorder="1" applyAlignment="1">
      <alignment horizontal="center"/>
    </xf>
    <xf numFmtId="8" fontId="0" fillId="0" borderId="1" xfId="0" applyNumberFormat="1" applyFont="1" applyBorder="1" applyAlignment="1">
      <alignment horizontal="center"/>
    </xf>
    <xf numFmtId="9" fontId="18" fillId="0" borderId="11" xfId="2" applyFont="1" applyFill="1" applyBorder="1" applyAlignment="1">
      <alignment horizontal="center"/>
    </xf>
    <xf numFmtId="165" fontId="9" fillId="48" borderId="9" xfId="0" applyNumberFormat="1" applyFont="1" applyFill="1" applyBorder="1"/>
    <xf numFmtId="14" fontId="54" fillId="48" borderId="11" xfId="0" applyNumberFormat="1" applyFont="1" applyFill="1" applyBorder="1"/>
    <xf numFmtId="14" fontId="54" fillId="48" borderId="11" xfId="0" applyNumberFormat="1" applyFont="1" applyFill="1" applyBorder="1" applyAlignment="1">
      <alignment horizontal="right"/>
    </xf>
    <xf numFmtId="165" fontId="18" fillId="48" borderId="9" xfId="0" applyNumberFormat="1" applyFont="1" applyFill="1" applyBorder="1"/>
    <xf numFmtId="8" fontId="18" fillId="0" borderId="0" xfId="0" applyNumberFormat="1" applyFont="1" applyAlignment="1">
      <alignment horizontal="center"/>
    </xf>
    <xf numFmtId="44" fontId="0" fillId="0" borderId="0" xfId="1" applyFont="1" applyAlignment="1">
      <alignment horizontal="center"/>
    </xf>
    <xf numFmtId="0" fontId="2" fillId="0" borderId="45" xfId="0" applyFont="1" applyBorder="1" applyAlignment="1">
      <alignment vertical="center" wrapText="1"/>
    </xf>
    <xf numFmtId="0" fontId="0" fillId="0" borderId="16" xfId="0" applyBorder="1"/>
    <xf numFmtId="14" fontId="0" fillId="0" borderId="16" xfId="0" applyNumberFormat="1" applyBorder="1"/>
    <xf numFmtId="20" fontId="0" fillId="0" borderId="16" xfId="0" applyNumberFormat="1" applyFont="1" applyBorder="1" applyAlignment="1">
      <alignment wrapText="1"/>
    </xf>
    <xf numFmtId="0" fontId="0" fillId="0" borderId="16" xfId="0" applyFont="1" applyBorder="1" applyAlignment="1">
      <alignment wrapText="1"/>
    </xf>
    <xf numFmtId="2" fontId="3" fillId="0" borderId="16" xfId="0" applyNumberFormat="1" applyFont="1" applyBorder="1" applyAlignment="1">
      <alignment horizontal="center" vertical="center"/>
    </xf>
    <xf numFmtId="0" fontId="2" fillId="0" borderId="16" xfId="0" applyFont="1" applyBorder="1" applyAlignment="1">
      <alignment wrapText="1"/>
    </xf>
    <xf numFmtId="44" fontId="2" fillId="0" borderId="16" xfId="1" applyFont="1" applyBorder="1" applyAlignment="1">
      <alignment wrapText="1"/>
    </xf>
    <xf numFmtId="44" fontId="0" fillId="0" borderId="16" xfId="0" applyNumberFormat="1" applyBorder="1"/>
    <xf numFmtId="44" fontId="0" fillId="0" borderId="16" xfId="1" applyFont="1" applyBorder="1"/>
    <xf numFmtId="20" fontId="0" fillId="0" borderId="16" xfId="0" applyNumberFormat="1" applyBorder="1"/>
    <xf numFmtId="2" fontId="0" fillId="0" borderId="16" xfId="0" applyNumberFormat="1" applyBorder="1"/>
    <xf numFmtId="0" fontId="9" fillId="0" borderId="0" xfId="0" pivotButton="1" applyFont="1"/>
    <xf numFmtId="0" fontId="9" fillId="0" borderId="0" xfId="0" pivotButton="1" applyFont="1" applyAlignment="1">
      <alignment wrapText="1"/>
    </xf>
    <xf numFmtId="0" fontId="9" fillId="0" borderId="0" xfId="0" applyNumberFormat="1" applyFont="1"/>
    <xf numFmtId="0" fontId="9" fillId="0" borderId="0" xfId="0" applyFont="1" applyAlignment="1">
      <alignment horizontal="left" indent="1"/>
    </xf>
    <xf numFmtId="0" fontId="58" fillId="0" borderId="11" xfId="0" applyFont="1" applyFill="1" applyBorder="1"/>
    <xf numFmtId="14" fontId="10" fillId="4" borderId="1" xfId="0" applyNumberFormat="1" applyFont="1" applyFill="1" applyBorder="1"/>
    <xf numFmtId="165" fontId="9" fillId="48" borderId="11" xfId="0" applyNumberFormat="1" applyFont="1" applyFill="1" applyBorder="1"/>
    <xf numFmtId="165" fontId="9" fillId="4" borderId="9" xfId="0" applyNumberFormat="1" applyFont="1" applyFill="1" applyBorder="1" applyAlignment="1">
      <alignment horizontal="center"/>
    </xf>
    <xf numFmtId="14" fontId="7" fillId="0" borderId="1" xfId="0" applyNumberFormat="1" applyFont="1" applyFill="1" applyBorder="1" applyAlignment="1">
      <alignment horizontal="center"/>
    </xf>
    <xf numFmtId="14" fontId="19" fillId="48" borderId="1" xfId="0" applyNumberFormat="1" applyFont="1" applyFill="1" applyBorder="1"/>
    <xf numFmtId="165" fontId="18" fillId="0" borderId="0" xfId="0" applyNumberFormat="1" applyFont="1" applyAlignment="1">
      <alignment horizontal="center"/>
    </xf>
    <xf numFmtId="14" fontId="19" fillId="8" borderId="1" xfId="0" applyNumberFormat="1" applyFont="1" applyFill="1" applyBorder="1"/>
    <xf numFmtId="0" fontId="9" fillId="18" borderId="11" xfId="0" applyFont="1" applyFill="1" applyBorder="1"/>
    <xf numFmtId="0" fontId="11" fillId="18" borderId="1" xfId="0" applyFont="1" applyFill="1" applyBorder="1" applyAlignment="1">
      <alignment wrapText="1"/>
    </xf>
    <xf numFmtId="0" fontId="9" fillId="18" borderId="1" xfId="0" applyFont="1" applyFill="1" applyBorder="1"/>
    <xf numFmtId="14" fontId="19" fillId="2" borderId="1" xfId="0" applyNumberFormat="1" applyFont="1" applyFill="1" applyBorder="1"/>
    <xf numFmtId="0" fontId="11" fillId="4" borderId="1" xfId="0" applyFont="1" applyFill="1" applyBorder="1" applyAlignment="1">
      <alignment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8" fontId="0" fillId="8" borderId="1" xfId="0" applyNumberFormat="1" applyFill="1" applyBorder="1" applyAlignment="1">
      <alignment horizontal="center"/>
    </xf>
    <xf numFmtId="0" fontId="9" fillId="0" borderId="16" xfId="0" applyFont="1" applyFill="1" applyBorder="1"/>
    <xf numFmtId="0" fontId="9" fillId="4" borderId="16" xfId="0" applyFont="1" applyFill="1" applyBorder="1"/>
    <xf numFmtId="165" fontId="9" fillId="0" borderId="16" xfId="0" applyNumberFormat="1" applyFont="1" applyFill="1" applyBorder="1"/>
    <xf numFmtId="165" fontId="9" fillId="4" borderId="16" xfId="0" applyNumberFormat="1" applyFont="1" applyFill="1" applyBorder="1"/>
    <xf numFmtId="165" fontId="9" fillId="0" borderId="16" xfId="0" applyNumberFormat="1" applyFont="1" applyFill="1" applyBorder="1" applyAlignment="1">
      <alignment horizontal="center"/>
    </xf>
    <xf numFmtId="0" fontId="0" fillId="0" borderId="16" xfId="0" applyFill="1" applyBorder="1" applyAlignment="1">
      <alignment horizontal="left" indent="1"/>
    </xf>
    <xf numFmtId="165" fontId="0" fillId="0" borderId="16" xfId="0" applyNumberFormat="1" applyFill="1" applyBorder="1"/>
    <xf numFmtId="0" fontId="0" fillId="0" borderId="16" xfId="0" applyFill="1" applyBorder="1" applyAlignment="1">
      <alignment horizontal="left"/>
    </xf>
    <xf numFmtId="165" fontId="9" fillId="48" borderId="16" xfId="0" applyNumberFormat="1" applyFont="1" applyFill="1" applyBorder="1"/>
    <xf numFmtId="0" fontId="19" fillId="8" borderId="16" xfId="0" applyFont="1" applyFill="1" applyBorder="1" applyAlignment="1">
      <alignment vertical="center"/>
    </xf>
    <xf numFmtId="165" fontId="19" fillId="8" borderId="16" xfId="0" applyNumberFormat="1" applyFont="1" applyFill="1" applyBorder="1" applyAlignment="1">
      <alignment horizontal="center" vertical="center" wrapText="1"/>
    </xf>
    <xf numFmtId="9" fontId="9" fillId="0" borderId="16" xfId="2" applyNumberFormat="1" applyFont="1" applyFill="1" applyBorder="1" applyAlignment="1">
      <alignment horizontal="center"/>
    </xf>
    <xf numFmtId="165" fontId="9" fillId="0" borderId="9" xfId="0" applyNumberFormat="1" applyFont="1" applyFill="1" applyBorder="1" applyAlignment="1">
      <alignment horizontal="right"/>
    </xf>
    <xf numFmtId="165" fontId="19" fillId="4" borderId="16" xfId="0" applyNumberFormat="1" applyFont="1" applyFill="1" applyBorder="1" applyAlignment="1">
      <alignment horizontal="center" vertical="center" wrapText="1"/>
    </xf>
    <xf numFmtId="44" fontId="19" fillId="4" borderId="16" xfId="1" applyFont="1" applyFill="1" applyBorder="1"/>
    <xf numFmtId="9" fontId="19" fillId="4" borderId="16" xfId="2" applyFont="1" applyFill="1" applyBorder="1" applyAlignment="1">
      <alignment horizontal="center"/>
    </xf>
    <xf numFmtId="165" fontId="19" fillId="4" borderId="16" xfId="0" applyNumberFormat="1" applyFont="1" applyFill="1" applyBorder="1"/>
    <xf numFmtId="44" fontId="19" fillId="4" borderId="0" xfId="1" applyFont="1" applyFill="1"/>
    <xf numFmtId="0" fontId="19" fillId="8" borderId="0" xfId="0" applyFont="1" applyFill="1" applyAlignment="1">
      <alignment horizontal="center" wrapText="1"/>
    </xf>
    <xf numFmtId="0" fontId="55" fillId="0" borderId="11" xfId="0" applyFont="1" applyFill="1" applyBorder="1"/>
    <xf numFmtId="165" fontId="55" fillId="0" borderId="9" xfId="0" applyNumberFormat="1" applyFont="1" applyFill="1" applyBorder="1"/>
    <xf numFmtId="165" fontId="19" fillId="0" borderId="0" xfId="2" applyNumberFormat="1" applyFont="1" applyFill="1"/>
    <xf numFmtId="8" fontId="9" fillId="0" borderId="1" xfId="0" applyNumberFormat="1" applyFont="1" applyFill="1" applyBorder="1" applyAlignment="1">
      <alignment wrapText="1"/>
    </xf>
    <xf numFmtId="1" fontId="19" fillId="8" borderId="1" xfId="0" applyNumberFormat="1" applyFont="1" applyFill="1" applyBorder="1" applyAlignment="1">
      <alignment horizontal="center"/>
    </xf>
    <xf numFmtId="14" fontId="11" fillId="8" borderId="11" xfId="0" applyNumberFormat="1" applyFont="1" applyFill="1" applyBorder="1" applyAlignment="1">
      <alignment horizontal="center"/>
    </xf>
    <xf numFmtId="165" fontId="9" fillId="8" borderId="9" xfId="0" applyNumberFormat="1" applyFont="1" applyFill="1" applyBorder="1" applyAlignment="1">
      <alignment horizontal="center"/>
    </xf>
    <xf numFmtId="165" fontId="9" fillId="18" borderId="9" xfId="0" applyNumberFormat="1" applyFont="1" applyFill="1" applyBorder="1"/>
    <xf numFmtId="1" fontId="19" fillId="4" borderId="1" xfId="0" applyNumberFormat="1" applyFont="1" applyFill="1" applyBorder="1" applyAlignment="1">
      <alignment horizontal="center"/>
    </xf>
    <xf numFmtId="14" fontId="18" fillId="0" borderId="11" xfId="0" applyNumberFormat="1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 wrapText="1"/>
    </xf>
    <xf numFmtId="0" fontId="9" fillId="2" borderId="11" xfId="0" applyFont="1" applyFill="1" applyBorder="1"/>
    <xf numFmtId="0" fontId="11" fillId="2" borderId="1" xfId="0" applyFont="1" applyFill="1" applyBorder="1" applyAlignment="1">
      <alignment wrapText="1"/>
    </xf>
    <xf numFmtId="0" fontId="9" fillId="2" borderId="1" xfId="0" applyFont="1" applyFill="1" applyBorder="1"/>
    <xf numFmtId="165" fontId="19" fillId="8" borderId="0" xfId="0" applyNumberFormat="1" applyFont="1" applyFill="1" applyAlignment="1">
      <alignment horizontal="center"/>
    </xf>
    <xf numFmtId="14" fontId="9" fillId="0" borderId="0" xfId="0" applyNumberFormat="1" applyFont="1" applyFill="1" applyBorder="1"/>
  </cellXfs>
  <cellStyles count="541">
    <cellStyle name="%" xfId="23"/>
    <cellStyle name="_Book1" xfId="24"/>
    <cellStyle name="_CLM50 to CLM12 Jumper Pricing Document 080909" xfId="25"/>
    <cellStyle name="_Duct Allocation Pricing Document 080905" xfId="26"/>
    <cellStyle name="_NBN CATALOGUE Draft 1" xfId="27"/>
    <cellStyle name="_NBN Greenfields Fujitsu Rollout Analysis 110517" xfId="28"/>
    <cellStyle name="_NBN Indicative BOM Analysis" xfId="29"/>
    <cellStyle name="_Plexicor pricereview june08" xfId="30"/>
    <cellStyle name="=C:\WINNT\SYSTEM32\COMMAND.COM" xfId="31"/>
    <cellStyle name="=C:\WINNT\SYSTEM32\COMMAND.COM 2" xfId="32"/>
    <cellStyle name="0,0_x000d__x000a_NA_x000d__x000a_" xfId="33"/>
    <cellStyle name="0,0_x000d__x000a_NA_x000d__x000a_ 2" xfId="34"/>
    <cellStyle name="0,0_x000d__x000a_NA_x000d__x000a_ 2 2" xfId="35"/>
    <cellStyle name="0,0_x000d__x000a_NA_x000d__x000a_ 3" xfId="36"/>
    <cellStyle name="0,0_x000d__x000a_NA_x000d__x000a__Conversion Matrix for CAD Item to Task Activity Item" xfId="37"/>
    <cellStyle name="20% - Accent1 2" xfId="38"/>
    <cellStyle name="20% - Accent1 3" xfId="39"/>
    <cellStyle name="20% - Accent1 4" xfId="40"/>
    <cellStyle name="20% - Accent1 5" xfId="41"/>
    <cellStyle name="20% - Accent1 6" xfId="42"/>
    <cellStyle name="20% - Accent1 7" xfId="43"/>
    <cellStyle name="20% - Accent2 2" xfId="44"/>
    <cellStyle name="20% - Accent2 3" xfId="45"/>
    <cellStyle name="20% - Accent2 4" xfId="46"/>
    <cellStyle name="20% - Accent2 5" xfId="47"/>
    <cellStyle name="20% - Accent2 6" xfId="48"/>
    <cellStyle name="20% - Accent2 7" xfId="49"/>
    <cellStyle name="20% - Accent3 2" xfId="50"/>
    <cellStyle name="20% - Accent3 3" xfId="51"/>
    <cellStyle name="20% - Accent3 4" xfId="52"/>
    <cellStyle name="20% - Accent3 5" xfId="53"/>
    <cellStyle name="20% - Accent3 6" xfId="54"/>
    <cellStyle name="20% - Accent3 7" xfId="55"/>
    <cellStyle name="20% - Accent4 2" xfId="56"/>
    <cellStyle name="20% - Accent4 3" xfId="57"/>
    <cellStyle name="20% - Accent4 4" xfId="58"/>
    <cellStyle name="20% - Accent4 5" xfId="59"/>
    <cellStyle name="20% - Accent4 6" xfId="60"/>
    <cellStyle name="20% - Accent4 7" xfId="61"/>
    <cellStyle name="20% - Accent5 2" xfId="62"/>
    <cellStyle name="20% - Accent5 3" xfId="63"/>
    <cellStyle name="20% - Accent5 4" xfId="64"/>
    <cellStyle name="20% - Accent5 5" xfId="65"/>
    <cellStyle name="20% - Accent5 6" xfId="66"/>
    <cellStyle name="20% - Accent5 7" xfId="67"/>
    <cellStyle name="20% - Accent6 2" xfId="68"/>
    <cellStyle name="20% - Accent6 3" xfId="69"/>
    <cellStyle name="20% - Accent6 4" xfId="70"/>
    <cellStyle name="20% - Accent6 5" xfId="71"/>
    <cellStyle name="20% - Accent6 6" xfId="72"/>
    <cellStyle name="20% - Accent6 7" xfId="73"/>
    <cellStyle name="40% - Accent1" xfId="7" builtinId="31"/>
    <cellStyle name="40% - Accent1 2" xfId="74"/>
    <cellStyle name="40% - Accent1 3" xfId="75"/>
    <cellStyle name="40% - Accent1 4" xfId="76"/>
    <cellStyle name="40% - Accent1 5" xfId="77"/>
    <cellStyle name="40% - Accent1 6" xfId="78"/>
    <cellStyle name="40% - Accent1 7" xfId="79"/>
    <cellStyle name="40% - Accent2" xfId="8" builtinId="35"/>
    <cellStyle name="40% - Accent2 2" xfId="80"/>
    <cellStyle name="40% - Accent2 3" xfId="81"/>
    <cellStyle name="40% - Accent2 4" xfId="82"/>
    <cellStyle name="40% - Accent2 5" xfId="83"/>
    <cellStyle name="40% - Accent2 6" xfId="84"/>
    <cellStyle name="40% - Accent2 7" xfId="85"/>
    <cellStyle name="40% - Accent3 2" xfId="86"/>
    <cellStyle name="40% - Accent3 3" xfId="87"/>
    <cellStyle name="40% - Accent3 4" xfId="88"/>
    <cellStyle name="40% - Accent3 5" xfId="89"/>
    <cellStyle name="40% - Accent3 6" xfId="90"/>
    <cellStyle name="40% - Accent3 7" xfId="91"/>
    <cellStyle name="40% - Accent4" xfId="9" builtinId="43"/>
    <cellStyle name="40% - Accent4 2" xfId="92"/>
    <cellStyle name="40% - Accent4 3" xfId="93"/>
    <cellStyle name="40% - Accent4 4" xfId="94"/>
    <cellStyle name="40% - Accent4 5" xfId="95"/>
    <cellStyle name="40% - Accent4 6" xfId="96"/>
    <cellStyle name="40% - Accent4 7" xfId="97"/>
    <cellStyle name="40% - Accent5 2" xfId="98"/>
    <cellStyle name="40% - Accent5 3" xfId="99"/>
    <cellStyle name="40% - Accent5 4" xfId="100"/>
    <cellStyle name="40% - Accent5 5" xfId="101"/>
    <cellStyle name="40% - Accent5 6" xfId="102"/>
    <cellStyle name="40% - Accent5 7" xfId="103"/>
    <cellStyle name="40% - Accent6 2" xfId="104"/>
    <cellStyle name="40% - Accent6 3" xfId="105"/>
    <cellStyle name="40% - Accent6 4" xfId="106"/>
    <cellStyle name="40% - Accent6 5" xfId="107"/>
    <cellStyle name="40% - Accent6 6" xfId="108"/>
    <cellStyle name="40% - Accent6 7" xfId="109"/>
    <cellStyle name="60% - Accent1 2" xfId="110"/>
    <cellStyle name="60% - Accent1 3" xfId="111"/>
    <cellStyle name="60% - Accent1 4" xfId="112"/>
    <cellStyle name="60% - Accent1 5" xfId="113"/>
    <cellStyle name="60% - Accent1 6" xfId="114"/>
    <cellStyle name="60% - Accent1 7" xfId="115"/>
    <cellStyle name="60% - Accent2 2" xfId="116"/>
    <cellStyle name="60% - Accent2 3" xfId="117"/>
    <cellStyle name="60% - Accent2 4" xfId="118"/>
    <cellStyle name="60% - Accent2 5" xfId="119"/>
    <cellStyle name="60% - Accent2 6" xfId="120"/>
    <cellStyle name="60% - Accent2 7" xfId="121"/>
    <cellStyle name="60% - Accent3 2" xfId="122"/>
    <cellStyle name="60% - Accent3 3" xfId="123"/>
    <cellStyle name="60% - Accent3 4" xfId="124"/>
    <cellStyle name="60% - Accent3 5" xfId="125"/>
    <cellStyle name="60% - Accent3 6" xfId="126"/>
    <cellStyle name="60% - Accent3 7" xfId="127"/>
    <cellStyle name="60% - Accent4 2" xfId="128"/>
    <cellStyle name="60% - Accent4 3" xfId="129"/>
    <cellStyle name="60% - Accent4 4" xfId="130"/>
    <cellStyle name="60% - Accent4 5" xfId="131"/>
    <cellStyle name="60% - Accent4 6" xfId="132"/>
    <cellStyle name="60% - Accent4 7" xfId="133"/>
    <cellStyle name="60% - Accent5 2" xfId="134"/>
    <cellStyle name="60% - Accent5 3" xfId="135"/>
    <cellStyle name="60% - Accent5 4" xfId="136"/>
    <cellStyle name="60% - Accent5 5" xfId="137"/>
    <cellStyle name="60% - Accent5 6" xfId="138"/>
    <cellStyle name="60% - Accent5 7" xfId="139"/>
    <cellStyle name="60% - Accent6 2" xfId="140"/>
    <cellStyle name="60% - Accent6 3" xfId="141"/>
    <cellStyle name="60% - Accent6 4" xfId="142"/>
    <cellStyle name="60% - Accent6 5" xfId="143"/>
    <cellStyle name="60% - Accent6 6" xfId="144"/>
    <cellStyle name="60% - Accent6 7" xfId="145"/>
    <cellStyle name="_x0002_-_x0002_Ä_x0001_‡_x0003_0_x0002_P_x0003_ _x0002_X_x0003_·_x0002_®_x0003_@_x0002_p_x0003_ª_x0002_¨_x0010_!_x0002__x0003_&quot;_x0001_ÄÇ_x0002__x000e__x0003_ _x0002_é_x0002_Ä_x0001_‡_x0003_Ë_x0002_H_x0003_ _x0002_X" xfId="146"/>
    <cellStyle name="Accent1 2" xfId="147"/>
    <cellStyle name="Accent1 3" xfId="148"/>
    <cellStyle name="Accent1 4" xfId="149"/>
    <cellStyle name="Accent1 5" xfId="150"/>
    <cellStyle name="Accent1 6" xfId="151"/>
    <cellStyle name="Accent1 7" xfId="152"/>
    <cellStyle name="Accent2 2" xfId="153"/>
    <cellStyle name="Accent2 3" xfId="154"/>
    <cellStyle name="Accent2 4" xfId="155"/>
    <cellStyle name="Accent2 5" xfId="156"/>
    <cellStyle name="Accent2 6" xfId="157"/>
    <cellStyle name="Accent2 7" xfId="158"/>
    <cellStyle name="Accent3 2" xfId="159"/>
    <cellStyle name="Accent3 3" xfId="160"/>
    <cellStyle name="Accent3 4" xfId="161"/>
    <cellStyle name="Accent3 5" xfId="162"/>
    <cellStyle name="Accent3 6" xfId="163"/>
    <cellStyle name="Accent3 7" xfId="164"/>
    <cellStyle name="Accent3 8" xfId="165"/>
    <cellStyle name="Accent4 2" xfId="166"/>
    <cellStyle name="Accent4 3" xfId="167"/>
    <cellStyle name="Accent4 4" xfId="168"/>
    <cellStyle name="Accent4 5" xfId="169"/>
    <cellStyle name="Accent4 6" xfId="170"/>
    <cellStyle name="Accent4 7" xfId="171"/>
    <cellStyle name="Accent5 2" xfId="172"/>
    <cellStyle name="Accent5 3" xfId="173"/>
    <cellStyle name="Accent5 4" xfId="174"/>
    <cellStyle name="Accent5 5" xfId="175"/>
    <cellStyle name="Accent5 6" xfId="176"/>
    <cellStyle name="Accent5 7" xfId="177"/>
    <cellStyle name="Accent6 2" xfId="178"/>
    <cellStyle name="Accent6 3" xfId="179"/>
    <cellStyle name="Accent6 4" xfId="180"/>
    <cellStyle name="Accent6 5" xfId="181"/>
    <cellStyle name="Accent6 6" xfId="182"/>
    <cellStyle name="Accent6 7" xfId="183"/>
    <cellStyle name="Bad 2" xfId="184"/>
    <cellStyle name="Bad 3" xfId="185"/>
    <cellStyle name="Bad 4" xfId="186"/>
    <cellStyle name="Bad 5" xfId="187"/>
    <cellStyle name="Bad 6" xfId="188"/>
    <cellStyle name="Bad 7" xfId="189"/>
    <cellStyle name="Calculation 2" xfId="190"/>
    <cellStyle name="Calculation 3" xfId="191"/>
    <cellStyle name="Calculation 4" xfId="192"/>
    <cellStyle name="Calculation 5" xfId="193"/>
    <cellStyle name="Calculation 6" xfId="194"/>
    <cellStyle name="Calculation 7" xfId="195"/>
    <cellStyle name="Check Cell 2" xfId="196"/>
    <cellStyle name="Check Cell 3" xfId="197"/>
    <cellStyle name="Check Cell 4" xfId="198"/>
    <cellStyle name="Check Cell 5" xfId="199"/>
    <cellStyle name="Check Cell 6" xfId="200"/>
    <cellStyle name="Check Cell 7" xfId="201"/>
    <cellStyle name="Comma [0] 2" xfId="202"/>
    <cellStyle name="Comma 10" xfId="203"/>
    <cellStyle name="Comma 11" xfId="539"/>
    <cellStyle name="Comma 2" xfId="10"/>
    <cellStyle name="Comma 2 10" xfId="205"/>
    <cellStyle name="Comma 2 10 2" xfId="206"/>
    <cellStyle name="Comma 2 10 2 2" xfId="207"/>
    <cellStyle name="Comma 2 10 3" xfId="208"/>
    <cellStyle name="Comma 2 11" xfId="209"/>
    <cellStyle name="Comma 2 11 2" xfId="210"/>
    <cellStyle name="Comma 2 11 2 2" xfId="211"/>
    <cellStyle name="Comma 2 11 3" xfId="212"/>
    <cellStyle name="Comma 2 12" xfId="213"/>
    <cellStyle name="Comma 2 12 2" xfId="214"/>
    <cellStyle name="Comma 2 12 2 2" xfId="215"/>
    <cellStyle name="Comma 2 12 3" xfId="216"/>
    <cellStyle name="Comma 2 13" xfId="217"/>
    <cellStyle name="Comma 2 13 2" xfId="218"/>
    <cellStyle name="Comma 2 13 2 2" xfId="219"/>
    <cellStyle name="Comma 2 13 3" xfId="220"/>
    <cellStyle name="Comma 2 14" xfId="221"/>
    <cellStyle name="Comma 2 14 2" xfId="222"/>
    <cellStyle name="Comma 2 14 2 2" xfId="223"/>
    <cellStyle name="Comma 2 14 3" xfId="224"/>
    <cellStyle name="Comma 2 15" xfId="225"/>
    <cellStyle name="Comma 2 15 2" xfId="226"/>
    <cellStyle name="Comma 2 16" xfId="227"/>
    <cellStyle name="Comma 2 17" xfId="204"/>
    <cellStyle name="Comma 2 2" xfId="228"/>
    <cellStyle name="Comma 2 2 2" xfId="229"/>
    <cellStyle name="Comma 2 2 2 2" xfId="230"/>
    <cellStyle name="Comma 2 2 2 2 2" xfId="231"/>
    <cellStyle name="Comma 2 2 2 3" xfId="232"/>
    <cellStyle name="Comma 2 3" xfId="233"/>
    <cellStyle name="Comma 2 3 2" xfId="234"/>
    <cellStyle name="Comma 2 3 2 2" xfId="235"/>
    <cellStyle name="Comma 2 3 3" xfId="236"/>
    <cellStyle name="Comma 2 4" xfId="237"/>
    <cellStyle name="Comma 2 4 2" xfId="238"/>
    <cellStyle name="Comma 2 4 2 2" xfId="239"/>
    <cellStyle name="Comma 2 4 3" xfId="240"/>
    <cellStyle name="Comma 2 5" xfId="241"/>
    <cellStyle name="Comma 2 5 2" xfId="242"/>
    <cellStyle name="Comma 2 5 2 2" xfId="243"/>
    <cellStyle name="Comma 2 5 3" xfId="244"/>
    <cellStyle name="Comma 2 6" xfId="245"/>
    <cellStyle name="Comma 2 6 2" xfId="246"/>
    <cellStyle name="Comma 2 6 2 2" xfId="247"/>
    <cellStyle name="Comma 2 6 3" xfId="248"/>
    <cellStyle name="Comma 2 7" xfId="249"/>
    <cellStyle name="Comma 2 7 2" xfId="250"/>
    <cellStyle name="Comma 2 7 2 2" xfId="251"/>
    <cellStyle name="Comma 2 7 3" xfId="252"/>
    <cellStyle name="Comma 2 8" xfId="253"/>
    <cellStyle name="Comma 2 8 2" xfId="254"/>
    <cellStyle name="Comma 2 8 2 2" xfId="255"/>
    <cellStyle name="Comma 2 8 3" xfId="256"/>
    <cellStyle name="Comma 2 9" xfId="257"/>
    <cellStyle name="Comma 2 9 2" xfId="258"/>
    <cellStyle name="Comma 2 9 2 2" xfId="259"/>
    <cellStyle name="Comma 2 9 3" xfId="260"/>
    <cellStyle name="Comma 3" xfId="261"/>
    <cellStyle name="Comma 3 2" xfId="262"/>
    <cellStyle name="Comma 3 2 2" xfId="263"/>
    <cellStyle name="Comma 3 3" xfId="264"/>
    <cellStyle name="Comma 4" xfId="265"/>
    <cellStyle name="Comma 4 2" xfId="266"/>
    <cellStyle name="Comma 5" xfId="267"/>
    <cellStyle name="Comma 6" xfId="268"/>
    <cellStyle name="Comma 7" xfId="269"/>
    <cellStyle name="Comma 8" xfId="270"/>
    <cellStyle name="Comma 9" xfId="271"/>
    <cellStyle name="Currency" xfId="1" builtinId="4"/>
    <cellStyle name="Currency [0] 2" xfId="272"/>
    <cellStyle name="Currency 10" xfId="273"/>
    <cellStyle name="Currency 11" xfId="274"/>
    <cellStyle name="Currency 12" xfId="275"/>
    <cellStyle name="Currency 13" xfId="540"/>
    <cellStyle name="Currency 2" xfId="11"/>
    <cellStyle name="Currency 2 2" xfId="277"/>
    <cellStyle name="Currency 2 2 2" xfId="278"/>
    <cellStyle name="Currency 2 2 2 2" xfId="279"/>
    <cellStyle name="Currency 2 2 2 2 2" xfId="280"/>
    <cellStyle name="Currency 2 2 2 3" xfId="281"/>
    <cellStyle name="Currency 2 2 3" xfId="282"/>
    <cellStyle name="Currency 2 2 3 2" xfId="283"/>
    <cellStyle name="Currency 2 3" xfId="284"/>
    <cellStyle name="Currency 2 3 2" xfId="285"/>
    <cellStyle name="Currency 2 4" xfId="286"/>
    <cellStyle name="Currency 2 4 2" xfId="287"/>
    <cellStyle name="Currency 2 5" xfId="276"/>
    <cellStyle name="Currency 3" xfId="13"/>
    <cellStyle name="Currency 3 2" xfId="289"/>
    <cellStyle name="Currency 3 3" xfId="288"/>
    <cellStyle name="Currency 4" xfId="16"/>
    <cellStyle name="Currency 4 2" xfId="291"/>
    <cellStyle name="Currency 4 3" xfId="290"/>
    <cellStyle name="Currency 5" xfId="292"/>
    <cellStyle name="Currency 5 2" xfId="293"/>
    <cellStyle name="Currency 5 3" xfId="294"/>
    <cellStyle name="Currency 5 4" xfId="295"/>
    <cellStyle name="Currency 6" xfId="296"/>
    <cellStyle name="Currency 7" xfId="297"/>
    <cellStyle name="Currency 7 2" xfId="298"/>
    <cellStyle name="Currency 7 2 2" xfId="299"/>
    <cellStyle name="Currency 8" xfId="300"/>
    <cellStyle name="Currency 9" xfId="301"/>
    <cellStyle name="Explanatory Text 2" xfId="302"/>
    <cellStyle name="Explanatory Text 3" xfId="303"/>
    <cellStyle name="Explanatory Text 4" xfId="304"/>
    <cellStyle name="Explanatory Text 5" xfId="305"/>
    <cellStyle name="Explanatory Text 6" xfId="306"/>
    <cellStyle name="Explanatory Text 7" xfId="307"/>
    <cellStyle name="Good 2" xfId="308"/>
    <cellStyle name="Good 3" xfId="309"/>
    <cellStyle name="Good 4" xfId="310"/>
    <cellStyle name="Good 5" xfId="311"/>
    <cellStyle name="Good 6" xfId="312"/>
    <cellStyle name="Good 7" xfId="313"/>
    <cellStyle name="Heading 1 2" xfId="314"/>
    <cellStyle name="Heading 1 3" xfId="315"/>
    <cellStyle name="Heading 1 4" xfId="316"/>
    <cellStyle name="Heading 1 5" xfId="317"/>
    <cellStyle name="Heading 1 6" xfId="318"/>
    <cellStyle name="Heading 1 7" xfId="319"/>
    <cellStyle name="Heading 2" xfId="12" builtinId="17"/>
    <cellStyle name="Heading 2 2" xfId="320"/>
    <cellStyle name="Heading 2 3" xfId="321"/>
    <cellStyle name="Heading 2 4" xfId="322"/>
    <cellStyle name="Heading 2 5" xfId="323"/>
    <cellStyle name="Heading 2 6" xfId="324"/>
    <cellStyle name="Heading 2 7" xfId="325"/>
    <cellStyle name="Heading 3 2" xfId="326"/>
    <cellStyle name="Heading 3 3" xfId="327"/>
    <cellStyle name="Heading 3 4" xfId="328"/>
    <cellStyle name="Heading 3 5" xfId="329"/>
    <cellStyle name="Heading 3 6" xfId="330"/>
    <cellStyle name="Heading 3 7" xfId="331"/>
    <cellStyle name="Heading 4 2" xfId="332"/>
    <cellStyle name="Heading 4 3" xfId="333"/>
    <cellStyle name="Heading 4 4" xfId="334"/>
    <cellStyle name="Heading 4 5" xfId="335"/>
    <cellStyle name="Heading 4 6" xfId="336"/>
    <cellStyle name="Heading 4 7" xfId="337"/>
    <cellStyle name="Hyperlink 2" xfId="338"/>
    <cellStyle name="Input 2" xfId="339"/>
    <cellStyle name="Input 3" xfId="340"/>
    <cellStyle name="Input 4" xfId="341"/>
    <cellStyle name="Input 5" xfId="342"/>
    <cellStyle name="Input 6" xfId="343"/>
    <cellStyle name="Input 7" xfId="344"/>
    <cellStyle name="Input 8" xfId="345"/>
    <cellStyle name="Linked Cell 2" xfId="346"/>
    <cellStyle name="Linked Cell 3" xfId="347"/>
    <cellStyle name="Linked Cell 4" xfId="348"/>
    <cellStyle name="Linked Cell 5" xfId="349"/>
    <cellStyle name="Linked Cell 6" xfId="350"/>
    <cellStyle name="Linked Cell 7" xfId="351"/>
    <cellStyle name="Neutral 2" xfId="352"/>
    <cellStyle name="Neutral 3" xfId="353"/>
    <cellStyle name="Neutral 4" xfId="354"/>
    <cellStyle name="Neutral 5" xfId="355"/>
    <cellStyle name="Neutral 6" xfId="356"/>
    <cellStyle name="Neutral 7" xfId="357"/>
    <cellStyle name="Normal" xfId="0" builtinId="0"/>
    <cellStyle name="Normal 10" xfId="358"/>
    <cellStyle name="Normal 10 10" xfId="22"/>
    <cellStyle name="Normal 10 2" xfId="359"/>
    <cellStyle name="Normal 10 2 2" xfId="360"/>
    <cellStyle name="Normal 11" xfId="361"/>
    <cellStyle name="Normal 11 2" xfId="362"/>
    <cellStyle name="Normal 11 3" xfId="363"/>
    <cellStyle name="Normal 11 3 2" xfId="364"/>
    <cellStyle name="Normal 11 4" xfId="365"/>
    <cellStyle name="Normal 11 4 2" xfId="366"/>
    <cellStyle name="Normal 12" xfId="367"/>
    <cellStyle name="Normal 12 2" xfId="368"/>
    <cellStyle name="Normal 13" xfId="369"/>
    <cellStyle name="Normal 14" xfId="370"/>
    <cellStyle name="Normal 14 2" xfId="371"/>
    <cellStyle name="Normal 2" xfId="5"/>
    <cellStyle name="Normal 2 10" xfId="372"/>
    <cellStyle name="Normal 2 10 2" xfId="373"/>
    <cellStyle name="Normal 2 10 2 2" xfId="374"/>
    <cellStyle name="Normal 2 10 3" xfId="375"/>
    <cellStyle name="Normal 2 11" xfId="376"/>
    <cellStyle name="Normal 2 11 2" xfId="377"/>
    <cellStyle name="Normal 2 11 2 2" xfId="378"/>
    <cellStyle name="Normal 2 11 3" xfId="379"/>
    <cellStyle name="Normal 2 12" xfId="380"/>
    <cellStyle name="Normal 2 12 2" xfId="381"/>
    <cellStyle name="Normal 2 13" xfId="382"/>
    <cellStyle name="Normal 2 15" xfId="21"/>
    <cellStyle name="Normal 2 2" xfId="20"/>
    <cellStyle name="Normal 2 2 2" xfId="383"/>
    <cellStyle name="Normal 2 2 2 2" xfId="384"/>
    <cellStyle name="Normal 2 2 3" xfId="385"/>
    <cellStyle name="Normal 2 3" xfId="386"/>
    <cellStyle name="Normal 2 3 2" xfId="387"/>
    <cellStyle name="Normal 2 3 2 2" xfId="388"/>
    <cellStyle name="Normal 2 3 3" xfId="389"/>
    <cellStyle name="Normal 2 4" xfId="390"/>
    <cellStyle name="Normal 2 4 2" xfId="391"/>
    <cellStyle name="Normal 2 4 2 2" xfId="392"/>
    <cellStyle name="Normal 2 4 3" xfId="393"/>
    <cellStyle name="Normal 2 5" xfId="394"/>
    <cellStyle name="Normal 2 5 2" xfId="395"/>
    <cellStyle name="Normal 2 5 2 2" xfId="396"/>
    <cellStyle name="Normal 2 5 3" xfId="397"/>
    <cellStyle name="Normal 2 6" xfId="398"/>
    <cellStyle name="Normal 2 6 2" xfId="399"/>
    <cellStyle name="Normal 2 6 2 2" xfId="400"/>
    <cellStyle name="Normal 2 6 3" xfId="401"/>
    <cellStyle name="Normal 2 7" xfId="402"/>
    <cellStyle name="Normal 2 7 2" xfId="403"/>
    <cellStyle name="Normal 2 7 2 2" xfId="404"/>
    <cellStyle name="Normal 2 7 3" xfId="405"/>
    <cellStyle name="Normal 2 8" xfId="406"/>
    <cellStyle name="Normal 2 8 2" xfId="407"/>
    <cellStyle name="Normal 2 8 2 2" xfId="408"/>
    <cellStyle name="Normal 2 8 3" xfId="409"/>
    <cellStyle name="Normal 2 9" xfId="410"/>
    <cellStyle name="Normal 2 9 2" xfId="411"/>
    <cellStyle name="Normal 2 9 2 2" xfId="412"/>
    <cellStyle name="Normal 2 9 3" xfId="413"/>
    <cellStyle name="Normal 2_RFP Appendix H - RCP Program Analysis 100816a" xfId="414"/>
    <cellStyle name="Normal 3" xfId="3"/>
    <cellStyle name="Normal 3 10" xfId="415"/>
    <cellStyle name="Normal 3 10 2" xfId="416"/>
    <cellStyle name="Normal 3 10 2 2" xfId="417"/>
    <cellStyle name="Normal 3 10 3" xfId="418"/>
    <cellStyle name="Normal 3 11" xfId="419"/>
    <cellStyle name="Normal 3 11 2" xfId="420"/>
    <cellStyle name="Normal 3 11 2 2" xfId="421"/>
    <cellStyle name="Normal 3 11 3" xfId="422"/>
    <cellStyle name="Normal 3 12" xfId="423"/>
    <cellStyle name="Normal 3 12 2" xfId="424"/>
    <cellStyle name="Normal 3 12 2 2" xfId="425"/>
    <cellStyle name="Normal 3 12 3" xfId="426"/>
    <cellStyle name="Normal 3 13" xfId="427"/>
    <cellStyle name="Normal 3 13 2" xfId="428"/>
    <cellStyle name="Normal 3 13 2 2" xfId="429"/>
    <cellStyle name="Normal 3 13 3" xfId="430"/>
    <cellStyle name="Normal 3 14" xfId="431"/>
    <cellStyle name="Normal 3 14 2" xfId="432"/>
    <cellStyle name="Normal 3 14 2 2" xfId="433"/>
    <cellStyle name="Normal 3 14 3" xfId="434"/>
    <cellStyle name="Normal 3 15" xfId="435"/>
    <cellStyle name="Normal 3 15 2" xfId="436"/>
    <cellStyle name="Normal 3 16" xfId="437"/>
    <cellStyle name="Normal 3 17" xfId="438"/>
    <cellStyle name="Normal 3 18" xfId="439"/>
    <cellStyle name="Normal 3 2" xfId="17"/>
    <cellStyle name="Normal 3 2 2" xfId="440"/>
    <cellStyle name="Normal 3 2 2 2" xfId="441"/>
    <cellStyle name="Normal 3 2 2 2 2" xfId="442"/>
    <cellStyle name="Normal 3 2 2 3" xfId="443"/>
    <cellStyle name="Normal 3 2 3" xfId="444"/>
    <cellStyle name="Normal 3 2 3 2" xfId="445"/>
    <cellStyle name="Normal 3 2 4" xfId="446"/>
    <cellStyle name="Normal 3 3" xfId="15"/>
    <cellStyle name="Normal 3 3 2" xfId="447"/>
    <cellStyle name="Normal 3 3 2 2" xfId="448"/>
    <cellStyle name="Normal 3 3 3" xfId="449"/>
    <cellStyle name="Normal 3 4" xfId="450"/>
    <cellStyle name="Normal 3 4 2" xfId="451"/>
    <cellStyle name="Normal 3 4 2 2" xfId="452"/>
    <cellStyle name="Normal 3 4 3" xfId="453"/>
    <cellStyle name="Normal 3 5" xfId="454"/>
    <cellStyle name="Normal 3 5 2" xfId="455"/>
    <cellStyle name="Normal 3 5 2 2" xfId="456"/>
    <cellStyle name="Normal 3 5 3" xfId="457"/>
    <cellStyle name="Normal 3 6" xfId="458"/>
    <cellStyle name="Normal 3 6 2" xfId="459"/>
    <cellStyle name="Normal 3 6 2 2" xfId="460"/>
    <cellStyle name="Normal 3 6 3" xfId="461"/>
    <cellStyle name="Normal 3 7" xfId="462"/>
    <cellStyle name="Normal 3 7 2" xfId="463"/>
    <cellStyle name="Normal 3 7 2 2" xfId="464"/>
    <cellStyle name="Normal 3 7 3" xfId="465"/>
    <cellStyle name="Normal 3 8" xfId="466"/>
    <cellStyle name="Normal 3 8 2" xfId="467"/>
    <cellStyle name="Normal 3 8 2 2" xfId="468"/>
    <cellStyle name="Normal 3 8 3" xfId="469"/>
    <cellStyle name="Normal 3 9" xfId="470"/>
    <cellStyle name="Normal 3 9 2" xfId="471"/>
    <cellStyle name="Normal 3 9 2 2" xfId="472"/>
    <cellStyle name="Normal 3 9 3" xfId="473"/>
    <cellStyle name="Normal 3_Schedule 4 - Pricing Schedule v0.3" xfId="474"/>
    <cellStyle name="Normal 4" xfId="4"/>
    <cellStyle name="Normal 4 2" xfId="475"/>
    <cellStyle name="Normal 4 2 2" xfId="476"/>
    <cellStyle name="Normal 4 2 2 2" xfId="477"/>
    <cellStyle name="Normal 4 2 3" xfId="478"/>
    <cellStyle name="Normal 4 3" xfId="479"/>
    <cellStyle name="Normal 4 3 2" xfId="480"/>
    <cellStyle name="Normal 4 3 2 2" xfId="481"/>
    <cellStyle name="Normal 4 3 3" xfId="482"/>
    <cellStyle name="Normal 4 4" xfId="483"/>
    <cellStyle name="Normal 4 4 2" xfId="484"/>
    <cellStyle name="Normal 4 4 2 2" xfId="485"/>
    <cellStyle name="Normal 4 4 3" xfId="486"/>
    <cellStyle name="Normal 5" xfId="6"/>
    <cellStyle name="Normal 5 2" xfId="18"/>
    <cellStyle name="Normal 6" xfId="487"/>
    <cellStyle name="Normal 6 2" xfId="488"/>
    <cellStyle name="Normal 6 3" xfId="489"/>
    <cellStyle name="Normal 6 4" xfId="14"/>
    <cellStyle name="Normal 7" xfId="490"/>
    <cellStyle name="Normal 7 2" xfId="491"/>
    <cellStyle name="Normal 8" xfId="492"/>
    <cellStyle name="Normal 9" xfId="493"/>
    <cellStyle name="Note 2" xfId="494"/>
    <cellStyle name="Note 2 2" xfId="495"/>
    <cellStyle name="Note 3" xfId="496"/>
    <cellStyle name="Note 3 2" xfId="497"/>
    <cellStyle name="Note 4" xfId="498"/>
    <cellStyle name="Note 4 2" xfId="499"/>
    <cellStyle name="Note 5" xfId="500"/>
    <cellStyle name="Note 5 2" xfId="501"/>
    <cellStyle name="Note 6" xfId="502"/>
    <cellStyle name="Note 6 2" xfId="503"/>
    <cellStyle name="Note 7" xfId="504"/>
    <cellStyle name="Note 7 2" xfId="505"/>
    <cellStyle name="OBI_ColHeader" xfId="506"/>
    <cellStyle name="Output 2" xfId="19"/>
    <cellStyle name="Output 3" xfId="507"/>
    <cellStyle name="Output 4" xfId="508"/>
    <cellStyle name="Output 5" xfId="509"/>
    <cellStyle name="Output 6" xfId="510"/>
    <cellStyle name="Output 7" xfId="511"/>
    <cellStyle name="Percent" xfId="2" builtinId="5"/>
    <cellStyle name="Percent 2" xfId="512"/>
    <cellStyle name="Percent 2 2" xfId="513"/>
    <cellStyle name="Percent 2 2 2" xfId="514"/>
    <cellStyle name="Percent 2 3" xfId="515"/>
    <cellStyle name="Percent 3" xfId="516"/>
    <cellStyle name="Percent 3 2" xfId="517"/>
    <cellStyle name="Percent 4" xfId="518"/>
    <cellStyle name="Percent 4 2" xfId="519"/>
    <cellStyle name="Style 1" xfId="520"/>
    <cellStyle name="Title 2" xfId="521"/>
    <cellStyle name="Title 3" xfId="522"/>
    <cellStyle name="Title 4" xfId="523"/>
    <cellStyle name="Title 5" xfId="524"/>
    <cellStyle name="Title 6" xfId="525"/>
    <cellStyle name="Title 7" xfId="526"/>
    <cellStyle name="Total 2" xfId="527"/>
    <cellStyle name="Total 3" xfId="528"/>
    <cellStyle name="Total 4" xfId="529"/>
    <cellStyle name="Total 5" xfId="530"/>
    <cellStyle name="Total 6" xfId="531"/>
    <cellStyle name="Total 7" xfId="532"/>
    <cellStyle name="Warning Text 2" xfId="533"/>
    <cellStyle name="Warning Text 3" xfId="534"/>
    <cellStyle name="Warning Text 4" xfId="535"/>
    <cellStyle name="Warning Text 5" xfId="536"/>
    <cellStyle name="Warning Text 6" xfId="537"/>
    <cellStyle name="Warning Text 7" xfId="538"/>
  </cellStyles>
  <dxfs count="1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&quot;$&quot;#,##0.00"/>
    </dxf>
    <dxf>
      <numFmt numFmtId="165" formatCode="&quot;$&quot;#,##0.00"/>
    </dxf>
    <dxf>
      <numFmt numFmtId="13" formatCode="0%"/>
    </dxf>
    <dxf>
      <numFmt numFmtId="13" formatCode="0%"/>
    </dxf>
    <dxf>
      <numFmt numFmtId="34" formatCode="_-&quot;$&quot;* #,##0.00_-;\-&quot;$&quot;* #,##0.00_-;_-&quot;$&quot;* &quot;-&quot;??_-;_-@_-"/>
    </dxf>
    <dxf>
      <numFmt numFmtId="165" formatCode="&quot;$&quot;#,##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3" formatCode="0%"/>
    </dxf>
    <dxf>
      <numFmt numFmtId="13" formatCode="0%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alignment wrapText="1" readingOrder="0"/>
    </dxf>
    <dxf>
      <alignment wrapText="1" readingOrder="0"/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numFmt numFmtId="165" formatCode="&quot;$&quot;#,##0.00"/>
    </dxf>
    <dxf>
      <numFmt numFmtId="165" formatCode="&quot;$&quot;#,##0.00"/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font>
        <name val="Arial Narrow"/>
        <scheme val="none"/>
      </font>
    </dxf>
    <dxf>
      <numFmt numFmtId="165" formatCode="&quot;$&quot;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alignment horizontal="center" readingOrder="0"/>
    </dxf>
    <dxf>
      <alignment horizontal="center" readingOrder="0"/>
    </dxf>
    <dxf>
      <fill>
        <patternFill patternType="none">
          <bgColor auto="1"/>
        </patternFill>
      </fill>
    </dxf>
    <dxf>
      <font>
        <b/>
      </font>
    </dxf>
    <dxf>
      <numFmt numFmtId="165" formatCode="&quot;$&quot;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2" formatCode="0.00"/>
    </dxf>
    <dxf>
      <numFmt numFmtId="173" formatCode="0.000"/>
    </dxf>
    <dxf>
      <numFmt numFmtId="174" formatCode="0.0000"/>
    </dxf>
    <dxf>
      <numFmt numFmtId="175" formatCode="0.00000"/>
    </dxf>
    <dxf>
      <numFmt numFmtId="176" formatCode="0.000000"/>
    </dxf>
    <dxf>
      <numFmt numFmtId="177" formatCode="0.0000000"/>
    </dxf>
    <dxf>
      <numFmt numFmtId="178" formatCode="0.00000000"/>
    </dxf>
    <dxf>
      <numFmt numFmtId="177" formatCode="0.0000000"/>
    </dxf>
    <dxf>
      <numFmt numFmtId="176" formatCode="0.000000"/>
    </dxf>
    <dxf>
      <border>
        <top style="thin">
          <color theme="2" tint="-0.24994659260841701"/>
        </top>
      </border>
    </dxf>
    <dxf>
      <border>
        <top style="thin">
          <color theme="2" tint="-0.24994659260841701"/>
        </top>
      </border>
    </dxf>
    <dxf>
      <font>
        <color theme="5"/>
      </font>
      <border>
        <bottom style="medium">
          <color theme="2" tint="-0.499984740745262"/>
        </bottom>
      </border>
    </dxf>
    <dxf>
      <font>
        <color theme="4"/>
      </font>
      <fill>
        <patternFill patternType="none">
          <bgColor auto="1"/>
        </patternFill>
      </fill>
      <border diagonalUp="0" diagonalDown="0">
        <left/>
        <right/>
        <top style="thin">
          <color theme="4"/>
        </top>
        <bottom/>
        <vertical/>
        <horizontal/>
      </border>
    </dxf>
  </dxfs>
  <tableStyles count="1" defaultTableStyle="TableStyleMedium2" defaultPivotStyle="PivotStyleLight16">
    <tableStyle name="Employee time sheet" pivot="0" count="4">
      <tableStyleElement type="wholeTable" dxfId="155"/>
      <tableStyleElement type="headerRow" dxfId="154"/>
      <tableStyleElement type="firstRowStripe" dxfId="153"/>
      <tableStyleElement type="secondRowStripe" dxfId="152"/>
    </tableStyle>
  </tableStyles>
  <colors>
    <mruColors>
      <color rgb="FFFF66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20.xml"/><Relationship Id="rId47" Type="http://schemas.openxmlformats.org/officeDocument/2006/relationships/pivotCacheDefinition" Target="pivotCache/pivotCacheDefinition5.xml"/><Relationship Id="rId50" Type="http://schemas.openxmlformats.org/officeDocument/2006/relationships/pivotCacheDefinition" Target="pivotCache/pivotCacheDefinition8.xml"/><Relationship Id="rId55" Type="http://schemas.openxmlformats.org/officeDocument/2006/relationships/pivotCacheDefinition" Target="pivotCache/pivotCacheDefinition13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7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0.xml"/><Relationship Id="rId37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18.xml"/><Relationship Id="rId45" Type="http://schemas.openxmlformats.org/officeDocument/2006/relationships/pivotCacheDefinition" Target="pivotCache/pivotCacheDefinition3.xml"/><Relationship Id="rId53" Type="http://schemas.openxmlformats.org/officeDocument/2006/relationships/pivotCacheDefinition" Target="pivotCache/pivotCacheDefinition11.xml"/><Relationship Id="rId58" Type="http://schemas.openxmlformats.org/officeDocument/2006/relationships/pivotCacheDefinition" Target="pivotCache/pivotCacheDefinition16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1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35" Type="http://schemas.openxmlformats.org/officeDocument/2006/relationships/externalLink" Target="externalLinks/externalLink13.xml"/><Relationship Id="rId43" Type="http://schemas.openxmlformats.org/officeDocument/2006/relationships/pivotCacheDefinition" Target="pivotCache/pivotCacheDefinition1.xml"/><Relationship Id="rId48" Type="http://schemas.openxmlformats.org/officeDocument/2006/relationships/pivotCacheDefinition" Target="pivotCache/pivotCacheDefinition6.xml"/><Relationship Id="rId56" Type="http://schemas.openxmlformats.org/officeDocument/2006/relationships/pivotCacheDefinition" Target="pivotCache/pivotCacheDefinition14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externalLink" Target="externalLinks/externalLink11.xml"/><Relationship Id="rId38" Type="http://schemas.openxmlformats.org/officeDocument/2006/relationships/externalLink" Target="externalLinks/externalLink16.xml"/><Relationship Id="rId46" Type="http://schemas.openxmlformats.org/officeDocument/2006/relationships/pivotCacheDefinition" Target="pivotCache/pivotCacheDefinition4.xml"/><Relationship Id="rId59" Type="http://schemas.openxmlformats.org/officeDocument/2006/relationships/pivotCacheDefinition" Target="pivotCache/pivotCacheDefinition1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9.xml"/><Relationship Id="rId54" Type="http://schemas.openxmlformats.org/officeDocument/2006/relationships/pivotCacheDefinition" Target="pivotCache/pivotCacheDefinition12.xml"/><Relationship Id="rId62" Type="http://schemas.openxmlformats.org/officeDocument/2006/relationships/pivotCacheDefinition" Target="pivotCache/pivotCacheDefinition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36" Type="http://schemas.openxmlformats.org/officeDocument/2006/relationships/externalLink" Target="externalLinks/externalLink14.xml"/><Relationship Id="rId49" Type="http://schemas.openxmlformats.org/officeDocument/2006/relationships/pivotCacheDefinition" Target="pivotCache/pivotCacheDefinition7.xml"/><Relationship Id="rId57" Type="http://schemas.openxmlformats.org/officeDocument/2006/relationships/pivotCacheDefinition" Target="pivotCache/pivotCacheDefinition15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9.xml"/><Relationship Id="rId44" Type="http://schemas.openxmlformats.org/officeDocument/2006/relationships/pivotCacheDefinition" Target="pivotCache/pivotCacheDefinition2.xml"/><Relationship Id="rId52" Type="http://schemas.openxmlformats.org/officeDocument/2006/relationships/pivotCacheDefinition" Target="pivotCache/pivotCacheDefinition10.xml"/><Relationship Id="rId60" Type="http://schemas.openxmlformats.org/officeDocument/2006/relationships/pivotCacheDefinition" Target="pivotCache/pivotCacheDefinition18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1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qnpho8/Documents%20and%20Settings/pstockwell/Local%20Settings/Temporary%20Internet%20Files/OLK117/Documents%20and%20Settings/lscott/Local%20Settings/Temporary%20Internet%20Files/OLK78/bondsreg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owen2\techserv\Statistics\Daily%20Reports\Data%20Sheet\Data%20-%20Mt%20Owen%20Complex%20V02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OWEN2\tech\TechServ\Statistics\Daily%20Reports\Data%20Sheet\Data%20-%20Mt%20Owen%20Complex%20V02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Jason\Usefull%20stuff\0597_LY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acumming\AppData\Local\Microsoft\Windows\Temporary%20Internet%20Files\Content.Outlook\6PN563ET\DTSJV%20-%20CV%20Jan%202013%20(12%20Months)%20(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qnpho8/Documents%20and%20Settings/lscott/Local%20Settings/Temporary%20Internet%20Files/OLK78/bondsreg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sjashcroft\AppData\Local\Microsoft\Windows\Temporary%20Internet%20Files\Content.Outlook\8AIO4RUZ\130417%20National%20DJC%20Forecast%20(March%20Actuals)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dlwong\AppData\Local\Microsoft\Windows\Temporary%20Internet%20Files\Content.Outlook\QB4EQ9M0\4XXX-XX%20BOQ_BOM%20GATEX%20DDMMYYYY%20Template%20V1.48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sjashcroft\Desktop\Copy%20of%20130518%20National%20DJC%20Forecast%20(In%20preparation%20for%20May%20Actuals)(1600h)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VicAdmin\Management\Trading%20Summaries%202013\Feb%2013%20Results%20Water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SVR2\Folder%20Redirection\Working%20files\WDA%20TOC%20Summary%20FINAL%20working%20file%2008011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S\NBN\7.0%20Finance%20&amp;%20Commercial\7.6%20Cost%20Control%20%20Forecasting\Live%20Forecast\1306%20June\National%20DJC%20Forecast%20130726%201200h%20-%20FINAL%20JUNE%202013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A&amp;AS\06.0%20Finance\06.01%20Accruals\NBN\Asbuilt\FSAM01\ARMIDALE%20-%20(Silcar)%20-%20FDAs%20NBN%20Recon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mphilipp\AppData\Local\Microsoft\Windows\Temporary%20Internet%20Files\Content.Outlook\EJWEOHPY\FSAM%20Program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S\NBN\7.0%20Finance%20&amp;%20Commercial\7.20%20Accounting\Forecasting\2012\1204\Overheads\SC%20NBN%20OH%20Forecasting%20Tool%20-%20National%20+%20Regional%2015-05-2012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sjashcroft\AppData\Local\Microsoft\Windows\Temporary%20Internet%20Files\Content.Outlook\TL0IIKXA\NBN%20Project%20NSMA%20-%20Schedule%202%20Pricing%20Silcar%2020110525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S\NBN\7.0%20Finance%20&amp;%20Commercial\7.20%20Accounting\Cashflow%20modelling\NBN%20Fibre%20Network%20Project%20FSAM%20Cash%20Flow%20model%20-reduced%20FSAM%20volumes%20to%20June%202013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S\NBN\7.0%20Finance%20&amp;%20Commercial\7.6%20Cost%20Control%20%20Forecasting\Live%20Forecast\1307%20July\National%20DJC%20Forecast%20130806%201400h%20(parallel%20forecast)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onstruction\Construction%20Commercial\Construction%20Commercial%20-%20WA\Project%20Cost%20Analyst\Armidale%20(Silcar)\backup\ARMIDALE%20-%20(Silcar)%20-%20FDAs%20&amp;%20FSAs%20(sent%20to%20DL)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enmarov/Documents/!%20%20NBN%20Fusion%20RFP/FttC%20Drops/Financials/Annexure%20E2%20-%20Copper%20Serviceability%20FTTC%20SoR%20Schedule_Datateks%20v3%2020180604%20&amp;%20Subby%20Co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arantee Sched"/>
      <sheetName val="bondsreg"/>
      <sheetName val="EquipmentMovement"/>
      <sheetName val="Forecast calc OHs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 Raw Data"/>
      <sheetName val="Raw Data - Tailings Pit"/>
      <sheetName val="Raw Data - West Pit"/>
      <sheetName val="Shift Totals"/>
      <sheetName val="24hr Report - Mt Owen"/>
      <sheetName val="24hr Report - Western Pits"/>
      <sheetName val="Daily Coal Target Data"/>
      <sheetName val="MtO Graphs"/>
      <sheetName val="Target Data"/>
      <sheetName val="TP1 Graphs"/>
      <sheetName val="TP1 Target Data NEW"/>
      <sheetName val="TP2 Graphs"/>
      <sheetName val="TP2 Target Data NEW"/>
      <sheetName val="WPT Graphs"/>
      <sheetName val="WPT Target Data NEW"/>
      <sheetName val="FileManagement"/>
    </sheetNames>
    <sheetDataSet>
      <sheetData sheetId="0" refreshError="1"/>
      <sheetData sheetId="1">
        <row r="750">
          <cell r="A750">
            <v>5315</v>
          </cell>
        </row>
      </sheetData>
      <sheetData sheetId="2">
        <row r="3">
          <cell r="GH3" t="str">
            <v>TP1</v>
          </cell>
        </row>
      </sheetData>
      <sheetData sheetId="3">
        <row r="3">
          <cell r="GG3" t="str">
            <v>EXP</v>
          </cell>
        </row>
      </sheetData>
      <sheetData sheetId="4"/>
      <sheetData sheetId="5">
        <row r="2">
          <cell r="A2" t="str">
            <v>Mt Owen Complex - Mt Owen Pit</v>
          </cell>
        </row>
      </sheetData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 Raw Data"/>
      <sheetName val="Raw Data - Tailings Pit"/>
      <sheetName val="Raw Data - West Pit"/>
      <sheetName val="Shift Totals"/>
      <sheetName val="24hr Report - Mt Owen"/>
      <sheetName val="24hr Report - Western Pits"/>
      <sheetName val="Daily Coal Target Data"/>
      <sheetName val="MtO Graphs"/>
      <sheetName val="Target Data"/>
      <sheetName val="TP1 Graphs"/>
      <sheetName val="TP1 Target Data NEW"/>
      <sheetName val="TP2 Graphs"/>
      <sheetName val="TP2 Target Data NEW"/>
      <sheetName val="WPT Graphs"/>
      <sheetName val="WPT Target Data NEW"/>
      <sheetName val="FileManage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 &amp; B"/>
      <sheetName val="Sheet1"/>
      <sheetName val="Sheet2"/>
      <sheetName val="Sheet3"/>
      <sheetName val="Ma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SJV - Jan 13"/>
      <sheetName val="DTSJV - Annual CV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arantee Sched"/>
      <sheetName val="bondsreg"/>
      <sheetName val="EquipmentMovement"/>
    </sheetNames>
    <sheetDataSet>
      <sheetData sheetId="0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 File"/>
      <sheetName val="VarianceExport"/>
      <sheetName val="Instructions"/>
      <sheetName val="Variance Codes"/>
      <sheetName val="Variance Report"/>
      <sheetName val="FSAM Summary"/>
      <sheetName val="FSAM Summary D&amp;C"/>
      <sheetName val="FSAM Summary Design"/>
      <sheetName val="Revenue Summary"/>
      <sheetName val="Change Report"/>
      <sheetName val="Design Summary"/>
      <sheetName val="Construction Summary"/>
      <sheetName val="Import Last Months Export File"/>
      <sheetName val="Refresh Last Month Pivot"/>
      <sheetName val="Import JDE Budget"/>
      <sheetName val="Import JDE Actuals"/>
      <sheetName val="Import Priced FSAM Diary"/>
      <sheetName val="EV Import"/>
      <sheetName val="Project Info"/>
      <sheetName val="KIA2"/>
      <sheetName val="KIA3"/>
      <sheetName val="CRC1"/>
      <sheetName val="CRC2"/>
      <sheetName val="CRC3"/>
      <sheetName val="CRC4"/>
      <sheetName val="CRC5"/>
      <sheetName val="CRC6"/>
      <sheetName val="ARM4"/>
      <sheetName val="ARM5"/>
      <sheetName val="ARM6"/>
      <sheetName val="CFS1"/>
      <sheetName val="CFS2"/>
      <sheetName val="CFS3"/>
      <sheetName val="CFS4"/>
      <sheetName val="CFS5"/>
      <sheetName val="CFS6"/>
      <sheetName val="CFS7"/>
      <sheetName val="SAW1"/>
      <sheetName val="SAW2"/>
      <sheetName val="SAW3"/>
      <sheetName val="SAW4"/>
      <sheetName val="APL1"/>
      <sheetName val="APL2"/>
      <sheetName val="APL3"/>
      <sheetName val="APL4"/>
      <sheetName val="APL5"/>
      <sheetName val="APL6"/>
      <sheetName val="GDN1"/>
      <sheetName val="GDN2"/>
      <sheetName val="GDN3"/>
      <sheetName val="GDN4"/>
      <sheetName val="GDN5"/>
      <sheetName val="GDN6"/>
      <sheetName val="GDN7"/>
      <sheetName val="GDN8"/>
      <sheetName val="TOB1"/>
      <sheetName val="TOB2"/>
      <sheetName val="TOB3"/>
      <sheetName val="TOB4"/>
      <sheetName val="TOB5"/>
      <sheetName val="TOB6"/>
      <sheetName val="TOB7"/>
      <sheetName val="TOB8"/>
      <sheetName val="TOB9"/>
      <sheetName val="BLK1"/>
      <sheetName val="BLK2"/>
      <sheetName val="BLK3"/>
      <sheetName val="BLK4"/>
      <sheetName val="BLK5"/>
      <sheetName val="BLK6"/>
      <sheetName val="BLK9"/>
      <sheetName val="GOS1"/>
      <sheetName val="GOS2"/>
      <sheetName val="GOS3"/>
      <sheetName val="GOS4"/>
      <sheetName val="GOS5"/>
      <sheetName val="GOS6"/>
      <sheetName val="GOS7"/>
      <sheetName val="GOS8"/>
      <sheetName val="GUL2"/>
      <sheetName val="GUL3"/>
      <sheetName val="GUL4"/>
      <sheetName val="GUL5"/>
      <sheetName val="GUL6"/>
      <sheetName val="GUL7"/>
      <sheetName val="PTH1"/>
      <sheetName val="PTH2"/>
      <sheetName val="PTH3"/>
      <sheetName val="PTH4"/>
      <sheetName val="PTH5"/>
      <sheetName val="PTH6"/>
      <sheetName val="PTH7"/>
      <sheetName val="HOM1"/>
      <sheetName val="HOM2"/>
      <sheetName val="HOM3"/>
      <sheetName val="HOM4"/>
      <sheetName val="RIV1"/>
      <sheetName val="RIV2"/>
      <sheetName val="RIV3"/>
      <sheetName val="RIV4"/>
      <sheetName val="TNS1"/>
      <sheetName val="TNS2"/>
      <sheetName val="TNS3"/>
      <sheetName val="TNS4"/>
      <sheetName val="TNS5"/>
      <sheetName val="TNS6"/>
      <sheetName val="LID1"/>
      <sheetName val="LID2"/>
      <sheetName val="LID3"/>
      <sheetName val="LID4"/>
      <sheetName val="LID5"/>
      <sheetName val="LID6"/>
      <sheetName val="LID7"/>
      <sheetName val="LID8"/>
      <sheetName val="RCH1"/>
      <sheetName val="RCH2"/>
      <sheetName val="RCH3"/>
      <sheetName val="RCH4"/>
      <sheetName val="RCH5"/>
      <sheetName val="RCH6"/>
      <sheetName val="MAI3"/>
      <sheetName val="MAI7"/>
      <sheetName val="MAI11"/>
      <sheetName val="CAI1"/>
      <sheetName val="CAI2"/>
      <sheetName val="CAI3"/>
      <sheetName val="CAI4"/>
      <sheetName val="CAI5"/>
      <sheetName val="MKY1"/>
      <sheetName val="MKY2"/>
      <sheetName val="MKY3"/>
      <sheetName val="MKY4"/>
      <sheetName val="MKY5"/>
      <sheetName val="MDG1"/>
      <sheetName val="MDG2"/>
      <sheetName val="MDG3"/>
      <sheetName val="TEE2"/>
      <sheetName val="TEE3"/>
      <sheetName val="TEE4"/>
      <sheetName val="TEE5"/>
      <sheetName val="ASH1"/>
      <sheetName val="ASH2"/>
      <sheetName val="ASH3"/>
      <sheetName val="BBE1"/>
      <sheetName val="BDB1"/>
      <sheetName val="BDB2"/>
      <sheetName val="COR4"/>
      <sheetName val="COR5"/>
      <sheetName val="COR6"/>
      <sheetName val="COR7"/>
      <sheetName val="COR8"/>
      <sheetName val="CVI1"/>
      <sheetName val="CVI2"/>
      <sheetName val="CVI3"/>
      <sheetName val="CVI4"/>
      <sheetName val="CVI5"/>
      <sheetName val="DAP1"/>
      <sheetName val="DAP2"/>
      <sheetName val="DAP3"/>
      <sheetName val="DAP4"/>
      <sheetName val="DAP5"/>
      <sheetName val="DAP6"/>
      <sheetName val="IPS2"/>
      <sheetName val="IPS4"/>
      <sheetName val="IPS8"/>
      <sheetName val="KLG1"/>
      <sheetName val="KLG4"/>
      <sheetName val="KLG7"/>
      <sheetName val="LIV4"/>
      <sheetName val="LJT1"/>
      <sheetName val="LJT2"/>
      <sheetName val="LJT3"/>
      <sheetName val="LJT4"/>
      <sheetName val="LJT5"/>
      <sheetName val="LJT6"/>
      <sheetName val="LJT7"/>
      <sheetName val="LJT8"/>
      <sheetName val="LJT9"/>
      <sheetName val="NDG1"/>
      <sheetName val="NDG2"/>
      <sheetName val="NDG3"/>
      <sheetName val="NDG4"/>
      <sheetName val="QBN3"/>
      <sheetName val="QBN4"/>
      <sheetName val="QBN6"/>
      <sheetName val="ROT1"/>
      <sheetName val="ROT2"/>
      <sheetName val="ROT3"/>
      <sheetName val="SLA1"/>
      <sheetName val="SLA2"/>
      <sheetName val="SLA3"/>
      <sheetName val="WAG2"/>
      <sheetName val="WLG1"/>
      <sheetName val="WLG2"/>
      <sheetName val="WLG3"/>
      <sheetName val="WLG4"/>
      <sheetName val="WLG5"/>
      <sheetName val="WLG6"/>
    </sheetNames>
    <sheetDataSet>
      <sheetData sheetId="0"/>
      <sheetData sheetId="1"/>
      <sheetData sheetId="2">
        <row r="4">
          <cell r="F4">
            <v>41360</v>
          </cell>
        </row>
      </sheetData>
      <sheetData sheetId="3">
        <row r="2">
          <cell r="A2">
            <v>0</v>
          </cell>
          <cell r="B2" t="str">
            <v>No relevant code, Comment Required ------&gt;</v>
          </cell>
        </row>
        <row r="3">
          <cell r="A3">
            <v>1</v>
          </cell>
          <cell r="B3" t="str">
            <v>Balancing Figure to be investigated</v>
          </cell>
        </row>
        <row r="4">
          <cell r="A4">
            <v>2</v>
          </cell>
          <cell r="B4" t="str">
            <v>Design efficiency savings</v>
          </cell>
        </row>
        <row r="5">
          <cell r="A5">
            <v>3</v>
          </cell>
          <cell r="B5">
            <v>0</v>
          </cell>
        </row>
        <row r="6">
          <cell r="A6">
            <v>4</v>
          </cell>
          <cell r="B6">
            <v>0</v>
          </cell>
        </row>
        <row r="7">
          <cell r="A7">
            <v>5</v>
          </cell>
          <cell r="B7" t="str">
            <v>BOM Quantity Variance</v>
          </cell>
        </row>
        <row r="8">
          <cell r="A8">
            <v>6</v>
          </cell>
          <cell r="B8" t="str">
            <v>BOQ Quantity Variance</v>
          </cell>
        </row>
        <row r="9">
          <cell r="A9">
            <v>7</v>
          </cell>
          <cell r="B9">
            <v>0</v>
          </cell>
        </row>
        <row r="10">
          <cell r="A10">
            <v>8</v>
          </cell>
          <cell r="B10">
            <v>0</v>
          </cell>
        </row>
        <row r="11">
          <cell r="A11">
            <v>9</v>
          </cell>
          <cell r="B11">
            <v>0</v>
          </cell>
        </row>
        <row r="12">
          <cell r="A12">
            <v>10</v>
          </cell>
          <cell r="B12" t="str">
            <v>Self Performance Productivity (Thiess Boring)</v>
          </cell>
        </row>
        <row r="13">
          <cell r="A13">
            <v>11</v>
          </cell>
          <cell r="B13" t="str">
            <v>Self Performance Productivity (Silcar Splicing)</v>
          </cell>
        </row>
        <row r="14">
          <cell r="A14">
            <v>12</v>
          </cell>
          <cell r="B14" t="str">
            <v>Self Performance Productivity (Labour Hire Civil)</v>
          </cell>
        </row>
        <row r="15">
          <cell r="A15">
            <v>13</v>
          </cell>
          <cell r="B15" t="str">
            <v>Self Performance Productivity (Thiess Energy)</v>
          </cell>
        </row>
        <row r="16">
          <cell r="A16">
            <v>14</v>
          </cell>
          <cell r="B16">
            <v>0</v>
          </cell>
        </row>
        <row r="17">
          <cell r="A17">
            <v>15</v>
          </cell>
          <cell r="B17" t="str">
            <v>Defect Rectification</v>
          </cell>
        </row>
        <row r="18">
          <cell r="A18">
            <v>16</v>
          </cell>
          <cell r="B18">
            <v>0</v>
          </cell>
        </row>
        <row r="19">
          <cell r="A19">
            <v>17</v>
          </cell>
          <cell r="B19">
            <v>0</v>
          </cell>
        </row>
        <row r="20">
          <cell r="A20">
            <v>18</v>
          </cell>
          <cell r="B20">
            <v>0</v>
          </cell>
        </row>
        <row r="21">
          <cell r="A21">
            <v>19</v>
          </cell>
          <cell r="B21">
            <v>0</v>
          </cell>
        </row>
        <row r="22">
          <cell r="A22">
            <v>20</v>
          </cell>
          <cell r="B22" t="str">
            <v>Multi Hauling Dispute</v>
          </cell>
        </row>
        <row r="23">
          <cell r="A23">
            <v>21</v>
          </cell>
          <cell r="B23" t="str">
            <v>OTDR Dispute</v>
          </cell>
        </row>
        <row r="24">
          <cell r="A24">
            <v>22</v>
          </cell>
          <cell r="B24" t="str">
            <v>Self remediation</v>
          </cell>
        </row>
        <row r="25">
          <cell r="A25">
            <v>23</v>
          </cell>
          <cell r="B25">
            <v>0</v>
          </cell>
        </row>
        <row r="26">
          <cell r="A26">
            <v>24</v>
          </cell>
          <cell r="B26">
            <v>0</v>
          </cell>
        </row>
        <row r="27">
          <cell r="A27">
            <v>25</v>
          </cell>
          <cell r="B27">
            <v>0</v>
          </cell>
        </row>
        <row r="28">
          <cell r="A28">
            <v>26</v>
          </cell>
          <cell r="B28">
            <v>0</v>
          </cell>
        </row>
        <row r="29">
          <cell r="A29">
            <v>27</v>
          </cell>
          <cell r="B29">
            <v>0</v>
          </cell>
        </row>
        <row r="30">
          <cell r="A30">
            <v>28</v>
          </cell>
          <cell r="B30">
            <v>0</v>
          </cell>
        </row>
        <row r="31">
          <cell r="A31">
            <v>29</v>
          </cell>
          <cell r="B31">
            <v>0</v>
          </cell>
        </row>
        <row r="32">
          <cell r="A32">
            <v>30</v>
          </cell>
          <cell r="B32" t="str">
            <v>LAHFA Payments made extra to Subcontract</v>
          </cell>
        </row>
        <row r="33">
          <cell r="A33">
            <v>31</v>
          </cell>
          <cell r="B33" t="str">
            <v>Minimum shot bore payments made</v>
          </cell>
        </row>
        <row r="34">
          <cell r="A34">
            <v>32</v>
          </cell>
          <cell r="B34" t="str">
            <v>Services search performed by Silcar</v>
          </cell>
        </row>
        <row r="35">
          <cell r="A35">
            <v>33</v>
          </cell>
          <cell r="B35" t="str">
            <v>Cut ins performed for subcontractor</v>
          </cell>
        </row>
        <row r="36">
          <cell r="A36">
            <v>34</v>
          </cell>
          <cell r="B36" t="str">
            <v>Subcontractor paid hourly</v>
          </cell>
        </row>
        <row r="37">
          <cell r="A37">
            <v>35</v>
          </cell>
          <cell r="B37" t="str">
            <v>Other costs in support of subcontractors</v>
          </cell>
        </row>
        <row r="38">
          <cell r="A38">
            <v>36</v>
          </cell>
          <cell r="B38" t="str">
            <v>US Splicing Crews</v>
          </cell>
        </row>
        <row r="39">
          <cell r="A39">
            <v>37</v>
          </cell>
          <cell r="B39">
            <v>0</v>
          </cell>
        </row>
        <row r="40">
          <cell r="A40">
            <v>38</v>
          </cell>
          <cell r="B40">
            <v>0</v>
          </cell>
        </row>
        <row r="41">
          <cell r="A41">
            <v>39</v>
          </cell>
          <cell r="B41">
            <v>0</v>
          </cell>
        </row>
        <row r="42">
          <cell r="A42">
            <v>40</v>
          </cell>
          <cell r="B42">
            <v>0</v>
          </cell>
        </row>
        <row r="43">
          <cell r="A43">
            <v>41</v>
          </cell>
          <cell r="B43">
            <v>0</v>
          </cell>
        </row>
        <row r="44">
          <cell r="A44">
            <v>42</v>
          </cell>
          <cell r="B44">
            <v>0</v>
          </cell>
        </row>
        <row r="45">
          <cell r="A45">
            <v>43</v>
          </cell>
          <cell r="B45">
            <v>0</v>
          </cell>
        </row>
        <row r="46">
          <cell r="A46">
            <v>44</v>
          </cell>
          <cell r="B46">
            <v>0</v>
          </cell>
        </row>
        <row r="47">
          <cell r="A47">
            <v>45</v>
          </cell>
          <cell r="B47">
            <v>0</v>
          </cell>
        </row>
        <row r="48">
          <cell r="A48">
            <v>46</v>
          </cell>
          <cell r="B48">
            <v>0</v>
          </cell>
        </row>
        <row r="49">
          <cell r="A49">
            <v>47</v>
          </cell>
          <cell r="B49">
            <v>0</v>
          </cell>
        </row>
        <row r="50">
          <cell r="A50">
            <v>48</v>
          </cell>
          <cell r="B50">
            <v>0</v>
          </cell>
        </row>
        <row r="51">
          <cell r="A51">
            <v>49</v>
          </cell>
          <cell r="B51">
            <v>0</v>
          </cell>
        </row>
        <row r="52">
          <cell r="A52">
            <v>50</v>
          </cell>
          <cell r="B52">
            <v>0</v>
          </cell>
        </row>
        <row r="53">
          <cell r="A53">
            <v>51</v>
          </cell>
          <cell r="B53">
            <v>0</v>
          </cell>
        </row>
        <row r="54">
          <cell r="A54">
            <v>52</v>
          </cell>
          <cell r="B54">
            <v>0</v>
          </cell>
        </row>
        <row r="55">
          <cell r="A55">
            <v>53</v>
          </cell>
          <cell r="B55">
            <v>0</v>
          </cell>
        </row>
        <row r="56">
          <cell r="A56">
            <v>54</v>
          </cell>
          <cell r="B56">
            <v>0</v>
          </cell>
        </row>
        <row r="57">
          <cell r="A57">
            <v>55</v>
          </cell>
          <cell r="B57">
            <v>0</v>
          </cell>
        </row>
        <row r="58">
          <cell r="A58">
            <v>56</v>
          </cell>
          <cell r="B58">
            <v>0</v>
          </cell>
        </row>
        <row r="59">
          <cell r="A59">
            <v>57</v>
          </cell>
          <cell r="B59">
            <v>0</v>
          </cell>
        </row>
        <row r="60">
          <cell r="A60">
            <v>58</v>
          </cell>
          <cell r="B60">
            <v>0</v>
          </cell>
        </row>
        <row r="61">
          <cell r="A61">
            <v>59</v>
          </cell>
          <cell r="B61">
            <v>0</v>
          </cell>
        </row>
        <row r="62">
          <cell r="A62">
            <v>60</v>
          </cell>
          <cell r="B62">
            <v>0</v>
          </cell>
        </row>
        <row r="63">
          <cell r="A63">
            <v>61</v>
          </cell>
          <cell r="B63">
            <v>0</v>
          </cell>
        </row>
        <row r="64">
          <cell r="A64">
            <v>62</v>
          </cell>
          <cell r="B64">
            <v>0</v>
          </cell>
        </row>
        <row r="65">
          <cell r="A65">
            <v>63</v>
          </cell>
          <cell r="B65">
            <v>0</v>
          </cell>
        </row>
        <row r="66">
          <cell r="A66">
            <v>64</v>
          </cell>
          <cell r="B66">
            <v>0</v>
          </cell>
        </row>
        <row r="67">
          <cell r="A67">
            <v>65</v>
          </cell>
          <cell r="B67">
            <v>0</v>
          </cell>
        </row>
        <row r="68">
          <cell r="A68">
            <v>66</v>
          </cell>
          <cell r="B68">
            <v>0</v>
          </cell>
        </row>
        <row r="69">
          <cell r="A69">
            <v>67</v>
          </cell>
          <cell r="B69">
            <v>0</v>
          </cell>
        </row>
        <row r="70">
          <cell r="A70">
            <v>68</v>
          </cell>
          <cell r="B70">
            <v>0</v>
          </cell>
        </row>
        <row r="71">
          <cell r="A71">
            <v>69</v>
          </cell>
          <cell r="B71">
            <v>0</v>
          </cell>
        </row>
        <row r="72">
          <cell r="A72">
            <v>70</v>
          </cell>
          <cell r="B72">
            <v>0</v>
          </cell>
        </row>
        <row r="73">
          <cell r="A73">
            <v>71</v>
          </cell>
          <cell r="B73">
            <v>0</v>
          </cell>
        </row>
        <row r="74">
          <cell r="A74">
            <v>72</v>
          </cell>
          <cell r="B74">
            <v>0</v>
          </cell>
        </row>
        <row r="75">
          <cell r="A75">
            <v>73</v>
          </cell>
          <cell r="B75">
            <v>0</v>
          </cell>
        </row>
        <row r="76">
          <cell r="A76">
            <v>74</v>
          </cell>
          <cell r="B76">
            <v>0</v>
          </cell>
        </row>
        <row r="77">
          <cell r="A77">
            <v>75</v>
          </cell>
          <cell r="B77">
            <v>0</v>
          </cell>
        </row>
        <row r="78">
          <cell r="A78">
            <v>76</v>
          </cell>
          <cell r="B78">
            <v>0</v>
          </cell>
        </row>
        <row r="79">
          <cell r="A79">
            <v>77</v>
          </cell>
          <cell r="B79">
            <v>0</v>
          </cell>
        </row>
        <row r="80">
          <cell r="A80">
            <v>78</v>
          </cell>
          <cell r="B80">
            <v>0</v>
          </cell>
        </row>
        <row r="81">
          <cell r="A81">
            <v>79</v>
          </cell>
          <cell r="B81">
            <v>0</v>
          </cell>
        </row>
        <row r="82">
          <cell r="A82">
            <v>80</v>
          </cell>
          <cell r="B82">
            <v>0</v>
          </cell>
        </row>
        <row r="83">
          <cell r="A83">
            <v>81</v>
          </cell>
          <cell r="B83">
            <v>0</v>
          </cell>
        </row>
        <row r="84">
          <cell r="A84">
            <v>82</v>
          </cell>
          <cell r="B84">
            <v>0</v>
          </cell>
        </row>
        <row r="85">
          <cell r="A85">
            <v>83</v>
          </cell>
          <cell r="B85">
            <v>0</v>
          </cell>
        </row>
        <row r="86">
          <cell r="A86">
            <v>84</v>
          </cell>
          <cell r="B86">
            <v>0</v>
          </cell>
        </row>
        <row r="87">
          <cell r="A87">
            <v>85</v>
          </cell>
          <cell r="B87">
            <v>0</v>
          </cell>
        </row>
        <row r="88">
          <cell r="A88">
            <v>86</v>
          </cell>
          <cell r="B88">
            <v>0</v>
          </cell>
        </row>
        <row r="89">
          <cell r="A89">
            <v>87</v>
          </cell>
          <cell r="B89">
            <v>0</v>
          </cell>
        </row>
        <row r="90">
          <cell r="A90">
            <v>88</v>
          </cell>
          <cell r="B90">
            <v>0</v>
          </cell>
        </row>
        <row r="91">
          <cell r="A91">
            <v>89</v>
          </cell>
          <cell r="B91">
            <v>0</v>
          </cell>
        </row>
        <row r="92">
          <cell r="A92">
            <v>90</v>
          </cell>
          <cell r="B92">
            <v>0</v>
          </cell>
        </row>
        <row r="93">
          <cell r="A93">
            <v>91</v>
          </cell>
          <cell r="B93">
            <v>0</v>
          </cell>
        </row>
        <row r="94">
          <cell r="A94">
            <v>92</v>
          </cell>
          <cell r="B94">
            <v>0</v>
          </cell>
        </row>
        <row r="95">
          <cell r="A95">
            <v>93</v>
          </cell>
          <cell r="B95">
            <v>0</v>
          </cell>
        </row>
        <row r="96">
          <cell r="A96">
            <v>94</v>
          </cell>
          <cell r="B96">
            <v>0</v>
          </cell>
        </row>
        <row r="97">
          <cell r="A97">
            <v>95</v>
          </cell>
          <cell r="B97">
            <v>0</v>
          </cell>
        </row>
        <row r="98">
          <cell r="A98">
            <v>96</v>
          </cell>
          <cell r="B98">
            <v>0</v>
          </cell>
        </row>
        <row r="99">
          <cell r="A99">
            <v>97</v>
          </cell>
          <cell r="B99">
            <v>0</v>
          </cell>
        </row>
        <row r="100">
          <cell r="A100">
            <v>98</v>
          </cell>
          <cell r="B100">
            <v>0</v>
          </cell>
        </row>
        <row r="101">
          <cell r="A101">
            <v>99</v>
          </cell>
          <cell r="B101">
            <v>0</v>
          </cell>
        </row>
        <row r="102">
          <cell r="A102">
            <v>100</v>
          </cell>
          <cell r="B102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B1" t="str">
            <v>Column Labels</v>
          </cell>
        </row>
        <row r="2">
          <cell r="B2" t="str">
            <v>Group1</v>
          </cell>
          <cell r="D2" t="str">
            <v>Specified Materials</v>
          </cell>
        </row>
        <row r="3">
          <cell r="D3" t="str">
            <v>Specified Materials</v>
          </cell>
        </row>
        <row r="4">
          <cell r="A4" t="str">
            <v>Row Labels</v>
          </cell>
          <cell r="B4" t="str">
            <v>Sum of DJC Amount</v>
          </cell>
          <cell r="C4" t="str">
            <v>Sum of Extended Price</v>
          </cell>
          <cell r="D4" t="str">
            <v>Sum of DJC Amount</v>
          </cell>
          <cell r="E4" t="str">
            <v>Sum of Extended Price</v>
          </cell>
        </row>
        <row r="5">
          <cell r="A5" t="str">
            <v>AARAARDD</v>
          </cell>
          <cell r="B5">
            <v>4598.9300880396313</v>
          </cell>
          <cell r="C5">
            <v>6736.28</v>
          </cell>
        </row>
        <row r="6">
          <cell r="A6" t="str">
            <v>ACOCPTDD</v>
          </cell>
          <cell r="B6">
            <v>18346.131800000003</v>
          </cell>
          <cell r="C6">
            <v>26397.730000000003</v>
          </cell>
        </row>
        <row r="7">
          <cell r="A7" t="str">
            <v>AIRWDWDD</v>
          </cell>
          <cell r="B7">
            <v>9487.2484000000004</v>
          </cell>
          <cell r="C7">
            <v>14342.3</v>
          </cell>
        </row>
        <row r="8">
          <cell r="A8" t="str">
            <v>APL1</v>
          </cell>
          <cell r="B8">
            <v>908375.24480975885</v>
          </cell>
          <cell r="C8">
            <v>1373964.55</v>
          </cell>
          <cell r="D8">
            <v>903038.48</v>
          </cell>
          <cell r="E8">
            <v>1001469.67</v>
          </cell>
        </row>
        <row r="9">
          <cell r="A9" t="str">
            <v>APL1DD</v>
          </cell>
          <cell r="B9">
            <v>106637.11884368942</v>
          </cell>
          <cell r="C9">
            <v>157287.54</v>
          </cell>
        </row>
        <row r="10">
          <cell r="A10" t="str">
            <v>APL2</v>
          </cell>
          <cell r="B10">
            <v>641975.5748301117</v>
          </cell>
          <cell r="C10">
            <v>972605.12999999977</v>
          </cell>
          <cell r="D10">
            <v>594673.18999999994</v>
          </cell>
          <cell r="E10">
            <v>659492.57999999996</v>
          </cell>
        </row>
        <row r="11">
          <cell r="A11" t="str">
            <v>APL2DD</v>
          </cell>
          <cell r="B11">
            <v>75361.33465727992</v>
          </cell>
          <cell r="C11">
            <v>110302.68999999999</v>
          </cell>
        </row>
        <row r="12">
          <cell r="A12" t="str">
            <v>APL3</v>
          </cell>
          <cell r="B12">
            <v>595192.28010840283</v>
          </cell>
          <cell r="C12">
            <v>887393.53000000014</v>
          </cell>
          <cell r="D12">
            <v>683189.41</v>
          </cell>
          <cell r="E12">
            <v>757657.05</v>
          </cell>
        </row>
        <row r="13">
          <cell r="A13" t="str">
            <v>APL3DD</v>
          </cell>
          <cell r="B13">
            <v>91869.968843689421</v>
          </cell>
          <cell r="C13">
            <v>134913</v>
          </cell>
        </row>
        <row r="14">
          <cell r="A14" t="str">
            <v>APL4</v>
          </cell>
          <cell r="B14">
            <v>570725.1960723321</v>
          </cell>
          <cell r="C14">
            <v>875741.21</v>
          </cell>
          <cell r="D14">
            <v>664470.47</v>
          </cell>
          <cell r="E14">
            <v>736897.75</v>
          </cell>
        </row>
        <row r="15">
          <cell r="A15" t="str">
            <v>APL4DD</v>
          </cell>
          <cell r="B15">
            <v>71328.232344658754</v>
          </cell>
          <cell r="C15">
            <v>105221.69</v>
          </cell>
        </row>
        <row r="16">
          <cell r="A16" t="str">
            <v>APL5DD</v>
          </cell>
          <cell r="B16">
            <v>149635.79305162159</v>
          </cell>
          <cell r="C16">
            <v>221036.84</v>
          </cell>
        </row>
        <row r="17">
          <cell r="A17" t="str">
            <v>APL6DD</v>
          </cell>
          <cell r="B17">
            <v>113709.99656310584</v>
          </cell>
          <cell r="C17">
            <v>167659.09</v>
          </cell>
        </row>
        <row r="18">
          <cell r="A18" t="str">
            <v>APLAPLDD</v>
          </cell>
          <cell r="B18">
            <v>14676.993315215852</v>
          </cell>
          <cell r="C18">
            <v>21187.809999999998</v>
          </cell>
        </row>
        <row r="19">
          <cell r="A19" t="str">
            <v>APLCHDDD</v>
          </cell>
          <cell r="B19">
            <v>40811.958427176221</v>
          </cell>
          <cell r="C19">
            <v>58958.61</v>
          </cell>
        </row>
        <row r="20">
          <cell r="A20" t="str">
            <v>ARM4</v>
          </cell>
          <cell r="B20">
            <v>1182242.1210953076</v>
          </cell>
          <cell r="C20">
            <v>1615173.5499999998</v>
          </cell>
          <cell r="D20">
            <v>0</v>
          </cell>
          <cell r="E20">
            <v>410281</v>
          </cell>
        </row>
        <row r="21">
          <cell r="A21" t="str">
            <v>ARM5</v>
          </cell>
          <cell r="B21">
            <v>1014395.3577648271</v>
          </cell>
          <cell r="C21">
            <v>1386146.75</v>
          </cell>
          <cell r="D21">
            <v>0</v>
          </cell>
          <cell r="E21">
            <v>329464.7</v>
          </cell>
        </row>
        <row r="22">
          <cell r="A22" t="str">
            <v>ARM6</v>
          </cell>
          <cell r="B22">
            <v>1270631.8291322966</v>
          </cell>
          <cell r="C22">
            <v>1751426.1400000004</v>
          </cell>
          <cell r="D22">
            <v>0</v>
          </cell>
          <cell r="E22">
            <v>335717.78</v>
          </cell>
        </row>
        <row r="23">
          <cell r="A23" t="str">
            <v>ARMFAN</v>
          </cell>
          <cell r="B23">
            <v>610997.63</v>
          </cell>
          <cell r="C23">
            <v>610997.63</v>
          </cell>
        </row>
        <row r="24">
          <cell r="A24" t="str">
            <v>ASH1DD</v>
          </cell>
          <cell r="B24">
            <v>146659.23000000001</v>
          </cell>
          <cell r="C24">
            <v>215623.64</v>
          </cell>
        </row>
        <row r="25">
          <cell r="A25" t="str">
            <v>ASH2DD</v>
          </cell>
          <cell r="B25">
            <v>110155.16581359052</v>
          </cell>
          <cell r="C25">
            <v>162398.41</v>
          </cell>
        </row>
        <row r="26">
          <cell r="A26" t="str">
            <v>ASH3DD</v>
          </cell>
          <cell r="B26">
            <v>123019.48187378833</v>
          </cell>
          <cell r="C26">
            <v>181213.33000000002</v>
          </cell>
        </row>
        <row r="27">
          <cell r="A27" t="str">
            <v>ASHMGTDD</v>
          </cell>
          <cell r="B27">
            <v>7249.3202000000001</v>
          </cell>
          <cell r="C27">
            <v>10529.57</v>
          </cell>
        </row>
        <row r="28">
          <cell r="A28" t="str">
            <v>ASHNETDD</v>
          </cell>
          <cell r="B28">
            <v>12774.519888039631</v>
          </cell>
          <cell r="C28">
            <v>18527.309999999998</v>
          </cell>
        </row>
        <row r="29">
          <cell r="A29" t="str">
            <v>AYRAYWDD</v>
          </cell>
          <cell r="B29">
            <v>3184.3384000000001</v>
          </cell>
          <cell r="C29">
            <v>4941.6000000000004</v>
          </cell>
        </row>
        <row r="30">
          <cell r="A30" t="str">
            <v>AYRBRWDD</v>
          </cell>
          <cell r="B30">
            <v>14394.275799999999</v>
          </cell>
          <cell r="C30">
            <v>22687.040000000001</v>
          </cell>
        </row>
        <row r="31">
          <cell r="A31" t="str">
            <v>BLK1</v>
          </cell>
          <cell r="B31">
            <v>707854.73784987652</v>
          </cell>
          <cell r="C31">
            <v>993101.94000000006</v>
          </cell>
          <cell r="D31">
            <v>673638.8</v>
          </cell>
          <cell r="E31">
            <v>747065.43</v>
          </cell>
        </row>
        <row r="32">
          <cell r="A32" t="str">
            <v>BLK1DD</v>
          </cell>
          <cell r="B32">
            <v>169647.72</v>
          </cell>
          <cell r="C32">
            <v>208462.43</v>
          </cell>
        </row>
        <row r="33">
          <cell r="A33" t="str">
            <v>BLK2</v>
          </cell>
          <cell r="B33">
            <v>953271.15890220308</v>
          </cell>
          <cell r="C33">
            <v>1350518.3</v>
          </cell>
          <cell r="D33">
            <v>1002643.36</v>
          </cell>
          <cell r="E33">
            <v>1111931.49</v>
          </cell>
        </row>
        <row r="34">
          <cell r="A34" t="str">
            <v>BLK2DD</v>
          </cell>
          <cell r="B34">
            <v>154480.83318291465</v>
          </cell>
          <cell r="C34">
            <v>223453.73</v>
          </cell>
        </row>
        <row r="35">
          <cell r="A35" t="str">
            <v>BLK3</v>
          </cell>
          <cell r="B35">
            <v>1078427.455319385</v>
          </cell>
          <cell r="C35">
            <v>1512461.4700000002</v>
          </cell>
          <cell r="D35">
            <v>986740.07</v>
          </cell>
          <cell r="E35">
            <v>1094294.73</v>
          </cell>
        </row>
        <row r="36">
          <cell r="A36" t="str">
            <v>BLK3DD</v>
          </cell>
          <cell r="B36">
            <v>161987.91199999998</v>
          </cell>
          <cell r="C36">
            <v>228095.86</v>
          </cell>
        </row>
        <row r="37">
          <cell r="A37" t="str">
            <v>BLK4DD</v>
          </cell>
          <cell r="B37">
            <v>158484.1452595836</v>
          </cell>
          <cell r="C37">
            <v>227046.86000000002</v>
          </cell>
        </row>
        <row r="38">
          <cell r="A38" t="str">
            <v>BLK5DD</v>
          </cell>
          <cell r="B38">
            <v>133521.47</v>
          </cell>
          <cell r="C38">
            <v>195443.25</v>
          </cell>
        </row>
        <row r="39">
          <cell r="A39" t="str">
            <v>BLK6DD</v>
          </cell>
          <cell r="B39">
            <v>149867.52459583621</v>
          </cell>
          <cell r="C39">
            <v>219233.16</v>
          </cell>
        </row>
        <row r="40">
          <cell r="A40" t="str">
            <v>BLK9DD</v>
          </cell>
          <cell r="B40">
            <v>176471.10059583621</v>
          </cell>
          <cell r="C40">
            <v>256962.63999999998</v>
          </cell>
        </row>
        <row r="41">
          <cell r="A41" t="str">
            <v>BRAIPTDD</v>
          </cell>
          <cell r="B41">
            <v>9617.1991624275524</v>
          </cell>
          <cell r="C41">
            <v>14811.93</v>
          </cell>
        </row>
        <row r="42">
          <cell r="A42" t="str">
            <v>BRAMRTDD</v>
          </cell>
          <cell r="B42">
            <v>20448.484799999998</v>
          </cell>
          <cell r="C42">
            <v>31427.599999999999</v>
          </cell>
        </row>
        <row r="43">
          <cell r="A43" t="str">
            <v>BURSLTDD</v>
          </cell>
          <cell r="B43">
            <v>7858.0785906636684</v>
          </cell>
          <cell r="C43">
            <v>11327.11</v>
          </cell>
        </row>
        <row r="44">
          <cell r="A44" t="str">
            <v>BWEBOWDD</v>
          </cell>
          <cell r="B44">
            <v>4521.0928000000004</v>
          </cell>
          <cell r="C44">
            <v>7057.9</v>
          </cell>
        </row>
        <row r="45">
          <cell r="A45" t="str">
            <v>CAI1</v>
          </cell>
          <cell r="B45">
            <v>206458.06516699551</v>
          </cell>
          <cell r="C45">
            <v>344478.4</v>
          </cell>
          <cell r="D45">
            <v>375603.67599999998</v>
          </cell>
          <cell r="E45">
            <v>402329.32</v>
          </cell>
        </row>
        <row r="46">
          <cell r="A46" t="str">
            <v>CAI1DD</v>
          </cell>
          <cell r="B46">
            <v>30432.859508407113</v>
          </cell>
          <cell r="C46">
            <v>47126.45</v>
          </cell>
        </row>
        <row r="47">
          <cell r="A47" t="str">
            <v>CAI2DD</v>
          </cell>
          <cell r="B47">
            <v>199845.28099439526</v>
          </cell>
          <cell r="C47">
            <v>300172.95</v>
          </cell>
        </row>
        <row r="48">
          <cell r="A48" t="str">
            <v>CAI3DD</v>
          </cell>
          <cell r="B48">
            <v>101065.92451401184</v>
          </cell>
          <cell r="C48">
            <v>145943.51</v>
          </cell>
        </row>
        <row r="49">
          <cell r="A49" t="str">
            <v>CFS1</v>
          </cell>
          <cell r="B49">
            <v>804052.64945565327</v>
          </cell>
          <cell r="C49">
            <v>1332643.6999999983</v>
          </cell>
        </row>
        <row r="50">
          <cell r="A50" t="str">
            <v>CFS2</v>
          </cell>
          <cell r="B50">
            <v>513156.50840711314</v>
          </cell>
          <cell r="C50">
            <v>873787.41999999946</v>
          </cell>
        </row>
        <row r="51">
          <cell r="A51" t="str">
            <v>CFS3</v>
          </cell>
          <cell r="B51">
            <v>1138050.9452433905</v>
          </cell>
          <cell r="C51">
            <v>1718696.9100000001</v>
          </cell>
          <cell r="D51">
            <v>828265.76142857142</v>
          </cell>
          <cell r="E51">
            <v>886088.09000000008</v>
          </cell>
        </row>
        <row r="52">
          <cell r="A52" t="str">
            <v>CFS3DD</v>
          </cell>
          <cell r="B52">
            <v>143557.3965141743</v>
          </cell>
          <cell r="C52">
            <v>184738.52</v>
          </cell>
        </row>
        <row r="53">
          <cell r="A53" t="str">
            <v>CFS4</v>
          </cell>
          <cell r="B53">
            <v>834656.87497565069</v>
          </cell>
          <cell r="C53">
            <v>1283264.8399999999</v>
          </cell>
          <cell r="D53">
            <v>704828.45428571431</v>
          </cell>
          <cell r="E53">
            <v>754033.46000000008</v>
          </cell>
        </row>
        <row r="54">
          <cell r="A54" t="str">
            <v>CFS4DD</v>
          </cell>
          <cell r="B54">
            <v>160359.70241133944</v>
          </cell>
          <cell r="C54">
            <v>223237.64</v>
          </cell>
        </row>
        <row r="55">
          <cell r="A55" t="str">
            <v>CFS5</v>
          </cell>
          <cell r="B55">
            <v>1090022.4131100054</v>
          </cell>
          <cell r="C55">
            <v>1666593.0799999998</v>
          </cell>
          <cell r="D55">
            <v>924279.73</v>
          </cell>
          <cell r="E55">
            <v>988804.91999999993</v>
          </cell>
        </row>
        <row r="56">
          <cell r="A56" t="str">
            <v>CFS5DD</v>
          </cell>
          <cell r="B56">
            <v>148583.44651417431</v>
          </cell>
          <cell r="C56">
            <v>215797.18</v>
          </cell>
        </row>
        <row r="57">
          <cell r="A57" t="str">
            <v>CFS6DD</v>
          </cell>
          <cell r="B57">
            <v>159115.98694858255</v>
          </cell>
          <cell r="C57">
            <v>247195.69</v>
          </cell>
        </row>
        <row r="58">
          <cell r="A58" t="str">
            <v>CFS7DD</v>
          </cell>
          <cell r="B58">
            <v>183969.97769149538</v>
          </cell>
          <cell r="C58">
            <v>280107.55000000005</v>
          </cell>
        </row>
        <row r="59">
          <cell r="A59" t="str">
            <v>CFSWWDD</v>
          </cell>
          <cell r="B59">
            <v>6087.2536</v>
          </cell>
          <cell r="C59">
            <v>9662.1</v>
          </cell>
        </row>
        <row r="60">
          <cell r="A60" t="str">
            <v>CLICFWDD</v>
          </cell>
          <cell r="B60">
            <v>4141.18</v>
          </cell>
          <cell r="C60">
            <v>6464.3</v>
          </cell>
        </row>
        <row r="61">
          <cell r="A61" t="str">
            <v>COR11DD</v>
          </cell>
          <cell r="B61">
            <v>140301.91309907869</v>
          </cell>
          <cell r="C61">
            <v>205602.8</v>
          </cell>
        </row>
        <row r="62">
          <cell r="A62" t="str">
            <v>COR4DD</v>
          </cell>
          <cell r="B62">
            <v>129622.92999999996</v>
          </cell>
          <cell r="C62">
            <v>191907.03999999998</v>
          </cell>
        </row>
        <row r="63">
          <cell r="A63" t="str">
            <v>COR5DD</v>
          </cell>
          <cell r="B63">
            <v>148605.54868116256</v>
          </cell>
          <cell r="C63">
            <v>220328.85</v>
          </cell>
        </row>
        <row r="64">
          <cell r="A64" t="str">
            <v>COR6DD</v>
          </cell>
          <cell r="B64">
            <v>154060.78528788468</v>
          </cell>
          <cell r="C64">
            <v>229055.05</v>
          </cell>
        </row>
        <row r="65">
          <cell r="A65" t="str">
            <v>COR7DD</v>
          </cell>
          <cell r="B65">
            <v>130705.82220360782</v>
          </cell>
          <cell r="C65">
            <v>192716.05</v>
          </cell>
        </row>
        <row r="66">
          <cell r="A66" t="str">
            <v>COR8DD</v>
          </cell>
          <cell r="B66">
            <v>146387.02999999997</v>
          </cell>
          <cell r="C66">
            <v>218051.84</v>
          </cell>
        </row>
        <row r="67">
          <cell r="A67" t="str">
            <v>CPHACTDD</v>
          </cell>
          <cell r="B67">
            <v>18966.685288039633</v>
          </cell>
          <cell r="C67">
            <v>27406.5</v>
          </cell>
        </row>
        <row r="68">
          <cell r="A68" t="str">
            <v>CRC1</v>
          </cell>
          <cell r="B68">
            <v>597923.92388799042</v>
          </cell>
          <cell r="C68">
            <v>990178.87</v>
          </cell>
          <cell r="D68">
            <v>1243000.93</v>
          </cell>
          <cell r="E68">
            <v>1378488.03</v>
          </cell>
        </row>
        <row r="69">
          <cell r="A69" t="str">
            <v>CRC1DD</v>
          </cell>
          <cell r="B69">
            <v>258486.63351409306</v>
          </cell>
          <cell r="C69">
            <v>353116.27999999997</v>
          </cell>
        </row>
        <row r="70">
          <cell r="A70" t="str">
            <v>CRC2</v>
          </cell>
          <cell r="B70">
            <v>490717.73452384485</v>
          </cell>
          <cell r="C70">
            <v>822199.15999999992</v>
          </cell>
          <cell r="D70">
            <v>1179083.28</v>
          </cell>
          <cell r="E70">
            <v>1307603.3600000001</v>
          </cell>
        </row>
        <row r="71">
          <cell r="A71" t="str">
            <v>CRC2DD</v>
          </cell>
          <cell r="B71">
            <v>244130.26505986514</v>
          </cell>
          <cell r="C71">
            <v>340521.47</v>
          </cell>
        </row>
        <row r="72">
          <cell r="A72" t="str">
            <v>CRC3</v>
          </cell>
          <cell r="B72">
            <v>1196618.5715201842</v>
          </cell>
          <cell r="C72">
            <v>1978160.34</v>
          </cell>
          <cell r="D72">
            <v>1021175.96</v>
          </cell>
          <cell r="E72">
            <v>1132484.1399999999</v>
          </cell>
        </row>
        <row r="73">
          <cell r="A73" t="str">
            <v>CRC3DD</v>
          </cell>
          <cell r="B73">
            <v>191900.38324295345</v>
          </cell>
          <cell r="C73">
            <v>272852.86</v>
          </cell>
        </row>
        <row r="74">
          <cell r="A74" t="str">
            <v>CRC4</v>
          </cell>
          <cell r="B74">
            <v>490937.13930665259</v>
          </cell>
          <cell r="C74">
            <v>822223.16999999969</v>
          </cell>
          <cell r="D74">
            <v>1052224.7340000002</v>
          </cell>
          <cell r="E74">
            <v>1127094.57</v>
          </cell>
        </row>
        <row r="75">
          <cell r="A75" t="str">
            <v>CRC4DD</v>
          </cell>
          <cell r="B75">
            <v>170554.71690845586</v>
          </cell>
          <cell r="C75">
            <v>244995.90000000002</v>
          </cell>
        </row>
        <row r="76">
          <cell r="A76" t="str">
            <v>CRC5</v>
          </cell>
          <cell r="B76">
            <v>590561.18219759292</v>
          </cell>
          <cell r="C76">
            <v>964745.60999999975</v>
          </cell>
          <cell r="D76">
            <v>1009444.5</v>
          </cell>
          <cell r="E76">
            <v>1119473.95</v>
          </cell>
        </row>
        <row r="77">
          <cell r="A77" t="str">
            <v>CRC5DD</v>
          </cell>
          <cell r="B77">
            <v>212512.68890845584</v>
          </cell>
          <cell r="C77">
            <v>289077.57</v>
          </cell>
        </row>
        <row r="78">
          <cell r="A78" t="str">
            <v>CRC6</v>
          </cell>
          <cell r="B78">
            <v>307449.51074230508</v>
          </cell>
          <cell r="C78">
            <v>519291.62999999983</v>
          </cell>
          <cell r="D78">
            <v>715643.24</v>
          </cell>
          <cell r="E78">
            <v>793648.36</v>
          </cell>
        </row>
        <row r="79">
          <cell r="A79" t="str">
            <v>CRC6DD</v>
          </cell>
          <cell r="B79">
            <v>102325.53721127447</v>
          </cell>
          <cell r="C79">
            <v>148967.12</v>
          </cell>
        </row>
        <row r="80">
          <cell r="A80" t="str">
            <v>CTRCHWDD</v>
          </cell>
          <cell r="B80">
            <v>4169.4191960784319</v>
          </cell>
          <cell r="C80">
            <v>6563.52</v>
          </cell>
        </row>
        <row r="81">
          <cell r="A81" t="str">
            <v>CVI1DD</v>
          </cell>
          <cell r="B81">
            <v>61423.619999999995</v>
          </cell>
          <cell r="C81">
            <v>87545.36</v>
          </cell>
        </row>
        <row r="82">
          <cell r="A82" t="str">
            <v>CVI2DD</v>
          </cell>
          <cell r="B82">
            <v>107535.03999999998</v>
          </cell>
          <cell r="C82">
            <v>154752.12</v>
          </cell>
        </row>
        <row r="83">
          <cell r="A83" t="str">
            <v>CVI3DD</v>
          </cell>
          <cell r="B83">
            <v>99861.959999999992</v>
          </cell>
          <cell r="C83">
            <v>146172.88</v>
          </cell>
        </row>
        <row r="84">
          <cell r="A84" t="str">
            <v>CVI4DD</v>
          </cell>
          <cell r="B84">
            <v>128112.12</v>
          </cell>
          <cell r="C84">
            <v>189671.36</v>
          </cell>
        </row>
        <row r="85">
          <cell r="A85" t="str">
            <v>CVIDKTDD</v>
          </cell>
          <cell r="B85">
            <v>16080.694800000001</v>
          </cell>
          <cell r="C85">
            <v>25236.3</v>
          </cell>
        </row>
        <row r="86">
          <cell r="A86" t="str">
            <v>CVIMKTDD</v>
          </cell>
          <cell r="B86">
            <v>23824.859040378651</v>
          </cell>
          <cell r="C86">
            <v>34355.599999999999</v>
          </cell>
        </row>
        <row r="87">
          <cell r="A87" t="str">
            <v>CVIT</v>
          </cell>
          <cell r="B87">
            <v>360545.09803891281</v>
          </cell>
          <cell r="C87">
            <v>532949.92999999982</v>
          </cell>
          <cell r="D87">
            <v>0</v>
          </cell>
          <cell r="E87">
            <v>55920.58</v>
          </cell>
        </row>
        <row r="88">
          <cell r="A88" t="str">
            <v>CVITDD</v>
          </cell>
          <cell r="B88">
            <v>75949.715999999986</v>
          </cell>
          <cell r="C88">
            <v>120845</v>
          </cell>
        </row>
        <row r="89">
          <cell r="A89" t="str">
            <v>CYSEASDD</v>
          </cell>
          <cell r="B89">
            <v>2867.1656744803277</v>
          </cell>
          <cell r="C89">
            <v>4381.43</v>
          </cell>
        </row>
        <row r="90">
          <cell r="A90" t="str">
            <v>DALCYSDD</v>
          </cell>
          <cell r="B90">
            <v>3256.7285664274459</v>
          </cell>
          <cell r="C90">
            <v>4695.49</v>
          </cell>
        </row>
        <row r="91">
          <cell r="A91" t="str">
            <v>DAP1DD</v>
          </cell>
          <cell r="B91">
            <v>18838.259999999998</v>
          </cell>
          <cell r="C91">
            <v>28807.279999999999</v>
          </cell>
        </row>
        <row r="92">
          <cell r="A92" t="str">
            <v>DAP2DD</v>
          </cell>
          <cell r="B92">
            <v>166779.13999999998</v>
          </cell>
          <cell r="C92">
            <v>252657.22</v>
          </cell>
        </row>
        <row r="93">
          <cell r="A93" t="str">
            <v>DAP3DD</v>
          </cell>
          <cell r="B93">
            <v>192375.51999999996</v>
          </cell>
          <cell r="C93">
            <v>293747.04000000004</v>
          </cell>
        </row>
        <row r="94">
          <cell r="A94" t="str">
            <v>DAP4DD</v>
          </cell>
          <cell r="B94">
            <v>136066.27030281859</v>
          </cell>
          <cell r="C94">
            <v>204209.5</v>
          </cell>
        </row>
        <row r="95">
          <cell r="A95" t="str">
            <v>DAP5DD</v>
          </cell>
          <cell r="B95">
            <v>156928.4</v>
          </cell>
          <cell r="C95">
            <v>238993.40000000002</v>
          </cell>
        </row>
        <row r="96">
          <cell r="A96" t="str">
            <v>DAP6DD</v>
          </cell>
          <cell r="B96">
            <v>145689.90751409309</v>
          </cell>
          <cell r="C96">
            <v>218805.18</v>
          </cell>
        </row>
        <row r="97">
          <cell r="A97" t="str">
            <v>DBBWDD</v>
          </cell>
          <cell r="B97">
            <v>9296.2219999999998</v>
          </cell>
          <cell r="C97">
            <v>14534.6</v>
          </cell>
        </row>
        <row r="98">
          <cell r="A98" t="str">
            <v>DKIMNTDD</v>
          </cell>
          <cell r="B98">
            <v>17766.437999999998</v>
          </cell>
          <cell r="C98">
            <v>28001.5</v>
          </cell>
        </row>
        <row r="99">
          <cell r="A99" t="str">
            <v>DRRIATDD</v>
          </cell>
          <cell r="B99">
            <v>13446.697488039632</v>
          </cell>
          <cell r="C99">
            <v>19452.269999999997</v>
          </cell>
        </row>
        <row r="100">
          <cell r="A100" t="str">
            <v>EASREDDD</v>
          </cell>
          <cell r="B100">
            <v>6356.5128456017983</v>
          </cell>
          <cell r="C100">
            <v>9164.89</v>
          </cell>
        </row>
        <row r="101">
          <cell r="A101" t="str">
            <v>EMEEMWDD</v>
          </cell>
          <cell r="B101">
            <v>5640.0807999999997</v>
          </cell>
          <cell r="C101">
            <v>8946.4000000000015</v>
          </cell>
        </row>
        <row r="102">
          <cell r="A102" t="str">
            <v>FHLCHDDD</v>
          </cell>
          <cell r="B102">
            <v>22955.496288039631</v>
          </cell>
          <cell r="C102">
            <v>33624.050000000003</v>
          </cell>
        </row>
        <row r="103">
          <cell r="A103" t="str">
            <v>FORNWTDD</v>
          </cell>
          <cell r="B103">
            <v>24796.196298372255</v>
          </cell>
          <cell r="C103">
            <v>35949.339999999997</v>
          </cell>
        </row>
        <row r="104">
          <cell r="A104" t="str">
            <v>GBEULTDD</v>
          </cell>
          <cell r="B104">
            <v>2572.8928671451076</v>
          </cell>
          <cell r="C104">
            <v>3709.73</v>
          </cell>
        </row>
        <row r="105">
          <cell r="A105" t="str">
            <v>GDN1</v>
          </cell>
          <cell r="B105">
            <v>1225363.483943294</v>
          </cell>
          <cell r="C105">
            <v>1855734.9000000004</v>
          </cell>
          <cell r="D105">
            <v>942454.53</v>
          </cell>
          <cell r="E105">
            <v>1045182.07</v>
          </cell>
        </row>
        <row r="106">
          <cell r="A106" t="str">
            <v>GDN1DD</v>
          </cell>
          <cell r="B106">
            <v>165310.86000000004</v>
          </cell>
          <cell r="C106">
            <v>230895.25</v>
          </cell>
        </row>
        <row r="107">
          <cell r="A107" t="str">
            <v>GDN2DD</v>
          </cell>
          <cell r="B107">
            <v>159911.92000000004</v>
          </cell>
          <cell r="C107">
            <v>226351.18000000002</v>
          </cell>
        </row>
        <row r="108">
          <cell r="A108" t="str">
            <v>GDN3</v>
          </cell>
          <cell r="B108">
            <v>749192.12804266205</v>
          </cell>
          <cell r="C108">
            <v>1138306.78</v>
          </cell>
          <cell r="D108">
            <v>766721.51</v>
          </cell>
          <cell r="E108">
            <v>850294.16</v>
          </cell>
        </row>
        <row r="109">
          <cell r="A109" t="str">
            <v>GDN3DD</v>
          </cell>
          <cell r="B109">
            <v>140372.80187378832</v>
          </cell>
          <cell r="C109">
            <v>187822.69000000003</v>
          </cell>
        </row>
        <row r="110">
          <cell r="A110" t="str">
            <v>GDN4</v>
          </cell>
          <cell r="B110">
            <v>609755.50172679825</v>
          </cell>
          <cell r="C110">
            <v>920481.36</v>
          </cell>
          <cell r="D110">
            <v>1008515.03</v>
          </cell>
          <cell r="E110">
            <v>1118443.17</v>
          </cell>
        </row>
        <row r="111">
          <cell r="A111" t="str">
            <v>GDN4DD</v>
          </cell>
          <cell r="B111">
            <v>155239.15925048469</v>
          </cell>
          <cell r="C111">
            <v>222856.58000000005</v>
          </cell>
        </row>
        <row r="112">
          <cell r="A112" t="str">
            <v>GDN5DD</v>
          </cell>
          <cell r="B112">
            <v>85316.523436894175</v>
          </cell>
          <cell r="C112">
            <v>124220.05</v>
          </cell>
        </row>
        <row r="113">
          <cell r="A113" t="str">
            <v>GDN6DD</v>
          </cell>
          <cell r="B113">
            <v>133698.26500000001</v>
          </cell>
          <cell r="C113">
            <v>193328.55</v>
          </cell>
        </row>
        <row r="114">
          <cell r="A114" t="str">
            <v>GDN7DD</v>
          </cell>
          <cell r="B114">
            <v>104694.15656310585</v>
          </cell>
          <cell r="C114">
            <v>153929.09</v>
          </cell>
        </row>
        <row r="115">
          <cell r="A115" t="str">
            <v>GDN8DD</v>
          </cell>
          <cell r="B115">
            <v>238285.68312621169</v>
          </cell>
          <cell r="C115">
            <v>348435.48</v>
          </cell>
        </row>
        <row r="116">
          <cell r="A116" t="str">
            <v>GDNDRTDD</v>
          </cell>
          <cell r="B116">
            <v>16270.888599999998</v>
          </cell>
          <cell r="C116">
            <v>23564.51</v>
          </cell>
        </row>
        <row r="117">
          <cell r="A117" t="str">
            <v>GDNSGIDD</v>
          </cell>
          <cell r="B117">
            <v>47013.0837695683</v>
          </cell>
          <cell r="C117">
            <v>68033.36</v>
          </cell>
        </row>
        <row r="118">
          <cell r="A118" t="str">
            <v>GOS1</v>
          </cell>
          <cell r="B118">
            <v>905242.04098960944</v>
          </cell>
          <cell r="C118">
            <v>1350519.8800000001</v>
          </cell>
          <cell r="D118">
            <v>698188.48</v>
          </cell>
          <cell r="E118">
            <v>747867.27999999991</v>
          </cell>
        </row>
        <row r="119">
          <cell r="A119" t="str">
            <v>GOS1DD</v>
          </cell>
          <cell r="B119">
            <v>132594.94</v>
          </cell>
          <cell r="C119">
            <v>166397.85999999999</v>
          </cell>
        </row>
        <row r="120">
          <cell r="A120" t="str">
            <v>GOS2</v>
          </cell>
          <cell r="B120">
            <v>900219.60899759608</v>
          </cell>
          <cell r="C120">
            <v>1336372.47</v>
          </cell>
          <cell r="D120">
            <v>594693.77999999991</v>
          </cell>
          <cell r="E120">
            <v>637008.53</v>
          </cell>
        </row>
        <row r="121">
          <cell r="A121" t="str">
            <v>GOS2DD</v>
          </cell>
          <cell r="B121">
            <v>132615.84274291282</v>
          </cell>
          <cell r="C121">
            <v>152241.28</v>
          </cell>
        </row>
        <row r="122">
          <cell r="A122" t="str">
            <v>GOS3DD</v>
          </cell>
          <cell r="B122">
            <v>129855.92894858256</v>
          </cell>
          <cell r="C122">
            <v>195107.49</v>
          </cell>
        </row>
        <row r="123">
          <cell r="A123" t="str">
            <v>GOS4DD</v>
          </cell>
          <cell r="B123">
            <v>147911.0265141743</v>
          </cell>
          <cell r="C123">
            <v>221116.02000000002</v>
          </cell>
        </row>
        <row r="124">
          <cell r="A124" t="str">
            <v>GOS5DD</v>
          </cell>
          <cell r="B124">
            <v>127223.65999999999</v>
          </cell>
          <cell r="C124">
            <v>191166.8</v>
          </cell>
        </row>
        <row r="125">
          <cell r="A125" t="str">
            <v>GOS6DD</v>
          </cell>
          <cell r="B125">
            <v>160516.48799999998</v>
          </cell>
          <cell r="C125">
            <v>241198.31</v>
          </cell>
        </row>
        <row r="126">
          <cell r="A126" t="str">
            <v>GOS7DD</v>
          </cell>
          <cell r="B126">
            <v>172387.69999999998</v>
          </cell>
          <cell r="C126">
            <v>262342.02</v>
          </cell>
        </row>
        <row r="127">
          <cell r="A127" t="str">
            <v>GOS8DD</v>
          </cell>
          <cell r="B127">
            <v>170376.37</v>
          </cell>
          <cell r="C127">
            <v>259445.2</v>
          </cell>
        </row>
        <row r="128">
          <cell r="A128" t="str">
            <v>GUL2</v>
          </cell>
          <cell r="B128">
            <v>1010018.4328150495</v>
          </cell>
          <cell r="C128">
            <v>1562988.1800000006</v>
          </cell>
          <cell r="D128">
            <v>772947.18599999999</v>
          </cell>
          <cell r="E128">
            <v>827945.35</v>
          </cell>
        </row>
        <row r="129">
          <cell r="A129" t="str">
            <v>GUL2DD</v>
          </cell>
          <cell r="B129">
            <v>270857.27999999997</v>
          </cell>
          <cell r="C129">
            <v>336590.49000000005</v>
          </cell>
        </row>
        <row r="130">
          <cell r="A130" t="str">
            <v>GUL3</v>
          </cell>
          <cell r="B130">
            <v>1105565.685923283</v>
          </cell>
          <cell r="C130">
            <v>1715691.2499999998</v>
          </cell>
          <cell r="D130">
            <v>879646.12399999995</v>
          </cell>
          <cell r="E130">
            <v>942236.33</v>
          </cell>
        </row>
        <row r="131">
          <cell r="A131" t="str">
            <v>GUL3DD</v>
          </cell>
          <cell r="B131">
            <v>292575.6445140118</v>
          </cell>
          <cell r="C131">
            <v>408519.69</v>
          </cell>
        </row>
        <row r="132">
          <cell r="A132" t="str">
            <v>GUL4</v>
          </cell>
          <cell r="B132">
            <v>1328775.2723087503</v>
          </cell>
          <cell r="C132">
            <v>2045622.860000001</v>
          </cell>
          <cell r="D132">
            <v>895103.33799999999</v>
          </cell>
          <cell r="E132">
            <v>958793.38000000012</v>
          </cell>
        </row>
        <row r="133">
          <cell r="A133" t="str">
            <v>GUL4DD</v>
          </cell>
          <cell r="B133">
            <v>167984.08699439524</v>
          </cell>
          <cell r="C133">
            <v>253954.75000000003</v>
          </cell>
        </row>
        <row r="134">
          <cell r="A134" t="str">
            <v>GUL5</v>
          </cell>
          <cell r="B134">
            <v>1276708.110802311</v>
          </cell>
          <cell r="C134">
            <v>1969044.2400000002</v>
          </cell>
          <cell r="D134">
            <v>929665.78600000008</v>
          </cell>
          <cell r="E134">
            <v>995815.08</v>
          </cell>
        </row>
        <row r="135">
          <cell r="A135" t="str">
            <v>GUL5DD</v>
          </cell>
          <cell r="B135">
            <v>149064.64174299405</v>
          </cell>
          <cell r="C135">
            <v>224320.3</v>
          </cell>
        </row>
        <row r="136">
          <cell r="A136" t="str">
            <v>GUL6DD</v>
          </cell>
          <cell r="B136">
            <v>150253.84674859879</v>
          </cell>
          <cell r="C136">
            <v>226516.38</v>
          </cell>
        </row>
        <row r="137">
          <cell r="A137" t="str">
            <v>GULT</v>
          </cell>
          <cell r="B137">
            <v>149385.888130518</v>
          </cell>
          <cell r="C137">
            <v>236098.71</v>
          </cell>
          <cell r="D137">
            <v>107981.82</v>
          </cell>
          <cell r="E137">
            <v>115312.70000000001</v>
          </cell>
        </row>
        <row r="138">
          <cell r="A138" t="str">
            <v>GULTDD</v>
          </cell>
          <cell r="B138">
            <v>33449.818759999995</v>
          </cell>
          <cell r="C138">
            <v>49357.450000000004</v>
          </cell>
        </row>
        <row r="139">
          <cell r="A139" t="str">
            <v>HARRWDD</v>
          </cell>
          <cell r="B139">
            <v>7011.06</v>
          </cell>
          <cell r="C139">
            <v>10858</v>
          </cell>
        </row>
        <row r="140">
          <cell r="A140" t="str">
            <v>HOM1</v>
          </cell>
          <cell r="B140">
            <v>595850.33445862937</v>
          </cell>
          <cell r="C140">
            <v>881518.66999999993</v>
          </cell>
          <cell r="D140">
            <v>519207.69</v>
          </cell>
          <cell r="E140">
            <v>575801.32999999996</v>
          </cell>
        </row>
        <row r="141">
          <cell r="A141" t="str">
            <v>HOM1DD</v>
          </cell>
          <cell r="B141">
            <v>153661.99</v>
          </cell>
          <cell r="C141">
            <v>183180.15000000002</v>
          </cell>
        </row>
        <row r="142">
          <cell r="A142" t="str">
            <v>HOM2</v>
          </cell>
          <cell r="B142">
            <v>995605.17415707454</v>
          </cell>
          <cell r="C142">
            <v>1393116.09</v>
          </cell>
          <cell r="D142">
            <v>826993.45</v>
          </cell>
          <cell r="E142">
            <v>917135.73999999987</v>
          </cell>
        </row>
        <row r="143">
          <cell r="A143" t="str">
            <v>HOM2DD</v>
          </cell>
          <cell r="B143">
            <v>183480.77599999998</v>
          </cell>
          <cell r="C143">
            <v>268612.07999999996</v>
          </cell>
        </row>
        <row r="144">
          <cell r="A144" t="str">
            <v>HOM3DD</v>
          </cell>
          <cell r="B144">
            <v>88682.703514634704</v>
          </cell>
          <cell r="C144">
            <v>129931.45000000001</v>
          </cell>
        </row>
        <row r="145">
          <cell r="A145" t="str">
            <v>HOM4DD</v>
          </cell>
          <cell r="B145">
            <v>133945.22999999998</v>
          </cell>
          <cell r="C145">
            <v>196170.85</v>
          </cell>
        </row>
        <row r="146">
          <cell r="A146" t="str">
            <v>HOMBUTDD</v>
          </cell>
          <cell r="B146">
            <v>4399.3785637345318</v>
          </cell>
          <cell r="C146">
            <v>6332.5300000000007</v>
          </cell>
        </row>
        <row r="147">
          <cell r="A147" t="str">
            <v>IALGDTDD</v>
          </cell>
          <cell r="B147">
            <v>23963.90068803963</v>
          </cell>
          <cell r="C147">
            <v>34825.19</v>
          </cell>
        </row>
        <row r="148">
          <cell r="A148" t="str">
            <v>IPS2DD</v>
          </cell>
          <cell r="B148">
            <v>105849.45999999999</v>
          </cell>
          <cell r="C148">
            <v>156169.47999999998</v>
          </cell>
        </row>
        <row r="149">
          <cell r="A149" t="str">
            <v>IPS4DD</v>
          </cell>
          <cell r="B149">
            <v>130747.64775145403</v>
          </cell>
          <cell r="C149">
            <v>191859.08000000002</v>
          </cell>
        </row>
        <row r="150">
          <cell r="A150" t="str">
            <v>IPSBRTDD</v>
          </cell>
          <cell r="B150">
            <v>9521.8218236609573</v>
          </cell>
          <cell r="C150">
            <v>14348.67</v>
          </cell>
        </row>
        <row r="151">
          <cell r="A151" t="str">
            <v>KIA2</v>
          </cell>
          <cell r="B151">
            <v>213476.31850767144</v>
          </cell>
          <cell r="C151">
            <v>327017.98</v>
          </cell>
          <cell r="D151">
            <v>165780.69400000002</v>
          </cell>
          <cell r="E151">
            <v>184749.81000000003</v>
          </cell>
        </row>
        <row r="152">
          <cell r="A152" t="str">
            <v>KIA2DD</v>
          </cell>
          <cell r="B152">
            <v>225264.71999999997</v>
          </cell>
          <cell r="C152">
            <v>283461.56</v>
          </cell>
        </row>
        <row r="153">
          <cell r="A153" t="str">
            <v>KIA3</v>
          </cell>
          <cell r="B153">
            <v>492987.00967424613</v>
          </cell>
          <cell r="C153">
            <v>784836.64000000013</v>
          </cell>
          <cell r="D153">
            <v>369835.81</v>
          </cell>
          <cell r="E153">
            <v>373391.92</v>
          </cell>
        </row>
        <row r="154">
          <cell r="A154" t="str">
            <v>KIA3DD</v>
          </cell>
          <cell r="B154">
            <v>205801.22399999999</v>
          </cell>
          <cell r="C154">
            <v>276114.76</v>
          </cell>
        </row>
        <row r="155">
          <cell r="A155" t="str">
            <v>KLG1DD</v>
          </cell>
          <cell r="B155">
            <v>172751.28</v>
          </cell>
          <cell r="C155">
            <v>255612.03999999998</v>
          </cell>
        </row>
        <row r="156">
          <cell r="A156" t="str">
            <v>KLG4DD</v>
          </cell>
          <cell r="B156">
            <v>178678.63765534124</v>
          </cell>
          <cell r="C156">
            <v>264151.20999999996</v>
          </cell>
        </row>
        <row r="157">
          <cell r="A157" t="str">
            <v>KMSFRWDD</v>
          </cell>
          <cell r="B157">
            <v>9535.5367999999999</v>
          </cell>
          <cell r="C157">
            <v>14499.7</v>
          </cell>
        </row>
        <row r="158">
          <cell r="A158" t="str">
            <v>LID1DD</v>
          </cell>
          <cell r="B158">
            <v>147562.51999999999</v>
          </cell>
          <cell r="C158">
            <v>198337</v>
          </cell>
        </row>
        <row r="159">
          <cell r="A159" t="str">
            <v>LID2</v>
          </cell>
          <cell r="B159">
            <v>879037.70305792382</v>
          </cell>
          <cell r="C159">
            <v>1280437.5300000003</v>
          </cell>
          <cell r="D159">
            <v>896039.76</v>
          </cell>
          <cell r="E159">
            <v>993708.09000000008</v>
          </cell>
        </row>
        <row r="160">
          <cell r="A160" t="str">
            <v>LID2DD</v>
          </cell>
          <cell r="B160">
            <v>149868.84</v>
          </cell>
          <cell r="C160">
            <v>205449.31999999998</v>
          </cell>
        </row>
        <row r="161">
          <cell r="A161" t="str">
            <v>LID3DD</v>
          </cell>
          <cell r="B161">
            <v>135713.70955750172</v>
          </cell>
          <cell r="C161">
            <v>197847.56</v>
          </cell>
        </row>
        <row r="162">
          <cell r="A162" t="str">
            <v>LID4DD</v>
          </cell>
          <cell r="B162">
            <v>125034.15075067893</v>
          </cell>
          <cell r="C162">
            <v>183138.35</v>
          </cell>
        </row>
        <row r="163">
          <cell r="A163" t="str">
            <v>LID5DD</v>
          </cell>
          <cell r="B163">
            <v>127566.302</v>
          </cell>
          <cell r="C163">
            <v>186960.21</v>
          </cell>
        </row>
        <row r="164">
          <cell r="A164" t="str">
            <v>LID6DD</v>
          </cell>
          <cell r="B164">
            <v>138565.21459583618</v>
          </cell>
          <cell r="C164">
            <v>202143.55</v>
          </cell>
        </row>
        <row r="165">
          <cell r="A165" t="str">
            <v>LID7DD</v>
          </cell>
          <cell r="B165">
            <v>117993.86659583621</v>
          </cell>
          <cell r="C165">
            <v>172543.88</v>
          </cell>
        </row>
        <row r="166">
          <cell r="A166" t="str">
            <v>LID8DD</v>
          </cell>
          <cell r="B166">
            <v>148313.20925958361</v>
          </cell>
          <cell r="C166">
            <v>215102.28</v>
          </cell>
        </row>
        <row r="167">
          <cell r="A167" t="str">
            <v>LIDHOTDD</v>
          </cell>
          <cell r="B167">
            <v>8330.75</v>
          </cell>
          <cell r="C167">
            <v>12003.45</v>
          </cell>
        </row>
        <row r="168">
          <cell r="A168" t="str">
            <v>LJT1DD</v>
          </cell>
          <cell r="B168">
            <v>157421.04800000001</v>
          </cell>
          <cell r="C168">
            <v>235762.7</v>
          </cell>
        </row>
        <row r="169">
          <cell r="A169" t="str">
            <v>LJT2DD</v>
          </cell>
          <cell r="B169">
            <v>210410.9065141743</v>
          </cell>
          <cell r="C169">
            <v>322830.77</v>
          </cell>
        </row>
        <row r="170">
          <cell r="A170" t="str">
            <v>LJT3DD</v>
          </cell>
          <cell r="B170">
            <v>179101.0714627569</v>
          </cell>
          <cell r="C170">
            <v>271967</v>
          </cell>
        </row>
        <row r="171">
          <cell r="A171" t="str">
            <v>LJT4DD</v>
          </cell>
          <cell r="B171">
            <v>170218.76020566974</v>
          </cell>
          <cell r="C171">
            <v>257935.96000000002</v>
          </cell>
        </row>
        <row r="172">
          <cell r="A172" t="str">
            <v>LJT5DD</v>
          </cell>
          <cell r="B172">
            <v>176290.37</v>
          </cell>
          <cell r="C172">
            <v>267210.16000000003</v>
          </cell>
        </row>
        <row r="173">
          <cell r="A173" t="str">
            <v>LJT6DD</v>
          </cell>
          <cell r="B173">
            <v>159055.55999999997</v>
          </cell>
          <cell r="C173">
            <v>238498.24</v>
          </cell>
        </row>
        <row r="174">
          <cell r="A174" t="str">
            <v>LJT7DD</v>
          </cell>
          <cell r="B174">
            <v>137216.90999999997</v>
          </cell>
          <cell r="C174">
            <v>203246.47999999998</v>
          </cell>
        </row>
        <row r="175">
          <cell r="A175" t="str">
            <v>LJT8DD</v>
          </cell>
          <cell r="B175">
            <v>131450.82999999999</v>
          </cell>
          <cell r="C175">
            <v>194725.24</v>
          </cell>
        </row>
        <row r="176">
          <cell r="A176" t="str">
            <v>MACMKWDD</v>
          </cell>
          <cell r="B176">
            <v>984.81399999999985</v>
          </cell>
          <cell r="C176">
            <v>1566.5</v>
          </cell>
        </row>
        <row r="177">
          <cell r="A177" t="str">
            <v>MAI3DD</v>
          </cell>
          <cell r="B177">
            <v>143797.84999999998</v>
          </cell>
          <cell r="C177">
            <v>214984.8</v>
          </cell>
        </row>
        <row r="178">
          <cell r="A178" t="str">
            <v>MAI7DD</v>
          </cell>
          <cell r="B178">
            <v>144461.02284574771</v>
          </cell>
          <cell r="C178">
            <v>216241.88999999998</v>
          </cell>
        </row>
        <row r="179">
          <cell r="A179" t="str">
            <v>MDG1DD</v>
          </cell>
          <cell r="B179">
            <v>149058.47999999998</v>
          </cell>
          <cell r="C179">
            <v>225691.36</v>
          </cell>
        </row>
        <row r="180">
          <cell r="A180" t="str">
            <v>MDG2DD</v>
          </cell>
          <cell r="B180">
            <v>154253.31706506375</v>
          </cell>
          <cell r="C180">
            <v>236658.8</v>
          </cell>
        </row>
        <row r="181">
          <cell r="A181" t="str">
            <v>MGBNETDD</v>
          </cell>
          <cell r="B181">
            <v>12744.628999999999</v>
          </cell>
          <cell r="C181">
            <v>18582.150000000001</v>
          </cell>
        </row>
        <row r="182">
          <cell r="A182" t="str">
            <v>MKY1</v>
          </cell>
          <cell r="B182">
            <v>563929.79130768706</v>
          </cell>
          <cell r="C182">
            <v>898332.13</v>
          </cell>
          <cell r="D182">
            <v>642638.63199999998</v>
          </cell>
          <cell r="E182">
            <v>688364.84</v>
          </cell>
        </row>
        <row r="183">
          <cell r="A183" t="str">
            <v>MKY1DD</v>
          </cell>
          <cell r="B183">
            <v>132981.24999999997</v>
          </cell>
          <cell r="C183">
            <v>197823</v>
          </cell>
        </row>
        <row r="184">
          <cell r="A184" t="str">
            <v>MKY2DD</v>
          </cell>
          <cell r="B184">
            <v>136568.78999999998</v>
          </cell>
          <cell r="C184">
            <v>203598.06</v>
          </cell>
        </row>
        <row r="185">
          <cell r="A185" t="str">
            <v>MKY3DD</v>
          </cell>
          <cell r="B185">
            <v>189935.16236455203</v>
          </cell>
          <cell r="C185">
            <v>288241.56</v>
          </cell>
        </row>
        <row r="186">
          <cell r="A186" t="str">
            <v>MKY4DD</v>
          </cell>
          <cell r="B186">
            <v>141400.06</v>
          </cell>
          <cell r="C186">
            <v>211342.68</v>
          </cell>
        </row>
        <row r="187">
          <cell r="A187" t="str">
            <v>MKYBAWDD</v>
          </cell>
          <cell r="B187">
            <v>19981.802800000001</v>
          </cell>
          <cell r="C187">
            <v>30849.1</v>
          </cell>
        </row>
        <row r="188">
          <cell r="A188" t="str">
            <v>MKYMKWDD</v>
          </cell>
          <cell r="B188">
            <v>10018.799999999999</v>
          </cell>
          <cell r="C188">
            <v>15723.72</v>
          </cell>
        </row>
        <row r="189">
          <cell r="A189" t="str">
            <v>MNKQBTDD</v>
          </cell>
          <cell r="B189">
            <v>11802.964799999998</v>
          </cell>
          <cell r="C189">
            <v>18376.599999999999</v>
          </cell>
        </row>
        <row r="190">
          <cell r="A190" t="str">
            <v>MUSMUWDD</v>
          </cell>
          <cell r="B190">
            <v>4212.1072000000004</v>
          </cell>
          <cell r="C190">
            <v>6374.8</v>
          </cell>
        </row>
        <row r="191">
          <cell r="A191" t="str">
            <v>NDG1DD</v>
          </cell>
          <cell r="B191">
            <v>143511.59536835016</v>
          </cell>
          <cell r="C191">
            <v>211978.33</v>
          </cell>
        </row>
        <row r="192">
          <cell r="A192" t="str">
            <v>NDG2DD</v>
          </cell>
          <cell r="B192">
            <v>149216.452248546</v>
          </cell>
          <cell r="C192">
            <v>220438.22</v>
          </cell>
        </row>
        <row r="193">
          <cell r="A193" t="str">
            <v>NDG3DD</v>
          </cell>
          <cell r="B193">
            <v>156553.7980941741</v>
          </cell>
          <cell r="C193">
            <v>231469.44000000003</v>
          </cell>
        </row>
        <row r="194">
          <cell r="A194" t="str">
            <v>NDG4DD</v>
          </cell>
          <cell r="B194">
            <v>143209.57482223245</v>
          </cell>
          <cell r="C194">
            <v>210575.53</v>
          </cell>
        </row>
        <row r="195">
          <cell r="A195" t="str">
            <v>PMFERWDD</v>
          </cell>
          <cell r="B195">
            <v>21278.672799999997</v>
          </cell>
          <cell r="C195">
            <v>33271.599999999999</v>
          </cell>
        </row>
        <row r="196">
          <cell r="A196" t="str">
            <v>PPNPRWDD</v>
          </cell>
          <cell r="B196">
            <v>3120.1557600000001</v>
          </cell>
          <cell r="C196">
            <v>4871.42</v>
          </cell>
        </row>
        <row r="197">
          <cell r="A197" t="str">
            <v>PTH1DD</v>
          </cell>
          <cell r="B197">
            <v>142033.83690140845</v>
          </cell>
          <cell r="C197">
            <v>169913.09999999998</v>
          </cell>
        </row>
        <row r="198">
          <cell r="A198" t="str">
            <v>PTH2DD</v>
          </cell>
          <cell r="B198">
            <v>133706.74599999998</v>
          </cell>
          <cell r="C198">
            <v>175473.26</v>
          </cell>
        </row>
        <row r="199">
          <cell r="A199" t="str">
            <v>PTH3DD</v>
          </cell>
          <cell r="B199">
            <v>118569.78725958359</v>
          </cell>
          <cell r="C199">
            <v>173675.16</v>
          </cell>
        </row>
        <row r="200">
          <cell r="A200" t="str">
            <v>PTH4DD</v>
          </cell>
          <cell r="B200">
            <v>102500.21</v>
          </cell>
          <cell r="C200">
            <v>150145.54999999999</v>
          </cell>
        </row>
        <row r="201">
          <cell r="A201" t="str">
            <v>PTH5DD</v>
          </cell>
          <cell r="B201">
            <v>100317.77859583622</v>
          </cell>
          <cell r="C201">
            <v>146908.33000000002</v>
          </cell>
        </row>
        <row r="202">
          <cell r="A202" t="str">
            <v>PTH6DD</v>
          </cell>
          <cell r="B202">
            <v>132015.84</v>
          </cell>
          <cell r="C202">
            <v>193330.7</v>
          </cell>
        </row>
        <row r="203">
          <cell r="A203" t="str">
            <v>PTHROTDD</v>
          </cell>
          <cell r="B203">
            <v>24980.571849699605</v>
          </cell>
          <cell r="C203">
            <v>37380.92</v>
          </cell>
        </row>
        <row r="204">
          <cell r="A204" t="str">
            <v>QBN3DD</v>
          </cell>
          <cell r="B204">
            <v>132142.96999999997</v>
          </cell>
          <cell r="C204">
            <v>194892.40000000002</v>
          </cell>
        </row>
        <row r="205">
          <cell r="A205" t="str">
            <v>QBNMNTDD</v>
          </cell>
          <cell r="B205">
            <v>18127.278399999999</v>
          </cell>
          <cell r="C205">
            <v>28345.8</v>
          </cell>
        </row>
        <row r="206">
          <cell r="A206" t="str">
            <v>RCH1</v>
          </cell>
          <cell r="B206">
            <v>871545.4775851327</v>
          </cell>
          <cell r="C206">
            <v>1219194.8199999996</v>
          </cell>
          <cell r="D206">
            <v>721646.5</v>
          </cell>
          <cell r="E206">
            <v>800305.97</v>
          </cell>
        </row>
        <row r="207">
          <cell r="A207" t="str">
            <v>RCH1DD</v>
          </cell>
          <cell r="B207">
            <v>175317.68999999997</v>
          </cell>
          <cell r="C207">
            <v>215898.21</v>
          </cell>
        </row>
        <row r="208">
          <cell r="A208" t="str">
            <v>RCH2</v>
          </cell>
          <cell r="B208">
            <v>1062059.4983774917</v>
          </cell>
          <cell r="C208">
            <v>1509266.5000000002</v>
          </cell>
          <cell r="D208">
            <v>1091801.46</v>
          </cell>
          <cell r="E208">
            <v>1210807.82</v>
          </cell>
        </row>
        <row r="209">
          <cell r="A209" t="str">
            <v>RCH2DD</v>
          </cell>
          <cell r="B209">
            <v>190131.22999999998</v>
          </cell>
          <cell r="C209">
            <v>251730.53999999998</v>
          </cell>
        </row>
        <row r="210">
          <cell r="A210" t="str">
            <v>RCH3DD</v>
          </cell>
          <cell r="B210">
            <v>166250.1225958362</v>
          </cell>
          <cell r="C210">
            <v>227637.44</v>
          </cell>
        </row>
        <row r="211">
          <cell r="A211" t="str">
            <v>RCH4</v>
          </cell>
          <cell r="B211">
            <v>1229714.6226938078</v>
          </cell>
          <cell r="C211">
            <v>1778083.1599999997</v>
          </cell>
          <cell r="D211">
            <v>1129599.6399999999</v>
          </cell>
          <cell r="E211">
            <v>1252726</v>
          </cell>
        </row>
        <row r="212">
          <cell r="A212" t="str">
            <v>RCH4DD</v>
          </cell>
          <cell r="B212">
            <v>223660.65248316011</v>
          </cell>
          <cell r="C212">
            <v>321889.25999999995</v>
          </cell>
        </row>
        <row r="213">
          <cell r="A213" t="str">
            <v>RCH5DD</v>
          </cell>
          <cell r="B213">
            <v>117531.11659583621</v>
          </cell>
          <cell r="C213">
            <v>170071.26</v>
          </cell>
        </row>
        <row r="214">
          <cell r="A214" t="str">
            <v>RCH6DD</v>
          </cell>
          <cell r="B214">
            <v>156662.04859583621</v>
          </cell>
          <cell r="C214">
            <v>228878.59999999998</v>
          </cell>
        </row>
        <row r="215">
          <cell r="A215" t="str">
            <v>RCHTDD</v>
          </cell>
          <cell r="B215">
            <v>33467</v>
          </cell>
          <cell r="C215">
            <v>48253.8</v>
          </cell>
        </row>
        <row r="216">
          <cell r="A216" t="str">
            <v>REDGBEDD</v>
          </cell>
          <cell r="B216">
            <v>5271.1214456906646</v>
          </cell>
          <cell r="C216">
            <v>7592.03</v>
          </cell>
        </row>
        <row r="217">
          <cell r="A217" t="str">
            <v>RIV1</v>
          </cell>
          <cell r="B217">
            <v>384218.0543717785</v>
          </cell>
          <cell r="C217">
            <v>586082.52999999991</v>
          </cell>
          <cell r="D217">
            <v>389333.77</v>
          </cell>
          <cell r="E217">
            <v>431771.15</v>
          </cell>
        </row>
        <row r="218">
          <cell r="A218" t="str">
            <v>RIV1DD</v>
          </cell>
          <cell r="B218">
            <v>278901.26</v>
          </cell>
          <cell r="C218">
            <v>368768.88999999996</v>
          </cell>
        </row>
        <row r="219">
          <cell r="A219" t="str">
            <v>RIV2DD</v>
          </cell>
          <cell r="B219">
            <v>68366.175480832768</v>
          </cell>
          <cell r="C219">
            <v>95318.010000000009</v>
          </cell>
        </row>
        <row r="220">
          <cell r="A220" t="str">
            <v>RIV3DD</v>
          </cell>
          <cell r="B220">
            <v>114097.21866374739</v>
          </cell>
          <cell r="C220">
            <v>163232.03</v>
          </cell>
        </row>
        <row r="221">
          <cell r="A221" t="str">
            <v>RIV4DD</v>
          </cell>
          <cell r="B221">
            <v>79793.252000000008</v>
          </cell>
          <cell r="C221">
            <v>114104.97</v>
          </cell>
        </row>
        <row r="222">
          <cell r="A222" t="str">
            <v>RIVDD</v>
          </cell>
          <cell r="B222">
            <v>0</v>
          </cell>
          <cell r="C222">
            <v>0</v>
          </cell>
        </row>
        <row r="223">
          <cell r="A223" t="str">
            <v>RIVTDD</v>
          </cell>
          <cell r="B223">
            <v>34902.992845601802</v>
          </cell>
          <cell r="C223">
            <v>50368.99</v>
          </cell>
        </row>
        <row r="224">
          <cell r="A224" t="str">
            <v>ROT1DD</v>
          </cell>
          <cell r="B224">
            <v>126298.10999999999</v>
          </cell>
          <cell r="C224">
            <v>186317.08000000002</v>
          </cell>
        </row>
        <row r="225">
          <cell r="A225" t="str">
            <v>ROT2DD</v>
          </cell>
          <cell r="B225">
            <v>174403.63129721384</v>
          </cell>
          <cell r="C225">
            <v>263046.75</v>
          </cell>
        </row>
        <row r="226">
          <cell r="A226" t="str">
            <v>ROT3DD</v>
          </cell>
          <cell r="B226">
            <v>146083.90999999997</v>
          </cell>
          <cell r="C226">
            <v>218895.47999999998</v>
          </cell>
        </row>
        <row r="227">
          <cell r="A227" t="str">
            <v>SAW1</v>
          </cell>
          <cell r="B227">
            <v>1671407.4221150142</v>
          </cell>
          <cell r="C227">
            <v>2527179.620000001</v>
          </cell>
          <cell r="D227">
            <v>830323.28142857144</v>
          </cell>
          <cell r="E227">
            <v>888289.25</v>
          </cell>
        </row>
        <row r="228">
          <cell r="A228" t="str">
            <v>SAW1DD</v>
          </cell>
          <cell r="B228">
            <v>167252.66</v>
          </cell>
          <cell r="C228">
            <v>239795.16</v>
          </cell>
        </row>
        <row r="229">
          <cell r="A229" t="str">
            <v>SAW2</v>
          </cell>
          <cell r="B229">
            <v>830543.71292681503</v>
          </cell>
          <cell r="C229">
            <v>1260817.6499999997</v>
          </cell>
          <cell r="D229">
            <v>692533.91142857145</v>
          </cell>
          <cell r="E229">
            <v>740880.62</v>
          </cell>
        </row>
        <row r="230">
          <cell r="A230" t="str">
            <v>SAW2DD</v>
          </cell>
          <cell r="B230">
            <v>134819.0025372431</v>
          </cell>
          <cell r="C230">
            <v>196374.89</v>
          </cell>
        </row>
        <row r="231">
          <cell r="A231" t="str">
            <v>SAW3</v>
          </cell>
          <cell r="B231">
            <v>753708.68646129523</v>
          </cell>
          <cell r="C231">
            <v>1166182.23</v>
          </cell>
          <cell r="D231">
            <v>861575.71714285715</v>
          </cell>
          <cell r="E231">
            <v>921723.46000000008</v>
          </cell>
        </row>
        <row r="232">
          <cell r="A232" t="str">
            <v>SAW3DD</v>
          </cell>
          <cell r="B232">
            <v>123376.14651417432</v>
          </cell>
          <cell r="C232">
            <v>188215.94000000003</v>
          </cell>
        </row>
        <row r="233">
          <cell r="A233" t="str">
            <v>SAW4</v>
          </cell>
          <cell r="B233">
            <v>731279.05328415905</v>
          </cell>
          <cell r="C233">
            <v>1133087.6900000002</v>
          </cell>
          <cell r="D233">
            <v>844533.97857142857</v>
          </cell>
          <cell r="E233">
            <v>903492.01</v>
          </cell>
        </row>
        <row r="234">
          <cell r="A234" t="str">
            <v>SAW4DD</v>
          </cell>
          <cell r="B234">
            <v>131173.84474291283</v>
          </cell>
          <cell r="C234">
            <v>200222.22</v>
          </cell>
        </row>
        <row r="235">
          <cell r="A235" t="str">
            <v>SAWTDD</v>
          </cell>
          <cell r="B235">
            <v>23505.186399999999</v>
          </cell>
          <cell r="C235">
            <v>37091.699999999997</v>
          </cell>
        </row>
        <row r="236">
          <cell r="A236" t="str">
            <v>SCOSCWDD</v>
          </cell>
          <cell r="B236">
            <v>5234.1172000000006</v>
          </cell>
          <cell r="C236">
            <v>8094.7</v>
          </cell>
        </row>
        <row r="237">
          <cell r="A237" t="str">
            <v>SILLITDD</v>
          </cell>
          <cell r="B237">
            <v>14506.135718132733</v>
          </cell>
          <cell r="C237">
            <v>20914.79</v>
          </cell>
        </row>
        <row r="238">
          <cell r="A238" t="str">
            <v>SLA1DD</v>
          </cell>
          <cell r="B238">
            <v>173145.40000000002</v>
          </cell>
          <cell r="C238">
            <v>247893.64</v>
          </cell>
        </row>
        <row r="239">
          <cell r="A239" t="str">
            <v>SLA3DD</v>
          </cell>
          <cell r="B239">
            <v>177365.18312621169</v>
          </cell>
          <cell r="C239">
            <v>256098.74000000002</v>
          </cell>
        </row>
        <row r="240">
          <cell r="A240" t="str">
            <v>SSBAARDD</v>
          </cell>
          <cell r="B240">
            <v>10014.172457607927</v>
          </cell>
          <cell r="C240">
            <v>14401.11</v>
          </cell>
        </row>
        <row r="241">
          <cell r="A241" t="str">
            <v>SYAWRTDD</v>
          </cell>
          <cell r="B241">
            <v>11400.811421454442</v>
          </cell>
          <cell r="C241">
            <v>16422.900000000001</v>
          </cell>
        </row>
        <row r="242">
          <cell r="A242" t="str">
            <v>TAMW06</v>
          </cell>
          <cell r="B242">
            <v>0</v>
          </cell>
          <cell r="C242">
            <v>0</v>
          </cell>
        </row>
        <row r="243">
          <cell r="A243" t="str">
            <v>TAMW06DD</v>
          </cell>
          <cell r="B243">
            <v>33601.297599999998</v>
          </cell>
          <cell r="C243">
            <v>46813.1</v>
          </cell>
        </row>
        <row r="244">
          <cell r="A244" t="str">
            <v>TAMW16DD</v>
          </cell>
          <cell r="B244">
            <v>28382.261999999999</v>
          </cell>
          <cell r="C244">
            <v>38416</v>
          </cell>
        </row>
        <row r="245">
          <cell r="A245" t="str">
            <v>TAMW23DD</v>
          </cell>
          <cell r="B245">
            <v>21262.268400000001</v>
          </cell>
          <cell r="C245">
            <v>27107.4</v>
          </cell>
        </row>
        <row r="246">
          <cell r="A246" t="str">
            <v>TEE2DD</v>
          </cell>
          <cell r="B246">
            <v>146828.07451417431</v>
          </cell>
          <cell r="C246">
            <v>219094.06</v>
          </cell>
        </row>
        <row r="247">
          <cell r="A247" t="str">
            <v>TEE3DD</v>
          </cell>
          <cell r="B247">
            <v>129515.7545141743</v>
          </cell>
          <cell r="C247">
            <v>190834.83000000002</v>
          </cell>
        </row>
        <row r="248">
          <cell r="A248" t="str">
            <v>TEE4DD</v>
          </cell>
          <cell r="B248">
            <v>63875.634102834862</v>
          </cell>
          <cell r="C248">
            <v>95077.119999999995</v>
          </cell>
        </row>
        <row r="249">
          <cell r="A249" t="str">
            <v>TEE5DD</v>
          </cell>
          <cell r="B249">
            <v>123555.54999999999</v>
          </cell>
          <cell r="C249">
            <v>186854.22</v>
          </cell>
        </row>
        <row r="250">
          <cell r="A250" t="str">
            <v>Test</v>
          </cell>
          <cell r="B250">
            <v>0</v>
          </cell>
          <cell r="C250">
            <v>0</v>
          </cell>
        </row>
        <row r="251">
          <cell r="A251" t="str">
            <v>TETINWDD</v>
          </cell>
          <cell r="B251">
            <v>14561.943952103004</v>
          </cell>
          <cell r="C251">
            <v>23152.86</v>
          </cell>
        </row>
        <row r="252">
          <cell r="A252" t="str">
            <v>TNS1</v>
          </cell>
          <cell r="B252">
            <v>215318.89213387921</v>
          </cell>
          <cell r="C252">
            <v>352213.05</v>
          </cell>
          <cell r="D252">
            <v>333348.62400000001</v>
          </cell>
          <cell r="E252">
            <v>357067.66000000003</v>
          </cell>
        </row>
        <row r="253">
          <cell r="A253" t="str">
            <v>TNS1DD</v>
          </cell>
          <cell r="B253">
            <v>123065.09</v>
          </cell>
          <cell r="C253">
            <v>137215.96</v>
          </cell>
        </row>
        <row r="254">
          <cell r="A254" t="str">
            <v>TNS2</v>
          </cell>
          <cell r="B254">
            <v>368800.86408870813</v>
          </cell>
          <cell r="C254">
            <v>590870.14</v>
          </cell>
          <cell r="D254">
            <v>505546.576</v>
          </cell>
          <cell r="E254">
            <v>541518.16</v>
          </cell>
        </row>
        <row r="255">
          <cell r="A255" t="str">
            <v>TNS2DD</v>
          </cell>
          <cell r="B255">
            <v>155059.45699439524</v>
          </cell>
          <cell r="C255">
            <v>182662.35</v>
          </cell>
        </row>
        <row r="256">
          <cell r="A256" t="str">
            <v>TNS3</v>
          </cell>
          <cell r="B256">
            <v>412421.0323817929</v>
          </cell>
          <cell r="C256">
            <v>673838.16</v>
          </cell>
          <cell r="D256">
            <v>683175.20799999998</v>
          </cell>
          <cell r="E256">
            <v>731785.75</v>
          </cell>
        </row>
        <row r="257">
          <cell r="A257" t="str">
            <v>TNS3DD</v>
          </cell>
          <cell r="B257">
            <v>147231.32199999999</v>
          </cell>
          <cell r="C257">
            <v>187429.2</v>
          </cell>
        </row>
        <row r="258">
          <cell r="A258" t="str">
            <v>TNS4DD</v>
          </cell>
          <cell r="B258">
            <v>144803.66965364307</v>
          </cell>
          <cell r="C258">
            <v>212885.12</v>
          </cell>
        </row>
        <row r="259">
          <cell r="A259" t="str">
            <v>TNS5DD</v>
          </cell>
          <cell r="B259">
            <v>136171.84850280237</v>
          </cell>
          <cell r="C259">
            <v>200825.31</v>
          </cell>
        </row>
        <row r="260">
          <cell r="A260" t="str">
            <v>TNS6DD</v>
          </cell>
          <cell r="B260">
            <v>114925.68528584193</v>
          </cell>
          <cell r="C260">
            <v>169503.94</v>
          </cell>
        </row>
        <row r="261">
          <cell r="A261" t="str">
            <v>TOB1</v>
          </cell>
          <cell r="B261">
            <v>1306428.5506257145</v>
          </cell>
          <cell r="C261">
            <v>1938475.26</v>
          </cell>
          <cell r="D261">
            <v>795449.79399999999</v>
          </cell>
          <cell r="E261">
            <v>886467.61</v>
          </cell>
        </row>
        <row r="262">
          <cell r="A262" t="str">
            <v>TOB1DD</v>
          </cell>
          <cell r="B262">
            <v>202654.28</v>
          </cell>
          <cell r="C262">
            <v>250471.24000000002</v>
          </cell>
        </row>
        <row r="263">
          <cell r="A263" t="str">
            <v>TOB2</v>
          </cell>
          <cell r="B263">
            <v>1569944.3315484135</v>
          </cell>
          <cell r="C263">
            <v>2403880.3300000005</v>
          </cell>
          <cell r="D263">
            <v>1040352.084</v>
          </cell>
          <cell r="E263">
            <v>1114377.1399999999</v>
          </cell>
        </row>
        <row r="264">
          <cell r="A264" t="str">
            <v>TOB2DD</v>
          </cell>
          <cell r="B264">
            <v>292468.03999999998</v>
          </cell>
          <cell r="C264">
            <v>403164.56</v>
          </cell>
        </row>
        <row r="265">
          <cell r="A265" t="str">
            <v>TOB3</v>
          </cell>
          <cell r="B265">
            <v>1440703.3892033605</v>
          </cell>
          <cell r="C265">
            <v>2201042.1200000006</v>
          </cell>
          <cell r="D265">
            <v>911304.54599999997</v>
          </cell>
          <cell r="E265">
            <v>976147.37</v>
          </cell>
        </row>
        <row r="266">
          <cell r="A266" t="str">
            <v>TOB3DD</v>
          </cell>
          <cell r="B266">
            <v>146228.89999999997</v>
          </cell>
          <cell r="C266">
            <v>208308.94000000003</v>
          </cell>
        </row>
        <row r="267">
          <cell r="A267" t="str">
            <v>TOB4</v>
          </cell>
          <cell r="B267">
            <v>1341049.1973506189</v>
          </cell>
          <cell r="C267">
            <v>2072543.71</v>
          </cell>
          <cell r="D267">
            <v>1105034.4100000001</v>
          </cell>
          <cell r="E267">
            <v>1183661.8599999999</v>
          </cell>
        </row>
        <row r="268">
          <cell r="A268" t="str">
            <v>TOB4DD</v>
          </cell>
          <cell r="B268">
            <v>151661.64351393061</v>
          </cell>
          <cell r="C268">
            <v>221759.25</v>
          </cell>
        </row>
        <row r="269">
          <cell r="A269" t="str">
            <v>TOB5DD</v>
          </cell>
          <cell r="B269">
            <v>152564.9269458208</v>
          </cell>
          <cell r="C269">
            <v>231350.44</v>
          </cell>
        </row>
        <row r="270">
          <cell r="A270" t="str">
            <v>TOB6DD</v>
          </cell>
          <cell r="B270">
            <v>158400.51824303466</v>
          </cell>
          <cell r="C270">
            <v>246120.01</v>
          </cell>
        </row>
        <row r="271">
          <cell r="A271" t="str">
            <v>TOB7DD</v>
          </cell>
          <cell r="B271">
            <v>107708.66999999998</v>
          </cell>
          <cell r="C271">
            <v>159576.76</v>
          </cell>
        </row>
        <row r="272">
          <cell r="A272" t="str">
            <v>TOB8DD</v>
          </cell>
          <cell r="B272">
            <v>145789.76999999999</v>
          </cell>
          <cell r="C272">
            <v>226854.84</v>
          </cell>
        </row>
        <row r="273">
          <cell r="A273" t="str">
            <v>TOB9DD</v>
          </cell>
          <cell r="B273">
            <v>156681.53351393063</v>
          </cell>
          <cell r="C273">
            <v>240682.47</v>
          </cell>
        </row>
        <row r="274">
          <cell r="A274" t="str">
            <v>TOBW03</v>
          </cell>
          <cell r="B274">
            <v>136050.52793547703</v>
          </cell>
          <cell r="C274">
            <v>204639.54999999996</v>
          </cell>
          <cell r="D274">
            <v>48625.2</v>
          </cell>
          <cell r="E274">
            <v>52085.07</v>
          </cell>
        </row>
        <row r="275">
          <cell r="A275" t="str">
            <v>TOBW15DD</v>
          </cell>
          <cell r="B275">
            <v>7316.0683999999992</v>
          </cell>
          <cell r="C275">
            <v>11649.9</v>
          </cell>
        </row>
        <row r="276">
          <cell r="A276" t="str">
            <v>TOBW3DD</v>
          </cell>
          <cell r="B276">
            <v>18615.169999999998</v>
          </cell>
          <cell r="C276">
            <v>29617.5</v>
          </cell>
        </row>
        <row r="277">
          <cell r="A277" t="str">
            <v>ULTDALDD</v>
          </cell>
          <cell r="B277">
            <v>6198.5928644521937</v>
          </cell>
          <cell r="C277">
            <v>8934.39</v>
          </cell>
        </row>
        <row r="278">
          <cell r="A278" t="str">
            <v>URLURWDD</v>
          </cell>
          <cell r="B278">
            <v>3012.1307999999999</v>
          </cell>
          <cell r="C278">
            <v>4789.8999999999996</v>
          </cell>
        </row>
        <row r="279">
          <cell r="A279" t="str">
            <v>WINTDD</v>
          </cell>
          <cell r="B279">
            <v>28424.957127469064</v>
          </cell>
          <cell r="C279">
            <v>40960.339999999997</v>
          </cell>
        </row>
        <row r="280">
          <cell r="A280" t="str">
            <v>WLG1DD</v>
          </cell>
          <cell r="B280">
            <v>130151.15300967709</v>
          </cell>
          <cell r="C280">
            <v>190826.6</v>
          </cell>
        </row>
        <row r="281">
          <cell r="A281" t="str">
            <v>WLG2DD</v>
          </cell>
          <cell r="B281">
            <v>133313.54830281861</v>
          </cell>
          <cell r="C281">
            <v>194891.87</v>
          </cell>
        </row>
        <row r="282">
          <cell r="A282" t="str">
            <v>WLG3DD</v>
          </cell>
          <cell r="B282">
            <v>109177.98999999999</v>
          </cell>
          <cell r="C282">
            <v>163098.72</v>
          </cell>
        </row>
        <row r="283">
          <cell r="A283" t="str">
            <v>WLG4DD</v>
          </cell>
          <cell r="B283">
            <v>108760.16799999999</v>
          </cell>
          <cell r="C283">
            <v>159617.96000000002</v>
          </cell>
        </row>
        <row r="284">
          <cell r="A284" t="str">
            <v>WLG5DD</v>
          </cell>
          <cell r="B284">
            <v>102978.27999999998</v>
          </cell>
          <cell r="C284">
            <v>152875.84</v>
          </cell>
        </row>
        <row r="285">
          <cell r="A285" t="str">
            <v>WLG6DD</v>
          </cell>
          <cell r="B285">
            <v>104104.37951409307</v>
          </cell>
          <cell r="C285">
            <v>155130.14000000001</v>
          </cell>
        </row>
        <row r="286">
          <cell r="A286" t="str">
            <v>WLGTDD</v>
          </cell>
          <cell r="B286">
            <v>14387.247999999998</v>
          </cell>
          <cell r="C286">
            <v>22906.5</v>
          </cell>
        </row>
        <row r="287">
          <cell r="A287" t="str">
            <v>WRWWAWDD</v>
          </cell>
          <cell r="B287">
            <v>10827.527600369958</v>
          </cell>
          <cell r="C287">
            <v>16739.400000000001</v>
          </cell>
        </row>
        <row r="288">
          <cell r="A288" t="str">
            <v>BDB2DD</v>
          </cell>
          <cell r="B288">
            <v>144964.48114990309</v>
          </cell>
          <cell r="C288">
            <v>212380.00999999998</v>
          </cell>
        </row>
        <row r="289">
          <cell r="A289" t="str">
            <v>GDN2</v>
          </cell>
          <cell r="B289">
            <v>997353.82448382408</v>
          </cell>
          <cell r="C289">
            <v>1531807.1999999997</v>
          </cell>
          <cell r="D289">
            <v>975170.53</v>
          </cell>
          <cell r="E289">
            <v>1081464.1100000001</v>
          </cell>
        </row>
        <row r="290">
          <cell r="A290" t="str">
            <v>SLA2DD</v>
          </cell>
          <cell r="B290">
            <v>153972.15883087437</v>
          </cell>
          <cell r="C290">
            <v>221482.84</v>
          </cell>
        </row>
        <row r="291">
          <cell r="A291" t="str">
            <v>MAI11DD</v>
          </cell>
          <cell r="B291">
            <v>148488.04999999999</v>
          </cell>
          <cell r="C291">
            <v>223060.4</v>
          </cell>
        </row>
        <row r="292">
          <cell r="A292" t="str">
            <v>LIV4DD</v>
          </cell>
          <cell r="B292">
            <v>126398.83999999998</v>
          </cell>
          <cell r="C292">
            <v>185454.8</v>
          </cell>
        </row>
        <row r="293">
          <cell r="A293" t="str">
            <v>CAI4DD</v>
          </cell>
          <cell r="B293">
            <v>102722.42749719763</v>
          </cell>
          <cell r="C293">
            <v>149751.99</v>
          </cell>
        </row>
        <row r="294">
          <cell r="A294" t="str">
            <v>MDG3DD</v>
          </cell>
          <cell r="B294">
            <v>96076.513794330254</v>
          </cell>
          <cell r="C294">
            <v>146186.98000000001</v>
          </cell>
        </row>
        <row r="295">
          <cell r="A295" t="str">
            <v>RCHWINT</v>
          </cell>
          <cell r="B295">
            <v>70245.756501018783</v>
          </cell>
          <cell r="C295">
            <v>101511.95</v>
          </cell>
          <cell r="D295">
            <v>203539.6</v>
          </cell>
          <cell r="E295">
            <v>225725.41</v>
          </cell>
        </row>
        <row r="296">
          <cell r="A296" t="str">
            <v>KLG7DD</v>
          </cell>
          <cell r="B296">
            <v>142785.27812621166</v>
          </cell>
          <cell r="C296">
            <v>210741.71</v>
          </cell>
        </row>
        <row r="297">
          <cell r="A297" t="str">
            <v>GUL7DD</v>
          </cell>
          <cell r="B297">
            <v>177389.20851401184</v>
          </cell>
          <cell r="C297">
            <v>264073.08999999997</v>
          </cell>
        </row>
        <row r="298">
          <cell r="A298" t="str">
            <v>BBE1DD</v>
          </cell>
          <cell r="B298">
            <v>149976.12</v>
          </cell>
          <cell r="C298">
            <v>216979.36</v>
          </cell>
        </row>
        <row r="299">
          <cell r="A299" t="str">
            <v>RCHRIVT</v>
          </cell>
          <cell r="B299">
            <v>232784.62168485869</v>
          </cell>
          <cell r="C299">
            <v>346224.68999999989</v>
          </cell>
          <cell r="D299">
            <v>280788.94</v>
          </cell>
          <cell r="E299">
            <v>311394.93</v>
          </cell>
        </row>
        <row r="300">
          <cell r="A300" t="str">
            <v>NDG3</v>
          </cell>
          <cell r="B300">
            <v>695604.45010565326</v>
          </cell>
          <cell r="C300">
            <v>1037262.47</v>
          </cell>
          <cell r="D300">
            <v>678747.53</v>
          </cell>
          <cell r="E300">
            <v>752731.01</v>
          </cell>
        </row>
        <row r="301">
          <cell r="A301" t="str">
            <v>TNS4</v>
          </cell>
          <cell r="B301">
            <v>845309.57920512848</v>
          </cell>
          <cell r="C301">
            <v>1320024.0700000008</v>
          </cell>
          <cell r="D301">
            <v>794044.33000000007</v>
          </cell>
          <cell r="E301">
            <v>847951.93</v>
          </cell>
        </row>
        <row r="302">
          <cell r="A302" t="str">
            <v>CVI5DD</v>
          </cell>
          <cell r="B302">
            <v>126443.37270668507</v>
          </cell>
          <cell r="C302">
            <v>186061.77000000002</v>
          </cell>
        </row>
        <row r="303">
          <cell r="A303" t="str">
            <v>BEGWLTDD</v>
          </cell>
          <cell r="B303">
            <v>14359.208799999999</v>
          </cell>
          <cell r="C303">
            <v>22116.5</v>
          </cell>
        </row>
        <row r="304">
          <cell r="A304" t="str">
            <v>WLSWLTDD</v>
          </cell>
          <cell r="B304">
            <v>4505.6760000000004</v>
          </cell>
          <cell r="C304">
            <v>6863.6</v>
          </cell>
        </row>
        <row r="305">
          <cell r="A305" t="str">
            <v>SGI1DD</v>
          </cell>
          <cell r="B305">
            <v>92797.1</v>
          </cell>
          <cell r="C305">
            <v>136583.79999999999</v>
          </cell>
        </row>
        <row r="306">
          <cell r="A306" t="str">
            <v>ROTPIWDD</v>
          </cell>
          <cell r="B306">
            <v>11779.671039999997</v>
          </cell>
          <cell r="C306">
            <v>18459.84</v>
          </cell>
        </row>
        <row r="307">
          <cell r="A307" t="str">
            <v>APLAPLT</v>
          </cell>
          <cell r="B307">
            <v>65414.753680409354</v>
          </cell>
          <cell r="C307">
            <v>103534.48999999999</v>
          </cell>
          <cell r="D307">
            <v>147716.01999999999</v>
          </cell>
          <cell r="E307">
            <v>163817.06999999998</v>
          </cell>
        </row>
        <row r="308">
          <cell r="A308" t="str">
            <v>BKSBKTDD</v>
          </cell>
          <cell r="B308">
            <v>5598.9780000000001</v>
          </cell>
          <cell r="C308">
            <v>8601.08</v>
          </cell>
        </row>
        <row r="309">
          <cell r="A309" t="str">
            <v>LJT9DD</v>
          </cell>
          <cell r="B309">
            <v>113022.26</v>
          </cell>
          <cell r="C309">
            <v>163896.28</v>
          </cell>
        </row>
        <row r="310">
          <cell r="A310" t="str">
            <v>PTH7DD</v>
          </cell>
          <cell r="B310">
            <v>100425.18</v>
          </cell>
          <cell r="C310">
            <v>147153.1</v>
          </cell>
        </row>
        <row r="311">
          <cell r="A311" t="str">
            <v>IPS8DD</v>
          </cell>
          <cell r="B311">
            <v>162478.12775145401</v>
          </cell>
          <cell r="C311">
            <v>236274.28</v>
          </cell>
        </row>
        <row r="312">
          <cell r="A312" t="str">
            <v>RCH3</v>
          </cell>
          <cell r="B312">
            <v>1026478.0947824726</v>
          </cell>
          <cell r="C312">
            <v>1513622.15</v>
          </cell>
          <cell r="D312">
            <v>1089515.94</v>
          </cell>
          <cell r="E312">
            <v>1208273.18</v>
          </cell>
        </row>
        <row r="313">
          <cell r="A313" t="str">
            <v>NDG1</v>
          </cell>
          <cell r="B313">
            <v>1090715.8243481528</v>
          </cell>
          <cell r="C313">
            <v>1641016.01</v>
          </cell>
          <cell r="D313">
            <v>998749.77</v>
          </cell>
          <cell r="E313">
            <v>1107613.5</v>
          </cell>
        </row>
        <row r="314">
          <cell r="A314" t="str">
            <v>PTH1</v>
          </cell>
          <cell r="B314">
            <v>510514.18158927222</v>
          </cell>
          <cell r="C314">
            <v>701109.90999999992</v>
          </cell>
          <cell r="D314">
            <v>594599.06000000006</v>
          </cell>
          <cell r="E314">
            <v>659410.36</v>
          </cell>
        </row>
        <row r="315">
          <cell r="A315" t="str">
            <v>AARAART</v>
          </cell>
          <cell r="B315">
            <v>38357.74126410835</v>
          </cell>
          <cell r="C315">
            <v>65507.240000000005</v>
          </cell>
          <cell r="D315">
            <v>33998.42</v>
          </cell>
          <cell r="E315">
            <v>37704.25</v>
          </cell>
        </row>
        <row r="316">
          <cell r="A316" t="str">
            <v>FHLCHDT</v>
          </cell>
          <cell r="B316">
            <v>41607.9</v>
          </cell>
          <cell r="C316">
            <v>61321.960000000006</v>
          </cell>
          <cell r="D316">
            <v>43963.199999999997</v>
          </cell>
          <cell r="E316">
            <v>48755.179999999993</v>
          </cell>
        </row>
        <row r="317">
          <cell r="A317" t="str">
            <v>SSBAART</v>
          </cell>
          <cell r="B317">
            <v>43088.830316027088</v>
          </cell>
          <cell r="C317">
            <v>68451.59</v>
          </cell>
          <cell r="D317">
            <v>112859.2</v>
          </cell>
          <cell r="E317">
            <v>125160.85</v>
          </cell>
        </row>
        <row r="318">
          <cell r="A318" t="str">
            <v>CAI5DD</v>
          </cell>
          <cell r="B318">
            <v>120768.86399999999</v>
          </cell>
          <cell r="C318">
            <v>179056.56</v>
          </cell>
        </row>
        <row r="319">
          <cell r="A319" t="str">
            <v>(blank)</v>
          </cell>
        </row>
        <row r="320">
          <cell r="A320" t="str">
            <v>LID1</v>
          </cell>
          <cell r="B320">
            <v>805265.96750303218</v>
          </cell>
          <cell r="C320">
            <v>1200851.2000000004</v>
          </cell>
          <cell r="D320">
            <v>800579.07</v>
          </cell>
          <cell r="E320">
            <v>887842.19</v>
          </cell>
        </row>
        <row r="321">
          <cell r="A321" t="str">
            <v>BLK4</v>
          </cell>
          <cell r="B321">
            <v>2074720.4216661917</v>
          </cell>
          <cell r="C321">
            <v>2962820.8799999994</v>
          </cell>
          <cell r="D321">
            <v>1182859.48</v>
          </cell>
          <cell r="E321">
            <v>1311791.17</v>
          </cell>
        </row>
        <row r="322">
          <cell r="A322" t="str">
            <v>RCH7DD</v>
          </cell>
          <cell r="B322">
            <v>55004.656595836212</v>
          </cell>
          <cell r="C322">
            <v>80262.62</v>
          </cell>
        </row>
        <row r="323">
          <cell r="A323" t="str">
            <v>NDG2</v>
          </cell>
          <cell r="B323">
            <v>928775.84905440372</v>
          </cell>
          <cell r="C323">
            <v>1386763.5200000003</v>
          </cell>
          <cell r="D323">
            <v>923818.31</v>
          </cell>
          <cell r="E323">
            <v>1024514.5</v>
          </cell>
        </row>
        <row r="324">
          <cell r="A324" t="str">
            <v>QBN4DD</v>
          </cell>
          <cell r="B324">
            <v>170237.46551409308</v>
          </cell>
          <cell r="C324">
            <v>254830.7</v>
          </cell>
        </row>
        <row r="325">
          <cell r="A325" t="str">
            <v>CAI2</v>
          </cell>
          <cell r="B325">
            <v>847119.22257119254</v>
          </cell>
          <cell r="C325">
            <v>1341620.08</v>
          </cell>
          <cell r="D325">
            <v>1106075.7860000001</v>
          </cell>
          <cell r="E325">
            <v>1181167.1700000002</v>
          </cell>
        </row>
        <row r="326">
          <cell r="A326" t="str">
            <v>NABDAWDD</v>
          </cell>
          <cell r="B326">
            <v>4780.0059999999994</v>
          </cell>
          <cell r="C326">
            <v>7442.4</v>
          </cell>
        </row>
        <row r="327">
          <cell r="A327" t="str">
            <v>WAG2DD</v>
          </cell>
          <cell r="B327">
            <v>162989.75999999998</v>
          </cell>
          <cell r="C327">
            <v>242145.32</v>
          </cell>
        </row>
        <row r="328">
          <cell r="A328" t="str">
            <v>WAG1DD</v>
          </cell>
          <cell r="B328">
            <v>16571.879999999997</v>
          </cell>
          <cell r="C328">
            <v>25823.040000000001</v>
          </cell>
        </row>
        <row r="329">
          <cell r="A329" t="str">
            <v>WAG3DD</v>
          </cell>
          <cell r="B329">
            <v>80676.909999999989</v>
          </cell>
          <cell r="C329">
            <v>120906.72</v>
          </cell>
        </row>
        <row r="330">
          <cell r="A330" t="str">
            <v>GDN5</v>
          </cell>
          <cell r="B330">
            <v>374856.03120381385</v>
          </cell>
          <cell r="C330">
            <v>564973.8600000001</v>
          </cell>
          <cell r="D330">
            <v>785888.5</v>
          </cell>
          <cell r="E330">
            <v>871550.34</v>
          </cell>
        </row>
        <row r="331">
          <cell r="A331" t="str">
            <v>TOB6</v>
          </cell>
          <cell r="B331">
            <v>1168019.3108167201</v>
          </cell>
          <cell r="C331">
            <v>1799672.4499999997</v>
          </cell>
          <cell r="D331">
            <v>808231.79999999993</v>
          </cell>
          <cell r="E331">
            <v>865740.6</v>
          </cell>
        </row>
        <row r="332">
          <cell r="A332" t="str">
            <v>GDN6</v>
          </cell>
          <cell r="B332">
            <v>398312.52199468529</v>
          </cell>
          <cell r="C332">
            <v>598964.07000000007</v>
          </cell>
          <cell r="D332">
            <v>849390.14</v>
          </cell>
          <cell r="E332">
            <v>941973.66999999993</v>
          </cell>
        </row>
        <row r="333">
          <cell r="A333" t="str">
            <v>QBN6DD</v>
          </cell>
          <cell r="B333">
            <v>138562.44999999998</v>
          </cell>
          <cell r="C333">
            <v>211604.32</v>
          </cell>
        </row>
      </sheetData>
      <sheetData sheetId="15">
        <row r="1">
          <cell r="A1" t="str">
            <v>Job Number</v>
          </cell>
          <cell r="B1" t="str">
            <v>(All)</v>
          </cell>
        </row>
        <row r="2">
          <cell r="A2" t="str">
            <v>Job NAME</v>
          </cell>
          <cell r="B2" t="str">
            <v>(All)</v>
          </cell>
        </row>
        <row r="4">
          <cell r="A4" t="str">
            <v>Sum of Amount</v>
          </cell>
          <cell r="B4" t="str">
            <v>Column Labels</v>
          </cell>
        </row>
        <row r="5">
          <cell r="B5" t="str">
            <v>DJC</v>
          </cell>
          <cell r="C5" t="str">
            <v>Materials</v>
          </cell>
        </row>
        <row r="6">
          <cell r="A6" t="str">
            <v>Row Labels</v>
          </cell>
          <cell r="C6" t="str">
            <v>Materials</v>
          </cell>
        </row>
        <row r="7">
          <cell r="A7" t="str">
            <v>APL1</v>
          </cell>
          <cell r="B7">
            <v>2495976.5</v>
          </cell>
          <cell r="C7">
            <v>317936.34000000003</v>
          </cell>
        </row>
        <row r="8">
          <cell r="A8" t="str">
            <v>APL2</v>
          </cell>
          <cell r="B8">
            <v>70448.899999999965</v>
          </cell>
          <cell r="C8">
            <v>50071.890000000021</v>
          </cell>
        </row>
        <row r="9">
          <cell r="A9" t="str">
            <v>APL3</v>
          </cell>
          <cell r="B9">
            <v>155993.43000000002</v>
          </cell>
          <cell r="C9">
            <v>225901.30000000005</v>
          </cell>
        </row>
        <row r="10">
          <cell r="A10" t="str">
            <v>APL4</v>
          </cell>
          <cell r="B10">
            <v>354603.93999999977</v>
          </cell>
          <cell r="C10">
            <v>518883.63000000012</v>
          </cell>
        </row>
        <row r="11">
          <cell r="A11" t="str">
            <v>BLK1</v>
          </cell>
          <cell r="B11">
            <v>2147347.37</v>
          </cell>
          <cell r="C11">
            <v>655875.98999999918</v>
          </cell>
        </row>
        <row r="12">
          <cell r="A12" t="str">
            <v>BLK2</v>
          </cell>
          <cell r="B12">
            <v>53371.929999999993</v>
          </cell>
          <cell r="C12">
            <v>110382.44</v>
          </cell>
        </row>
        <row r="13">
          <cell r="A13" t="str">
            <v>BLK3</v>
          </cell>
          <cell r="B13">
            <v>342.1300000000042</v>
          </cell>
          <cell r="C13">
            <v>3485.95</v>
          </cell>
        </row>
        <row r="14">
          <cell r="A14" t="str">
            <v>BLK4</v>
          </cell>
          <cell r="B14">
            <v>12115.090000000002</v>
          </cell>
          <cell r="C14">
            <v>9365.09</v>
          </cell>
        </row>
        <row r="15">
          <cell r="A15" t="str">
            <v>BLK5</v>
          </cell>
          <cell r="B15">
            <v>31733.03</v>
          </cell>
        </row>
        <row r="16">
          <cell r="A16" t="str">
            <v>BLK6</v>
          </cell>
          <cell r="B16">
            <v>84375</v>
          </cell>
          <cell r="C16">
            <v>2958.5</v>
          </cell>
        </row>
        <row r="17">
          <cell r="A17" t="str">
            <v>CAI1</v>
          </cell>
          <cell r="B17">
            <v>118654.84999999999</v>
          </cell>
          <cell r="C17">
            <v>256983.31999999992</v>
          </cell>
        </row>
        <row r="18">
          <cell r="A18" t="str">
            <v>CAI2</v>
          </cell>
          <cell r="B18">
            <v>19435.43</v>
          </cell>
          <cell r="C18">
            <v>48.22</v>
          </cell>
        </row>
        <row r="19">
          <cell r="A19" t="str">
            <v>CAI4</v>
          </cell>
          <cell r="B19">
            <v>9656.5499999999993</v>
          </cell>
          <cell r="C19">
            <v>2.8421709430404007E-14</v>
          </cell>
        </row>
        <row r="20">
          <cell r="A20" t="str">
            <v>CFS1</v>
          </cell>
          <cell r="B20">
            <v>2459253.4700000016</v>
          </cell>
          <cell r="C20">
            <v>868509.57999999984</v>
          </cell>
        </row>
        <row r="21">
          <cell r="A21" t="str">
            <v>CFS2</v>
          </cell>
          <cell r="B21">
            <v>1456086.9900000014</v>
          </cell>
          <cell r="C21">
            <v>578788.24999999965</v>
          </cell>
        </row>
        <row r="22">
          <cell r="A22" t="str">
            <v>CFS3</v>
          </cell>
          <cell r="B22">
            <v>203431.93000000002</v>
          </cell>
          <cell r="C22">
            <v>13251.27</v>
          </cell>
        </row>
        <row r="23">
          <cell r="A23" t="str">
            <v>CFS4</v>
          </cell>
          <cell r="B23">
            <v>91697.64</v>
          </cell>
          <cell r="C23">
            <v>22290.28</v>
          </cell>
        </row>
        <row r="24">
          <cell r="A24" t="str">
            <v>CFS5</v>
          </cell>
          <cell r="B24">
            <v>2559243.0999999996</v>
          </cell>
          <cell r="C24">
            <v>364695.89999999973</v>
          </cell>
        </row>
        <row r="25">
          <cell r="A25" t="str">
            <v>CFS6</v>
          </cell>
          <cell r="B25">
            <v>1342.3600000000001</v>
          </cell>
          <cell r="C25">
            <v>4591.9500000000007</v>
          </cell>
        </row>
        <row r="26">
          <cell r="A26" t="str">
            <v>CFS7</v>
          </cell>
          <cell r="B26">
            <v>25621.02</v>
          </cell>
          <cell r="C26">
            <v>3654.8</v>
          </cell>
        </row>
        <row r="27">
          <cell r="A27" t="str">
            <v>CRC1</v>
          </cell>
          <cell r="B27">
            <v>334231.42000000016</v>
          </cell>
          <cell r="C27">
            <v>167627.86000000002</v>
          </cell>
        </row>
        <row r="28">
          <cell r="A28" t="str">
            <v>CRC2</v>
          </cell>
          <cell r="B28">
            <v>77277.070000000022</v>
          </cell>
          <cell r="C28">
            <v>43360.300000000017</v>
          </cell>
        </row>
        <row r="29">
          <cell r="A29" t="str">
            <v>CRC3</v>
          </cell>
          <cell r="B29">
            <v>1856794.1900000006</v>
          </cell>
          <cell r="C29">
            <v>474322.51999999979</v>
          </cell>
        </row>
        <row r="30">
          <cell r="A30" t="str">
            <v>CRC4</v>
          </cell>
          <cell r="B30">
            <v>77356.069999999992</v>
          </cell>
          <cell r="C30">
            <v>35955.920000000056</v>
          </cell>
        </row>
        <row r="31">
          <cell r="A31" t="str">
            <v>CRC5</v>
          </cell>
          <cell r="B31">
            <v>1190927.7200000032</v>
          </cell>
          <cell r="C31">
            <v>524375.68000000005</v>
          </cell>
        </row>
        <row r="32">
          <cell r="A32" t="str">
            <v>CRC6</v>
          </cell>
          <cell r="B32">
            <v>559245.15000000026</v>
          </cell>
          <cell r="C32">
            <v>330173.8299999999</v>
          </cell>
        </row>
        <row r="33">
          <cell r="A33" t="str">
            <v>CVI2</v>
          </cell>
          <cell r="B33">
            <v>8400</v>
          </cell>
          <cell r="C33">
            <v>0</v>
          </cell>
        </row>
        <row r="34">
          <cell r="A34" t="str">
            <v>CVI3</v>
          </cell>
          <cell r="B34">
            <v>104684.81000000003</v>
          </cell>
          <cell r="C34">
            <v>11857.22</v>
          </cell>
        </row>
        <row r="35">
          <cell r="A35" t="str">
            <v>CVIT</v>
          </cell>
          <cell r="B35">
            <v>240503.34999999989</v>
          </cell>
          <cell r="C35">
            <v>3607.87</v>
          </cell>
        </row>
        <row r="36">
          <cell r="A36" t="str">
            <v>DAP2</v>
          </cell>
          <cell r="B36">
            <v>140648.94</v>
          </cell>
          <cell r="C36">
            <v>27.78</v>
          </cell>
        </row>
        <row r="37">
          <cell r="A37" t="str">
            <v>DAP3</v>
          </cell>
          <cell r="B37">
            <v>17019.900000000001</v>
          </cell>
        </row>
        <row r="38">
          <cell r="A38" t="str">
            <v>DAP4</v>
          </cell>
          <cell r="B38">
            <v>127698.18</v>
          </cell>
        </row>
        <row r="39">
          <cell r="A39" t="str">
            <v>GDN1</v>
          </cell>
          <cell r="B39">
            <v>2223767.0899999994</v>
          </cell>
          <cell r="C39">
            <v>255559.72999999998</v>
          </cell>
        </row>
        <row r="40">
          <cell r="A40" t="str">
            <v>GDN2</v>
          </cell>
          <cell r="B40">
            <v>1126638.4100000004</v>
          </cell>
          <cell r="C40">
            <v>822840.4</v>
          </cell>
        </row>
        <row r="41">
          <cell r="A41" t="str">
            <v>GDN3</v>
          </cell>
          <cell r="B41">
            <v>73771.029999999984</v>
          </cell>
          <cell r="C41">
            <v>2173.2800000000007</v>
          </cell>
        </row>
        <row r="42">
          <cell r="A42" t="str">
            <v>GDN4</v>
          </cell>
          <cell r="B42">
            <v>3452.3300000000008</v>
          </cell>
          <cell r="C42">
            <v>62928.009999999995</v>
          </cell>
        </row>
        <row r="43">
          <cell r="A43" t="str">
            <v>GDN5</v>
          </cell>
          <cell r="B43">
            <v>53070.32</v>
          </cell>
        </row>
        <row r="44">
          <cell r="A44" t="str">
            <v>GDN6</v>
          </cell>
          <cell r="B44">
            <v>65453.1</v>
          </cell>
        </row>
        <row r="45">
          <cell r="A45" t="str">
            <v>GDN7</v>
          </cell>
          <cell r="B45">
            <v>7.1906924858922139E-12</v>
          </cell>
        </row>
        <row r="46">
          <cell r="A46" t="str">
            <v>GOS1</v>
          </cell>
          <cell r="B46">
            <v>160054.73000000007</v>
          </cell>
          <cell r="C46">
            <v>185683.79000000004</v>
          </cell>
        </row>
        <row r="47">
          <cell r="A47" t="str">
            <v>GOS2</v>
          </cell>
          <cell r="B47">
            <v>992470.16000000096</v>
          </cell>
          <cell r="C47">
            <v>858524.42999999912</v>
          </cell>
        </row>
        <row r="48">
          <cell r="A48" t="str">
            <v>GOS3</v>
          </cell>
          <cell r="B48">
            <v>130138.20999999993</v>
          </cell>
          <cell r="C48">
            <v>18828.09</v>
          </cell>
        </row>
        <row r="49">
          <cell r="A49" t="str">
            <v>GOS4</v>
          </cell>
          <cell r="B49">
            <v>13580</v>
          </cell>
        </row>
        <row r="50">
          <cell r="A50" t="str">
            <v>GOS5</v>
          </cell>
          <cell r="B50">
            <v>0</v>
          </cell>
        </row>
        <row r="51">
          <cell r="A51" t="str">
            <v>GOS6</v>
          </cell>
          <cell r="B51">
            <v>9737.5400000000009</v>
          </cell>
        </row>
        <row r="52">
          <cell r="A52" t="str">
            <v>GOS7</v>
          </cell>
          <cell r="B52">
            <v>21862</v>
          </cell>
        </row>
        <row r="53">
          <cell r="A53" t="str">
            <v>GOS8</v>
          </cell>
          <cell r="B53">
            <v>0</v>
          </cell>
        </row>
        <row r="54">
          <cell r="A54" t="str">
            <v>GUL1</v>
          </cell>
          <cell r="B54">
            <v>3544.7499999999995</v>
          </cell>
          <cell r="C54">
            <v>19320.269999999993</v>
          </cell>
        </row>
        <row r="55">
          <cell r="A55" t="str">
            <v>GUL2</v>
          </cell>
          <cell r="B55">
            <v>703748.96000000008</v>
          </cell>
          <cell r="C55">
            <v>167907.16999999963</v>
          </cell>
        </row>
        <row r="56">
          <cell r="A56" t="str">
            <v>GUL3</v>
          </cell>
          <cell r="B56">
            <v>669870.07999999996</v>
          </cell>
          <cell r="C56">
            <v>184895.58999999994</v>
          </cell>
        </row>
        <row r="57">
          <cell r="A57" t="str">
            <v>GUL4</v>
          </cell>
          <cell r="B57">
            <v>836110.8699999993</v>
          </cell>
          <cell r="C57">
            <v>93940.289999999964</v>
          </cell>
        </row>
        <row r="58">
          <cell r="A58" t="str">
            <v>GUL5</v>
          </cell>
          <cell r="B58">
            <v>184160.53999999998</v>
          </cell>
          <cell r="C58">
            <v>24506.510000000002</v>
          </cell>
        </row>
        <row r="59">
          <cell r="A59" t="str">
            <v>GUL6</v>
          </cell>
          <cell r="B59">
            <v>1114.1099999999999</v>
          </cell>
        </row>
        <row r="60">
          <cell r="A60" t="str">
            <v>GULT</v>
          </cell>
          <cell r="B60">
            <v>-6483.1199999999953</v>
          </cell>
          <cell r="C60">
            <v>1811.31</v>
          </cell>
        </row>
        <row r="61">
          <cell r="A61" t="str">
            <v>HOM1</v>
          </cell>
          <cell r="B61">
            <v>173761.62999999998</v>
          </cell>
          <cell r="C61">
            <v>652947.59000000067</v>
          </cell>
        </row>
        <row r="62">
          <cell r="A62" t="str">
            <v>HOM2</v>
          </cell>
          <cell r="B62">
            <v>13814.580000000002</v>
          </cell>
          <cell r="C62">
            <v>3803.7000000000003</v>
          </cell>
        </row>
        <row r="63">
          <cell r="A63" t="str">
            <v>HOM3</v>
          </cell>
          <cell r="B63">
            <v>9390.1800000000021</v>
          </cell>
          <cell r="C63">
            <v>100.08</v>
          </cell>
        </row>
        <row r="64">
          <cell r="A64" t="str">
            <v>HOM4</v>
          </cell>
          <cell r="B64">
            <v>5928.72</v>
          </cell>
        </row>
        <row r="65">
          <cell r="A65" t="str">
            <v>KIA1</v>
          </cell>
          <cell r="C65">
            <v>2407.0099999999998</v>
          </cell>
        </row>
        <row r="66">
          <cell r="A66" t="str">
            <v>KIA2</v>
          </cell>
          <cell r="B66">
            <v>416121.95000000007</v>
          </cell>
          <cell r="C66">
            <v>196361.77000000008</v>
          </cell>
        </row>
        <row r="67">
          <cell r="A67" t="str">
            <v>KIA3</v>
          </cell>
          <cell r="B67">
            <v>606439.06999999995</v>
          </cell>
          <cell r="C67">
            <v>126592.28999999998</v>
          </cell>
        </row>
        <row r="68">
          <cell r="A68" t="str">
            <v>LID1</v>
          </cell>
          <cell r="B68">
            <v>13025.68</v>
          </cell>
          <cell r="C68">
            <v>147631.32</v>
          </cell>
        </row>
        <row r="69">
          <cell r="A69" t="str">
            <v>LID2</v>
          </cell>
          <cell r="B69">
            <v>16001.09</v>
          </cell>
          <cell r="C69">
            <v>2567.92</v>
          </cell>
        </row>
        <row r="70">
          <cell r="A70" t="str">
            <v>LID3</v>
          </cell>
          <cell r="B70">
            <v>37375.19</v>
          </cell>
          <cell r="C70">
            <v>2399.9299999999998</v>
          </cell>
        </row>
        <row r="71">
          <cell r="A71" t="str">
            <v>LID4</v>
          </cell>
          <cell r="B71">
            <v>17384.82</v>
          </cell>
        </row>
        <row r="72">
          <cell r="A72" t="str">
            <v>LID5</v>
          </cell>
          <cell r="B72">
            <v>28529.46</v>
          </cell>
        </row>
        <row r="73">
          <cell r="A73" t="str">
            <v>LID6</v>
          </cell>
          <cell r="B73">
            <v>38851.47</v>
          </cell>
        </row>
        <row r="74">
          <cell r="A74" t="str">
            <v>LID7</v>
          </cell>
          <cell r="B74">
            <v>22250.949999999997</v>
          </cell>
        </row>
        <row r="75">
          <cell r="A75" t="str">
            <v>LID8</v>
          </cell>
          <cell r="B75">
            <v>14681.06</v>
          </cell>
        </row>
        <row r="76">
          <cell r="A76" t="str">
            <v>LJT1</v>
          </cell>
          <cell r="B76">
            <v>69531.649999999994</v>
          </cell>
          <cell r="C76">
            <v>24707.93</v>
          </cell>
        </row>
        <row r="77">
          <cell r="A77" t="str">
            <v>LJT2</v>
          </cell>
          <cell r="B77">
            <v>11200</v>
          </cell>
          <cell r="C77">
            <v>13635.8</v>
          </cell>
        </row>
        <row r="78">
          <cell r="A78" t="str">
            <v>LJT3</v>
          </cell>
          <cell r="B78">
            <v>15553.999999999998</v>
          </cell>
          <cell r="C78">
            <v>5248.8600000000006</v>
          </cell>
        </row>
        <row r="79">
          <cell r="A79" t="str">
            <v>LJT4</v>
          </cell>
          <cell r="B79">
            <v>-7.2759576141834259E-12</v>
          </cell>
        </row>
        <row r="80">
          <cell r="A80" t="str">
            <v>MKY1</v>
          </cell>
          <cell r="B80">
            <v>-1.8189894035458565E-12</v>
          </cell>
          <cell r="C80">
            <v>2939.71</v>
          </cell>
        </row>
        <row r="81">
          <cell r="A81" t="str">
            <v>MKY2</v>
          </cell>
          <cell r="B81">
            <v>12854.86</v>
          </cell>
          <cell r="C81">
            <v>505.59</v>
          </cell>
        </row>
        <row r="82">
          <cell r="A82" t="str">
            <v>MKY3</v>
          </cell>
          <cell r="C82">
            <v>178.8</v>
          </cell>
        </row>
        <row r="83">
          <cell r="A83" t="str">
            <v>MKY4</v>
          </cell>
          <cell r="B83">
            <v>35459.1</v>
          </cell>
          <cell r="C83">
            <v>408.27</v>
          </cell>
        </row>
        <row r="84">
          <cell r="A84" t="str">
            <v>NDG1</v>
          </cell>
          <cell r="B84">
            <v>130761.38</v>
          </cell>
        </row>
        <row r="85">
          <cell r="A85" t="str">
            <v>NDG2</v>
          </cell>
          <cell r="B85">
            <v>178676.01000000004</v>
          </cell>
        </row>
        <row r="86">
          <cell r="A86" t="str">
            <v>NDG3</v>
          </cell>
          <cell r="B86">
            <v>51147.969999999994</v>
          </cell>
        </row>
        <row r="87">
          <cell r="A87" t="str">
            <v>PTH1</v>
          </cell>
          <cell r="B87">
            <v>174389.43999999983</v>
          </cell>
          <cell r="C87">
            <v>722720.32000000111</v>
          </cell>
        </row>
        <row r="88">
          <cell r="A88" t="str">
            <v>PTH2</v>
          </cell>
          <cell r="B88">
            <v>99229.97</v>
          </cell>
          <cell r="C88">
            <v>181051.40000000002</v>
          </cell>
        </row>
        <row r="89">
          <cell r="A89" t="str">
            <v>PTH3</v>
          </cell>
          <cell r="B89">
            <v>61332.160000000003</v>
          </cell>
        </row>
        <row r="90">
          <cell r="A90" t="str">
            <v>PTH4</v>
          </cell>
          <cell r="B90">
            <v>12589.449999999997</v>
          </cell>
        </row>
        <row r="91">
          <cell r="A91" t="str">
            <v>PTH5</v>
          </cell>
          <cell r="B91">
            <v>24947.199999999997</v>
          </cell>
        </row>
        <row r="92">
          <cell r="A92" t="str">
            <v>PTH6</v>
          </cell>
          <cell r="B92">
            <v>28824</v>
          </cell>
          <cell r="C92">
            <v>84.79</v>
          </cell>
        </row>
        <row r="93">
          <cell r="A93" t="str">
            <v>RCH1</v>
          </cell>
          <cell r="B93">
            <v>12798.499999999985</v>
          </cell>
          <cell r="C93">
            <v>8985.0499999999993</v>
          </cell>
        </row>
        <row r="94">
          <cell r="A94" t="str">
            <v>RCH2</v>
          </cell>
          <cell r="B94">
            <v>17512.599999999991</v>
          </cell>
          <cell r="C94">
            <v>256564.30999999994</v>
          </cell>
        </row>
        <row r="95">
          <cell r="A95" t="str">
            <v>RCH3</v>
          </cell>
          <cell r="B95">
            <v>7277</v>
          </cell>
          <cell r="C95">
            <v>1460</v>
          </cell>
        </row>
        <row r="96">
          <cell r="A96" t="str">
            <v>RCH4</v>
          </cell>
          <cell r="B96">
            <v>1446.4700000000003</v>
          </cell>
          <cell r="C96">
            <v>40984.21</v>
          </cell>
        </row>
        <row r="97">
          <cell r="A97" t="str">
            <v>RCH5</v>
          </cell>
          <cell r="B97">
            <v>36695.649999999994</v>
          </cell>
        </row>
        <row r="98">
          <cell r="A98" t="str">
            <v>RCH6</v>
          </cell>
          <cell r="B98">
            <v>60805.429999999993</v>
          </cell>
        </row>
        <row r="99">
          <cell r="A99" t="str">
            <v>RIV1</v>
          </cell>
          <cell r="B99">
            <v>89313.379999999946</v>
          </cell>
          <cell r="C99">
            <v>271064.93000000005</v>
          </cell>
        </row>
        <row r="100">
          <cell r="A100" t="str">
            <v>RIV2</v>
          </cell>
          <cell r="B100">
            <v>56812.420000000006</v>
          </cell>
          <cell r="C100">
            <v>2402.6799999999998</v>
          </cell>
        </row>
        <row r="101">
          <cell r="A101" t="str">
            <v>RIV3</v>
          </cell>
          <cell r="B101">
            <v>68082.549999999974</v>
          </cell>
        </row>
        <row r="102">
          <cell r="A102" t="str">
            <v>RIV4</v>
          </cell>
          <cell r="B102">
            <v>14429.150000000001</v>
          </cell>
        </row>
        <row r="103">
          <cell r="A103" t="str">
            <v>RIVT</v>
          </cell>
          <cell r="B103">
            <v>4.0927261579781771E-12</v>
          </cell>
          <cell r="C103">
            <v>168140.58000000002</v>
          </cell>
        </row>
        <row r="104">
          <cell r="A104" t="str">
            <v>SAW1</v>
          </cell>
          <cell r="B104">
            <v>776957.96999999904</v>
          </cell>
          <cell r="C104">
            <v>391907.61</v>
          </cell>
        </row>
        <row r="105">
          <cell r="A105" t="str">
            <v>SAW2</v>
          </cell>
          <cell r="B105">
            <v>33089.329999999994</v>
          </cell>
          <cell r="C105">
            <v>23351.57</v>
          </cell>
        </row>
        <row r="106">
          <cell r="A106" t="str">
            <v>SAW3</v>
          </cell>
          <cell r="B106">
            <v>181984.36999999997</v>
          </cell>
          <cell r="C106">
            <v>1314.3999999999996</v>
          </cell>
        </row>
        <row r="107">
          <cell r="A107" t="str">
            <v>SAW4</v>
          </cell>
          <cell r="B107">
            <v>67663.45</v>
          </cell>
        </row>
        <row r="108">
          <cell r="A108" t="str">
            <v>SAWT</v>
          </cell>
          <cell r="B108">
            <v>28638.89</v>
          </cell>
          <cell r="C108">
            <v>132094.9</v>
          </cell>
        </row>
        <row r="109">
          <cell r="A109" t="str">
            <v>TEE1</v>
          </cell>
          <cell r="C109">
            <v>13220</v>
          </cell>
        </row>
        <row r="110">
          <cell r="A110" t="str">
            <v>TEE3</v>
          </cell>
          <cell r="B110">
            <v>15774.66</v>
          </cell>
          <cell r="C110">
            <v>1095</v>
          </cell>
        </row>
        <row r="111">
          <cell r="A111" t="str">
            <v>TNS1</v>
          </cell>
          <cell r="B111">
            <v>185194.62999999995</v>
          </cell>
          <cell r="C111">
            <v>198623.13</v>
          </cell>
        </row>
        <row r="112">
          <cell r="A112" t="str">
            <v>TNS2</v>
          </cell>
          <cell r="B112">
            <v>153003.95999999996</v>
          </cell>
          <cell r="C112">
            <v>377025.70999999996</v>
          </cell>
        </row>
        <row r="113">
          <cell r="A113" t="str">
            <v>TNS3</v>
          </cell>
          <cell r="B113">
            <v>117166.49000000002</v>
          </cell>
          <cell r="C113">
            <v>299256.8600000001</v>
          </cell>
        </row>
        <row r="114">
          <cell r="A114" t="str">
            <v>TNS4</v>
          </cell>
          <cell r="B114">
            <v>36869.190000000017</v>
          </cell>
          <cell r="C114">
            <v>13022.65</v>
          </cell>
        </row>
        <row r="115">
          <cell r="A115" t="str">
            <v>TNS5</v>
          </cell>
          <cell r="B115">
            <v>79391.62</v>
          </cell>
          <cell r="C115">
            <v>102598.38000000002</v>
          </cell>
        </row>
        <row r="116">
          <cell r="A116" t="str">
            <v>TNS6</v>
          </cell>
          <cell r="B116">
            <v>0</v>
          </cell>
        </row>
        <row r="117">
          <cell r="A117" t="str">
            <v>TOB1</v>
          </cell>
          <cell r="B117">
            <v>1393863.8600000006</v>
          </cell>
          <cell r="C117">
            <v>748521.23999999976</v>
          </cell>
        </row>
        <row r="118">
          <cell r="A118" t="str">
            <v>TOB2</v>
          </cell>
          <cell r="B118">
            <v>334788.66999999993</v>
          </cell>
          <cell r="C118">
            <v>110049.68999999999</v>
          </cell>
        </row>
        <row r="119">
          <cell r="A119" t="str">
            <v>TOB3</v>
          </cell>
          <cell r="B119">
            <v>475867.42999999993</v>
          </cell>
          <cell r="C119">
            <v>227956.01999999996</v>
          </cell>
        </row>
        <row r="120">
          <cell r="A120" t="str">
            <v>TOB4</v>
          </cell>
          <cell r="B120">
            <v>249595.53999999995</v>
          </cell>
          <cell r="C120">
            <v>60860.490000000013</v>
          </cell>
        </row>
        <row r="121">
          <cell r="A121" t="str">
            <v>TOB5</v>
          </cell>
          <cell r="B121">
            <v>9129.5299999999988</v>
          </cell>
          <cell r="C121">
            <v>968.75</v>
          </cell>
        </row>
        <row r="122">
          <cell r="A122" t="str">
            <v>TOB6</v>
          </cell>
          <cell r="C122">
            <v>1230</v>
          </cell>
        </row>
        <row r="123">
          <cell r="A123" t="str">
            <v>TOB7</v>
          </cell>
          <cell r="B123">
            <v>0</v>
          </cell>
          <cell r="C123">
            <v>0</v>
          </cell>
        </row>
        <row r="124">
          <cell r="A124" t="str">
            <v>TOB8</v>
          </cell>
          <cell r="C124">
            <v>0</v>
          </cell>
        </row>
        <row r="125">
          <cell r="A125" t="str">
            <v>WINT</v>
          </cell>
          <cell r="B125">
            <v>6.8212102632969618E-13</v>
          </cell>
          <cell r="C125">
            <v>225286.16000000003</v>
          </cell>
        </row>
        <row r="126">
          <cell r="A126" t="str">
            <v>WLG1</v>
          </cell>
          <cell r="B126">
            <v>46826.460000000006</v>
          </cell>
        </row>
        <row r="127">
          <cell r="A127" t="str">
            <v>WLG2</v>
          </cell>
          <cell r="B127">
            <v>67152.09</v>
          </cell>
        </row>
        <row r="128">
          <cell r="A128" t="str">
            <v>WLG3</v>
          </cell>
          <cell r="B128">
            <v>74198.369999999981</v>
          </cell>
        </row>
        <row r="129">
          <cell r="A129" t="str">
            <v>WLGT</v>
          </cell>
          <cell r="B129">
            <v>21909.8</v>
          </cell>
        </row>
        <row r="130">
          <cell r="A130" t="str">
            <v>APL1DD</v>
          </cell>
          <cell r="B130">
            <v>376576.01999999996</v>
          </cell>
          <cell r="C130">
            <v>11637.880000000001</v>
          </cell>
        </row>
        <row r="131">
          <cell r="A131" t="str">
            <v>APL2DD</v>
          </cell>
          <cell r="B131">
            <v>82353.539999999979</v>
          </cell>
          <cell r="C131">
            <v>26647.239999999994</v>
          </cell>
        </row>
        <row r="132">
          <cell r="A132" t="str">
            <v>APL3DD</v>
          </cell>
          <cell r="B132">
            <v>245953.01</v>
          </cell>
        </row>
        <row r="133">
          <cell r="A133" t="str">
            <v>APL4DD</v>
          </cell>
          <cell r="B133">
            <v>196049.16999999995</v>
          </cell>
          <cell r="C133">
            <v>3.51</v>
          </cell>
        </row>
        <row r="134">
          <cell r="A134" t="str">
            <v>APL5DD</v>
          </cell>
          <cell r="B134">
            <v>153800.33000000005</v>
          </cell>
          <cell r="C134">
            <v>75029.23</v>
          </cell>
        </row>
        <row r="135">
          <cell r="A135" t="str">
            <v>APL6DD</v>
          </cell>
          <cell r="B135">
            <v>80771.429999999949</v>
          </cell>
          <cell r="C135">
            <v>415.81</v>
          </cell>
        </row>
        <row r="136">
          <cell r="A136" t="str">
            <v>ARM1DD</v>
          </cell>
          <cell r="B136">
            <v>14289.14</v>
          </cell>
          <cell r="C136">
            <v>140.70999999999995</v>
          </cell>
        </row>
        <row r="137">
          <cell r="A137" t="str">
            <v>ARM2DD</v>
          </cell>
          <cell r="B137">
            <v>391.26</v>
          </cell>
        </row>
        <row r="138">
          <cell r="A138" t="str">
            <v>ARM4</v>
          </cell>
          <cell r="B138">
            <v>3848669.01</v>
          </cell>
          <cell r="C138">
            <v>1763698.2999999942</v>
          </cell>
        </row>
        <row r="139">
          <cell r="A139" t="str">
            <v>ARM4DD</v>
          </cell>
          <cell r="B139">
            <v>49104.090000000055</v>
          </cell>
          <cell r="C139">
            <v>0</v>
          </cell>
        </row>
        <row r="140">
          <cell r="A140" t="str">
            <v>ARM5</v>
          </cell>
          <cell r="B140">
            <v>4029563.3899999983</v>
          </cell>
          <cell r="C140">
            <v>1503643.6200000066</v>
          </cell>
        </row>
        <row r="141">
          <cell r="A141" t="str">
            <v>ARM5DD</v>
          </cell>
          <cell r="B141">
            <v>92669.890000000014</v>
          </cell>
          <cell r="C141">
            <v>3.637978807091713E-12</v>
          </cell>
        </row>
        <row r="142">
          <cell r="A142" t="str">
            <v>ARM6</v>
          </cell>
          <cell r="B142">
            <v>1728159.0600000052</v>
          </cell>
          <cell r="C142">
            <v>433873.91000000038</v>
          </cell>
        </row>
        <row r="143">
          <cell r="A143" t="str">
            <v>ARM6DD</v>
          </cell>
          <cell r="B143">
            <v>19326.200000000004</v>
          </cell>
          <cell r="C143">
            <v>-7.1054273576010019E-15</v>
          </cell>
        </row>
        <row r="144">
          <cell r="A144" t="str">
            <v>ARMFAN</v>
          </cell>
          <cell r="B144">
            <v>257127.63</v>
          </cell>
        </row>
        <row r="145">
          <cell r="A145" t="str">
            <v>ASH1DD</v>
          </cell>
          <cell r="B145">
            <v>47074.15</v>
          </cell>
        </row>
        <row r="146">
          <cell r="A146" t="str">
            <v>ASH2DD</v>
          </cell>
          <cell r="B146">
            <v>43561.14</v>
          </cell>
        </row>
        <row r="147">
          <cell r="A147" t="str">
            <v>ASH3DD</v>
          </cell>
          <cell r="B147">
            <v>34574.449999999983</v>
          </cell>
        </row>
        <row r="148">
          <cell r="A148" t="str">
            <v>BBE1DD</v>
          </cell>
          <cell r="B148">
            <v>839.5</v>
          </cell>
        </row>
        <row r="149">
          <cell r="A149" t="str">
            <v>BDB1DD</v>
          </cell>
          <cell r="B149">
            <v>109637.80000000005</v>
          </cell>
        </row>
        <row r="150">
          <cell r="A150" t="str">
            <v>BDB2DD</v>
          </cell>
          <cell r="B150">
            <v>165972.94999999998</v>
          </cell>
        </row>
        <row r="151">
          <cell r="A151" t="str">
            <v>BLK1DD</v>
          </cell>
          <cell r="B151">
            <v>244904.32000000018</v>
          </cell>
          <cell r="C151">
            <v>2093.34</v>
          </cell>
        </row>
        <row r="152">
          <cell r="A152" t="str">
            <v>BLK2DD</v>
          </cell>
          <cell r="B152">
            <v>308665.39000000031</v>
          </cell>
          <cell r="C152">
            <v>434.67</v>
          </cell>
        </row>
        <row r="153">
          <cell r="A153" t="str">
            <v>BLK3DD</v>
          </cell>
          <cell r="B153">
            <v>138875.57999999999</v>
          </cell>
        </row>
        <row r="154">
          <cell r="A154" t="str">
            <v>BLK4DD</v>
          </cell>
          <cell r="B154">
            <v>156416.06999999998</v>
          </cell>
          <cell r="C154">
            <v>17236.900000000001</v>
          </cell>
        </row>
        <row r="155">
          <cell r="A155" t="str">
            <v>BLK5DD</v>
          </cell>
          <cell r="B155">
            <v>194117.24000000002</v>
          </cell>
        </row>
        <row r="156">
          <cell r="A156" t="str">
            <v>BLK6DD</v>
          </cell>
          <cell r="B156">
            <v>113857.06000000001</v>
          </cell>
        </row>
        <row r="157">
          <cell r="A157" t="str">
            <v>BLK9DD</v>
          </cell>
          <cell r="B157">
            <v>81389.849999999991</v>
          </cell>
        </row>
        <row r="158">
          <cell r="A158" t="str">
            <v>BNACDD</v>
          </cell>
          <cell r="B158">
            <v>12437.080000000004</v>
          </cell>
        </row>
        <row r="159">
          <cell r="A159" t="str">
            <v>CAI1DD</v>
          </cell>
          <cell r="B159">
            <v>113225.28</v>
          </cell>
        </row>
        <row r="160">
          <cell r="A160" t="str">
            <v>CAI2DD</v>
          </cell>
          <cell r="B160">
            <v>300757.35000000003</v>
          </cell>
        </row>
        <row r="161">
          <cell r="A161" t="str">
            <v>CAI3DD</v>
          </cell>
          <cell r="B161">
            <v>84657.200000000012</v>
          </cell>
        </row>
        <row r="162">
          <cell r="A162" t="str">
            <v>CAI4DD</v>
          </cell>
          <cell r="B162">
            <v>14257.689999999999</v>
          </cell>
          <cell r="C162">
            <v>573.04</v>
          </cell>
        </row>
        <row r="163">
          <cell r="A163" t="str">
            <v>CAI5DD</v>
          </cell>
          <cell r="B163">
            <v>13390.23</v>
          </cell>
        </row>
        <row r="164">
          <cell r="A164" t="str">
            <v>CFS1DD</v>
          </cell>
          <cell r="B164">
            <v>146349.82</v>
          </cell>
        </row>
        <row r="165">
          <cell r="A165" t="str">
            <v>CFS2DD</v>
          </cell>
          <cell r="B165">
            <v>90157.580000000016</v>
          </cell>
        </row>
        <row r="166">
          <cell r="A166" t="str">
            <v>CFS3DD</v>
          </cell>
          <cell r="B166">
            <v>151361.09</v>
          </cell>
        </row>
        <row r="167">
          <cell r="A167" t="str">
            <v>CFS4DD</v>
          </cell>
          <cell r="B167">
            <v>154013.46000000002</v>
          </cell>
        </row>
        <row r="168">
          <cell r="A168" t="str">
            <v>CFS5DD</v>
          </cell>
          <cell r="B168">
            <v>215353.45</v>
          </cell>
        </row>
        <row r="169">
          <cell r="A169" t="str">
            <v>CFS6DD</v>
          </cell>
          <cell r="B169">
            <v>117818.44999999998</v>
          </cell>
        </row>
        <row r="170">
          <cell r="A170" t="str">
            <v>CFS7DD</v>
          </cell>
          <cell r="B170">
            <v>195753.33000000002</v>
          </cell>
        </row>
        <row r="171">
          <cell r="A171" t="str">
            <v>CFSWDD</v>
          </cell>
          <cell r="B171">
            <v>0</v>
          </cell>
        </row>
        <row r="172">
          <cell r="A172" t="str">
            <v>COR4DD</v>
          </cell>
          <cell r="B172">
            <v>22406.270000000004</v>
          </cell>
          <cell r="C172">
            <v>62.05</v>
          </cell>
        </row>
        <row r="173">
          <cell r="A173" t="str">
            <v>COR5DD</v>
          </cell>
          <cell r="B173">
            <v>11239.64</v>
          </cell>
        </row>
        <row r="174">
          <cell r="A174" t="str">
            <v>COR6DD</v>
          </cell>
          <cell r="B174">
            <v>63650.71</v>
          </cell>
          <cell r="C174">
            <v>93.07</v>
          </cell>
        </row>
        <row r="175">
          <cell r="A175" t="str">
            <v>COR7DD</v>
          </cell>
          <cell r="B175">
            <v>25168.12</v>
          </cell>
        </row>
        <row r="176">
          <cell r="A176" t="str">
            <v>COR8DD</v>
          </cell>
          <cell r="B176">
            <v>13971.479999999998</v>
          </cell>
        </row>
        <row r="177">
          <cell r="A177" t="str">
            <v>CRC1DD</v>
          </cell>
          <cell r="B177">
            <v>240771.02000000011</v>
          </cell>
          <cell r="C177">
            <v>4936.42</v>
          </cell>
        </row>
        <row r="178">
          <cell r="A178" t="str">
            <v>CRC2DD</v>
          </cell>
          <cell r="B178">
            <v>165323.58000000002</v>
          </cell>
          <cell r="C178">
            <v>3920.71</v>
          </cell>
        </row>
        <row r="179">
          <cell r="A179" t="str">
            <v>CRC3DD</v>
          </cell>
          <cell r="B179">
            <v>273522.14999999997</v>
          </cell>
          <cell r="C179">
            <v>208.98999999999998</v>
          </cell>
        </row>
        <row r="180">
          <cell r="A180" t="str">
            <v>CRC4DD</v>
          </cell>
          <cell r="B180">
            <v>136571.48000000001</v>
          </cell>
          <cell r="C180">
            <v>31767.47</v>
          </cell>
        </row>
        <row r="181">
          <cell r="A181" t="str">
            <v>CRC5DD</v>
          </cell>
          <cell r="B181">
            <v>284017.91000000003</v>
          </cell>
        </row>
        <row r="182">
          <cell r="A182" t="str">
            <v>CRC6DD</v>
          </cell>
          <cell r="B182">
            <v>181342.24999999994</v>
          </cell>
        </row>
        <row r="183">
          <cell r="A183" t="str">
            <v>CVI1DD</v>
          </cell>
          <cell r="B183">
            <v>7965.49</v>
          </cell>
        </row>
        <row r="184">
          <cell r="A184" t="str">
            <v>CVI2DD</v>
          </cell>
          <cell r="B184">
            <v>29499.210000000003</v>
          </cell>
        </row>
        <row r="185">
          <cell r="A185" t="str">
            <v>CVI3DD</v>
          </cell>
          <cell r="B185">
            <v>72018.570000000007</v>
          </cell>
        </row>
        <row r="186">
          <cell r="A186" t="str">
            <v>CVI4DD</v>
          </cell>
          <cell r="B186">
            <v>942.49</v>
          </cell>
        </row>
        <row r="187">
          <cell r="A187" t="str">
            <v>CVI5DD</v>
          </cell>
          <cell r="B187">
            <v>546.65</v>
          </cell>
        </row>
        <row r="188">
          <cell r="A188" t="str">
            <v>CVITDD</v>
          </cell>
          <cell r="B188">
            <v>42975.03</v>
          </cell>
        </row>
        <row r="189">
          <cell r="A189" t="str">
            <v>DAP1DD</v>
          </cell>
          <cell r="B189">
            <v>45776.29</v>
          </cell>
        </row>
        <row r="190">
          <cell r="A190" t="str">
            <v>DAP2DD</v>
          </cell>
          <cell r="B190">
            <v>131293.84</v>
          </cell>
          <cell r="C190">
            <v>2509.5700000000002</v>
          </cell>
        </row>
        <row r="191">
          <cell r="A191" t="str">
            <v>DAP3DD</v>
          </cell>
          <cell r="B191">
            <v>90476.359999999986</v>
          </cell>
        </row>
        <row r="192">
          <cell r="A192" t="str">
            <v>DAP4DD</v>
          </cell>
          <cell r="B192">
            <v>85455.29</v>
          </cell>
          <cell r="C192">
            <v>2508.75</v>
          </cell>
        </row>
        <row r="193">
          <cell r="A193" t="str">
            <v>DAP5DD</v>
          </cell>
          <cell r="B193">
            <v>119513.63</v>
          </cell>
        </row>
        <row r="194">
          <cell r="A194" t="str">
            <v>DAP6DD</v>
          </cell>
          <cell r="B194">
            <v>27887.96</v>
          </cell>
          <cell r="C194">
            <v>310.24</v>
          </cell>
        </row>
        <row r="195">
          <cell r="A195" t="str">
            <v>DBBWDD</v>
          </cell>
          <cell r="B195">
            <v>3218.2299999999996</v>
          </cell>
        </row>
        <row r="196">
          <cell r="A196" t="str">
            <v>GDN1DD</v>
          </cell>
          <cell r="B196">
            <v>408254.5500000001</v>
          </cell>
          <cell r="C196">
            <v>3660.7</v>
          </cell>
        </row>
        <row r="197">
          <cell r="A197" t="str">
            <v>GDN2DD</v>
          </cell>
          <cell r="B197">
            <v>378790.02000000008</v>
          </cell>
          <cell r="C197">
            <v>811.49000000000024</v>
          </cell>
        </row>
        <row r="198">
          <cell r="A198" t="str">
            <v>GDN3DD</v>
          </cell>
          <cell r="B198">
            <v>234900.78</v>
          </cell>
          <cell r="C198">
            <v>3286.2100000000009</v>
          </cell>
        </row>
        <row r="199">
          <cell r="A199" t="str">
            <v>GDN4DD</v>
          </cell>
          <cell r="B199">
            <v>214204.58</v>
          </cell>
          <cell r="C199">
            <v>310</v>
          </cell>
        </row>
        <row r="200">
          <cell r="A200" t="str">
            <v>GDN5DD</v>
          </cell>
          <cell r="B200">
            <v>104181.83000000003</v>
          </cell>
        </row>
        <row r="201">
          <cell r="A201" t="str">
            <v>GDN6DD</v>
          </cell>
          <cell r="B201">
            <v>130318.94000000006</v>
          </cell>
        </row>
        <row r="202">
          <cell r="A202" t="str">
            <v>GDN7DD</v>
          </cell>
          <cell r="B202">
            <v>134227.66</v>
          </cell>
        </row>
        <row r="203">
          <cell r="A203" t="str">
            <v>GDN8DD</v>
          </cell>
          <cell r="B203">
            <v>86998.019999999946</v>
          </cell>
        </row>
        <row r="204">
          <cell r="A204" t="str">
            <v>GDN9DD</v>
          </cell>
          <cell r="B204">
            <v>4355.41</v>
          </cell>
        </row>
        <row r="205">
          <cell r="A205" t="str">
            <v>GOS1DD</v>
          </cell>
          <cell r="B205">
            <v>192736.15</v>
          </cell>
          <cell r="C205">
            <v>6675.18</v>
          </cell>
        </row>
        <row r="206">
          <cell r="A206" t="str">
            <v>GOS2DD</v>
          </cell>
          <cell r="B206">
            <v>474663.11</v>
          </cell>
          <cell r="C206">
            <v>30908.76</v>
          </cell>
        </row>
        <row r="207">
          <cell r="A207" t="str">
            <v>GOS3DD</v>
          </cell>
          <cell r="B207">
            <v>182991.85</v>
          </cell>
        </row>
        <row r="208">
          <cell r="A208" t="str">
            <v>GOS4DD</v>
          </cell>
          <cell r="B208">
            <v>176304.65</v>
          </cell>
        </row>
        <row r="209">
          <cell r="A209" t="str">
            <v>GOS5DD</v>
          </cell>
          <cell r="B209">
            <v>89908.900000000038</v>
          </cell>
        </row>
        <row r="210">
          <cell r="A210" t="str">
            <v>GOS6DD</v>
          </cell>
          <cell r="B210">
            <v>157992.23000000001</v>
          </cell>
        </row>
        <row r="211">
          <cell r="A211" t="str">
            <v>GOS7DD</v>
          </cell>
          <cell r="B211">
            <v>113600.23000000001</v>
          </cell>
        </row>
        <row r="212">
          <cell r="A212" t="str">
            <v>GOS8DD</v>
          </cell>
          <cell r="B212">
            <v>121840.58999999998</v>
          </cell>
          <cell r="C212">
            <v>682.86</v>
          </cell>
        </row>
        <row r="213">
          <cell r="A213" t="str">
            <v>GUL1DD</v>
          </cell>
          <cell r="B213">
            <v>4144.2199999999993</v>
          </cell>
        </row>
        <row r="214">
          <cell r="A214" t="str">
            <v>GUL2DD</v>
          </cell>
          <cell r="B214">
            <v>415269.96999999991</v>
          </cell>
          <cell r="C214">
            <v>1008.4499999999999</v>
          </cell>
        </row>
        <row r="215">
          <cell r="A215" t="str">
            <v>GUL3DD</v>
          </cell>
          <cell r="B215">
            <v>520292.90999999992</v>
          </cell>
          <cell r="C215">
            <v>54</v>
          </cell>
        </row>
        <row r="216">
          <cell r="A216" t="str">
            <v>GUL4DD</v>
          </cell>
          <cell r="B216">
            <v>364047.22999999992</v>
          </cell>
          <cell r="C216">
            <v>1307.3699999999999</v>
          </cell>
        </row>
        <row r="217">
          <cell r="A217" t="str">
            <v>GUL5DD</v>
          </cell>
          <cell r="B217">
            <v>315435.20999999996</v>
          </cell>
          <cell r="C217">
            <v>368</v>
          </cell>
        </row>
        <row r="218">
          <cell r="A218" t="str">
            <v>GUL6DD</v>
          </cell>
          <cell r="B218">
            <v>247509.52000000005</v>
          </cell>
        </row>
        <row r="219">
          <cell r="A219" t="str">
            <v>GUL7DD</v>
          </cell>
          <cell r="B219">
            <v>16481.069999999996</v>
          </cell>
          <cell r="C219">
            <v>557.90000000000009</v>
          </cell>
        </row>
        <row r="220">
          <cell r="A220" t="str">
            <v>GULTDD</v>
          </cell>
          <cell r="B220">
            <v>30897.510000000002</v>
          </cell>
          <cell r="C220">
            <v>113608.18</v>
          </cell>
        </row>
        <row r="221">
          <cell r="A221" t="str">
            <v>HOM1DD</v>
          </cell>
          <cell r="B221">
            <v>149858.55999999994</v>
          </cell>
        </row>
        <row r="222">
          <cell r="A222" t="str">
            <v>HOM2DD</v>
          </cell>
          <cell r="B222">
            <v>217727.89999999997</v>
          </cell>
        </row>
        <row r="223">
          <cell r="A223" t="str">
            <v>HOM3DD</v>
          </cell>
          <cell r="B223">
            <v>63502.799999999988</v>
          </cell>
        </row>
        <row r="224">
          <cell r="A224" t="str">
            <v>HOM4DD</v>
          </cell>
          <cell r="B224">
            <v>40071.24</v>
          </cell>
        </row>
        <row r="225">
          <cell r="A225" t="str">
            <v>IPS1DD</v>
          </cell>
          <cell r="B225">
            <v>1497.76</v>
          </cell>
        </row>
        <row r="226">
          <cell r="A226" t="str">
            <v>IPS2DD</v>
          </cell>
          <cell r="B226">
            <v>218617.49</v>
          </cell>
          <cell r="C226">
            <v>15882.930000000002</v>
          </cell>
        </row>
        <row r="227">
          <cell r="A227" t="str">
            <v>IPS4DD</v>
          </cell>
          <cell r="B227">
            <v>152863.81</v>
          </cell>
        </row>
        <row r="228">
          <cell r="A228" t="str">
            <v>IPS8DD</v>
          </cell>
          <cell r="B228">
            <v>136.66</v>
          </cell>
        </row>
        <row r="229">
          <cell r="A229" t="str">
            <v>KIA1DD</v>
          </cell>
          <cell r="B229">
            <v>4459.6500000000005</v>
          </cell>
        </row>
        <row r="230">
          <cell r="A230" t="str">
            <v>KIA2DD</v>
          </cell>
          <cell r="B230">
            <v>517646.87000000017</v>
          </cell>
          <cell r="C230">
            <v>4473.7999999999993</v>
          </cell>
        </row>
        <row r="231">
          <cell r="A231" t="str">
            <v>KIA3DD</v>
          </cell>
          <cell r="B231">
            <v>434698.23999999982</v>
          </cell>
          <cell r="C231">
            <v>2207.6400000000008</v>
          </cell>
        </row>
        <row r="232">
          <cell r="A232" t="str">
            <v>KLG1DD</v>
          </cell>
          <cell r="B232">
            <v>261345.00999999983</v>
          </cell>
          <cell r="C232">
            <v>26369.1</v>
          </cell>
        </row>
        <row r="233">
          <cell r="A233" t="str">
            <v>KLG4DD</v>
          </cell>
          <cell r="B233">
            <v>126422.27000000002</v>
          </cell>
          <cell r="C233">
            <v>16768.93</v>
          </cell>
        </row>
        <row r="234">
          <cell r="A234" t="str">
            <v>KLG7DD</v>
          </cell>
          <cell r="B234">
            <v>1782</v>
          </cell>
        </row>
        <row r="235">
          <cell r="A235" t="str">
            <v>LID1DD</v>
          </cell>
          <cell r="B235">
            <v>174445.18</v>
          </cell>
          <cell r="C235">
            <v>1079.05</v>
          </cell>
        </row>
        <row r="236">
          <cell r="A236" t="str">
            <v>LID2DD</v>
          </cell>
          <cell r="B236">
            <v>238061.73999999993</v>
          </cell>
        </row>
        <row r="237">
          <cell r="A237" t="str">
            <v>LID3DD</v>
          </cell>
          <cell r="B237">
            <v>191173.90000000002</v>
          </cell>
        </row>
        <row r="238">
          <cell r="A238" t="str">
            <v>LID4DD</v>
          </cell>
          <cell r="B238">
            <v>94122.55</v>
          </cell>
        </row>
        <row r="239">
          <cell r="A239" t="str">
            <v>LID5DD</v>
          </cell>
          <cell r="B239">
            <v>34608.57</v>
          </cell>
        </row>
        <row r="240">
          <cell r="A240" t="str">
            <v>LID6DD</v>
          </cell>
          <cell r="B240">
            <v>26890.260000000002</v>
          </cell>
        </row>
        <row r="241">
          <cell r="A241" t="str">
            <v>LID7DD</v>
          </cell>
          <cell r="B241">
            <v>27154.140000000003</v>
          </cell>
        </row>
        <row r="242">
          <cell r="A242" t="str">
            <v>LID8DD</v>
          </cell>
          <cell r="B242">
            <v>53885.79</v>
          </cell>
        </row>
        <row r="243">
          <cell r="A243" t="str">
            <v>LIV4DD</v>
          </cell>
          <cell r="B243">
            <v>3748.46</v>
          </cell>
        </row>
        <row r="244">
          <cell r="A244" t="str">
            <v>LJT1DD</v>
          </cell>
          <cell r="B244">
            <v>280846.01</v>
          </cell>
          <cell r="C244">
            <v>2013.2</v>
          </cell>
        </row>
        <row r="245">
          <cell r="A245" t="str">
            <v>LJT2DD</v>
          </cell>
          <cell r="B245">
            <v>323071.81</v>
          </cell>
        </row>
        <row r="246">
          <cell r="A246" t="str">
            <v>LJT3DD</v>
          </cell>
          <cell r="B246">
            <v>156325.13999999998</v>
          </cell>
        </row>
        <row r="247">
          <cell r="A247" t="str">
            <v>LJT4DD</v>
          </cell>
          <cell r="B247">
            <v>282292.86</v>
          </cell>
          <cell r="C247">
            <v>2990</v>
          </cell>
        </row>
        <row r="248">
          <cell r="A248" t="str">
            <v>LJT5DD</v>
          </cell>
          <cell r="B248">
            <v>64062.069999999992</v>
          </cell>
        </row>
        <row r="249">
          <cell r="A249" t="str">
            <v>LJT6DD</v>
          </cell>
          <cell r="B249">
            <v>114111.29000000001</v>
          </cell>
          <cell r="C249">
            <v>629.41000000000008</v>
          </cell>
        </row>
        <row r="250">
          <cell r="A250" t="str">
            <v>LJT7DD</v>
          </cell>
          <cell r="B250">
            <v>99823.220000000016</v>
          </cell>
        </row>
        <row r="251">
          <cell r="A251" t="str">
            <v>LJT8DD</v>
          </cell>
          <cell r="B251">
            <v>6769.7800000000007</v>
          </cell>
        </row>
        <row r="252">
          <cell r="A252" t="str">
            <v>LJT9DD</v>
          </cell>
          <cell r="B252">
            <v>4685.58</v>
          </cell>
        </row>
        <row r="253">
          <cell r="A253" t="str">
            <v>MAI3DD</v>
          </cell>
          <cell r="B253">
            <v>9159.42</v>
          </cell>
        </row>
        <row r="254">
          <cell r="A254" t="str">
            <v>MAI7DD</v>
          </cell>
          <cell r="B254">
            <v>4972.8899999999994</v>
          </cell>
        </row>
        <row r="255">
          <cell r="A255" t="str">
            <v>MDG1DD</v>
          </cell>
          <cell r="B255">
            <v>4766.97</v>
          </cell>
          <cell r="C255">
            <v>1998.09</v>
          </cell>
        </row>
        <row r="256">
          <cell r="A256" t="str">
            <v>MDG2DD</v>
          </cell>
          <cell r="B256">
            <v>4937.2100000000009</v>
          </cell>
        </row>
        <row r="257">
          <cell r="A257" t="str">
            <v>MDG3DD</v>
          </cell>
          <cell r="B257">
            <v>11123</v>
          </cell>
        </row>
        <row r="258">
          <cell r="A258" t="str">
            <v>MKY1DD</v>
          </cell>
          <cell r="B258">
            <v>197676.97000000003</v>
          </cell>
        </row>
        <row r="259">
          <cell r="A259" t="str">
            <v>MKY2DD</v>
          </cell>
          <cell r="B259">
            <v>232443.68000000002</v>
          </cell>
        </row>
        <row r="260">
          <cell r="A260" t="str">
            <v>MKY3DD</v>
          </cell>
          <cell r="B260">
            <v>246004.17999999996</v>
          </cell>
          <cell r="C260">
            <v>-1.4210854715202004E-14</v>
          </cell>
        </row>
        <row r="261">
          <cell r="A261" t="str">
            <v>MKY4DD</v>
          </cell>
          <cell r="B261">
            <v>16859.379999999997</v>
          </cell>
          <cell r="C261">
            <v>-1.4210854715202004E-14</v>
          </cell>
        </row>
        <row r="262">
          <cell r="A262" t="str">
            <v>MKY5DD</v>
          </cell>
          <cell r="B262">
            <v>399.49</v>
          </cell>
        </row>
        <row r="263">
          <cell r="A263" t="str">
            <v>NDG1DD</v>
          </cell>
          <cell r="B263">
            <v>128978.36000000004</v>
          </cell>
          <cell r="C263">
            <v>1440.8</v>
          </cell>
        </row>
        <row r="264">
          <cell r="A264" t="str">
            <v>NDG2DD</v>
          </cell>
          <cell r="B264">
            <v>123955.95999999998</v>
          </cell>
          <cell r="C264">
            <v>6629.9500000000007</v>
          </cell>
        </row>
        <row r="265">
          <cell r="A265" t="str">
            <v>NDG3DD</v>
          </cell>
          <cell r="B265">
            <v>209259.67</v>
          </cell>
          <cell r="C265">
            <v>1024.7</v>
          </cell>
        </row>
        <row r="266">
          <cell r="A266" t="str">
            <v>NDG4DD</v>
          </cell>
          <cell r="B266">
            <v>6991.08</v>
          </cell>
        </row>
        <row r="267">
          <cell r="A267" t="str">
            <v>PTH1DD</v>
          </cell>
          <cell r="B267">
            <v>127608.76000000001</v>
          </cell>
          <cell r="C267">
            <v>250.2</v>
          </cell>
        </row>
        <row r="268">
          <cell r="A268" t="str">
            <v>PTH2DD</v>
          </cell>
          <cell r="B268">
            <v>207294.71999999997</v>
          </cell>
          <cell r="C268">
            <v>6033.8</v>
          </cell>
        </row>
        <row r="269">
          <cell r="A269" t="str">
            <v>PTH3DD</v>
          </cell>
          <cell r="B269">
            <v>122153.26000000001</v>
          </cell>
        </row>
        <row r="270">
          <cell r="A270" t="str">
            <v>PTH4DD</v>
          </cell>
          <cell r="B270">
            <v>135605.55999999997</v>
          </cell>
        </row>
        <row r="271">
          <cell r="A271" t="str">
            <v>PTH5DD</v>
          </cell>
          <cell r="B271">
            <v>35309.75</v>
          </cell>
        </row>
        <row r="272">
          <cell r="A272" t="str">
            <v>PTH6DD</v>
          </cell>
          <cell r="B272">
            <v>80007.460000000006</v>
          </cell>
        </row>
        <row r="273">
          <cell r="A273" t="str">
            <v>PTH7DD</v>
          </cell>
          <cell r="B273">
            <v>38265.589999999997</v>
          </cell>
        </row>
        <row r="274">
          <cell r="A274" t="str">
            <v>QBN3DD</v>
          </cell>
          <cell r="B274">
            <v>2498.98</v>
          </cell>
        </row>
        <row r="275">
          <cell r="A275" t="str">
            <v>QBN4DD</v>
          </cell>
          <cell r="B275">
            <v>156.19</v>
          </cell>
        </row>
        <row r="276">
          <cell r="A276" t="str">
            <v>QBN6DD</v>
          </cell>
          <cell r="B276">
            <v>156.19</v>
          </cell>
        </row>
        <row r="277">
          <cell r="A277" t="str">
            <v>RCH1DD</v>
          </cell>
          <cell r="B277">
            <v>282833.82999999996</v>
          </cell>
          <cell r="C277">
            <v>7768.8899999999994</v>
          </cell>
        </row>
        <row r="278">
          <cell r="A278" t="str">
            <v>RCH2DD</v>
          </cell>
          <cell r="B278">
            <v>230166.41999999998</v>
          </cell>
          <cell r="C278">
            <v>3088.7999999999997</v>
          </cell>
        </row>
        <row r="279">
          <cell r="A279" t="str">
            <v>RCH3DD</v>
          </cell>
          <cell r="B279">
            <v>225934.63999999998</v>
          </cell>
          <cell r="C279">
            <v>2502</v>
          </cell>
        </row>
        <row r="280">
          <cell r="A280" t="str">
            <v>RCH4DD</v>
          </cell>
          <cell r="B280">
            <v>243584.2</v>
          </cell>
          <cell r="C280">
            <v>2459.6999999999998</v>
          </cell>
        </row>
        <row r="281">
          <cell r="A281" t="str">
            <v>RCH5DD</v>
          </cell>
          <cell r="B281">
            <v>169909.42999999993</v>
          </cell>
        </row>
        <row r="282">
          <cell r="A282" t="str">
            <v>RCH6DD</v>
          </cell>
          <cell r="B282">
            <v>151732.55999999997</v>
          </cell>
        </row>
        <row r="283">
          <cell r="A283" t="str">
            <v>RCHTDD</v>
          </cell>
          <cell r="B283">
            <v>84876.329999999987</v>
          </cell>
          <cell r="C283">
            <v>1484.6999999999998</v>
          </cell>
        </row>
        <row r="284">
          <cell r="A284" t="str">
            <v>RIV1DD</v>
          </cell>
          <cell r="B284">
            <v>503278.5900000002</v>
          </cell>
          <cell r="C284">
            <v>1458.38</v>
          </cell>
        </row>
        <row r="285">
          <cell r="A285" t="str">
            <v>RIV2DD</v>
          </cell>
          <cell r="B285">
            <v>146158.44</v>
          </cell>
        </row>
        <row r="286">
          <cell r="A286" t="str">
            <v>RIV3DD</v>
          </cell>
          <cell r="B286">
            <v>133239.83999999997</v>
          </cell>
        </row>
        <row r="287">
          <cell r="A287" t="str">
            <v>RIV4DD</v>
          </cell>
          <cell r="B287">
            <v>89351.429999999935</v>
          </cell>
        </row>
        <row r="288">
          <cell r="A288" t="str">
            <v>RIVTDD</v>
          </cell>
          <cell r="B288">
            <v>197070.55000000005</v>
          </cell>
          <cell r="C288">
            <v>293.7</v>
          </cell>
        </row>
        <row r="289">
          <cell r="A289" t="str">
            <v>ROT1DD</v>
          </cell>
          <cell r="B289">
            <v>12741.119999999999</v>
          </cell>
          <cell r="C289">
            <v>1.1368683772161603E-13</v>
          </cell>
        </row>
        <row r="290">
          <cell r="A290" t="str">
            <v>ROT2DD</v>
          </cell>
          <cell r="B290">
            <v>30435.599999999999</v>
          </cell>
          <cell r="C290">
            <v>49251.15</v>
          </cell>
        </row>
        <row r="291">
          <cell r="A291" t="str">
            <v>ROT3DD</v>
          </cell>
          <cell r="B291">
            <v>39.89</v>
          </cell>
        </row>
        <row r="292">
          <cell r="A292" t="str">
            <v>SAW1DD</v>
          </cell>
          <cell r="B292">
            <v>246556.60000000003</v>
          </cell>
        </row>
        <row r="293">
          <cell r="A293" t="str">
            <v>SAW2DD</v>
          </cell>
          <cell r="B293">
            <v>191143.44999999995</v>
          </cell>
        </row>
        <row r="294">
          <cell r="A294" t="str">
            <v>SAW3DD</v>
          </cell>
          <cell r="B294">
            <v>84606.66</v>
          </cell>
        </row>
        <row r="295">
          <cell r="A295" t="str">
            <v>SAW4DD</v>
          </cell>
          <cell r="B295">
            <v>107439.61</v>
          </cell>
        </row>
        <row r="296">
          <cell r="A296" t="str">
            <v>SAWTDD</v>
          </cell>
          <cell r="B296">
            <v>276902.93999999994</v>
          </cell>
          <cell r="C296">
            <v>591.14</v>
          </cell>
        </row>
        <row r="297">
          <cell r="A297" t="str">
            <v>SLA1DD</v>
          </cell>
          <cell r="B297">
            <v>47120.28</v>
          </cell>
        </row>
        <row r="298">
          <cell r="A298" t="str">
            <v>SLA2DD</v>
          </cell>
          <cell r="B298">
            <v>24276.78</v>
          </cell>
        </row>
        <row r="299">
          <cell r="A299" t="str">
            <v>SLA3DD</v>
          </cell>
          <cell r="B299">
            <v>19583.8</v>
          </cell>
        </row>
        <row r="300">
          <cell r="A300" t="str">
            <v>SP1018</v>
          </cell>
          <cell r="B300">
            <v>8.5265128291212022E-14</v>
          </cell>
        </row>
        <row r="301">
          <cell r="A301" t="str">
            <v>SP1020</v>
          </cell>
          <cell r="B301">
            <v>-1.7763568394002505E-15</v>
          </cell>
        </row>
        <row r="302">
          <cell r="A302" t="str">
            <v>TAMW06</v>
          </cell>
          <cell r="B302">
            <v>48850.55999999999</v>
          </cell>
          <cell r="C302">
            <v>46368.359999999993</v>
          </cell>
        </row>
        <row r="303">
          <cell r="A303" t="str">
            <v>TAMW16</v>
          </cell>
          <cell r="B303">
            <v>87701</v>
          </cell>
          <cell r="C303">
            <v>54003.44999999999</v>
          </cell>
        </row>
        <row r="304">
          <cell r="A304" t="str">
            <v>TAMW23</v>
          </cell>
          <cell r="B304">
            <v>157780.14000000001</v>
          </cell>
          <cell r="C304">
            <v>38049.760000000002</v>
          </cell>
        </row>
        <row r="305">
          <cell r="A305" t="str">
            <v>TAMWDD</v>
          </cell>
          <cell r="B305">
            <v>27845.529999999995</v>
          </cell>
          <cell r="C305">
            <v>15607.4</v>
          </cell>
        </row>
        <row r="306">
          <cell r="A306" t="str">
            <v>TEE1DD</v>
          </cell>
          <cell r="B306">
            <v>299.57</v>
          </cell>
        </row>
        <row r="307">
          <cell r="A307" t="str">
            <v>TEE2DD</v>
          </cell>
          <cell r="B307">
            <v>108027.01</v>
          </cell>
          <cell r="C307">
            <v>1015.48</v>
          </cell>
        </row>
        <row r="308">
          <cell r="A308" t="str">
            <v>TEE3DD</v>
          </cell>
          <cell r="B308">
            <v>82412.88</v>
          </cell>
          <cell r="C308">
            <v>1468.7399999999996</v>
          </cell>
        </row>
        <row r="309">
          <cell r="A309" t="str">
            <v>TEE4DD</v>
          </cell>
          <cell r="B309">
            <v>92963.49</v>
          </cell>
          <cell r="C309">
            <v>960</v>
          </cell>
        </row>
        <row r="310">
          <cell r="A310" t="str">
            <v>TEE5DD</v>
          </cell>
          <cell r="B310">
            <v>771.24</v>
          </cell>
        </row>
        <row r="311">
          <cell r="A311" t="str">
            <v>TNS1DD</v>
          </cell>
          <cell r="B311">
            <v>98338.560000000012</v>
          </cell>
        </row>
        <row r="312">
          <cell r="A312" t="str">
            <v>TNS2DD</v>
          </cell>
          <cell r="B312">
            <v>114669.28000000001</v>
          </cell>
        </row>
        <row r="313">
          <cell r="A313" t="str">
            <v>TNS3DD</v>
          </cell>
          <cell r="B313">
            <v>144941.97</v>
          </cell>
        </row>
        <row r="314">
          <cell r="A314" t="str">
            <v>TNS4DD</v>
          </cell>
          <cell r="B314">
            <v>181678.34999999995</v>
          </cell>
        </row>
        <row r="315">
          <cell r="A315" t="str">
            <v>TNS5DD</v>
          </cell>
          <cell r="B315">
            <v>201037.75</v>
          </cell>
        </row>
        <row r="316">
          <cell r="A316" t="str">
            <v>TNS6DD</v>
          </cell>
          <cell r="B316">
            <v>57998.249999999993</v>
          </cell>
          <cell r="C316">
            <v>1208.7199999999998</v>
          </cell>
        </row>
        <row r="317">
          <cell r="A317" t="str">
            <v>TOB1DD</v>
          </cell>
          <cell r="B317">
            <v>374860.91000000021</v>
          </cell>
          <cell r="C317">
            <v>2079.7100000000005</v>
          </cell>
        </row>
        <row r="318">
          <cell r="A318" t="str">
            <v>TOB2DD</v>
          </cell>
          <cell r="B318">
            <v>385713.89</v>
          </cell>
          <cell r="C318">
            <v>3471.75</v>
          </cell>
        </row>
        <row r="319">
          <cell r="A319" t="str">
            <v>TOB3DD</v>
          </cell>
          <cell r="B319">
            <v>247000.28999999998</v>
          </cell>
          <cell r="C319">
            <v>346.3599999999999</v>
          </cell>
        </row>
        <row r="320">
          <cell r="A320" t="str">
            <v>TOB4DD</v>
          </cell>
          <cell r="B320">
            <v>207162.8</v>
          </cell>
          <cell r="C320">
            <v>528.27</v>
          </cell>
        </row>
        <row r="321">
          <cell r="A321" t="str">
            <v>TOB5DD</v>
          </cell>
          <cell r="B321">
            <v>210860.46999999997</v>
          </cell>
        </row>
        <row r="322">
          <cell r="A322" t="str">
            <v>TOB6DD</v>
          </cell>
          <cell r="B322">
            <v>256832.35</v>
          </cell>
        </row>
        <row r="323">
          <cell r="A323" t="str">
            <v>TOB7DD</v>
          </cell>
          <cell r="B323">
            <v>94037.190000000031</v>
          </cell>
          <cell r="C323">
            <v>320</v>
          </cell>
        </row>
        <row r="324">
          <cell r="A324" t="str">
            <v>TOB8DD</v>
          </cell>
          <cell r="B324">
            <v>67135.760000000009</v>
          </cell>
          <cell r="C324">
            <v>320</v>
          </cell>
        </row>
        <row r="325">
          <cell r="A325" t="str">
            <v>TOB9DD</v>
          </cell>
          <cell r="B325">
            <v>127281.08000000002</v>
          </cell>
        </row>
        <row r="326">
          <cell r="A326" t="str">
            <v>TOBW03</v>
          </cell>
          <cell r="B326">
            <v>95947.03</v>
          </cell>
          <cell r="C326">
            <v>67063.670000000013</v>
          </cell>
        </row>
        <row r="327">
          <cell r="A327" t="str">
            <v>TOBW15</v>
          </cell>
          <cell r="B327">
            <v>7576.3000000000011</v>
          </cell>
          <cell r="C327">
            <v>300</v>
          </cell>
        </row>
        <row r="328">
          <cell r="A328" t="str">
            <v>TOBWDD</v>
          </cell>
          <cell r="B328">
            <v>24071.99</v>
          </cell>
          <cell r="C328">
            <v>24552.38</v>
          </cell>
        </row>
        <row r="329">
          <cell r="A329" t="str">
            <v>WAG2DD</v>
          </cell>
          <cell r="B329">
            <v>234.28</v>
          </cell>
        </row>
        <row r="330">
          <cell r="A330" t="str">
            <v>WINTDD</v>
          </cell>
          <cell r="B330">
            <v>54109.740000000005</v>
          </cell>
          <cell r="C330">
            <v>42563.110000000008</v>
          </cell>
        </row>
        <row r="331">
          <cell r="A331" t="str">
            <v>WLG1DD</v>
          </cell>
          <cell r="B331">
            <v>193873.21</v>
          </cell>
          <cell r="C331">
            <v>68.77000000000001</v>
          </cell>
        </row>
        <row r="332">
          <cell r="A332" t="str">
            <v>WLG2DD</v>
          </cell>
          <cell r="B332">
            <v>145388.30999999994</v>
          </cell>
        </row>
        <row r="333">
          <cell r="A333" t="str">
            <v>WLG3DD</v>
          </cell>
          <cell r="B333">
            <v>48568.59</v>
          </cell>
        </row>
        <row r="334">
          <cell r="A334" t="str">
            <v>WLG4DD</v>
          </cell>
          <cell r="B334">
            <v>59424.29</v>
          </cell>
          <cell r="C334">
            <v>1695.26</v>
          </cell>
        </row>
        <row r="335">
          <cell r="A335" t="str">
            <v>WLG5DD</v>
          </cell>
          <cell r="B335">
            <v>21380.59</v>
          </cell>
        </row>
        <row r="336">
          <cell r="A336" t="str">
            <v>WLG6DD</v>
          </cell>
          <cell r="B336">
            <v>19953.259999999998</v>
          </cell>
        </row>
        <row r="337">
          <cell r="A337" t="str">
            <v>WLGTDD</v>
          </cell>
          <cell r="B337">
            <v>18676.009999999998</v>
          </cell>
        </row>
        <row r="338">
          <cell r="A338" t="str">
            <v>CFSWWDD</v>
          </cell>
          <cell r="B338">
            <v>7925.7599999999948</v>
          </cell>
        </row>
        <row r="339">
          <cell r="A339" t="str">
            <v>COR11DD</v>
          </cell>
          <cell r="B339">
            <v>51555.35</v>
          </cell>
          <cell r="C339">
            <v>3093.84</v>
          </cell>
        </row>
        <row r="340">
          <cell r="A340" t="str">
            <v>HARRWDD</v>
          </cell>
          <cell r="B340">
            <v>1105.3200000000002</v>
          </cell>
        </row>
        <row r="341">
          <cell r="A341" t="str">
            <v>MAI11DD</v>
          </cell>
          <cell r="B341">
            <v>596.45000000000005</v>
          </cell>
        </row>
        <row r="342">
          <cell r="A342" t="str">
            <v>RCHRIVT</v>
          </cell>
          <cell r="B342">
            <v>27885.400000000012</v>
          </cell>
          <cell r="C342">
            <v>1440</v>
          </cell>
        </row>
        <row r="343">
          <cell r="A343" t="str">
            <v>RCHWINT</v>
          </cell>
          <cell r="B343">
            <v>6314.2000000000007</v>
          </cell>
        </row>
        <row r="344">
          <cell r="A344" t="str">
            <v>AARAARDD</v>
          </cell>
          <cell r="B344">
            <v>9345.49</v>
          </cell>
        </row>
        <row r="345">
          <cell r="A345" t="str">
            <v>ACOCPTDD</v>
          </cell>
          <cell r="B345">
            <v>272.59000000000003</v>
          </cell>
        </row>
        <row r="346">
          <cell r="A346" t="str">
            <v>AIRWDWDD</v>
          </cell>
          <cell r="B346">
            <v>13627.47</v>
          </cell>
        </row>
        <row r="347">
          <cell r="A347" t="str">
            <v>APLAPLDD</v>
          </cell>
          <cell r="B347">
            <v>24578.99</v>
          </cell>
        </row>
        <row r="348">
          <cell r="A348" t="str">
            <v>APLCHDDD</v>
          </cell>
          <cell r="B348">
            <v>29302.470000000005</v>
          </cell>
          <cell r="C348">
            <v>2031</v>
          </cell>
        </row>
        <row r="349">
          <cell r="A349" t="str">
            <v>AYRAYWDD</v>
          </cell>
          <cell r="B349">
            <v>13877.73</v>
          </cell>
        </row>
        <row r="350">
          <cell r="A350" t="str">
            <v>AYRBRWDD</v>
          </cell>
          <cell r="B350">
            <v>25687.000000000007</v>
          </cell>
        </row>
        <row r="351">
          <cell r="A351" t="str">
            <v>BKSBKTDD</v>
          </cell>
          <cell r="B351">
            <v>234.28</v>
          </cell>
        </row>
        <row r="352">
          <cell r="A352" t="str">
            <v>BRAIPTDD</v>
          </cell>
          <cell r="B352">
            <v>1092.48</v>
          </cell>
        </row>
        <row r="353">
          <cell r="A353" t="str">
            <v>BURSLTDD</v>
          </cell>
          <cell r="B353">
            <v>11602.73</v>
          </cell>
        </row>
        <row r="354">
          <cell r="A354" t="str">
            <v>BWEBOWDD</v>
          </cell>
          <cell r="B354">
            <v>2260.63</v>
          </cell>
        </row>
        <row r="355">
          <cell r="A355" t="str">
            <v>CLICFWDD</v>
          </cell>
          <cell r="B355">
            <v>234.28</v>
          </cell>
        </row>
        <row r="356">
          <cell r="A356" t="str">
            <v>CPHACTDD</v>
          </cell>
          <cell r="B356">
            <v>195.23</v>
          </cell>
        </row>
        <row r="357">
          <cell r="A357" t="str">
            <v>CTRCHWDD</v>
          </cell>
          <cell r="B357">
            <v>4700.6399999999994</v>
          </cell>
        </row>
        <row r="358">
          <cell r="A358" t="str">
            <v>CVIDKTDD</v>
          </cell>
          <cell r="B358">
            <v>1700.5</v>
          </cell>
        </row>
        <row r="359">
          <cell r="A359" t="str">
            <v>CVIMKTDD</v>
          </cell>
          <cell r="B359">
            <v>31390.79</v>
          </cell>
        </row>
        <row r="360">
          <cell r="A360" t="str">
            <v>CYSEASDD</v>
          </cell>
          <cell r="B360">
            <v>5217.5999999999995</v>
          </cell>
        </row>
        <row r="361">
          <cell r="A361" t="str">
            <v>DALCYSDD</v>
          </cell>
          <cell r="B361">
            <v>12164.74</v>
          </cell>
        </row>
        <row r="362">
          <cell r="A362" t="str">
            <v>DKIMNTDD</v>
          </cell>
          <cell r="B362">
            <v>3355.2</v>
          </cell>
        </row>
        <row r="363">
          <cell r="A363" t="str">
            <v>DRRIATDD</v>
          </cell>
          <cell r="B363">
            <v>696.93</v>
          </cell>
        </row>
        <row r="364">
          <cell r="A364" t="str">
            <v>EASREDDD</v>
          </cell>
          <cell r="B364">
            <v>4103.5999999999995</v>
          </cell>
        </row>
        <row r="365">
          <cell r="A365" t="str">
            <v>EMEEMWDD</v>
          </cell>
          <cell r="B365">
            <v>1612.31</v>
          </cell>
        </row>
        <row r="366">
          <cell r="A366" t="str">
            <v>FHLCHDDD</v>
          </cell>
          <cell r="B366">
            <v>25114.800000000003</v>
          </cell>
          <cell r="C366">
            <v>75</v>
          </cell>
        </row>
        <row r="367">
          <cell r="A367" t="str">
            <v>FORNWTDD</v>
          </cell>
          <cell r="B367">
            <v>4294.57</v>
          </cell>
        </row>
        <row r="368">
          <cell r="A368" t="str">
            <v>GBEULTDD</v>
          </cell>
          <cell r="B368">
            <v>8448.7800000000007</v>
          </cell>
        </row>
        <row r="369">
          <cell r="A369" t="str">
            <v>HOMBUTDD</v>
          </cell>
          <cell r="B369">
            <v>1503.63</v>
          </cell>
        </row>
        <row r="370">
          <cell r="A370" t="str">
            <v>IALGDTDD</v>
          </cell>
          <cell r="B370">
            <v>958.63</v>
          </cell>
        </row>
        <row r="371">
          <cell r="A371" t="str">
            <v>KMSFRWDD</v>
          </cell>
          <cell r="B371">
            <v>1511.58</v>
          </cell>
        </row>
        <row r="372">
          <cell r="A372" t="str">
            <v>LIDHOTDD</v>
          </cell>
          <cell r="B372">
            <v>11969.23</v>
          </cell>
        </row>
        <row r="373">
          <cell r="A373" t="str">
            <v>MACMKWDD</v>
          </cell>
          <cell r="B373">
            <v>5036.78</v>
          </cell>
        </row>
        <row r="374">
          <cell r="A374" t="str">
            <v>MKYBAWDD</v>
          </cell>
          <cell r="B374">
            <v>30050.02</v>
          </cell>
        </row>
        <row r="375">
          <cell r="A375" t="str">
            <v>MKYMKWDD</v>
          </cell>
          <cell r="B375">
            <v>13292.789999999999</v>
          </cell>
        </row>
        <row r="376">
          <cell r="A376" t="str">
            <v>MNKQBTDD</v>
          </cell>
          <cell r="B376">
            <v>156.19</v>
          </cell>
        </row>
        <row r="377">
          <cell r="A377" t="str">
            <v>PMFERWDD</v>
          </cell>
          <cell r="B377">
            <v>3408.5699999999997</v>
          </cell>
        </row>
        <row r="378">
          <cell r="A378" t="str">
            <v>PPNPRWDD</v>
          </cell>
          <cell r="B378">
            <v>6808.8200000000006</v>
          </cell>
        </row>
        <row r="379">
          <cell r="A379" t="str">
            <v>PTHROTDD</v>
          </cell>
          <cell r="B379">
            <v>5371.8</v>
          </cell>
        </row>
        <row r="380">
          <cell r="A380" t="str">
            <v>QBNMNTDD</v>
          </cell>
          <cell r="B380">
            <v>2261.6400000000003</v>
          </cell>
          <cell r="C380">
            <v>300.11</v>
          </cell>
        </row>
        <row r="381">
          <cell r="A381" t="str">
            <v>REDGBEDD</v>
          </cell>
          <cell r="B381">
            <v>2102.56</v>
          </cell>
        </row>
        <row r="382">
          <cell r="A382" t="str">
            <v>SARALWDD</v>
          </cell>
          <cell r="B382">
            <v>6667.77</v>
          </cell>
        </row>
        <row r="383">
          <cell r="A383" t="str">
            <v>SCOSCWDD</v>
          </cell>
          <cell r="B383">
            <v>835.68</v>
          </cell>
        </row>
        <row r="384">
          <cell r="A384" t="str">
            <v>SILLITDD</v>
          </cell>
          <cell r="B384">
            <v>226.03</v>
          </cell>
        </row>
        <row r="385">
          <cell r="A385" t="str">
            <v>SP100001</v>
          </cell>
          <cell r="C385">
            <v>455.50999999999993</v>
          </cell>
        </row>
        <row r="386">
          <cell r="A386" t="str">
            <v>SSBAARDD</v>
          </cell>
          <cell r="B386">
            <v>10968.4</v>
          </cell>
        </row>
        <row r="387">
          <cell r="A387" t="str">
            <v>TAMW06DD</v>
          </cell>
          <cell r="B387">
            <v>8429.7999999999993</v>
          </cell>
        </row>
        <row r="388">
          <cell r="A388" t="str">
            <v>TAMW16DD</v>
          </cell>
          <cell r="B388">
            <v>4708.4799999999996</v>
          </cell>
        </row>
        <row r="389">
          <cell r="A389" t="str">
            <v>TAMW23DD</v>
          </cell>
          <cell r="B389">
            <v>7982.3399999999983</v>
          </cell>
        </row>
        <row r="390">
          <cell r="A390" t="str">
            <v>TETINWDD</v>
          </cell>
          <cell r="B390">
            <v>10218.249999999998</v>
          </cell>
        </row>
        <row r="391">
          <cell r="A391" t="str">
            <v>ULTDALDD</v>
          </cell>
          <cell r="B391">
            <v>5596.07</v>
          </cell>
        </row>
        <row r="392">
          <cell r="A392" t="str">
            <v>URLURWDD</v>
          </cell>
          <cell r="B392">
            <v>2103.9699999999998</v>
          </cell>
        </row>
        <row r="393">
          <cell r="A393" t="str">
            <v>WRWWAWDD</v>
          </cell>
          <cell r="B393">
            <v>2789.39</v>
          </cell>
        </row>
      </sheetData>
      <sheetData sheetId="16">
        <row r="1">
          <cell r="A1" t="str">
            <v>Diary Date</v>
          </cell>
          <cell r="B1" t="str">
            <v>(Multiple Items)</v>
          </cell>
        </row>
        <row r="3">
          <cell r="A3" t="str">
            <v>Sum of Extended DJC</v>
          </cell>
          <cell r="B3" t="str">
            <v>Column Labels</v>
          </cell>
        </row>
        <row r="4">
          <cell r="A4" t="str">
            <v>Row Labels</v>
          </cell>
          <cell r="B4" t="str">
            <v>Provisional Sum</v>
          </cell>
          <cell r="C4" t="str">
            <v>Quoted DJC</v>
          </cell>
          <cell r="D4" t="str">
            <v>Standard DJC</v>
          </cell>
          <cell r="E4" t="str">
            <v>Grand Total</v>
          </cell>
        </row>
        <row r="5">
          <cell r="A5" t="str">
            <v>GUL3</v>
          </cell>
          <cell r="D5">
            <v>557379.15399999986</v>
          </cell>
          <cell r="E5">
            <v>557379.15399999986</v>
          </cell>
        </row>
        <row r="6">
          <cell r="A6" t="str">
            <v>GUL2</v>
          </cell>
          <cell r="D6">
            <v>653934.73949999968</v>
          </cell>
          <cell r="E6">
            <v>653934.73949999968</v>
          </cell>
        </row>
        <row r="7">
          <cell r="A7" t="str">
            <v>TNS4</v>
          </cell>
          <cell r="D7">
            <v>1478.85</v>
          </cell>
          <cell r="E7">
            <v>1478.85</v>
          </cell>
        </row>
        <row r="8">
          <cell r="A8" t="str">
            <v>GDN2</v>
          </cell>
          <cell r="B8">
            <v>0</v>
          </cell>
          <cell r="D8">
            <v>831600.12660000031</v>
          </cell>
          <cell r="E8">
            <v>831600.12660000031</v>
          </cell>
        </row>
        <row r="9">
          <cell r="A9" t="str">
            <v>CAI1</v>
          </cell>
          <cell r="D9">
            <v>262423.42650000035</v>
          </cell>
          <cell r="E9">
            <v>262423.42650000035</v>
          </cell>
        </row>
        <row r="10">
          <cell r="A10" t="str">
            <v>CAI2</v>
          </cell>
          <cell r="D10">
            <v>6356.9960000000001</v>
          </cell>
          <cell r="E10">
            <v>6356.9960000000001</v>
          </cell>
        </row>
        <row r="11">
          <cell r="A11" t="str">
            <v>CAI3</v>
          </cell>
          <cell r="D11">
            <v>7915.143</v>
          </cell>
          <cell r="E11">
            <v>7915.143</v>
          </cell>
        </row>
        <row r="12">
          <cell r="A12" t="str">
            <v>APL1</v>
          </cell>
          <cell r="D12">
            <v>1384499.2647999998</v>
          </cell>
          <cell r="E12">
            <v>1384499.2647999998</v>
          </cell>
        </row>
        <row r="13">
          <cell r="A13" t="str">
            <v>APL3</v>
          </cell>
          <cell r="B13">
            <v>0</v>
          </cell>
          <cell r="D13">
            <v>107777.57800000001</v>
          </cell>
          <cell r="E13">
            <v>107777.57800000001</v>
          </cell>
        </row>
        <row r="14">
          <cell r="A14" t="str">
            <v>TOB1</v>
          </cell>
          <cell r="B14">
            <v>0</v>
          </cell>
          <cell r="C14">
            <v>0</v>
          </cell>
          <cell r="D14">
            <v>726563.89749999763</v>
          </cell>
          <cell r="E14">
            <v>726563.89749999763</v>
          </cell>
        </row>
        <row r="15">
          <cell r="A15" t="str">
            <v>TOB2</v>
          </cell>
          <cell r="D15">
            <v>318377.0039999999</v>
          </cell>
          <cell r="E15">
            <v>318377.0039999999</v>
          </cell>
        </row>
        <row r="16">
          <cell r="A16" t="str">
            <v>TOB4</v>
          </cell>
          <cell r="D16">
            <v>263831.93469999993</v>
          </cell>
          <cell r="E16">
            <v>263831.93469999993</v>
          </cell>
        </row>
        <row r="17">
          <cell r="A17" t="str">
            <v>GDN1</v>
          </cell>
          <cell r="D17">
            <v>593554.57199999865</v>
          </cell>
          <cell r="E17">
            <v>593554.57199999865</v>
          </cell>
        </row>
        <row r="18">
          <cell r="A18" t="str">
            <v>NDG2</v>
          </cell>
          <cell r="D18">
            <v>513474.37500000006</v>
          </cell>
          <cell r="E18">
            <v>513474.37500000006</v>
          </cell>
        </row>
        <row r="19">
          <cell r="A19" t="str">
            <v>TNS2</v>
          </cell>
          <cell r="D19">
            <v>136414.84199999998</v>
          </cell>
          <cell r="E19">
            <v>136414.84199999998</v>
          </cell>
        </row>
        <row r="20">
          <cell r="A20" t="str">
            <v>GUL4</v>
          </cell>
          <cell r="D20">
            <v>742517.05599999975</v>
          </cell>
          <cell r="E20">
            <v>742517.05599999975</v>
          </cell>
        </row>
        <row r="21">
          <cell r="A21" t="str">
            <v>TNS1</v>
          </cell>
          <cell r="D21">
            <v>827442.98199999996</v>
          </cell>
          <cell r="E21">
            <v>827442.98199999996</v>
          </cell>
        </row>
        <row r="22">
          <cell r="A22" t="str">
            <v>NDG1</v>
          </cell>
          <cell r="D22">
            <v>4390.6000000000004</v>
          </cell>
          <cell r="E22">
            <v>4390.6000000000004</v>
          </cell>
        </row>
        <row r="23">
          <cell r="A23" t="str">
            <v>TOB7</v>
          </cell>
          <cell r="D23">
            <v>44298.994999999995</v>
          </cell>
          <cell r="E23">
            <v>44298.994999999995</v>
          </cell>
        </row>
        <row r="24">
          <cell r="A24" t="str">
            <v>IPS2</v>
          </cell>
          <cell r="D24">
            <v>50109.895999999993</v>
          </cell>
          <cell r="E24">
            <v>50109.895999999993</v>
          </cell>
        </row>
        <row r="25">
          <cell r="A25" t="str">
            <v>IPS4</v>
          </cell>
          <cell r="D25">
            <v>71671.612000000008</v>
          </cell>
          <cell r="E25">
            <v>71671.612000000008</v>
          </cell>
        </row>
        <row r="26">
          <cell r="A26" t="str">
            <v>TOB8</v>
          </cell>
          <cell r="D26">
            <v>27305.402000000002</v>
          </cell>
          <cell r="E26">
            <v>27305.402000000002</v>
          </cell>
        </row>
        <row r="27">
          <cell r="A27" t="str">
            <v>TNS3</v>
          </cell>
          <cell r="D27">
            <v>141139.42000000001</v>
          </cell>
          <cell r="E27">
            <v>141139.42000000001</v>
          </cell>
        </row>
        <row r="28">
          <cell r="A28" t="str">
            <v>CRC5</v>
          </cell>
          <cell r="D28">
            <v>761067.6680000003</v>
          </cell>
          <cell r="E28">
            <v>761067.6680000003</v>
          </cell>
        </row>
        <row r="29">
          <cell r="A29" t="str">
            <v>PTH1</v>
          </cell>
          <cell r="D29">
            <v>233151.60599999994</v>
          </cell>
          <cell r="E29">
            <v>233151.60599999994</v>
          </cell>
        </row>
        <row r="30">
          <cell r="A30" t="str">
            <v>KIA3</v>
          </cell>
          <cell r="D30">
            <v>942145.67599999974</v>
          </cell>
          <cell r="E30">
            <v>942145.67599999974</v>
          </cell>
        </row>
        <row r="31">
          <cell r="A31" t="str">
            <v>CFS1</v>
          </cell>
          <cell r="B31">
            <v>0</v>
          </cell>
          <cell r="D31">
            <v>1484442.2482999961</v>
          </cell>
          <cell r="E31">
            <v>1484442.2482999961</v>
          </cell>
        </row>
        <row r="32">
          <cell r="A32" t="str">
            <v>CFS5</v>
          </cell>
          <cell r="B32">
            <v>0</v>
          </cell>
          <cell r="D32">
            <v>843799.64600000181</v>
          </cell>
          <cell r="E32">
            <v>843799.64600000181</v>
          </cell>
        </row>
        <row r="33">
          <cell r="A33" t="str">
            <v>BLK1</v>
          </cell>
          <cell r="D33">
            <v>321780.30600000039</v>
          </cell>
          <cell r="E33">
            <v>321780.30600000039</v>
          </cell>
        </row>
        <row r="34">
          <cell r="A34" t="str">
            <v>SAW2</v>
          </cell>
          <cell r="D34">
            <v>56675.64</v>
          </cell>
          <cell r="E34">
            <v>56675.64</v>
          </cell>
        </row>
        <row r="35">
          <cell r="A35" t="str">
            <v>HOM1</v>
          </cell>
          <cell r="B35">
            <v>0</v>
          </cell>
          <cell r="D35">
            <v>371550.81740000064</v>
          </cell>
          <cell r="E35">
            <v>371550.81740000064</v>
          </cell>
        </row>
        <row r="36">
          <cell r="A36" t="str">
            <v>KIA2</v>
          </cell>
          <cell r="D36">
            <v>31590.166000000001</v>
          </cell>
          <cell r="E36">
            <v>31590.166000000001</v>
          </cell>
        </row>
        <row r="37">
          <cell r="A37" t="str">
            <v>GOS2</v>
          </cell>
          <cell r="C37">
            <v>0</v>
          </cell>
          <cell r="D37">
            <v>883969.61899999948</v>
          </cell>
          <cell r="E37">
            <v>883969.61899999948</v>
          </cell>
        </row>
        <row r="38">
          <cell r="A38" t="str">
            <v>SAW1</v>
          </cell>
          <cell r="D38">
            <v>1302068.2289999942</v>
          </cell>
          <cell r="E38">
            <v>1302068.2289999942</v>
          </cell>
        </row>
        <row r="39">
          <cell r="A39" t="str">
            <v>CFS2</v>
          </cell>
          <cell r="D39">
            <v>844678.74540000258</v>
          </cell>
          <cell r="E39">
            <v>844678.74540000258</v>
          </cell>
        </row>
        <row r="40">
          <cell r="A40" t="str">
            <v>GOS1</v>
          </cell>
          <cell r="D40">
            <v>370605.94500000024</v>
          </cell>
          <cell r="E40">
            <v>370605.94500000024</v>
          </cell>
        </row>
        <row r="41">
          <cell r="A41" t="str">
            <v>GOS3</v>
          </cell>
          <cell r="D41">
            <v>192052.41000000003</v>
          </cell>
          <cell r="E41">
            <v>192052.41000000003</v>
          </cell>
        </row>
        <row r="42">
          <cell r="A42" t="str">
            <v>CFS6</v>
          </cell>
          <cell r="D42">
            <v>109583.45600000001</v>
          </cell>
          <cell r="E42">
            <v>109583.45600000001</v>
          </cell>
        </row>
        <row r="43">
          <cell r="A43" t="str">
            <v>CFS7</v>
          </cell>
          <cell r="D43">
            <v>52384.224000000002</v>
          </cell>
          <cell r="E43">
            <v>52384.224000000002</v>
          </cell>
        </row>
        <row r="44">
          <cell r="A44" t="str">
            <v>CFS3</v>
          </cell>
          <cell r="D44">
            <v>312197.28799999988</v>
          </cell>
          <cell r="E44">
            <v>312197.28799999988</v>
          </cell>
        </row>
        <row r="45">
          <cell r="A45" t="str">
            <v>RCH4</v>
          </cell>
          <cell r="D45">
            <v>81841.420000000013</v>
          </cell>
          <cell r="E45">
            <v>81841.420000000013</v>
          </cell>
        </row>
        <row r="46">
          <cell r="A46" t="str">
            <v>BLK2</v>
          </cell>
          <cell r="D46">
            <v>12641.03</v>
          </cell>
          <cell r="E46">
            <v>12641.03</v>
          </cell>
        </row>
        <row r="47">
          <cell r="A47" t="str">
            <v>CRC2</v>
          </cell>
          <cell r="D47">
            <v>150371.80199999991</v>
          </cell>
          <cell r="E47">
            <v>150371.80199999991</v>
          </cell>
        </row>
        <row r="48">
          <cell r="A48" t="str">
            <v>CRC4</v>
          </cell>
          <cell r="D48">
            <v>103874.97200000001</v>
          </cell>
          <cell r="E48">
            <v>103874.97200000001</v>
          </cell>
        </row>
        <row r="49">
          <cell r="A49" t="str">
            <v>CRC6</v>
          </cell>
          <cell r="D49">
            <v>1507.44</v>
          </cell>
          <cell r="E49">
            <v>1507.44</v>
          </cell>
        </row>
        <row r="50">
          <cell r="A50" t="str">
            <v>CRC1</v>
          </cell>
          <cell r="D50">
            <v>321554.12600000034</v>
          </cell>
          <cell r="E50">
            <v>321554.12600000034</v>
          </cell>
        </row>
        <row r="51">
          <cell r="A51" t="str">
            <v>KLG4</v>
          </cell>
          <cell r="D51">
            <v>54091.493999999984</v>
          </cell>
          <cell r="E51">
            <v>54091.493999999984</v>
          </cell>
        </row>
        <row r="52">
          <cell r="A52" t="str">
            <v>TOB6</v>
          </cell>
          <cell r="D52">
            <v>19341.388000000003</v>
          </cell>
          <cell r="E52">
            <v>19341.388000000003</v>
          </cell>
        </row>
        <row r="53">
          <cell r="A53" t="str">
            <v>KLG1</v>
          </cell>
          <cell r="D53">
            <v>30003.279999999999</v>
          </cell>
          <cell r="E53">
            <v>30003.279999999999</v>
          </cell>
        </row>
        <row r="54">
          <cell r="A54" t="str">
            <v>BDB1</v>
          </cell>
          <cell r="D54">
            <v>84014.210000000036</v>
          </cell>
          <cell r="E54">
            <v>84014.210000000036</v>
          </cell>
        </row>
        <row r="55">
          <cell r="A55" t="str">
            <v>BDB2</v>
          </cell>
          <cell r="D55">
            <v>65514.89499999999</v>
          </cell>
          <cell r="E55">
            <v>65514.89499999999</v>
          </cell>
        </row>
        <row r="56">
          <cell r="A56" t="str">
            <v>GDN5</v>
          </cell>
          <cell r="D56">
            <v>2797.13</v>
          </cell>
          <cell r="E56">
            <v>2797.13</v>
          </cell>
        </row>
        <row r="57">
          <cell r="A57" t="str">
            <v>GDN6</v>
          </cell>
          <cell r="D57">
            <v>3441.53</v>
          </cell>
          <cell r="E57">
            <v>3441.53</v>
          </cell>
        </row>
        <row r="58">
          <cell r="A58" t="str">
            <v>NDG3</v>
          </cell>
          <cell r="D58">
            <v>1985.5450000000001</v>
          </cell>
          <cell r="E58">
            <v>1985.5450000000001</v>
          </cell>
        </row>
        <row r="59">
          <cell r="A59" t="str">
            <v>MKY3</v>
          </cell>
          <cell r="D59">
            <v>2051.9460000000004</v>
          </cell>
          <cell r="E59">
            <v>2051.9460000000004</v>
          </cell>
        </row>
        <row r="60">
          <cell r="A60" t="str">
            <v>APL4</v>
          </cell>
          <cell r="B60">
            <v>0</v>
          </cell>
          <cell r="D60">
            <v>263595.71999999986</v>
          </cell>
          <cell r="E60">
            <v>263595.71999999986</v>
          </cell>
        </row>
        <row r="61">
          <cell r="A61" t="str">
            <v>TOB3</v>
          </cell>
          <cell r="D61">
            <v>519337.38715000026</v>
          </cell>
          <cell r="E61">
            <v>519337.38715000026</v>
          </cell>
        </row>
        <row r="62">
          <cell r="A62" t="str">
            <v>TNS5</v>
          </cell>
          <cell r="D62">
            <v>118454.31000000001</v>
          </cell>
          <cell r="E62">
            <v>118454.31000000001</v>
          </cell>
        </row>
        <row r="63">
          <cell r="A63" t="str">
            <v>GUL5</v>
          </cell>
          <cell r="D63">
            <v>299273.38999999996</v>
          </cell>
          <cell r="E63">
            <v>299273.38999999996</v>
          </cell>
        </row>
        <row r="64">
          <cell r="A64" t="str">
            <v>CRC3</v>
          </cell>
          <cell r="D64">
            <v>161.80000000000001</v>
          </cell>
          <cell r="E64">
            <v>161.80000000000001</v>
          </cell>
        </row>
        <row r="65">
          <cell r="A65" t="str">
            <v>APL2</v>
          </cell>
          <cell r="B65">
            <v>0</v>
          </cell>
          <cell r="D65">
            <v>32630.496000000003</v>
          </cell>
          <cell r="E65">
            <v>32630.496000000003</v>
          </cell>
        </row>
        <row r="66">
          <cell r="A66" t="str">
            <v>DAP1</v>
          </cell>
          <cell r="D66">
            <v>832.03199999999993</v>
          </cell>
          <cell r="E66">
            <v>832.03199999999993</v>
          </cell>
        </row>
        <row r="67">
          <cell r="A67" t="str">
            <v>LID1</v>
          </cell>
          <cell r="D67">
            <v>20899.88</v>
          </cell>
          <cell r="E67">
            <v>20899.88</v>
          </cell>
        </row>
        <row r="68">
          <cell r="A68" t="str">
            <v>HOM2</v>
          </cell>
          <cell r="D68">
            <v>13334.183399999998</v>
          </cell>
          <cell r="E68">
            <v>13334.183399999998</v>
          </cell>
        </row>
        <row r="69">
          <cell r="A69" t="str">
            <v>TOB5</v>
          </cell>
          <cell r="D69">
            <v>40441.394999999997</v>
          </cell>
          <cell r="E69">
            <v>40441.394999999997</v>
          </cell>
        </row>
        <row r="70">
          <cell r="A70" t="str">
            <v>PTH2</v>
          </cell>
          <cell r="D70">
            <v>22518.74</v>
          </cell>
          <cell r="E70">
            <v>22518.74</v>
          </cell>
        </row>
        <row r="71">
          <cell r="A71" t="str">
            <v>SAW3</v>
          </cell>
          <cell r="D71">
            <v>167694.451</v>
          </cell>
          <cell r="E71">
            <v>167694.451</v>
          </cell>
        </row>
        <row r="72">
          <cell r="A72" t="str">
            <v>SAW4</v>
          </cell>
          <cell r="D72">
            <v>6886</v>
          </cell>
          <cell r="E72">
            <v>6886</v>
          </cell>
        </row>
        <row r="73">
          <cell r="A73" t="str">
            <v>RCH2</v>
          </cell>
          <cell r="D73">
            <v>108281.53599999998</v>
          </cell>
          <cell r="E73">
            <v>108281.53599999998</v>
          </cell>
        </row>
        <row r="74">
          <cell r="A74" t="str">
            <v>RCH1</v>
          </cell>
          <cell r="D74">
            <v>8363.66</v>
          </cell>
          <cell r="E74">
            <v>8363.66</v>
          </cell>
        </row>
        <row r="75">
          <cell r="A75" t="str">
            <v>LID2</v>
          </cell>
          <cell r="D75">
            <v>14600.896000000004</v>
          </cell>
          <cell r="E75">
            <v>14600.896000000004</v>
          </cell>
        </row>
        <row r="76">
          <cell r="A76" t="str">
            <v>GDN3</v>
          </cell>
          <cell r="B76">
            <v>0</v>
          </cell>
          <cell r="D76">
            <v>115493.622</v>
          </cell>
          <cell r="E76">
            <v>115493.622</v>
          </cell>
        </row>
        <row r="77">
          <cell r="A77" t="str">
            <v>GDN4</v>
          </cell>
          <cell r="D77">
            <v>18741.39</v>
          </cell>
          <cell r="E77">
            <v>18741.39</v>
          </cell>
        </row>
        <row r="78">
          <cell r="A78" t="str">
            <v>RIV2</v>
          </cell>
          <cell r="D78">
            <v>1027.2139999999999</v>
          </cell>
          <cell r="E78">
            <v>1027.2139999999999</v>
          </cell>
        </row>
        <row r="79">
          <cell r="A79" t="str">
            <v>ARM5</v>
          </cell>
          <cell r="B79">
            <v>0</v>
          </cell>
          <cell r="D79">
            <v>2376959.3774000001</v>
          </cell>
          <cell r="E79">
            <v>2376959.3774000001</v>
          </cell>
        </row>
        <row r="80">
          <cell r="A80" t="str">
            <v>ARM4</v>
          </cell>
          <cell r="D80">
            <v>1070523.415</v>
          </cell>
          <cell r="E80">
            <v>1070523.415</v>
          </cell>
        </row>
        <row r="81">
          <cell r="A81" t="str">
            <v>CAI4</v>
          </cell>
          <cell r="D81">
            <v>23057.619999999995</v>
          </cell>
          <cell r="E81">
            <v>23057.619999999995</v>
          </cell>
        </row>
        <row r="82">
          <cell r="A82" t="str">
            <v>APL7</v>
          </cell>
          <cell r="D82">
            <v>5435.6200000000008</v>
          </cell>
          <cell r="E82">
            <v>5435.6200000000008</v>
          </cell>
        </row>
        <row r="83">
          <cell r="A83" t="str">
            <v>APL6</v>
          </cell>
          <cell r="D83">
            <v>66347.83</v>
          </cell>
          <cell r="E83">
            <v>66347.83</v>
          </cell>
        </row>
        <row r="84">
          <cell r="A84" t="str">
            <v>GDN8</v>
          </cell>
          <cell r="D84">
            <v>85231.035000000003</v>
          </cell>
          <cell r="E84">
            <v>85231.035000000003</v>
          </cell>
        </row>
        <row r="85">
          <cell r="A85" t="str">
            <v>TOB9</v>
          </cell>
          <cell r="D85">
            <v>65589.01400000001</v>
          </cell>
          <cell r="E85">
            <v>65589.01400000001</v>
          </cell>
        </row>
        <row r="86">
          <cell r="A86" t="str">
            <v>ARM6</v>
          </cell>
          <cell r="D86">
            <v>603663.60339999874</v>
          </cell>
          <cell r="E86">
            <v>603663.60339999874</v>
          </cell>
        </row>
        <row r="87">
          <cell r="A87" t="str">
            <v>WLG5</v>
          </cell>
          <cell r="D87">
            <v>247133.82300000009</v>
          </cell>
          <cell r="E87">
            <v>247133.82300000009</v>
          </cell>
        </row>
        <row r="88">
          <cell r="A88" t="str">
            <v>WLG6</v>
          </cell>
          <cell r="D88">
            <v>28745.621999999999</v>
          </cell>
          <cell r="E88">
            <v>28745.621999999999</v>
          </cell>
        </row>
        <row r="89">
          <cell r="A89" t="str">
            <v>WLG1</v>
          </cell>
          <cell r="D89">
            <v>7831.3919999999998</v>
          </cell>
          <cell r="E89">
            <v>7831.3919999999998</v>
          </cell>
        </row>
        <row r="90">
          <cell r="A90" t="str">
            <v>COR4</v>
          </cell>
          <cell r="D90">
            <v>43940.975999999973</v>
          </cell>
          <cell r="E90">
            <v>43940.975999999973</v>
          </cell>
        </row>
        <row r="91">
          <cell r="A91" t="str">
            <v>ASH1</v>
          </cell>
          <cell r="D91">
            <v>57372.675000000003</v>
          </cell>
          <cell r="E91">
            <v>57372.675000000003</v>
          </cell>
        </row>
        <row r="92">
          <cell r="A92" t="str">
            <v>ASH4</v>
          </cell>
          <cell r="D92">
            <v>843.03</v>
          </cell>
          <cell r="E92">
            <v>843.03</v>
          </cell>
        </row>
        <row r="93">
          <cell r="A93" t="str">
            <v>MKY4</v>
          </cell>
          <cell r="D93">
            <v>67673.082000000009</v>
          </cell>
          <cell r="E93">
            <v>67673.082000000009</v>
          </cell>
        </row>
        <row r="94">
          <cell r="A94" t="str">
            <v>GDN7</v>
          </cell>
          <cell r="D94">
            <v>15062.614999999998</v>
          </cell>
          <cell r="E94">
            <v>15062.614999999998</v>
          </cell>
        </row>
        <row r="95">
          <cell r="A95" t="str">
            <v>ASH3</v>
          </cell>
          <cell r="D95">
            <v>49974.22</v>
          </cell>
          <cell r="E95">
            <v>49974.22</v>
          </cell>
        </row>
        <row r="96">
          <cell r="A96" t="str">
            <v>ASH2</v>
          </cell>
          <cell r="D96">
            <v>21018.14</v>
          </cell>
          <cell r="E96">
            <v>21018.14</v>
          </cell>
        </row>
        <row r="97">
          <cell r="A97" t="str">
            <v>APL5</v>
          </cell>
          <cell r="D97">
            <v>71471.775000000009</v>
          </cell>
          <cell r="E97">
            <v>71471.775000000009</v>
          </cell>
        </row>
        <row r="98">
          <cell r="A98" t="str">
            <v>COR1</v>
          </cell>
          <cell r="D98">
            <v>14561.096</v>
          </cell>
          <cell r="E98">
            <v>14561.096</v>
          </cell>
        </row>
        <row r="99">
          <cell r="A99" t="str">
            <v>DAP5</v>
          </cell>
          <cell r="D99">
            <v>73462.77</v>
          </cell>
          <cell r="E99">
            <v>73462.77</v>
          </cell>
        </row>
        <row r="100">
          <cell r="A100" t="str">
            <v>COR7</v>
          </cell>
          <cell r="D100">
            <v>16467.559999999998</v>
          </cell>
          <cell r="E100">
            <v>16467.559999999998</v>
          </cell>
        </row>
        <row r="101">
          <cell r="A101" t="str">
            <v>COR6</v>
          </cell>
          <cell r="D101">
            <v>318029.55200000003</v>
          </cell>
          <cell r="E101">
            <v>318029.55200000003</v>
          </cell>
        </row>
        <row r="102">
          <cell r="A102" t="str">
            <v>DAP6</v>
          </cell>
          <cell r="D102">
            <v>4185.7919999999995</v>
          </cell>
          <cell r="E102">
            <v>4185.7919999999995</v>
          </cell>
        </row>
        <row r="103">
          <cell r="A103" t="str">
            <v>LJT1</v>
          </cell>
          <cell r="D103">
            <v>75626.86</v>
          </cell>
          <cell r="E103">
            <v>75626.86</v>
          </cell>
        </row>
        <row r="104">
          <cell r="A104" t="str">
            <v>APL8</v>
          </cell>
          <cell r="D104">
            <v>1178.3999999999999</v>
          </cell>
          <cell r="E104">
            <v>1178.3999999999999</v>
          </cell>
        </row>
        <row r="105">
          <cell r="A105" t="str">
            <v>BLK6</v>
          </cell>
          <cell r="D105">
            <v>257.38</v>
          </cell>
          <cell r="E105">
            <v>257.38</v>
          </cell>
        </row>
        <row r="106">
          <cell r="A106" t="str">
            <v>GUL7</v>
          </cell>
          <cell r="D106">
            <v>17388.984</v>
          </cell>
          <cell r="E106">
            <v>17388.984</v>
          </cell>
        </row>
        <row r="107">
          <cell r="A107" t="str">
            <v>WLG8</v>
          </cell>
          <cell r="D107">
            <v>8167.9679999999998</v>
          </cell>
          <cell r="E107">
            <v>8167.9679999999998</v>
          </cell>
        </row>
        <row r="108">
          <cell r="A108" t="str">
            <v>CVI5</v>
          </cell>
          <cell r="D108">
            <v>12751.055999999999</v>
          </cell>
          <cell r="E108">
            <v>12751.055999999999</v>
          </cell>
        </row>
        <row r="109">
          <cell r="A109" t="str">
            <v>CVI4</v>
          </cell>
          <cell r="D109">
            <v>17456.383999999995</v>
          </cell>
          <cell r="E109">
            <v>17456.383999999995</v>
          </cell>
        </row>
        <row r="110">
          <cell r="A110" t="str">
            <v>COR8</v>
          </cell>
          <cell r="D110">
            <v>62091.782000000028</v>
          </cell>
          <cell r="E110">
            <v>62091.782000000028</v>
          </cell>
        </row>
        <row r="111">
          <cell r="A111" t="str">
            <v>COR5</v>
          </cell>
          <cell r="D111">
            <v>56224.684000000023</v>
          </cell>
          <cell r="E111">
            <v>56224.684000000023</v>
          </cell>
        </row>
        <row r="112">
          <cell r="A112" t="str">
            <v>BLK10</v>
          </cell>
          <cell r="D112">
            <v>2180.37</v>
          </cell>
          <cell r="E112">
            <v>2180.37</v>
          </cell>
        </row>
        <row r="113">
          <cell r="A113" t="str">
            <v>BLK9</v>
          </cell>
          <cell r="D113">
            <v>261.22000000000003</v>
          </cell>
          <cell r="E113">
            <v>261.22000000000003</v>
          </cell>
        </row>
        <row r="114">
          <cell r="A114" t="str">
            <v>TNS6</v>
          </cell>
          <cell r="D114">
            <v>1839.12</v>
          </cell>
          <cell r="E114">
            <v>1839.12</v>
          </cell>
        </row>
        <row r="115">
          <cell r="A115" t="str">
            <v>ROT2</v>
          </cell>
          <cell r="D115">
            <v>69605.733000000007</v>
          </cell>
          <cell r="E115">
            <v>69605.733000000007</v>
          </cell>
        </row>
        <row r="116">
          <cell r="A116" t="str">
            <v>MKY1</v>
          </cell>
          <cell r="D116">
            <v>7139.0599999999995</v>
          </cell>
          <cell r="E116">
            <v>7139.0599999999995</v>
          </cell>
        </row>
        <row r="117">
          <cell r="A117" t="str">
            <v>BLK12</v>
          </cell>
          <cell r="D117">
            <v>257.38</v>
          </cell>
          <cell r="E117">
            <v>257.38</v>
          </cell>
        </row>
        <row r="118">
          <cell r="A118" t="str">
            <v>GUL6</v>
          </cell>
          <cell r="D118">
            <v>55249.329999999994</v>
          </cell>
          <cell r="E118">
            <v>55249.329999999994</v>
          </cell>
        </row>
        <row r="119">
          <cell r="A119" t="str">
            <v>CFS4</v>
          </cell>
          <cell r="D119">
            <v>2586.44</v>
          </cell>
          <cell r="E119">
            <v>2586.44</v>
          </cell>
        </row>
        <row r="120">
          <cell r="A120" t="str">
            <v>ROT1</v>
          </cell>
          <cell r="D120">
            <v>25186.031999999999</v>
          </cell>
          <cell r="E120">
            <v>25186.031999999999</v>
          </cell>
        </row>
      </sheetData>
      <sheetData sheetId="17">
        <row r="3">
          <cell r="B3" t="str">
            <v>JDE FSAM Subledger</v>
          </cell>
          <cell r="C3" t="str">
            <v>Project Type</v>
          </cell>
          <cell r="D3" t="str">
            <v>State</v>
          </cell>
          <cell r="E3" t="str">
            <v>Subregion</v>
          </cell>
          <cell r="F3" t="str">
            <v>Project Manager</v>
          </cell>
          <cell r="G3" t="str">
            <v>Design EV</v>
          </cell>
          <cell r="H3" t="str">
            <v>Construction EV</v>
          </cell>
          <cell r="I3" t="str">
            <v>Overall EV</v>
          </cell>
          <cell r="J3" t="str">
            <v>Design Status Comment</v>
          </cell>
          <cell r="K3" t="str">
            <v>Construction Status Comment</v>
          </cell>
        </row>
        <row r="4">
          <cell r="B4" t="str">
            <v>TOB1</v>
          </cell>
          <cell r="C4" t="str">
            <v>FSAM</v>
          </cell>
          <cell r="D4" t="str">
            <v>QLD</v>
          </cell>
          <cell r="E4" t="str">
            <v>QLD South</v>
          </cell>
          <cell r="F4" t="str">
            <v>Alan Bassett</v>
          </cell>
          <cell r="G4">
            <v>1</v>
          </cell>
          <cell r="H4">
            <v>1</v>
          </cell>
          <cell r="I4">
            <v>1</v>
          </cell>
          <cell r="J4" t="str">
            <v>CoA Accepted</v>
          </cell>
          <cell r="K4" t="str">
            <v>FA Received</v>
          </cell>
        </row>
        <row r="5">
          <cell r="B5" t="str">
            <v>APL1</v>
          </cell>
          <cell r="C5" t="str">
            <v>FSAM</v>
          </cell>
          <cell r="D5" t="str">
            <v>QLD</v>
          </cell>
          <cell r="E5" t="str">
            <v>QLD Metro</v>
          </cell>
          <cell r="F5" t="str">
            <v>Jonathan Cogan</v>
          </cell>
          <cell r="G5">
            <v>1</v>
          </cell>
          <cell r="H5">
            <v>0.95</v>
          </cell>
          <cell r="I5">
            <v>0.95499999999999996</v>
          </cell>
          <cell r="J5" t="str">
            <v>CoA Accepted</v>
          </cell>
          <cell r="K5" t="str">
            <v>PC Submitted</v>
          </cell>
        </row>
        <row r="6">
          <cell r="B6" t="str">
            <v>CRC6</v>
          </cell>
          <cell r="C6" t="str">
            <v>FSAM</v>
          </cell>
          <cell r="D6" t="str">
            <v>NSW</v>
          </cell>
          <cell r="E6" t="str">
            <v>NSW South / ACT</v>
          </cell>
          <cell r="F6" t="str">
            <v>Steven Blewitt</v>
          </cell>
          <cell r="G6">
            <v>1</v>
          </cell>
          <cell r="H6">
            <v>0.95</v>
          </cell>
          <cell r="I6">
            <v>0.95499999999999996</v>
          </cell>
          <cell r="J6" t="str">
            <v>CoA Accepted</v>
          </cell>
          <cell r="K6" t="str">
            <v>PC Submitted</v>
          </cell>
        </row>
        <row r="7">
          <cell r="B7" t="str">
            <v>CRC3</v>
          </cell>
          <cell r="C7" t="str">
            <v>FSAM</v>
          </cell>
          <cell r="D7" t="str">
            <v>NSW</v>
          </cell>
          <cell r="E7" t="str">
            <v>NSW South / ACT</v>
          </cell>
          <cell r="F7" t="str">
            <v>Steven Blewitt</v>
          </cell>
          <cell r="G7">
            <v>1</v>
          </cell>
          <cell r="H7">
            <v>0.95</v>
          </cell>
          <cell r="I7">
            <v>0.95499999999999996</v>
          </cell>
          <cell r="J7" t="str">
            <v>CoA Accepted</v>
          </cell>
          <cell r="K7" t="str">
            <v>PC Submitted</v>
          </cell>
        </row>
        <row r="8">
          <cell r="B8" t="str">
            <v>ARM4</v>
          </cell>
          <cell r="C8" t="str">
            <v>FSAM</v>
          </cell>
          <cell r="D8" t="str">
            <v>NSW</v>
          </cell>
          <cell r="E8" t="str">
            <v>NSW North</v>
          </cell>
          <cell r="F8" t="str">
            <v>James Herden</v>
          </cell>
          <cell r="G8">
            <v>0.95</v>
          </cell>
          <cell r="H8">
            <v>0.95</v>
          </cell>
          <cell r="I8">
            <v>0.95</v>
          </cell>
          <cell r="J8" t="str">
            <v>Gate 3 Submitted</v>
          </cell>
          <cell r="K8" t="str">
            <v>PC Submitted</v>
          </cell>
        </row>
        <row r="9">
          <cell r="B9" t="str">
            <v>ARM5</v>
          </cell>
          <cell r="C9" t="str">
            <v>FSAM</v>
          </cell>
          <cell r="D9" t="str">
            <v>NSW</v>
          </cell>
          <cell r="E9" t="str">
            <v>NSW North</v>
          </cell>
          <cell r="F9" t="str">
            <v>James Herden</v>
          </cell>
          <cell r="G9">
            <v>0.95</v>
          </cell>
          <cell r="H9">
            <v>0.95</v>
          </cell>
          <cell r="I9">
            <v>0.95</v>
          </cell>
          <cell r="J9" t="str">
            <v>Gate 3 Submitted</v>
          </cell>
          <cell r="K9" t="str">
            <v>PC Submitted</v>
          </cell>
        </row>
        <row r="10">
          <cell r="B10" t="str">
            <v>CFS1</v>
          </cell>
          <cell r="C10" t="str">
            <v>FSAM</v>
          </cell>
          <cell r="D10" t="str">
            <v>NSW</v>
          </cell>
          <cell r="E10" t="str">
            <v>NSW North</v>
          </cell>
          <cell r="F10" t="str">
            <v>James Herden</v>
          </cell>
          <cell r="G10">
            <v>0</v>
          </cell>
          <cell r="H10">
            <v>0.95</v>
          </cell>
          <cell r="I10">
            <v>0.85499999999999998</v>
          </cell>
          <cell r="J10" t="str">
            <v>CI Not Received</v>
          </cell>
          <cell r="K10" t="str">
            <v>PC Submitted</v>
          </cell>
        </row>
        <row r="11">
          <cell r="B11" t="str">
            <v>CFS2</v>
          </cell>
          <cell r="C11" t="str">
            <v>FSAM</v>
          </cell>
          <cell r="D11" t="str">
            <v>NSW</v>
          </cell>
          <cell r="E11" t="str">
            <v>NSW North</v>
          </cell>
          <cell r="F11" t="str">
            <v>James Herden</v>
          </cell>
          <cell r="G11">
            <v>0</v>
          </cell>
          <cell r="H11">
            <v>0.95</v>
          </cell>
          <cell r="I11">
            <v>0.85499999999999998</v>
          </cell>
          <cell r="J11" t="str">
            <v>CI Not Received</v>
          </cell>
          <cell r="K11" t="str">
            <v>PC Submitted</v>
          </cell>
        </row>
        <row r="12">
          <cell r="B12" t="str">
            <v>CRC1</v>
          </cell>
          <cell r="C12" t="str">
            <v>FSAM</v>
          </cell>
          <cell r="D12" t="str">
            <v>NSW</v>
          </cell>
          <cell r="E12" t="str">
            <v>NSW South / ACT</v>
          </cell>
          <cell r="F12" t="str">
            <v>Steven Blewitt</v>
          </cell>
          <cell r="G12">
            <v>1</v>
          </cell>
          <cell r="H12">
            <v>0.9</v>
          </cell>
          <cell r="I12">
            <v>0.91</v>
          </cell>
          <cell r="J12" t="str">
            <v>CoA Accepted</v>
          </cell>
          <cell r="K12" t="str">
            <v>Testing Completed</v>
          </cell>
        </row>
        <row r="13">
          <cell r="B13" t="str">
            <v>GDN2</v>
          </cell>
          <cell r="C13" t="str">
            <v>FSAM</v>
          </cell>
          <cell r="D13" t="str">
            <v>QLD</v>
          </cell>
          <cell r="E13" t="str">
            <v>QLD Metro</v>
          </cell>
          <cell r="F13" t="str">
            <v>Jonathan Cogan</v>
          </cell>
          <cell r="G13">
            <v>1</v>
          </cell>
          <cell r="H13">
            <v>0.9</v>
          </cell>
          <cell r="I13">
            <v>0.91</v>
          </cell>
          <cell r="J13" t="str">
            <v>CoA Accepted</v>
          </cell>
          <cell r="K13" t="str">
            <v>Testing Completed</v>
          </cell>
        </row>
        <row r="14">
          <cell r="B14" t="str">
            <v>GOS2</v>
          </cell>
          <cell r="C14" t="str">
            <v>FSAM</v>
          </cell>
          <cell r="D14" t="str">
            <v>NSW</v>
          </cell>
          <cell r="E14" t="str">
            <v>Sydney East</v>
          </cell>
          <cell r="F14" t="str">
            <v>Adam Walsh</v>
          </cell>
          <cell r="G14">
            <v>1</v>
          </cell>
          <cell r="H14">
            <v>0.9</v>
          </cell>
          <cell r="I14">
            <v>0.91</v>
          </cell>
          <cell r="J14" t="str">
            <v>CoA Accepted</v>
          </cell>
          <cell r="K14" t="str">
            <v>Testing Completed</v>
          </cell>
        </row>
        <row r="15">
          <cell r="B15" t="str">
            <v>TOB2</v>
          </cell>
          <cell r="C15" t="str">
            <v>FSAM</v>
          </cell>
          <cell r="D15" t="str">
            <v>QLD</v>
          </cell>
          <cell r="E15" t="str">
            <v>QLD South</v>
          </cell>
          <cell r="F15" t="str">
            <v>Alan Bassett</v>
          </cell>
          <cell r="G15">
            <v>1</v>
          </cell>
          <cell r="H15">
            <v>0.9</v>
          </cell>
          <cell r="I15">
            <v>0.91</v>
          </cell>
          <cell r="J15" t="str">
            <v>CoA Accepted</v>
          </cell>
          <cell r="K15" t="str">
            <v>Testing Completed</v>
          </cell>
        </row>
        <row r="16">
          <cell r="B16" t="str">
            <v>GOS1</v>
          </cell>
          <cell r="C16" t="str">
            <v>FSAM</v>
          </cell>
          <cell r="D16" t="str">
            <v>NSW</v>
          </cell>
          <cell r="E16" t="str">
            <v>Sydney East</v>
          </cell>
          <cell r="F16" t="str">
            <v>Adam Walsh</v>
          </cell>
          <cell r="G16">
            <v>1</v>
          </cell>
          <cell r="H16">
            <v>0.9</v>
          </cell>
          <cell r="I16">
            <v>0.91</v>
          </cell>
          <cell r="J16" t="str">
            <v>CoA Accepted</v>
          </cell>
          <cell r="K16" t="str">
            <v>Testing Completed</v>
          </cell>
        </row>
        <row r="17">
          <cell r="B17" t="str">
            <v>APL3</v>
          </cell>
          <cell r="C17" t="str">
            <v>FSAM</v>
          </cell>
          <cell r="D17" t="str">
            <v>QLD</v>
          </cell>
          <cell r="E17" t="str">
            <v>QLD Metro</v>
          </cell>
          <cell r="F17" t="str">
            <v>Jonathan Cogan</v>
          </cell>
          <cell r="G17">
            <v>1</v>
          </cell>
          <cell r="H17">
            <v>0.9</v>
          </cell>
          <cell r="I17">
            <v>0.91</v>
          </cell>
          <cell r="J17" t="str">
            <v>CoA Accepted</v>
          </cell>
          <cell r="K17" t="str">
            <v>Testing Completed</v>
          </cell>
        </row>
        <row r="18">
          <cell r="B18" t="str">
            <v>GDN1</v>
          </cell>
          <cell r="C18" t="str">
            <v>FSAM</v>
          </cell>
          <cell r="D18" t="str">
            <v>QLD</v>
          </cell>
          <cell r="E18" t="str">
            <v>QLD Metro</v>
          </cell>
          <cell r="F18" t="str">
            <v>Jonathan Cogan</v>
          </cell>
          <cell r="G18">
            <v>1</v>
          </cell>
          <cell r="H18">
            <v>0.9</v>
          </cell>
          <cell r="I18">
            <v>0.91</v>
          </cell>
          <cell r="J18" t="str">
            <v>CoA Accepted</v>
          </cell>
          <cell r="K18" t="str">
            <v>Testing Completed</v>
          </cell>
        </row>
        <row r="19">
          <cell r="B19" t="str">
            <v>APL4</v>
          </cell>
          <cell r="C19" t="str">
            <v>FSAM</v>
          </cell>
          <cell r="D19" t="str">
            <v>QLD</v>
          </cell>
          <cell r="E19" t="str">
            <v>QLD Metro</v>
          </cell>
          <cell r="F19" t="str">
            <v>Jonathan Cogan</v>
          </cell>
          <cell r="G19">
            <v>1</v>
          </cell>
          <cell r="H19">
            <v>0.9</v>
          </cell>
          <cell r="I19">
            <v>0.91</v>
          </cell>
          <cell r="J19" t="str">
            <v>CoA Accepted</v>
          </cell>
          <cell r="K19" t="str">
            <v>Testing Completed</v>
          </cell>
        </row>
        <row r="20">
          <cell r="B20" t="str">
            <v>CAI1</v>
          </cell>
          <cell r="C20" t="str">
            <v>FSAM</v>
          </cell>
          <cell r="D20" t="str">
            <v>QLD</v>
          </cell>
          <cell r="E20" t="str">
            <v>QLD North</v>
          </cell>
          <cell r="F20" t="str">
            <v>Sunil Nair</v>
          </cell>
          <cell r="G20">
            <v>1</v>
          </cell>
          <cell r="H20">
            <v>0.9</v>
          </cell>
          <cell r="I20">
            <v>0.91</v>
          </cell>
          <cell r="J20" t="str">
            <v>CoA Accepted</v>
          </cell>
          <cell r="K20" t="str">
            <v>Testing Completed</v>
          </cell>
        </row>
        <row r="21">
          <cell r="B21" t="str">
            <v>CRC4</v>
          </cell>
          <cell r="C21" t="str">
            <v>FSAM</v>
          </cell>
          <cell r="D21" t="str">
            <v>NSW</v>
          </cell>
          <cell r="E21" t="str">
            <v>NSW South / ACT</v>
          </cell>
          <cell r="F21" t="str">
            <v>Steven Blewitt</v>
          </cell>
          <cell r="G21">
            <v>1</v>
          </cell>
          <cell r="H21">
            <v>0.9</v>
          </cell>
          <cell r="I21">
            <v>0.91</v>
          </cell>
          <cell r="J21" t="str">
            <v>CoA Accepted</v>
          </cell>
          <cell r="K21" t="str">
            <v>Testing Completed</v>
          </cell>
        </row>
        <row r="22">
          <cell r="B22" t="str">
            <v>CRC2</v>
          </cell>
          <cell r="C22" t="str">
            <v>FSAM</v>
          </cell>
          <cell r="D22" t="str">
            <v>NSW</v>
          </cell>
          <cell r="E22" t="str">
            <v>NSW South / ACT</v>
          </cell>
          <cell r="F22" t="str">
            <v>Steven Blewitt</v>
          </cell>
          <cell r="G22">
            <v>0.95</v>
          </cell>
          <cell r="H22">
            <v>0.9</v>
          </cell>
          <cell r="I22">
            <v>0.90500000000000003</v>
          </cell>
          <cell r="J22" t="str">
            <v>Gate 3 Submitted</v>
          </cell>
          <cell r="K22" t="str">
            <v>Testing Completed</v>
          </cell>
        </row>
        <row r="23">
          <cell r="B23" t="str">
            <v>GDN4</v>
          </cell>
          <cell r="C23" t="str">
            <v>FSAM</v>
          </cell>
          <cell r="D23" t="str">
            <v>QLD</v>
          </cell>
          <cell r="E23" t="str">
            <v>QLD Metro</v>
          </cell>
          <cell r="F23" t="str">
            <v>Jonathan Cogan</v>
          </cell>
          <cell r="G23">
            <v>0.95</v>
          </cell>
          <cell r="H23">
            <v>0.9</v>
          </cell>
          <cell r="I23">
            <v>0.90500000000000003</v>
          </cell>
          <cell r="J23" t="str">
            <v>Gate 3 Submitted</v>
          </cell>
          <cell r="K23" t="str">
            <v>Testing Completed</v>
          </cell>
        </row>
        <row r="24">
          <cell r="B24" t="str">
            <v>ARM6</v>
          </cell>
          <cell r="C24" t="str">
            <v>FSAM</v>
          </cell>
          <cell r="D24" t="str">
            <v>NSW</v>
          </cell>
          <cell r="E24" t="str">
            <v>NSW North</v>
          </cell>
          <cell r="F24" t="str">
            <v>James Herden</v>
          </cell>
          <cell r="G24">
            <v>0.95</v>
          </cell>
          <cell r="H24">
            <v>0.9</v>
          </cell>
          <cell r="I24">
            <v>0.90500000000000003</v>
          </cell>
          <cell r="J24" t="str">
            <v>Gate 3 Submitted</v>
          </cell>
          <cell r="K24" t="str">
            <v>Testing Completed</v>
          </cell>
        </row>
        <row r="25">
          <cell r="B25" t="str">
            <v>RCH4</v>
          </cell>
          <cell r="C25" t="str">
            <v>FSAM</v>
          </cell>
          <cell r="D25" t="str">
            <v>NSW</v>
          </cell>
          <cell r="E25" t="str">
            <v>Sydney West</v>
          </cell>
          <cell r="F25" t="str">
            <v>Damien Marov</v>
          </cell>
          <cell r="G25">
            <v>0.95</v>
          </cell>
          <cell r="H25">
            <v>0.9</v>
          </cell>
          <cell r="I25">
            <v>0.90500000000000003</v>
          </cell>
          <cell r="J25" t="str">
            <v>Gate 3 Submitted</v>
          </cell>
          <cell r="K25" t="str">
            <v>Testing Completed</v>
          </cell>
        </row>
        <row r="26">
          <cell r="B26" t="str">
            <v>TNS2</v>
          </cell>
          <cell r="C26" t="str">
            <v>FSAM</v>
          </cell>
          <cell r="D26" t="str">
            <v>QLD</v>
          </cell>
          <cell r="E26" t="str">
            <v>QLD North</v>
          </cell>
          <cell r="F26" t="str">
            <v>Sunil Nair</v>
          </cell>
          <cell r="G26">
            <v>0.95</v>
          </cell>
          <cell r="H26">
            <v>0.9</v>
          </cell>
          <cell r="I26">
            <v>0.90500000000000003</v>
          </cell>
          <cell r="J26" t="str">
            <v>Gate 3 Submitted</v>
          </cell>
          <cell r="K26" t="str">
            <v>Testing Completed</v>
          </cell>
        </row>
        <row r="27">
          <cell r="B27" t="str">
            <v>TNS1</v>
          </cell>
          <cell r="C27" t="str">
            <v>FSAM</v>
          </cell>
          <cell r="D27" t="str">
            <v>QLD</v>
          </cell>
          <cell r="E27" t="str">
            <v>QLD North</v>
          </cell>
          <cell r="F27" t="str">
            <v>Sunil Nair</v>
          </cell>
          <cell r="G27">
            <v>0.95</v>
          </cell>
          <cell r="H27">
            <v>0.9</v>
          </cell>
          <cell r="I27">
            <v>0.90500000000000003</v>
          </cell>
          <cell r="J27" t="str">
            <v>Gate 3 Submitted</v>
          </cell>
          <cell r="K27" t="str">
            <v>Testing Completed</v>
          </cell>
        </row>
        <row r="28">
          <cell r="B28" t="str">
            <v>TOB3</v>
          </cell>
          <cell r="C28" t="str">
            <v>FSAM</v>
          </cell>
          <cell r="D28" t="str">
            <v>QLD</v>
          </cell>
          <cell r="E28" t="str">
            <v>QLD South</v>
          </cell>
          <cell r="F28" t="str">
            <v>Alan Bassett</v>
          </cell>
          <cell r="G28">
            <v>0.95</v>
          </cell>
          <cell r="H28">
            <v>0.9</v>
          </cell>
          <cell r="I28">
            <v>0.90500000000000003</v>
          </cell>
          <cell r="J28" t="str">
            <v>Gate 3 Submitted</v>
          </cell>
          <cell r="K28" t="str">
            <v>Testing Completed</v>
          </cell>
        </row>
        <row r="29">
          <cell r="B29" t="str">
            <v>KIA3</v>
          </cell>
          <cell r="C29" t="str">
            <v>FSAM</v>
          </cell>
          <cell r="D29" t="str">
            <v>NSW</v>
          </cell>
          <cell r="E29" t="str">
            <v>NSW South / ACT</v>
          </cell>
          <cell r="F29" t="str">
            <v>Steven Blewitt</v>
          </cell>
          <cell r="G29">
            <v>0.95</v>
          </cell>
          <cell r="H29">
            <v>0.9</v>
          </cell>
          <cell r="I29">
            <v>0.90500000000000003</v>
          </cell>
          <cell r="J29" t="str">
            <v>Gate 3 Submitted</v>
          </cell>
          <cell r="K29" t="str">
            <v>Testing Completed</v>
          </cell>
        </row>
        <row r="30">
          <cell r="B30" t="str">
            <v>BLK1</v>
          </cell>
          <cell r="C30" t="str">
            <v>FSAM</v>
          </cell>
          <cell r="D30" t="str">
            <v>NSW</v>
          </cell>
          <cell r="E30" t="str">
            <v>Sydney West</v>
          </cell>
          <cell r="F30" t="str">
            <v>Damien Marov</v>
          </cell>
          <cell r="G30">
            <v>0.95</v>
          </cell>
          <cell r="H30">
            <v>0.9</v>
          </cell>
          <cell r="I30">
            <v>0.90500000000000003</v>
          </cell>
          <cell r="J30" t="str">
            <v>Gate 3 Submitted</v>
          </cell>
          <cell r="K30" t="str">
            <v>Testing Completed</v>
          </cell>
        </row>
        <row r="31">
          <cell r="B31" t="str">
            <v>PTH1</v>
          </cell>
          <cell r="C31" t="str">
            <v>FSAM</v>
          </cell>
          <cell r="D31" t="str">
            <v>NSW</v>
          </cell>
          <cell r="E31" t="str">
            <v>Sydney West</v>
          </cell>
          <cell r="F31" t="str">
            <v>Damien Marov</v>
          </cell>
          <cell r="G31">
            <v>0.95</v>
          </cell>
          <cell r="H31">
            <v>0.9</v>
          </cell>
          <cell r="I31">
            <v>0.90500000000000003</v>
          </cell>
          <cell r="J31" t="str">
            <v>Gate 3 Submitted</v>
          </cell>
          <cell r="K31" t="str">
            <v>Testing Completed</v>
          </cell>
        </row>
        <row r="32">
          <cell r="B32" t="str">
            <v>TNS3</v>
          </cell>
          <cell r="C32" t="str">
            <v>FSAM</v>
          </cell>
          <cell r="D32" t="str">
            <v>QLD</v>
          </cell>
          <cell r="E32" t="str">
            <v>QLD North</v>
          </cell>
          <cell r="F32" t="str">
            <v>Sunil Nair</v>
          </cell>
          <cell r="G32">
            <v>0.95</v>
          </cell>
          <cell r="H32">
            <v>0.9</v>
          </cell>
          <cell r="I32">
            <v>0.90500000000000003</v>
          </cell>
          <cell r="J32" t="str">
            <v>Gate 3 Submitted</v>
          </cell>
          <cell r="K32" t="str">
            <v>Testing Completed</v>
          </cell>
        </row>
        <row r="33">
          <cell r="B33" t="str">
            <v>SAW1</v>
          </cell>
          <cell r="C33" t="str">
            <v>FSAM</v>
          </cell>
          <cell r="D33" t="str">
            <v>NSW</v>
          </cell>
          <cell r="E33" t="str">
            <v>NSW North</v>
          </cell>
          <cell r="F33" t="str">
            <v>James Herden</v>
          </cell>
          <cell r="G33">
            <v>0.95</v>
          </cell>
          <cell r="H33">
            <v>0.9</v>
          </cell>
          <cell r="I33">
            <v>0.90500000000000003</v>
          </cell>
          <cell r="J33" t="str">
            <v>Gate 3 Submitted</v>
          </cell>
          <cell r="K33" t="str">
            <v>Testing Completed</v>
          </cell>
        </row>
        <row r="34">
          <cell r="B34" t="str">
            <v>SAW3</v>
          </cell>
          <cell r="C34" t="str">
            <v>FSAM</v>
          </cell>
          <cell r="D34" t="str">
            <v>NSW</v>
          </cell>
          <cell r="E34" t="str">
            <v>NSW North</v>
          </cell>
          <cell r="F34" t="str">
            <v>James Herden</v>
          </cell>
          <cell r="G34">
            <v>0.95</v>
          </cell>
          <cell r="H34">
            <v>0.9</v>
          </cell>
          <cell r="I34">
            <v>0.90500000000000003</v>
          </cell>
          <cell r="J34" t="str">
            <v>Gate 3 Submitted</v>
          </cell>
          <cell r="K34" t="str">
            <v>Testing Completed</v>
          </cell>
        </row>
        <row r="35">
          <cell r="B35" t="str">
            <v>TOB4</v>
          </cell>
          <cell r="C35" t="str">
            <v>FSAM</v>
          </cell>
          <cell r="D35" t="str">
            <v>QLD</v>
          </cell>
          <cell r="E35" t="str">
            <v>QLD South</v>
          </cell>
          <cell r="F35" t="str">
            <v>Alan Bassett</v>
          </cell>
          <cell r="G35">
            <v>0.95</v>
          </cell>
          <cell r="H35">
            <v>0.9</v>
          </cell>
          <cell r="I35">
            <v>0.90500000000000003</v>
          </cell>
          <cell r="J35" t="str">
            <v>Gate 3 Submitted</v>
          </cell>
          <cell r="K35" t="str">
            <v>Testing Completed</v>
          </cell>
        </row>
        <row r="36">
          <cell r="B36" t="str">
            <v>GUL2</v>
          </cell>
          <cell r="C36" t="str">
            <v>FSAM</v>
          </cell>
          <cell r="D36" t="str">
            <v>QLD</v>
          </cell>
          <cell r="E36" t="str">
            <v>QLD North</v>
          </cell>
          <cell r="F36" t="str">
            <v>Sunil Nair</v>
          </cell>
          <cell r="G36">
            <v>0.95</v>
          </cell>
          <cell r="H36">
            <v>0.9</v>
          </cell>
          <cell r="I36">
            <v>0.90500000000000003</v>
          </cell>
          <cell r="J36" t="str">
            <v>Gate 3 Submitted</v>
          </cell>
          <cell r="K36" t="str">
            <v>Testing Completed</v>
          </cell>
        </row>
        <row r="37">
          <cell r="B37" t="str">
            <v>CFS5</v>
          </cell>
          <cell r="C37" t="str">
            <v>FSAM</v>
          </cell>
          <cell r="D37" t="str">
            <v>NSW</v>
          </cell>
          <cell r="E37" t="str">
            <v>NSW North</v>
          </cell>
          <cell r="F37" t="str">
            <v>James Herden</v>
          </cell>
          <cell r="G37">
            <v>0.95</v>
          </cell>
          <cell r="H37">
            <v>0.9</v>
          </cell>
          <cell r="I37">
            <v>0.90500000000000003</v>
          </cell>
          <cell r="J37" t="str">
            <v>Gate 3 Submitted</v>
          </cell>
          <cell r="K37" t="str">
            <v>Testing Completed</v>
          </cell>
        </row>
        <row r="38">
          <cell r="B38" t="str">
            <v>HOM1</v>
          </cell>
          <cell r="C38" t="str">
            <v>FSAM</v>
          </cell>
          <cell r="D38" t="str">
            <v>NSW</v>
          </cell>
          <cell r="E38" t="str">
            <v>Sydney East</v>
          </cell>
          <cell r="F38" t="str">
            <v>Adam Walsh</v>
          </cell>
          <cell r="G38">
            <v>0.95</v>
          </cell>
          <cell r="H38">
            <v>0.9</v>
          </cell>
          <cell r="I38">
            <v>0.90500000000000003</v>
          </cell>
          <cell r="J38" t="str">
            <v>Gate 3 Submitted</v>
          </cell>
          <cell r="K38" t="str">
            <v>Testing Completed</v>
          </cell>
        </row>
        <row r="39">
          <cell r="B39" t="str">
            <v>RCH2</v>
          </cell>
          <cell r="C39" t="str">
            <v>FSAM</v>
          </cell>
          <cell r="D39" t="str">
            <v>NSW</v>
          </cell>
          <cell r="E39" t="str">
            <v>Sydney West</v>
          </cell>
          <cell r="F39" t="str">
            <v>Damien Marov</v>
          </cell>
          <cell r="G39">
            <v>0.95</v>
          </cell>
          <cell r="H39">
            <v>0.9</v>
          </cell>
          <cell r="I39">
            <v>0.90500000000000003</v>
          </cell>
          <cell r="J39" t="str">
            <v>Gate 3 Submitted</v>
          </cell>
          <cell r="K39" t="str">
            <v>Testing Completed</v>
          </cell>
        </row>
        <row r="40">
          <cell r="B40" t="str">
            <v>GUL3</v>
          </cell>
          <cell r="C40" t="str">
            <v>FSAM</v>
          </cell>
          <cell r="D40" t="str">
            <v>QLD</v>
          </cell>
          <cell r="E40" t="str">
            <v>QLD North</v>
          </cell>
          <cell r="F40" t="str">
            <v>Sunil Nair</v>
          </cell>
          <cell r="G40">
            <v>0.95</v>
          </cell>
          <cell r="H40">
            <v>0.9</v>
          </cell>
          <cell r="I40">
            <v>0.90500000000000003</v>
          </cell>
          <cell r="J40" t="str">
            <v>Gate 3 Submitted</v>
          </cell>
          <cell r="K40" t="str">
            <v>Testing Completed</v>
          </cell>
        </row>
        <row r="41">
          <cell r="B41" t="str">
            <v>CRC5</v>
          </cell>
          <cell r="C41" t="str">
            <v>FSAM</v>
          </cell>
          <cell r="D41" t="str">
            <v>NSW</v>
          </cell>
          <cell r="E41" t="str">
            <v>NSW South / ACT</v>
          </cell>
          <cell r="F41" t="str">
            <v>Steven Blewitt</v>
          </cell>
          <cell r="G41">
            <v>0.95</v>
          </cell>
          <cell r="H41">
            <v>0.9</v>
          </cell>
          <cell r="I41">
            <v>0.90500000000000003</v>
          </cell>
          <cell r="J41" t="str">
            <v>Gate 3 Submitted</v>
          </cell>
          <cell r="K41" t="str">
            <v>Testing Completed</v>
          </cell>
        </row>
        <row r="42">
          <cell r="B42" t="str">
            <v>GUL4</v>
          </cell>
          <cell r="C42" t="str">
            <v>FSAM</v>
          </cell>
          <cell r="D42" t="str">
            <v>QLD</v>
          </cell>
          <cell r="E42" t="str">
            <v>QLD North</v>
          </cell>
          <cell r="F42" t="str">
            <v>Sunil Nair</v>
          </cell>
          <cell r="G42">
            <v>0.95</v>
          </cell>
          <cell r="H42">
            <v>0.9</v>
          </cell>
          <cell r="I42">
            <v>0.90500000000000003</v>
          </cell>
          <cell r="J42" t="str">
            <v>Gate 3 Submitted</v>
          </cell>
          <cell r="K42" t="str">
            <v>Testing Completed</v>
          </cell>
        </row>
        <row r="43">
          <cell r="B43" t="str">
            <v>CFS3</v>
          </cell>
          <cell r="C43" t="str">
            <v>FSAM</v>
          </cell>
          <cell r="D43" t="str">
            <v>NSW</v>
          </cell>
          <cell r="E43" t="str">
            <v>NSW North</v>
          </cell>
          <cell r="F43" t="str">
            <v>James Herden</v>
          </cell>
          <cell r="G43">
            <v>0.95</v>
          </cell>
          <cell r="H43">
            <v>0.9</v>
          </cell>
          <cell r="I43">
            <v>0.90500000000000003</v>
          </cell>
          <cell r="J43" t="str">
            <v>Gate 3 Submitted</v>
          </cell>
          <cell r="K43" t="str">
            <v>Testing Completed</v>
          </cell>
        </row>
        <row r="44">
          <cell r="B44" t="str">
            <v>SAW2</v>
          </cell>
          <cell r="C44" t="str">
            <v>FSAM</v>
          </cell>
          <cell r="D44" t="str">
            <v>NSW</v>
          </cell>
          <cell r="E44" t="str">
            <v>NSW North</v>
          </cell>
          <cell r="F44" t="str">
            <v>James Herden</v>
          </cell>
          <cell r="G44">
            <v>0.95</v>
          </cell>
          <cell r="H44">
            <v>0.9</v>
          </cell>
          <cell r="I44">
            <v>0.90500000000000003</v>
          </cell>
          <cell r="J44" t="str">
            <v>Gate 3 Submitted</v>
          </cell>
          <cell r="K44" t="str">
            <v>Testing Completed</v>
          </cell>
        </row>
        <row r="45">
          <cell r="B45" t="str">
            <v>LID1</v>
          </cell>
          <cell r="C45" t="str">
            <v>FSAM</v>
          </cell>
          <cell r="D45" t="str">
            <v>NSW</v>
          </cell>
          <cell r="E45" t="str">
            <v>Sydney East</v>
          </cell>
          <cell r="F45" t="str">
            <v>Adam Walsh</v>
          </cell>
          <cell r="G45">
            <v>1</v>
          </cell>
          <cell r="H45">
            <v>0.4</v>
          </cell>
          <cell r="I45">
            <v>0.46000000000000008</v>
          </cell>
          <cell r="J45" t="str">
            <v>CoA Accepted</v>
          </cell>
          <cell r="K45" t="str">
            <v>Hauling Completed</v>
          </cell>
        </row>
        <row r="46">
          <cell r="B46" t="str">
            <v>APL2</v>
          </cell>
          <cell r="C46" t="str">
            <v>FSAM</v>
          </cell>
          <cell r="D46" t="str">
            <v>QLD</v>
          </cell>
          <cell r="E46" t="str">
            <v>QLD Metro</v>
          </cell>
          <cell r="F46" t="str">
            <v>Jonathan Cogan</v>
          </cell>
          <cell r="G46">
            <v>1</v>
          </cell>
          <cell r="H46">
            <v>0.4</v>
          </cell>
          <cell r="I46">
            <v>0.46000000000000008</v>
          </cell>
          <cell r="J46" t="str">
            <v>CoA Accepted</v>
          </cell>
          <cell r="K46" t="str">
            <v>Hauling Completed</v>
          </cell>
        </row>
        <row r="47">
          <cell r="B47" t="str">
            <v>GDN3</v>
          </cell>
          <cell r="C47" t="str">
            <v>FSAM</v>
          </cell>
          <cell r="D47" t="str">
            <v>QLD</v>
          </cell>
          <cell r="E47" t="str">
            <v>QLD Metro</v>
          </cell>
          <cell r="F47" t="str">
            <v>Jonathan Cogan</v>
          </cell>
          <cell r="G47">
            <v>0.95</v>
          </cell>
          <cell r="H47">
            <v>0.4</v>
          </cell>
          <cell r="I47">
            <v>0.45500000000000007</v>
          </cell>
          <cell r="J47" t="str">
            <v>Gate 3 Submitted</v>
          </cell>
          <cell r="K47" t="str">
            <v>Hauling Completed</v>
          </cell>
        </row>
        <row r="48">
          <cell r="B48" t="str">
            <v>GUL5</v>
          </cell>
          <cell r="C48" t="str">
            <v>FSAM</v>
          </cell>
          <cell r="D48" t="str">
            <v>QLD</v>
          </cell>
          <cell r="E48" t="str">
            <v>QLD North</v>
          </cell>
          <cell r="F48" t="str">
            <v>Sunil Nair</v>
          </cell>
          <cell r="G48">
            <v>0.95</v>
          </cell>
          <cell r="H48">
            <v>0.4</v>
          </cell>
          <cell r="I48">
            <v>0.45500000000000007</v>
          </cell>
          <cell r="J48" t="str">
            <v>Gate 3 Submitted</v>
          </cell>
          <cell r="K48" t="str">
            <v>Hauling Completed</v>
          </cell>
        </row>
        <row r="49">
          <cell r="B49" t="str">
            <v>HOM2</v>
          </cell>
          <cell r="C49" t="str">
            <v>FSAM</v>
          </cell>
          <cell r="D49" t="str">
            <v>NSW</v>
          </cell>
          <cell r="E49" t="str">
            <v>Sydney East</v>
          </cell>
          <cell r="F49" t="str">
            <v>Adam Walsh</v>
          </cell>
          <cell r="G49">
            <v>1</v>
          </cell>
          <cell r="H49">
            <v>0.1</v>
          </cell>
          <cell r="I49">
            <v>0.19</v>
          </cell>
          <cell r="J49" t="str">
            <v>CoA Accepted</v>
          </cell>
          <cell r="K49" t="str">
            <v>Civil Started</v>
          </cell>
        </row>
        <row r="50">
          <cell r="B50" t="str">
            <v>CFS6</v>
          </cell>
          <cell r="C50" t="str">
            <v>FSAM</v>
          </cell>
          <cell r="D50" t="str">
            <v>NSW</v>
          </cell>
          <cell r="E50" t="str">
            <v>NSW North</v>
          </cell>
          <cell r="F50" t="str">
            <v>James Herden</v>
          </cell>
          <cell r="G50">
            <v>0.95</v>
          </cell>
          <cell r="H50">
            <v>0.1</v>
          </cell>
          <cell r="I50">
            <v>0.185</v>
          </cell>
          <cell r="J50" t="str">
            <v>Gate 3 Submitted</v>
          </cell>
          <cell r="K50" t="str">
            <v>Civil Started</v>
          </cell>
        </row>
        <row r="51">
          <cell r="B51" t="str">
            <v>KIA2</v>
          </cell>
          <cell r="C51" t="str">
            <v>FSAM</v>
          </cell>
          <cell r="D51" t="str">
            <v>NSW</v>
          </cell>
          <cell r="E51" t="str">
            <v>NSW South / ACT</v>
          </cell>
          <cell r="F51" t="str">
            <v>Steven Blewitt</v>
          </cell>
          <cell r="G51">
            <v>0.95</v>
          </cell>
          <cell r="H51">
            <v>0.1</v>
          </cell>
          <cell r="I51">
            <v>0.185</v>
          </cell>
          <cell r="J51" t="str">
            <v>Gate 3 Submitted</v>
          </cell>
          <cell r="K51" t="str">
            <v>Civil Started</v>
          </cell>
        </row>
        <row r="52">
          <cell r="B52" t="str">
            <v>PTH2</v>
          </cell>
          <cell r="C52" t="str">
            <v>FSAM</v>
          </cell>
          <cell r="D52" t="str">
            <v>NSW</v>
          </cell>
          <cell r="E52" t="str">
            <v>Sydney West</v>
          </cell>
          <cell r="F52" t="str">
            <v>Damien Marov</v>
          </cell>
          <cell r="G52">
            <v>0.95</v>
          </cell>
          <cell r="H52">
            <v>0.1</v>
          </cell>
          <cell r="I52">
            <v>0.185</v>
          </cell>
          <cell r="J52" t="str">
            <v>Gate 3 Submitted</v>
          </cell>
          <cell r="K52" t="str">
            <v>Civil Started</v>
          </cell>
        </row>
        <row r="53">
          <cell r="B53" t="str">
            <v>GOS3</v>
          </cell>
          <cell r="C53" t="str">
            <v>FSAM</v>
          </cell>
          <cell r="D53" t="str">
            <v>NSW</v>
          </cell>
          <cell r="E53" t="str">
            <v>Sydney East</v>
          </cell>
          <cell r="F53" t="str">
            <v>Adam Walsh</v>
          </cell>
          <cell r="G53">
            <v>0.95</v>
          </cell>
          <cell r="H53">
            <v>0.1</v>
          </cell>
          <cell r="I53">
            <v>0.185</v>
          </cell>
          <cell r="J53" t="str">
            <v>Gate 3 Submitted</v>
          </cell>
          <cell r="K53" t="str">
            <v>Civil Started</v>
          </cell>
        </row>
        <row r="54">
          <cell r="B54" t="str">
            <v>LID2</v>
          </cell>
          <cell r="C54" t="str">
            <v>FSAM</v>
          </cell>
          <cell r="D54" t="str">
            <v>NSW</v>
          </cell>
          <cell r="E54" t="str">
            <v>Sydney East</v>
          </cell>
          <cell r="F54" t="str">
            <v>Adam Walsh</v>
          </cell>
          <cell r="G54">
            <v>0.95</v>
          </cell>
          <cell r="H54">
            <v>0.1</v>
          </cell>
          <cell r="I54">
            <v>0.185</v>
          </cell>
          <cell r="J54" t="str">
            <v>Gate 3 Submitted</v>
          </cell>
          <cell r="K54" t="str">
            <v>Civil Started</v>
          </cell>
        </row>
        <row r="55">
          <cell r="B55" t="str">
            <v>MKY1</v>
          </cell>
          <cell r="C55" t="str">
            <v>FSAM</v>
          </cell>
          <cell r="D55" t="str">
            <v>QLD</v>
          </cell>
          <cell r="E55" t="str">
            <v>QLD North</v>
          </cell>
          <cell r="F55" t="str">
            <v>Sunil Nair</v>
          </cell>
          <cell r="G55">
            <v>0.95</v>
          </cell>
          <cell r="H55">
            <v>0.1</v>
          </cell>
          <cell r="I55">
            <v>0.185</v>
          </cell>
          <cell r="J55" t="str">
            <v>Gate 3 Submitted</v>
          </cell>
          <cell r="K55" t="str">
            <v>Civil Started</v>
          </cell>
        </row>
        <row r="56">
          <cell r="B56" t="str">
            <v>RIV1</v>
          </cell>
          <cell r="C56" t="str">
            <v>FSAM</v>
          </cell>
          <cell r="D56" t="str">
            <v>NSW</v>
          </cell>
          <cell r="E56" t="str">
            <v>Sydney West</v>
          </cell>
          <cell r="F56" t="str">
            <v>Damien Marov</v>
          </cell>
          <cell r="G56">
            <v>0.95</v>
          </cell>
          <cell r="H56">
            <v>0.1</v>
          </cell>
          <cell r="I56">
            <v>0.185</v>
          </cell>
          <cell r="J56" t="str">
            <v>Gate 3 Submitted</v>
          </cell>
          <cell r="K56" t="str">
            <v>Civil Started</v>
          </cell>
        </row>
        <row r="57">
          <cell r="B57" t="str">
            <v>BLK4</v>
          </cell>
          <cell r="C57" t="str">
            <v>FSAM</v>
          </cell>
          <cell r="D57" t="str">
            <v>NSW</v>
          </cell>
          <cell r="E57" t="str">
            <v>Sydney West</v>
          </cell>
          <cell r="F57" t="str">
            <v>Damien Marov</v>
          </cell>
          <cell r="G57">
            <v>0.95</v>
          </cell>
          <cell r="H57">
            <v>0</v>
          </cell>
          <cell r="I57">
            <v>9.5000000000000001E-2</v>
          </cell>
          <cell r="J57" t="str">
            <v>Gate 3 Submitted</v>
          </cell>
          <cell r="K57" t="str">
            <v>Civil Not Started</v>
          </cell>
        </row>
        <row r="58">
          <cell r="B58" t="str">
            <v>LJT1</v>
          </cell>
          <cell r="C58" t="str">
            <v>FSAM</v>
          </cell>
          <cell r="D58" t="str">
            <v>NSW</v>
          </cell>
          <cell r="E58" t="str">
            <v>Sydney East</v>
          </cell>
          <cell r="F58" t="str">
            <v>Adam Walsh</v>
          </cell>
          <cell r="G58">
            <v>0.95</v>
          </cell>
          <cell r="H58">
            <v>0</v>
          </cell>
          <cell r="I58">
            <v>9.5000000000000001E-2</v>
          </cell>
          <cell r="J58" t="str">
            <v>Gate 3 Submitted</v>
          </cell>
          <cell r="K58" t="str">
            <v>Civil Not Started</v>
          </cell>
        </row>
        <row r="59">
          <cell r="B59" t="str">
            <v>TOB6</v>
          </cell>
          <cell r="C59" t="str">
            <v>FSAM</v>
          </cell>
          <cell r="D59" t="str">
            <v>QLD</v>
          </cell>
          <cell r="E59" t="str">
            <v>QLD South</v>
          </cell>
          <cell r="F59" t="str">
            <v>Alan Bassett</v>
          </cell>
          <cell r="G59">
            <v>0.95</v>
          </cell>
          <cell r="H59">
            <v>0</v>
          </cell>
          <cell r="I59">
            <v>9.5000000000000001E-2</v>
          </cell>
          <cell r="J59" t="str">
            <v>Gate 3 Submitted</v>
          </cell>
          <cell r="K59" t="str">
            <v>Civil Not Started</v>
          </cell>
        </row>
        <row r="60">
          <cell r="B60" t="str">
            <v>BLK3</v>
          </cell>
          <cell r="C60" t="str">
            <v>FSAM</v>
          </cell>
          <cell r="D60" t="str">
            <v>NSW</v>
          </cell>
          <cell r="E60" t="str">
            <v>Sydney West</v>
          </cell>
          <cell r="F60" t="str">
            <v>Damien Marov</v>
          </cell>
          <cell r="G60">
            <v>0.95</v>
          </cell>
          <cell r="H60">
            <v>0</v>
          </cell>
          <cell r="I60">
            <v>9.5000000000000001E-2</v>
          </cell>
          <cell r="J60" t="str">
            <v>Gate 3 Submitted</v>
          </cell>
          <cell r="K60" t="str">
            <v>Civil Not Started</v>
          </cell>
        </row>
        <row r="61">
          <cell r="B61" t="str">
            <v>NDG2</v>
          </cell>
          <cell r="C61" t="str">
            <v>FSAM</v>
          </cell>
          <cell r="D61" t="str">
            <v>QLD</v>
          </cell>
          <cell r="E61" t="str">
            <v>QLD Metro</v>
          </cell>
          <cell r="F61" t="str">
            <v>Jonathan Cogan</v>
          </cell>
          <cell r="G61">
            <v>0.95</v>
          </cell>
          <cell r="H61">
            <v>0</v>
          </cell>
          <cell r="I61">
            <v>9.5000000000000001E-2</v>
          </cell>
          <cell r="J61" t="str">
            <v>Gate 3 Submitted</v>
          </cell>
          <cell r="K61" t="str">
            <v>Civil Not Started</v>
          </cell>
        </row>
        <row r="62">
          <cell r="B62" t="str">
            <v>DAP3</v>
          </cell>
          <cell r="C62" t="str">
            <v>FSAM</v>
          </cell>
          <cell r="D62" t="str">
            <v>NSW</v>
          </cell>
          <cell r="E62" t="str">
            <v>NSW South / ACT</v>
          </cell>
          <cell r="F62" t="str">
            <v>Steven Blewitt</v>
          </cell>
          <cell r="G62">
            <v>0.95</v>
          </cell>
          <cell r="H62">
            <v>0</v>
          </cell>
          <cell r="I62">
            <v>9.5000000000000001E-2</v>
          </cell>
          <cell r="J62" t="str">
            <v>Gate 3 Submitted</v>
          </cell>
          <cell r="K62" t="str">
            <v>Civil Not Started</v>
          </cell>
        </row>
        <row r="63">
          <cell r="B63" t="str">
            <v>DAP4</v>
          </cell>
          <cell r="C63" t="str">
            <v>FSAM</v>
          </cell>
          <cell r="D63" t="str">
            <v>NSW</v>
          </cell>
          <cell r="E63" t="str">
            <v>NSW South / ACT</v>
          </cell>
          <cell r="F63" t="str">
            <v>Steven Blewitt</v>
          </cell>
          <cell r="G63">
            <v>0.95</v>
          </cell>
          <cell r="H63">
            <v>0</v>
          </cell>
          <cell r="I63">
            <v>9.5000000000000001E-2</v>
          </cell>
          <cell r="J63" t="str">
            <v>Gate 3 Submitted</v>
          </cell>
          <cell r="K63" t="str">
            <v>Civil Not Started</v>
          </cell>
        </row>
        <row r="64">
          <cell r="B64" t="str">
            <v>HOM3</v>
          </cell>
          <cell r="C64" t="str">
            <v>FSAM</v>
          </cell>
          <cell r="D64" t="str">
            <v>NSW</v>
          </cell>
          <cell r="E64" t="str">
            <v>Sydney East</v>
          </cell>
          <cell r="F64" t="str">
            <v>Adam Walsh</v>
          </cell>
          <cell r="G64">
            <v>0.95</v>
          </cell>
          <cell r="H64">
            <v>0</v>
          </cell>
          <cell r="I64">
            <v>9.5000000000000001E-2</v>
          </cell>
          <cell r="J64" t="str">
            <v>Gate 3 Submitted</v>
          </cell>
          <cell r="K64" t="str">
            <v>Civil Not Started</v>
          </cell>
        </row>
        <row r="65">
          <cell r="B65" t="str">
            <v>RCH3</v>
          </cell>
          <cell r="C65" t="str">
            <v>FSAM</v>
          </cell>
          <cell r="D65" t="str">
            <v>NSW</v>
          </cell>
          <cell r="E65" t="str">
            <v>Sydney West</v>
          </cell>
          <cell r="F65" t="str">
            <v>Damien Marov</v>
          </cell>
          <cell r="G65">
            <v>0.95</v>
          </cell>
          <cell r="H65">
            <v>0</v>
          </cell>
          <cell r="I65">
            <v>9.5000000000000001E-2</v>
          </cell>
          <cell r="J65" t="str">
            <v>Gate 3 Submitted</v>
          </cell>
          <cell r="K65" t="str">
            <v>Civil Not Started</v>
          </cell>
        </row>
        <row r="66">
          <cell r="B66" t="str">
            <v>RIV3</v>
          </cell>
          <cell r="C66" t="str">
            <v>FSAM</v>
          </cell>
          <cell r="D66" t="str">
            <v>NSW</v>
          </cell>
          <cell r="E66" t="str">
            <v>Sydney West</v>
          </cell>
          <cell r="F66" t="str">
            <v>Damien Marov</v>
          </cell>
          <cell r="G66">
            <v>0.95</v>
          </cell>
          <cell r="H66">
            <v>0</v>
          </cell>
          <cell r="I66">
            <v>9.5000000000000001E-2</v>
          </cell>
          <cell r="J66" t="str">
            <v>Gate 3 Submitted</v>
          </cell>
          <cell r="K66" t="str">
            <v>Civil Not Started</v>
          </cell>
        </row>
        <row r="67">
          <cell r="B67" t="str">
            <v>GDN5</v>
          </cell>
          <cell r="C67" t="str">
            <v>FSAM</v>
          </cell>
          <cell r="D67" t="str">
            <v>QLD</v>
          </cell>
          <cell r="E67" t="str">
            <v>QLD Metro</v>
          </cell>
          <cell r="F67" t="str">
            <v>Jonathan Cogan</v>
          </cell>
          <cell r="G67">
            <v>0.95</v>
          </cell>
          <cell r="H67">
            <v>0</v>
          </cell>
          <cell r="I67">
            <v>9.5000000000000001E-2</v>
          </cell>
          <cell r="J67" t="str">
            <v>Gate 3 Submitted</v>
          </cell>
          <cell r="K67" t="str">
            <v>Civil Not Started</v>
          </cell>
        </row>
        <row r="68">
          <cell r="B68" t="str">
            <v>PTH5</v>
          </cell>
          <cell r="C68" t="str">
            <v>FSAM</v>
          </cell>
          <cell r="D68" t="str">
            <v>NSW</v>
          </cell>
          <cell r="E68" t="str">
            <v>Sydney West</v>
          </cell>
          <cell r="F68" t="str">
            <v>Damien Marov</v>
          </cell>
          <cell r="G68">
            <v>0.95</v>
          </cell>
          <cell r="H68">
            <v>0</v>
          </cell>
          <cell r="I68">
            <v>9.5000000000000001E-2</v>
          </cell>
          <cell r="J68" t="str">
            <v>Gate 3 Submitted</v>
          </cell>
          <cell r="K68" t="str">
            <v>Civil Not Started</v>
          </cell>
        </row>
        <row r="69">
          <cell r="B69" t="str">
            <v>PTH6</v>
          </cell>
          <cell r="C69" t="str">
            <v>FSAM</v>
          </cell>
          <cell r="D69" t="str">
            <v>NSW</v>
          </cell>
          <cell r="E69" t="str">
            <v>Sydney West</v>
          </cell>
          <cell r="F69" t="str">
            <v>Damien Marov</v>
          </cell>
          <cell r="G69">
            <v>0.95</v>
          </cell>
          <cell r="H69">
            <v>0</v>
          </cell>
          <cell r="I69">
            <v>9.5000000000000001E-2</v>
          </cell>
          <cell r="J69" t="str">
            <v>Gate 3 Submitted</v>
          </cell>
          <cell r="K69" t="str">
            <v>Civil Not Started</v>
          </cell>
        </row>
        <row r="70">
          <cell r="B70" t="str">
            <v>RIV4</v>
          </cell>
          <cell r="C70" t="str">
            <v>FSAM</v>
          </cell>
          <cell r="D70" t="str">
            <v>NSW</v>
          </cell>
          <cell r="E70" t="str">
            <v>Sydney West</v>
          </cell>
          <cell r="F70" t="str">
            <v>Damien Marov</v>
          </cell>
          <cell r="G70">
            <v>0.95</v>
          </cell>
          <cell r="H70">
            <v>0</v>
          </cell>
          <cell r="I70">
            <v>9.5000000000000001E-2</v>
          </cell>
          <cell r="J70" t="str">
            <v>Gate 3 Submitted</v>
          </cell>
          <cell r="K70" t="str">
            <v>Civil Not Started</v>
          </cell>
        </row>
        <row r="71">
          <cell r="B71" t="str">
            <v>COR11</v>
          </cell>
          <cell r="C71" t="str">
            <v>FSAM</v>
          </cell>
          <cell r="D71" t="str">
            <v>NSW</v>
          </cell>
          <cell r="E71" t="str">
            <v>NSW South / ACT</v>
          </cell>
          <cell r="F71" t="str">
            <v>Steven Blewitt</v>
          </cell>
          <cell r="G71">
            <v>0.95</v>
          </cell>
          <cell r="H71">
            <v>0</v>
          </cell>
          <cell r="I71">
            <v>9.5000000000000001E-2</v>
          </cell>
          <cell r="J71" t="str">
            <v>Gate 3 Submitted</v>
          </cell>
          <cell r="K71" t="str">
            <v>Civil Not Started</v>
          </cell>
        </row>
        <row r="72">
          <cell r="B72" t="str">
            <v>RCH5</v>
          </cell>
          <cell r="C72" t="str">
            <v>FSAM</v>
          </cell>
          <cell r="D72" t="str">
            <v>NSW</v>
          </cell>
          <cell r="E72" t="str">
            <v>Sydney West</v>
          </cell>
          <cell r="F72" t="str">
            <v>Damien Marov</v>
          </cell>
          <cell r="G72">
            <v>0.95</v>
          </cell>
          <cell r="H72">
            <v>0</v>
          </cell>
          <cell r="I72">
            <v>9.5000000000000001E-2</v>
          </cell>
          <cell r="J72" t="str">
            <v>Gate 3 Submitted</v>
          </cell>
          <cell r="K72" t="str">
            <v>Civil Not Started</v>
          </cell>
        </row>
        <row r="73">
          <cell r="B73" t="str">
            <v>RCH6</v>
          </cell>
          <cell r="C73" t="str">
            <v>FSAM</v>
          </cell>
          <cell r="D73" t="str">
            <v>NSW</v>
          </cell>
          <cell r="E73" t="str">
            <v>Sydney West</v>
          </cell>
          <cell r="F73" t="str">
            <v>Damien Marov</v>
          </cell>
          <cell r="G73">
            <v>0.95</v>
          </cell>
          <cell r="H73">
            <v>0</v>
          </cell>
          <cell r="I73">
            <v>9.5000000000000001E-2</v>
          </cell>
          <cell r="J73" t="str">
            <v>Gate 3 Submitted</v>
          </cell>
          <cell r="K73" t="str">
            <v>Civil Not Started</v>
          </cell>
        </row>
        <row r="74">
          <cell r="B74" t="str">
            <v>GDN6</v>
          </cell>
          <cell r="C74" t="str">
            <v>FSAM</v>
          </cell>
          <cell r="D74" t="str">
            <v>QLD</v>
          </cell>
          <cell r="E74" t="str">
            <v>QLD Metro</v>
          </cell>
          <cell r="F74" t="str">
            <v>Jonathan Cogan</v>
          </cell>
          <cell r="G74">
            <v>0.95</v>
          </cell>
          <cell r="H74">
            <v>0</v>
          </cell>
          <cell r="I74">
            <v>9.5000000000000001E-2</v>
          </cell>
          <cell r="J74" t="str">
            <v>Gate 3 Submitted</v>
          </cell>
          <cell r="K74" t="str">
            <v>Civil Not Started</v>
          </cell>
        </row>
        <row r="75">
          <cell r="B75" t="str">
            <v>WLG2</v>
          </cell>
          <cell r="C75" t="str">
            <v>FSAM</v>
          </cell>
          <cell r="D75" t="str">
            <v>NSW</v>
          </cell>
          <cell r="E75" t="str">
            <v>NSW South / ACT</v>
          </cell>
          <cell r="F75" t="str">
            <v>Steven Blewitt</v>
          </cell>
          <cell r="G75">
            <v>0.95</v>
          </cell>
          <cell r="H75">
            <v>0</v>
          </cell>
          <cell r="I75">
            <v>9.5000000000000001E-2</v>
          </cell>
          <cell r="J75" t="str">
            <v>Gate 3 Submitted</v>
          </cell>
          <cell r="K75" t="str">
            <v>Civil Not Started</v>
          </cell>
        </row>
        <row r="76">
          <cell r="B76" t="str">
            <v>RCH1</v>
          </cell>
          <cell r="C76" t="str">
            <v>FSAM</v>
          </cell>
          <cell r="D76" t="str">
            <v>NSW</v>
          </cell>
          <cell r="E76" t="str">
            <v>Sydney West</v>
          </cell>
          <cell r="F76" t="str">
            <v>Damien Marov</v>
          </cell>
          <cell r="G76">
            <v>0.95</v>
          </cell>
          <cell r="H76">
            <v>0</v>
          </cell>
          <cell r="I76">
            <v>9.5000000000000001E-2</v>
          </cell>
          <cell r="J76" t="str">
            <v>Gate 3 Submitted</v>
          </cell>
          <cell r="K76" t="str">
            <v>Civil Not Started</v>
          </cell>
        </row>
        <row r="77">
          <cell r="B77" t="str">
            <v>LID3</v>
          </cell>
          <cell r="C77" t="str">
            <v>FSAM</v>
          </cell>
          <cell r="D77" t="str">
            <v>NSW</v>
          </cell>
          <cell r="E77" t="str">
            <v>Sydney East</v>
          </cell>
          <cell r="F77" t="str">
            <v>Adam Walsh</v>
          </cell>
          <cell r="G77">
            <v>0.95</v>
          </cell>
          <cell r="H77">
            <v>0</v>
          </cell>
          <cell r="I77">
            <v>9.5000000000000001E-2</v>
          </cell>
          <cell r="J77" t="str">
            <v>Gate 3 Submitted</v>
          </cell>
          <cell r="K77" t="str">
            <v>Civil Not Started</v>
          </cell>
        </row>
        <row r="78">
          <cell r="B78" t="str">
            <v>LJT3</v>
          </cell>
          <cell r="C78" t="str">
            <v>FSAM</v>
          </cell>
          <cell r="D78" t="str">
            <v>NSW</v>
          </cell>
          <cell r="E78" t="str">
            <v>Sydney East</v>
          </cell>
          <cell r="F78" t="str">
            <v>Adam Walsh</v>
          </cell>
          <cell r="G78">
            <v>0.95</v>
          </cell>
          <cell r="H78">
            <v>0</v>
          </cell>
          <cell r="I78">
            <v>9.5000000000000001E-2</v>
          </cell>
          <cell r="J78" t="str">
            <v>Gate 3 Submitted</v>
          </cell>
          <cell r="K78" t="str">
            <v>Civil Not Started</v>
          </cell>
        </row>
        <row r="79">
          <cell r="B79" t="str">
            <v>TOB5</v>
          </cell>
          <cell r="C79" t="str">
            <v>FSAM</v>
          </cell>
          <cell r="D79" t="str">
            <v>QLD</v>
          </cell>
          <cell r="E79" t="str">
            <v>QLD South</v>
          </cell>
          <cell r="F79" t="str">
            <v>Alan Bassett</v>
          </cell>
          <cell r="G79">
            <v>0.95</v>
          </cell>
          <cell r="H79">
            <v>0</v>
          </cell>
          <cell r="I79">
            <v>9.5000000000000001E-2</v>
          </cell>
          <cell r="J79" t="str">
            <v>Gate 3 Submitted</v>
          </cell>
          <cell r="K79" t="str">
            <v>Civil Not Started</v>
          </cell>
        </row>
        <row r="80">
          <cell r="B80" t="str">
            <v>CFS7</v>
          </cell>
          <cell r="C80" t="str">
            <v>FSAM</v>
          </cell>
          <cell r="D80" t="str">
            <v>NSW</v>
          </cell>
          <cell r="E80" t="str">
            <v>NSW North</v>
          </cell>
          <cell r="F80" t="str">
            <v>James Herden</v>
          </cell>
          <cell r="G80">
            <v>0.95</v>
          </cell>
          <cell r="H80">
            <v>0</v>
          </cell>
          <cell r="I80">
            <v>9.5000000000000001E-2</v>
          </cell>
          <cell r="J80" t="str">
            <v>Gate 3 Submitted</v>
          </cell>
          <cell r="K80" t="str">
            <v>Civil Not Started</v>
          </cell>
        </row>
        <row r="81">
          <cell r="B81" t="str">
            <v>DAP2</v>
          </cell>
          <cell r="C81" t="str">
            <v>FSAM</v>
          </cell>
          <cell r="D81" t="str">
            <v>NSW</v>
          </cell>
          <cell r="E81" t="str">
            <v>NSW South / ACT</v>
          </cell>
          <cell r="F81" t="str">
            <v>Steven Blewitt</v>
          </cell>
          <cell r="G81">
            <v>0.95</v>
          </cell>
          <cell r="H81">
            <v>0</v>
          </cell>
          <cell r="I81">
            <v>9.5000000000000001E-2</v>
          </cell>
          <cell r="J81" t="str">
            <v>Gate 3 Submitted</v>
          </cell>
          <cell r="K81" t="str">
            <v>Civil Not Started</v>
          </cell>
        </row>
        <row r="82">
          <cell r="B82" t="str">
            <v>GOS4</v>
          </cell>
          <cell r="C82" t="str">
            <v>FSAM</v>
          </cell>
          <cell r="D82" t="str">
            <v>NSW</v>
          </cell>
          <cell r="E82" t="str">
            <v>Sydney East</v>
          </cell>
          <cell r="F82" t="str">
            <v>Adam Walsh</v>
          </cell>
          <cell r="G82">
            <v>0.95</v>
          </cell>
          <cell r="H82">
            <v>0</v>
          </cell>
          <cell r="I82">
            <v>9.5000000000000001E-2</v>
          </cell>
          <cell r="J82" t="str">
            <v>Gate 3 Submitted</v>
          </cell>
          <cell r="K82" t="str">
            <v>Civil Not Started</v>
          </cell>
        </row>
        <row r="83">
          <cell r="B83" t="str">
            <v>LID4</v>
          </cell>
          <cell r="C83" t="str">
            <v>FSAM</v>
          </cell>
          <cell r="D83" t="str">
            <v>NSW</v>
          </cell>
          <cell r="E83" t="str">
            <v>Sydney East</v>
          </cell>
          <cell r="F83" t="str">
            <v>Adam Walsh</v>
          </cell>
          <cell r="G83">
            <v>0.95</v>
          </cell>
          <cell r="H83">
            <v>0</v>
          </cell>
          <cell r="I83">
            <v>9.5000000000000001E-2</v>
          </cell>
          <cell r="J83" t="str">
            <v>Gate 3 Submitted</v>
          </cell>
          <cell r="K83" t="str">
            <v>Civil Not Started</v>
          </cell>
        </row>
        <row r="84">
          <cell r="B84" t="str">
            <v>LJT2</v>
          </cell>
          <cell r="C84" t="str">
            <v>FSAM</v>
          </cell>
          <cell r="D84" t="str">
            <v>NSW</v>
          </cell>
          <cell r="E84" t="str">
            <v>Sydney East</v>
          </cell>
          <cell r="F84" t="str">
            <v>Adam Walsh</v>
          </cell>
          <cell r="G84">
            <v>0.95</v>
          </cell>
          <cell r="H84">
            <v>0</v>
          </cell>
          <cell r="I84">
            <v>9.5000000000000001E-2</v>
          </cell>
          <cell r="J84" t="str">
            <v>Gate 3 Submitted</v>
          </cell>
          <cell r="K84" t="str">
            <v>Civil Not Started</v>
          </cell>
        </row>
        <row r="85">
          <cell r="B85" t="str">
            <v>WLG1</v>
          </cell>
          <cell r="C85" t="str">
            <v>FSAM</v>
          </cell>
          <cell r="D85" t="str">
            <v>NSW</v>
          </cell>
          <cell r="E85" t="str">
            <v>NSW South / ACT</v>
          </cell>
          <cell r="F85" t="str">
            <v>Steven Blewitt</v>
          </cell>
          <cell r="G85">
            <v>0.95</v>
          </cell>
          <cell r="H85">
            <v>0</v>
          </cell>
          <cell r="I85">
            <v>9.5000000000000001E-2</v>
          </cell>
          <cell r="J85" t="str">
            <v>Gate 3 Submitted</v>
          </cell>
          <cell r="K85" t="str">
            <v>Civil Not Started</v>
          </cell>
        </row>
        <row r="86">
          <cell r="B86" t="str">
            <v>NDG1</v>
          </cell>
          <cell r="C86" t="str">
            <v>FSAM</v>
          </cell>
          <cell r="D86" t="str">
            <v>QLD</v>
          </cell>
          <cell r="E86" t="str">
            <v>QLD Metro</v>
          </cell>
          <cell r="F86" t="str">
            <v>Jonathan Cogan</v>
          </cell>
          <cell r="G86">
            <v>0.95</v>
          </cell>
          <cell r="H86">
            <v>0</v>
          </cell>
          <cell r="I86">
            <v>9.5000000000000001E-2</v>
          </cell>
          <cell r="J86" t="str">
            <v>Gate 3 Submitted</v>
          </cell>
          <cell r="K86" t="str">
            <v>Civil Not Started</v>
          </cell>
        </row>
        <row r="87">
          <cell r="B87" t="str">
            <v>CFS4</v>
          </cell>
          <cell r="C87" t="str">
            <v>FSAM</v>
          </cell>
          <cell r="D87" t="str">
            <v>NSW</v>
          </cell>
          <cell r="E87" t="str">
            <v>NSW North</v>
          </cell>
          <cell r="F87" t="str">
            <v>James Herden</v>
          </cell>
          <cell r="G87">
            <v>0.95</v>
          </cell>
          <cell r="H87">
            <v>0</v>
          </cell>
          <cell r="I87">
            <v>9.5000000000000001E-2</v>
          </cell>
          <cell r="J87" t="str">
            <v>Gate 3 Submitted</v>
          </cell>
          <cell r="K87" t="str">
            <v>Civil Not Started</v>
          </cell>
        </row>
        <row r="88">
          <cell r="B88" t="str">
            <v>TEE2</v>
          </cell>
          <cell r="C88" t="str">
            <v>FSAM</v>
          </cell>
          <cell r="D88" t="str">
            <v>NSW</v>
          </cell>
          <cell r="E88" t="str">
            <v>NSW North</v>
          </cell>
          <cell r="F88" t="str">
            <v>James Herden</v>
          </cell>
          <cell r="G88">
            <v>0.95</v>
          </cell>
          <cell r="H88">
            <v>0</v>
          </cell>
          <cell r="I88">
            <v>9.5000000000000001E-2</v>
          </cell>
          <cell r="J88" t="str">
            <v>Gate 3 Submitted</v>
          </cell>
          <cell r="K88" t="str">
            <v>Civil Not Started</v>
          </cell>
        </row>
        <row r="89">
          <cell r="B89" t="str">
            <v>TEE3</v>
          </cell>
          <cell r="C89" t="str">
            <v>FSAM</v>
          </cell>
          <cell r="D89" t="str">
            <v>NSW</v>
          </cell>
          <cell r="E89" t="str">
            <v>NSW North</v>
          </cell>
          <cell r="F89" t="str">
            <v>James Herden</v>
          </cell>
          <cell r="G89">
            <v>0.95</v>
          </cell>
          <cell r="H89">
            <v>0</v>
          </cell>
          <cell r="I89">
            <v>9.5000000000000001E-2</v>
          </cell>
          <cell r="J89" t="str">
            <v>Gate 3 Submitted</v>
          </cell>
          <cell r="K89" t="str">
            <v>Civil Not Started</v>
          </cell>
        </row>
        <row r="90">
          <cell r="B90" t="str">
            <v>TEE4</v>
          </cell>
          <cell r="C90" t="str">
            <v>FSAM</v>
          </cell>
          <cell r="D90" t="str">
            <v>NSW</v>
          </cell>
          <cell r="E90" t="str">
            <v>NSW North</v>
          </cell>
          <cell r="F90" t="str">
            <v>James Herden</v>
          </cell>
          <cell r="G90">
            <v>0.95</v>
          </cell>
          <cell r="H90">
            <v>0</v>
          </cell>
          <cell r="I90">
            <v>9.5000000000000001E-2</v>
          </cell>
          <cell r="J90" t="str">
            <v>Gate 3 Submitted</v>
          </cell>
          <cell r="K90" t="str">
            <v>Civil Not Started</v>
          </cell>
        </row>
        <row r="91">
          <cell r="B91" t="str">
            <v>BLK2</v>
          </cell>
          <cell r="C91" t="str">
            <v>FSAM</v>
          </cell>
          <cell r="D91" t="str">
            <v>NSW</v>
          </cell>
          <cell r="E91" t="str">
            <v>Sydney West</v>
          </cell>
          <cell r="F91" t="str">
            <v>Damien Marov</v>
          </cell>
          <cell r="G91">
            <v>0.95</v>
          </cell>
          <cell r="H91">
            <v>0</v>
          </cell>
          <cell r="I91">
            <v>9.5000000000000001E-2</v>
          </cell>
          <cell r="J91" t="str">
            <v>Gate 3 Submitted</v>
          </cell>
          <cell r="K91" t="str">
            <v>Civil Not Started</v>
          </cell>
        </row>
        <row r="92">
          <cell r="B92" t="str">
            <v>BLK5</v>
          </cell>
          <cell r="C92" t="str">
            <v>FSAM</v>
          </cell>
          <cell r="D92" t="str">
            <v>NSW</v>
          </cell>
          <cell r="E92" t="str">
            <v>Sydney West</v>
          </cell>
          <cell r="F92" t="str">
            <v>Damien Marov</v>
          </cell>
          <cell r="G92">
            <v>0.95</v>
          </cell>
          <cell r="H92">
            <v>0</v>
          </cell>
          <cell r="I92">
            <v>9.5000000000000001E-2</v>
          </cell>
          <cell r="J92" t="str">
            <v>Gate 3 Submitted</v>
          </cell>
          <cell r="K92" t="str">
            <v>Civil Not Started</v>
          </cell>
        </row>
        <row r="93">
          <cell r="B93" t="str">
            <v>BLK6</v>
          </cell>
          <cell r="C93" t="str">
            <v>FSAM</v>
          </cell>
          <cell r="D93" t="str">
            <v>NSW</v>
          </cell>
          <cell r="E93" t="str">
            <v>Sydney West</v>
          </cell>
          <cell r="F93" t="str">
            <v>Damien Marov</v>
          </cell>
          <cell r="G93">
            <v>0.95</v>
          </cell>
          <cell r="H93">
            <v>0</v>
          </cell>
          <cell r="I93">
            <v>9.5000000000000001E-2</v>
          </cell>
          <cell r="J93" t="str">
            <v>Gate 3 Submitted</v>
          </cell>
          <cell r="K93" t="str">
            <v>Civil Not Started</v>
          </cell>
        </row>
        <row r="94">
          <cell r="B94" t="str">
            <v>GOS6</v>
          </cell>
          <cell r="C94" t="str">
            <v>FSAM</v>
          </cell>
          <cell r="D94" t="str">
            <v>NSW</v>
          </cell>
          <cell r="E94" t="str">
            <v>Sydney East</v>
          </cell>
          <cell r="F94" t="str">
            <v>Adam Walsh</v>
          </cell>
          <cell r="G94">
            <v>0.95</v>
          </cell>
          <cell r="H94">
            <v>0</v>
          </cell>
          <cell r="I94">
            <v>9.5000000000000001E-2</v>
          </cell>
          <cell r="J94" t="str">
            <v>Gate 3 Submitted</v>
          </cell>
          <cell r="K94" t="str">
            <v>Civil Not Started</v>
          </cell>
        </row>
        <row r="95">
          <cell r="B95" t="str">
            <v>GOS7</v>
          </cell>
          <cell r="C95" t="str">
            <v>FSAM</v>
          </cell>
          <cell r="D95" t="str">
            <v>NSW</v>
          </cell>
          <cell r="E95" t="str">
            <v>Sydney East</v>
          </cell>
          <cell r="F95" t="str">
            <v>Adam Walsh</v>
          </cell>
          <cell r="G95">
            <v>0.95</v>
          </cell>
          <cell r="H95">
            <v>0</v>
          </cell>
          <cell r="I95">
            <v>9.5000000000000001E-2</v>
          </cell>
          <cell r="J95" t="str">
            <v>Gate 3 Submitted</v>
          </cell>
          <cell r="K95" t="str">
            <v>Civil Not Started</v>
          </cell>
        </row>
        <row r="96">
          <cell r="B96" t="str">
            <v>LID5</v>
          </cell>
          <cell r="C96" t="str">
            <v>FSAM</v>
          </cell>
          <cell r="D96" t="str">
            <v>NSW</v>
          </cell>
          <cell r="E96" t="str">
            <v>Sydney East</v>
          </cell>
          <cell r="F96" t="str">
            <v>Adam Walsh</v>
          </cell>
          <cell r="G96">
            <v>0.95</v>
          </cell>
          <cell r="H96">
            <v>0</v>
          </cell>
          <cell r="I96">
            <v>9.5000000000000001E-2</v>
          </cell>
          <cell r="J96" t="str">
            <v>Gate 3 Submitted</v>
          </cell>
          <cell r="K96" t="str">
            <v>Civil Not Started</v>
          </cell>
        </row>
        <row r="97">
          <cell r="B97" t="str">
            <v>LJT7</v>
          </cell>
          <cell r="C97" t="str">
            <v>FSAM</v>
          </cell>
          <cell r="D97" t="str">
            <v>NSW</v>
          </cell>
          <cell r="E97" t="str">
            <v>Sydney East</v>
          </cell>
          <cell r="F97" t="str">
            <v>Adam Walsh</v>
          </cell>
          <cell r="G97">
            <v>0.95</v>
          </cell>
          <cell r="H97">
            <v>0</v>
          </cell>
          <cell r="I97">
            <v>9.5000000000000001E-2</v>
          </cell>
          <cell r="J97" t="str">
            <v>Gate 3 Submitted</v>
          </cell>
          <cell r="K97" t="str">
            <v>Civil Not Started</v>
          </cell>
        </row>
        <row r="98">
          <cell r="B98" t="str">
            <v>PTH3</v>
          </cell>
          <cell r="C98" t="str">
            <v>FSAM</v>
          </cell>
          <cell r="D98" t="str">
            <v>NSW</v>
          </cell>
          <cell r="E98" t="str">
            <v>Sydney West</v>
          </cell>
          <cell r="F98" t="str">
            <v>Damien Marov</v>
          </cell>
          <cell r="G98">
            <v>0.95</v>
          </cell>
          <cell r="H98">
            <v>0</v>
          </cell>
          <cell r="I98">
            <v>9.5000000000000001E-2</v>
          </cell>
          <cell r="J98" t="str">
            <v>Gate 3 Submitted</v>
          </cell>
          <cell r="K98" t="str">
            <v>Civil Not Started</v>
          </cell>
        </row>
        <row r="99">
          <cell r="B99" t="str">
            <v>PTH4</v>
          </cell>
          <cell r="C99" t="str">
            <v>FSAM</v>
          </cell>
          <cell r="D99" t="str">
            <v>NSW</v>
          </cell>
          <cell r="E99" t="str">
            <v>Sydney West</v>
          </cell>
          <cell r="F99" t="str">
            <v>Damien Marov</v>
          </cell>
          <cell r="G99">
            <v>0.95</v>
          </cell>
          <cell r="H99">
            <v>0</v>
          </cell>
          <cell r="I99">
            <v>9.5000000000000001E-2</v>
          </cell>
          <cell r="J99" t="str">
            <v>Gate 3 Submitted</v>
          </cell>
          <cell r="K99" t="str">
            <v>Civil Not Started</v>
          </cell>
        </row>
        <row r="100">
          <cell r="B100" t="str">
            <v>RIV2</v>
          </cell>
          <cell r="C100" t="str">
            <v>FSAM</v>
          </cell>
          <cell r="D100" t="str">
            <v>NSW</v>
          </cell>
          <cell r="E100" t="str">
            <v>Sydney West</v>
          </cell>
          <cell r="F100" t="str">
            <v>Damien Marov</v>
          </cell>
          <cell r="G100">
            <v>0.95</v>
          </cell>
          <cell r="H100">
            <v>0</v>
          </cell>
          <cell r="I100">
            <v>9.5000000000000001E-2</v>
          </cell>
          <cell r="J100" t="str">
            <v>Gate 3 Submitted</v>
          </cell>
          <cell r="K100" t="str">
            <v>Civil Not Started</v>
          </cell>
        </row>
        <row r="101">
          <cell r="B101" t="str">
            <v>SAW4</v>
          </cell>
          <cell r="C101" t="str">
            <v>FSAM</v>
          </cell>
          <cell r="D101" t="str">
            <v>NSW</v>
          </cell>
          <cell r="E101" t="str">
            <v>NSW North</v>
          </cell>
          <cell r="F101" t="str">
            <v>James Herden</v>
          </cell>
          <cell r="G101">
            <v>0.95</v>
          </cell>
          <cell r="H101">
            <v>0</v>
          </cell>
          <cell r="I101">
            <v>9.5000000000000001E-2</v>
          </cell>
          <cell r="J101" t="str">
            <v>Gate 3 Submitted</v>
          </cell>
          <cell r="K101" t="str">
            <v>Civil Not Started</v>
          </cell>
        </row>
        <row r="102">
          <cell r="B102" t="str">
            <v>WLG4</v>
          </cell>
          <cell r="C102" t="str">
            <v>FSAM</v>
          </cell>
          <cell r="D102" t="str">
            <v>NSW</v>
          </cell>
          <cell r="E102" t="str">
            <v>NSW South / ACT</v>
          </cell>
          <cell r="F102" t="str">
            <v>Steven Blewitt</v>
          </cell>
          <cell r="G102">
            <v>0.95</v>
          </cell>
          <cell r="H102">
            <v>0</v>
          </cell>
          <cell r="I102">
            <v>9.5000000000000001E-2</v>
          </cell>
          <cell r="J102" t="str">
            <v>Gate 3 Submitted</v>
          </cell>
          <cell r="K102" t="str">
            <v>Civil Not Started</v>
          </cell>
        </row>
        <row r="103">
          <cell r="B103" t="str">
            <v>CAI2</v>
          </cell>
          <cell r="C103" t="str">
            <v>FSAM</v>
          </cell>
          <cell r="D103" t="str">
            <v>QLD</v>
          </cell>
          <cell r="E103" t="str">
            <v>QLD North</v>
          </cell>
          <cell r="F103" t="str">
            <v>Sunil Nair</v>
          </cell>
          <cell r="G103">
            <v>0.95</v>
          </cell>
          <cell r="H103">
            <v>0</v>
          </cell>
          <cell r="I103">
            <v>9.5000000000000001E-2</v>
          </cell>
          <cell r="J103" t="str">
            <v>Gate 3 Submitted</v>
          </cell>
          <cell r="K103" t="str">
            <v>Civil Not Started</v>
          </cell>
        </row>
        <row r="104">
          <cell r="B104" t="str">
            <v>CAI3</v>
          </cell>
          <cell r="C104" t="str">
            <v>FSAM</v>
          </cell>
          <cell r="D104" t="str">
            <v>QLD</v>
          </cell>
          <cell r="E104" t="str">
            <v>QLD North</v>
          </cell>
          <cell r="F104" t="str">
            <v>Sunil Nair</v>
          </cell>
          <cell r="G104">
            <v>0.95</v>
          </cell>
          <cell r="H104">
            <v>0</v>
          </cell>
          <cell r="I104">
            <v>9.5000000000000001E-2</v>
          </cell>
          <cell r="J104" t="str">
            <v>Gate 3 Submitted</v>
          </cell>
          <cell r="K104" t="str">
            <v>Civil Not Started</v>
          </cell>
        </row>
        <row r="105">
          <cell r="B105" t="str">
            <v>GUL6</v>
          </cell>
          <cell r="C105" t="str">
            <v>FSAM</v>
          </cell>
          <cell r="D105" t="str">
            <v>QLD</v>
          </cell>
          <cell r="E105" t="str">
            <v>QLD North</v>
          </cell>
          <cell r="F105" t="str">
            <v>Sunil Nair</v>
          </cell>
          <cell r="G105">
            <v>0.95</v>
          </cell>
          <cell r="H105">
            <v>0</v>
          </cell>
          <cell r="I105">
            <v>9.5000000000000001E-2</v>
          </cell>
          <cell r="J105" t="str">
            <v>Gate 3 Submitted</v>
          </cell>
          <cell r="K105" t="str">
            <v>Civil Not Started</v>
          </cell>
        </row>
        <row r="106">
          <cell r="B106" t="str">
            <v>IPS2</v>
          </cell>
          <cell r="C106" t="str">
            <v>FSAM</v>
          </cell>
          <cell r="D106" t="str">
            <v>QLD</v>
          </cell>
          <cell r="E106" t="str">
            <v>QLD South</v>
          </cell>
          <cell r="F106" t="str">
            <v>Alan Bassett</v>
          </cell>
          <cell r="G106">
            <v>0.95</v>
          </cell>
          <cell r="H106">
            <v>0</v>
          </cell>
          <cell r="I106">
            <v>9.5000000000000001E-2</v>
          </cell>
          <cell r="J106" t="str">
            <v>Gate 3 Submitted</v>
          </cell>
          <cell r="K106" t="str">
            <v>Civil Not Started</v>
          </cell>
        </row>
        <row r="107">
          <cell r="B107" t="str">
            <v>KLG1</v>
          </cell>
          <cell r="C107" t="str">
            <v>FSAM</v>
          </cell>
          <cell r="D107" t="str">
            <v>QLD</v>
          </cell>
          <cell r="E107" t="str">
            <v>QLD Metro</v>
          </cell>
          <cell r="F107" t="str">
            <v>Jonathan Cogan</v>
          </cell>
          <cell r="G107">
            <v>0.95</v>
          </cell>
          <cell r="H107">
            <v>0</v>
          </cell>
          <cell r="I107">
            <v>9.5000000000000001E-2</v>
          </cell>
          <cell r="J107" t="str">
            <v>Gate 3 Submitted</v>
          </cell>
          <cell r="K107" t="str">
            <v>Civil Not Started</v>
          </cell>
        </row>
        <row r="108">
          <cell r="B108" t="str">
            <v>MKY2</v>
          </cell>
          <cell r="C108" t="str">
            <v>FSAM</v>
          </cell>
          <cell r="D108" t="str">
            <v>QLD</v>
          </cell>
          <cell r="E108" t="str">
            <v>QLD North</v>
          </cell>
          <cell r="F108" t="str">
            <v>Sunil Nair</v>
          </cell>
          <cell r="G108">
            <v>0.95</v>
          </cell>
          <cell r="H108">
            <v>0</v>
          </cell>
          <cell r="I108">
            <v>9.5000000000000001E-2</v>
          </cell>
          <cell r="J108" t="str">
            <v>Gate 3 Submitted</v>
          </cell>
          <cell r="K108" t="str">
            <v>Civil Not Started</v>
          </cell>
        </row>
        <row r="109">
          <cell r="B109" t="str">
            <v>MKY3</v>
          </cell>
          <cell r="C109" t="str">
            <v>FSAM</v>
          </cell>
          <cell r="D109" t="str">
            <v>QLD</v>
          </cell>
          <cell r="E109" t="str">
            <v>QLD North</v>
          </cell>
          <cell r="F109" t="str">
            <v>Sunil Nair</v>
          </cell>
          <cell r="G109">
            <v>0.95</v>
          </cell>
          <cell r="H109">
            <v>0</v>
          </cell>
          <cell r="I109">
            <v>9.5000000000000001E-2</v>
          </cell>
          <cell r="J109" t="str">
            <v>Gate 3 Submitted</v>
          </cell>
          <cell r="K109" t="str">
            <v>Civil Not Started</v>
          </cell>
        </row>
        <row r="110">
          <cell r="B110" t="str">
            <v>NDG3</v>
          </cell>
          <cell r="C110" t="str">
            <v>FSAM</v>
          </cell>
          <cell r="D110" t="str">
            <v>QLD</v>
          </cell>
          <cell r="E110" t="str">
            <v>QLD Metro</v>
          </cell>
          <cell r="F110" t="str">
            <v>Jonathan Cogan</v>
          </cell>
          <cell r="G110">
            <v>0.95</v>
          </cell>
          <cell r="H110">
            <v>0</v>
          </cell>
          <cell r="I110">
            <v>9.5000000000000001E-2</v>
          </cell>
          <cell r="J110" t="str">
            <v>Gate 3 Submitted</v>
          </cell>
          <cell r="K110" t="str">
            <v>Civil Not Started</v>
          </cell>
        </row>
        <row r="111">
          <cell r="B111" t="str">
            <v>TNS4</v>
          </cell>
          <cell r="C111" t="str">
            <v>FSAM</v>
          </cell>
          <cell r="D111" t="str">
            <v>QLD</v>
          </cell>
          <cell r="E111" t="str">
            <v>QLD North</v>
          </cell>
          <cell r="F111" t="str">
            <v>Sunil Nair</v>
          </cell>
          <cell r="G111">
            <v>0.95</v>
          </cell>
          <cell r="H111">
            <v>0</v>
          </cell>
          <cell r="I111">
            <v>9.5000000000000001E-2</v>
          </cell>
          <cell r="J111" t="str">
            <v>Gate 3 Submitted</v>
          </cell>
          <cell r="K111" t="str">
            <v>Civil Not Started</v>
          </cell>
        </row>
        <row r="112">
          <cell r="B112" t="str">
            <v>TNS6</v>
          </cell>
          <cell r="C112" t="str">
            <v>FSAM</v>
          </cell>
          <cell r="D112" t="str">
            <v>QLD</v>
          </cell>
          <cell r="E112" t="str">
            <v>QLD North</v>
          </cell>
          <cell r="F112" t="str">
            <v>Sunil Nair</v>
          </cell>
          <cell r="G112">
            <v>0.95</v>
          </cell>
          <cell r="H112">
            <v>0</v>
          </cell>
          <cell r="I112">
            <v>9.5000000000000001E-2</v>
          </cell>
          <cell r="J112" t="str">
            <v>Gate 3 Submitted</v>
          </cell>
          <cell r="K112" t="str">
            <v>Civil Not Started</v>
          </cell>
        </row>
        <row r="113">
          <cell r="B113" t="str">
            <v>DAP5</v>
          </cell>
          <cell r="C113" t="str">
            <v>FSAM</v>
          </cell>
          <cell r="D113" t="str">
            <v>NSW</v>
          </cell>
          <cell r="E113" t="str">
            <v>NSW South / ACT</v>
          </cell>
          <cell r="F113" t="str">
            <v>Steven Blewitt</v>
          </cell>
          <cell r="G113">
            <v>0.9</v>
          </cell>
          <cell r="H113">
            <v>0</v>
          </cell>
          <cell r="I113">
            <v>9.0000000000000011E-2</v>
          </cell>
          <cell r="J113" t="str">
            <v>Gate 2 Submitted</v>
          </cell>
          <cell r="K113" t="str">
            <v>Civil Not Started</v>
          </cell>
        </row>
        <row r="114">
          <cell r="B114" t="str">
            <v>GOS5</v>
          </cell>
          <cell r="C114" t="str">
            <v>FSAM</v>
          </cell>
          <cell r="D114" t="str">
            <v>NSW</v>
          </cell>
          <cell r="E114" t="str">
            <v>Sydney East</v>
          </cell>
          <cell r="F114" t="str">
            <v>Adam Walsh</v>
          </cell>
          <cell r="G114">
            <v>0.9</v>
          </cell>
          <cell r="H114">
            <v>0</v>
          </cell>
          <cell r="I114">
            <v>9.0000000000000011E-2</v>
          </cell>
          <cell r="J114" t="str">
            <v>Gate 2 Submitted</v>
          </cell>
          <cell r="K114" t="str">
            <v>Civil Not Started</v>
          </cell>
        </row>
        <row r="115">
          <cell r="B115" t="str">
            <v>IPS4</v>
          </cell>
          <cell r="C115" t="str">
            <v>FSAM</v>
          </cell>
          <cell r="D115" t="str">
            <v>QLD</v>
          </cell>
          <cell r="E115" t="str">
            <v>QLD South</v>
          </cell>
          <cell r="F115" t="str">
            <v>Alan Bassett</v>
          </cell>
          <cell r="G115">
            <v>0.9</v>
          </cell>
          <cell r="H115">
            <v>0</v>
          </cell>
          <cell r="I115">
            <v>9.0000000000000011E-2</v>
          </cell>
          <cell r="J115" t="str">
            <v>Gate 2 Submitted</v>
          </cell>
          <cell r="K115" t="str">
            <v>Civil Not Started</v>
          </cell>
        </row>
        <row r="116">
          <cell r="B116" t="str">
            <v>TOB7</v>
          </cell>
          <cell r="C116" t="str">
            <v>FSAM</v>
          </cell>
          <cell r="D116" t="str">
            <v>QLD</v>
          </cell>
          <cell r="E116" t="str">
            <v>QLD South</v>
          </cell>
          <cell r="F116" t="str">
            <v>Alan Bassett</v>
          </cell>
          <cell r="G116">
            <v>0.9</v>
          </cell>
          <cell r="H116">
            <v>0</v>
          </cell>
          <cell r="I116">
            <v>9.0000000000000011E-2</v>
          </cell>
          <cell r="J116" t="str">
            <v>Gate 2 Submitted</v>
          </cell>
          <cell r="K116" t="str">
            <v>Civil Not Started</v>
          </cell>
        </row>
        <row r="117">
          <cell r="B117" t="str">
            <v>TOB8</v>
          </cell>
          <cell r="C117" t="str">
            <v>FSAM</v>
          </cell>
          <cell r="D117" t="str">
            <v>QLD</v>
          </cell>
          <cell r="E117" t="str">
            <v>QLD South</v>
          </cell>
          <cell r="F117" t="str">
            <v>Alan Bassett</v>
          </cell>
          <cell r="G117">
            <v>0.9</v>
          </cell>
          <cell r="H117">
            <v>0</v>
          </cell>
          <cell r="I117">
            <v>9.0000000000000011E-2</v>
          </cell>
          <cell r="J117" t="str">
            <v>Gate 2 Submitted</v>
          </cell>
          <cell r="K117" t="str">
            <v>Civil Not Started</v>
          </cell>
        </row>
        <row r="118">
          <cell r="B118" t="str">
            <v>BDB1</v>
          </cell>
          <cell r="C118" t="str">
            <v>FSAM</v>
          </cell>
          <cell r="D118" t="str">
            <v>QLD</v>
          </cell>
          <cell r="E118" t="str">
            <v>QLD Metro</v>
          </cell>
          <cell r="F118" t="str">
            <v>Jonathan Cogan</v>
          </cell>
          <cell r="G118">
            <v>0.5</v>
          </cell>
          <cell r="H118">
            <v>0</v>
          </cell>
          <cell r="I118">
            <v>0.05</v>
          </cell>
          <cell r="J118" t="str">
            <v>Gate 1 Submitted</v>
          </cell>
          <cell r="K118" t="str">
            <v>Civil Not Started</v>
          </cell>
        </row>
        <row r="119">
          <cell r="B119" t="str">
            <v>PTH7</v>
          </cell>
          <cell r="C119" t="str">
            <v>FSAM</v>
          </cell>
          <cell r="D119" t="str">
            <v>NSW</v>
          </cell>
          <cell r="E119" t="str">
            <v>Sydney West</v>
          </cell>
          <cell r="F119" t="str">
            <v>Damien Marov</v>
          </cell>
          <cell r="G119">
            <v>0.5</v>
          </cell>
          <cell r="H119">
            <v>0</v>
          </cell>
          <cell r="I119">
            <v>0.05</v>
          </cell>
          <cell r="J119" t="str">
            <v>Gate 1 Submitted</v>
          </cell>
          <cell r="K119" t="str">
            <v>Civil Not Started</v>
          </cell>
        </row>
        <row r="120">
          <cell r="B120" t="str">
            <v>DAP6</v>
          </cell>
          <cell r="C120" t="str">
            <v>FSAM</v>
          </cell>
          <cell r="D120" t="str">
            <v>NSW</v>
          </cell>
          <cell r="E120" t="str">
            <v>NSW South / ACT</v>
          </cell>
          <cell r="F120" t="str">
            <v>Steven Blewitt</v>
          </cell>
          <cell r="G120">
            <v>0.5</v>
          </cell>
          <cell r="H120">
            <v>0</v>
          </cell>
          <cell r="I120">
            <v>0.05</v>
          </cell>
          <cell r="J120" t="str">
            <v>Gate 1 Submitted</v>
          </cell>
          <cell r="K120" t="str">
            <v>Civil Not Started</v>
          </cell>
        </row>
        <row r="121">
          <cell r="B121" t="str">
            <v>COR6</v>
          </cell>
          <cell r="C121" t="str">
            <v>FSAM</v>
          </cell>
          <cell r="D121" t="str">
            <v>NSW</v>
          </cell>
          <cell r="E121" t="str">
            <v>NSW South / ACT</v>
          </cell>
          <cell r="F121" t="str">
            <v>Steven Blewitt</v>
          </cell>
          <cell r="G121">
            <v>0.5</v>
          </cell>
          <cell r="H121">
            <v>0</v>
          </cell>
          <cell r="I121">
            <v>0.05</v>
          </cell>
          <cell r="J121" t="str">
            <v>Gate 1 Submitted</v>
          </cell>
          <cell r="K121" t="str">
            <v>Civil Not Started</v>
          </cell>
        </row>
        <row r="122">
          <cell r="B122" t="str">
            <v>COR7</v>
          </cell>
          <cell r="C122" t="str">
            <v>FSAM</v>
          </cell>
          <cell r="D122" t="str">
            <v>NSW</v>
          </cell>
          <cell r="E122" t="str">
            <v>NSW South / ACT</v>
          </cell>
          <cell r="F122" t="str">
            <v>Steven Blewitt</v>
          </cell>
          <cell r="G122">
            <v>0.5</v>
          </cell>
          <cell r="H122">
            <v>0</v>
          </cell>
          <cell r="I122">
            <v>0.05</v>
          </cell>
          <cell r="J122" t="str">
            <v>Gate 1 Submitted</v>
          </cell>
          <cell r="K122" t="str">
            <v>Civil Not Started</v>
          </cell>
        </row>
        <row r="123">
          <cell r="B123" t="str">
            <v>DAP1</v>
          </cell>
          <cell r="C123" t="str">
            <v>FSAM</v>
          </cell>
          <cell r="D123" t="str">
            <v>NSW</v>
          </cell>
          <cell r="E123" t="str">
            <v>NSW South / ACT</v>
          </cell>
          <cell r="F123" t="str">
            <v>Steven Blewitt</v>
          </cell>
          <cell r="G123">
            <v>0.5</v>
          </cell>
          <cell r="H123">
            <v>0</v>
          </cell>
          <cell r="I123">
            <v>0.05</v>
          </cell>
          <cell r="J123" t="str">
            <v>Gate 1 Submitted</v>
          </cell>
          <cell r="K123" t="str">
            <v>Civil Not Started</v>
          </cell>
        </row>
        <row r="124">
          <cell r="B124" t="str">
            <v>COR4</v>
          </cell>
          <cell r="C124" t="str">
            <v>FSAM</v>
          </cell>
          <cell r="D124" t="str">
            <v>NSW</v>
          </cell>
          <cell r="E124" t="str">
            <v>NSW South / ACT</v>
          </cell>
          <cell r="F124" t="str">
            <v>Steven Blewitt</v>
          </cell>
          <cell r="G124">
            <v>0.5</v>
          </cell>
          <cell r="H124">
            <v>0</v>
          </cell>
          <cell r="I124">
            <v>0.05</v>
          </cell>
          <cell r="J124" t="str">
            <v>Gate 1 Submitted</v>
          </cell>
          <cell r="K124" t="str">
            <v>Civil Not Started</v>
          </cell>
        </row>
        <row r="125">
          <cell r="B125" t="str">
            <v>LJT4</v>
          </cell>
          <cell r="C125" t="str">
            <v>FSAM</v>
          </cell>
          <cell r="D125" t="str">
            <v>NSW</v>
          </cell>
          <cell r="E125" t="str">
            <v>Sydney East</v>
          </cell>
          <cell r="F125" t="str">
            <v>Adam Walsh</v>
          </cell>
          <cell r="G125">
            <v>0.5</v>
          </cell>
          <cell r="H125">
            <v>0</v>
          </cell>
          <cell r="I125">
            <v>0.05</v>
          </cell>
          <cell r="J125" t="str">
            <v>Gate 1 Submitted</v>
          </cell>
          <cell r="K125" t="str">
            <v>Civil Not Started</v>
          </cell>
        </row>
        <row r="126">
          <cell r="B126" t="str">
            <v>BLK9</v>
          </cell>
          <cell r="C126" t="str">
            <v>FSAM</v>
          </cell>
          <cell r="D126" t="str">
            <v>NSW</v>
          </cell>
          <cell r="E126" t="str">
            <v>Sydney West</v>
          </cell>
          <cell r="F126" t="str">
            <v>Damien Marov</v>
          </cell>
          <cell r="G126">
            <v>0.5</v>
          </cell>
          <cell r="H126">
            <v>0</v>
          </cell>
          <cell r="I126">
            <v>0.05</v>
          </cell>
          <cell r="J126" t="str">
            <v>Gate 1 Submitted</v>
          </cell>
          <cell r="K126" t="str">
            <v>Civil Not Started</v>
          </cell>
        </row>
        <row r="127">
          <cell r="B127" t="str">
            <v>COR5</v>
          </cell>
          <cell r="C127" t="str">
            <v>FSAM</v>
          </cell>
          <cell r="D127" t="str">
            <v>NSW</v>
          </cell>
          <cell r="E127" t="str">
            <v>NSW South / ACT</v>
          </cell>
          <cell r="F127" t="str">
            <v>Steven Blewitt</v>
          </cell>
          <cell r="G127">
            <v>0.5</v>
          </cell>
          <cell r="H127">
            <v>0</v>
          </cell>
          <cell r="I127">
            <v>0.05</v>
          </cell>
          <cell r="J127" t="str">
            <v>Gate 1 Submitted</v>
          </cell>
          <cell r="K127" t="str">
            <v>Civil Not Started</v>
          </cell>
        </row>
        <row r="128">
          <cell r="B128" t="str">
            <v>LID6</v>
          </cell>
          <cell r="C128" t="str">
            <v>FSAM</v>
          </cell>
          <cell r="D128" t="str">
            <v>NSW</v>
          </cell>
          <cell r="E128" t="str">
            <v>Sydney East</v>
          </cell>
          <cell r="F128" t="str">
            <v>Adam Walsh</v>
          </cell>
          <cell r="G128">
            <v>0.5</v>
          </cell>
          <cell r="H128">
            <v>0</v>
          </cell>
          <cell r="I128">
            <v>0.05</v>
          </cell>
          <cell r="J128" t="str">
            <v>Gate 1 Submitted</v>
          </cell>
          <cell r="K128" t="str">
            <v>Civil Not Started</v>
          </cell>
        </row>
        <row r="129">
          <cell r="B129" t="str">
            <v>LID7</v>
          </cell>
          <cell r="C129" t="str">
            <v>FSAM</v>
          </cell>
          <cell r="D129" t="str">
            <v>NSW</v>
          </cell>
          <cell r="E129" t="str">
            <v>Sydney East</v>
          </cell>
          <cell r="F129" t="str">
            <v>Adam Walsh</v>
          </cell>
          <cell r="G129">
            <v>0.5</v>
          </cell>
          <cell r="H129">
            <v>0</v>
          </cell>
          <cell r="I129">
            <v>0.05</v>
          </cell>
          <cell r="J129" t="str">
            <v>Gate 1 Submitted</v>
          </cell>
          <cell r="K129" t="str">
            <v>Civil Not Started</v>
          </cell>
        </row>
        <row r="130">
          <cell r="B130" t="str">
            <v>LID8</v>
          </cell>
          <cell r="C130" t="str">
            <v>FSAM</v>
          </cell>
          <cell r="D130" t="str">
            <v>NSW</v>
          </cell>
          <cell r="E130" t="str">
            <v>Sydney East</v>
          </cell>
          <cell r="F130" t="str">
            <v>Adam Walsh</v>
          </cell>
          <cell r="G130">
            <v>0.5</v>
          </cell>
          <cell r="H130">
            <v>0</v>
          </cell>
          <cell r="I130">
            <v>0.05</v>
          </cell>
          <cell r="J130" t="str">
            <v>Gate 1 Submitted</v>
          </cell>
          <cell r="K130" t="str">
            <v>Civil Not Started</v>
          </cell>
        </row>
        <row r="131">
          <cell r="B131" t="str">
            <v>LJT6</v>
          </cell>
          <cell r="C131" t="str">
            <v>FSAM</v>
          </cell>
          <cell r="D131" t="str">
            <v>NSW</v>
          </cell>
          <cell r="E131" t="str">
            <v>Sydney East</v>
          </cell>
          <cell r="F131" t="str">
            <v>Adam Walsh</v>
          </cell>
          <cell r="G131">
            <v>0.5</v>
          </cell>
          <cell r="H131">
            <v>0</v>
          </cell>
          <cell r="I131">
            <v>0.05</v>
          </cell>
          <cell r="J131" t="str">
            <v>Gate 1 Submitted</v>
          </cell>
          <cell r="K131" t="str">
            <v>Civil Not Started</v>
          </cell>
        </row>
        <row r="132">
          <cell r="B132" t="str">
            <v>WLG3</v>
          </cell>
          <cell r="C132" t="str">
            <v>FSAM</v>
          </cell>
          <cell r="D132" t="str">
            <v>NSW</v>
          </cell>
          <cell r="E132" t="str">
            <v>NSW South / ACT</v>
          </cell>
          <cell r="F132" t="str">
            <v>Steven Blewitt</v>
          </cell>
          <cell r="G132">
            <v>0.5</v>
          </cell>
          <cell r="H132">
            <v>0</v>
          </cell>
          <cell r="I132">
            <v>0.05</v>
          </cell>
          <cell r="J132" t="str">
            <v>Gate 1 Submitted</v>
          </cell>
          <cell r="K132" t="str">
            <v>Civil Not Started</v>
          </cell>
        </row>
        <row r="133">
          <cell r="B133" t="str">
            <v>CAI4</v>
          </cell>
          <cell r="C133" t="str">
            <v>FSAM</v>
          </cell>
          <cell r="D133" t="str">
            <v>QLD</v>
          </cell>
          <cell r="E133" t="str">
            <v>QLD North</v>
          </cell>
          <cell r="F133" t="str">
            <v>Col Higman</v>
          </cell>
          <cell r="G133">
            <v>0.5</v>
          </cell>
          <cell r="H133">
            <v>0</v>
          </cell>
          <cell r="I133">
            <v>0.05</v>
          </cell>
          <cell r="J133" t="str">
            <v>Gate 1 Submitted</v>
          </cell>
          <cell r="K133" t="str">
            <v>Civil Not Started</v>
          </cell>
        </row>
        <row r="134">
          <cell r="B134" t="str">
            <v>TOB9</v>
          </cell>
          <cell r="C134" t="str">
            <v>FSAM</v>
          </cell>
          <cell r="D134" t="str">
            <v>QLD</v>
          </cell>
          <cell r="E134" t="str">
            <v>QLD South</v>
          </cell>
          <cell r="F134" t="str">
            <v>Alan Bassett</v>
          </cell>
          <cell r="G134">
            <v>0.5</v>
          </cell>
          <cell r="H134">
            <v>0</v>
          </cell>
          <cell r="I134">
            <v>0.05</v>
          </cell>
          <cell r="J134" t="str">
            <v>Gate 1 Submitted</v>
          </cell>
          <cell r="K134" t="str">
            <v>Civil Not Started</v>
          </cell>
        </row>
        <row r="135">
          <cell r="B135" t="str">
            <v>CVI1</v>
          </cell>
          <cell r="C135" t="str">
            <v>FSAM</v>
          </cell>
          <cell r="D135" t="str">
            <v>NSW</v>
          </cell>
          <cell r="E135" t="str">
            <v>NSW South / ACT</v>
          </cell>
          <cell r="F135" t="str">
            <v>Steven Blewitt</v>
          </cell>
          <cell r="G135">
            <v>0.5</v>
          </cell>
          <cell r="H135">
            <v>0</v>
          </cell>
          <cell r="I135">
            <v>0.05</v>
          </cell>
          <cell r="J135" t="str">
            <v>Gate 1 Submitted</v>
          </cell>
          <cell r="K135" t="str">
            <v>Civil Not Started</v>
          </cell>
        </row>
        <row r="136">
          <cell r="B136" t="str">
            <v>CVI2</v>
          </cell>
          <cell r="C136" t="str">
            <v>FSAM</v>
          </cell>
          <cell r="D136" t="str">
            <v>NSW</v>
          </cell>
          <cell r="E136" t="str">
            <v>NSW South / ACT</v>
          </cell>
          <cell r="F136" t="str">
            <v>Steven Blewitt</v>
          </cell>
          <cell r="G136">
            <v>0.5</v>
          </cell>
          <cell r="H136">
            <v>0</v>
          </cell>
          <cell r="I136">
            <v>0.05</v>
          </cell>
          <cell r="J136" t="str">
            <v>Gate 1 Submitted</v>
          </cell>
          <cell r="K136" t="str">
            <v>Civil Not Started</v>
          </cell>
        </row>
        <row r="137">
          <cell r="B137" t="str">
            <v>QBN3</v>
          </cell>
          <cell r="C137" t="str">
            <v>FSAM</v>
          </cell>
          <cell r="D137" t="str">
            <v>NSW</v>
          </cell>
          <cell r="E137" t="str">
            <v>NSW South / ACT</v>
          </cell>
          <cell r="F137" t="str">
            <v>Steven Blewitt</v>
          </cell>
          <cell r="G137">
            <v>0.5</v>
          </cell>
          <cell r="H137">
            <v>0</v>
          </cell>
          <cell r="I137">
            <v>0.05</v>
          </cell>
          <cell r="J137" t="str">
            <v>Gate 1 Submitted</v>
          </cell>
          <cell r="K137" t="str">
            <v>Civil Not Started</v>
          </cell>
        </row>
        <row r="138">
          <cell r="B138" t="str">
            <v>WLG6</v>
          </cell>
          <cell r="C138" t="str">
            <v>FSAM</v>
          </cell>
          <cell r="D138" t="str">
            <v>NSW</v>
          </cell>
          <cell r="E138" t="str">
            <v>NSW South / ACT</v>
          </cell>
          <cell r="F138" t="str">
            <v>Steven Blewitt</v>
          </cell>
          <cell r="G138">
            <v>0.01</v>
          </cell>
          <cell r="H138">
            <v>0</v>
          </cell>
          <cell r="I138">
            <v>1E-3</v>
          </cell>
          <cell r="J138" t="str">
            <v>CI Received</v>
          </cell>
          <cell r="K138" t="str">
            <v>Civil Not Started</v>
          </cell>
        </row>
        <row r="139">
          <cell r="B139" t="str">
            <v>HOM4</v>
          </cell>
          <cell r="C139" t="str">
            <v>FSAM</v>
          </cell>
          <cell r="D139" t="str">
            <v>NSW</v>
          </cell>
          <cell r="E139" t="str">
            <v>Sydney East</v>
          </cell>
          <cell r="F139" t="str">
            <v>Adam Walsh</v>
          </cell>
          <cell r="G139">
            <v>0.5</v>
          </cell>
          <cell r="H139">
            <v>0</v>
          </cell>
          <cell r="I139">
            <v>0.05</v>
          </cell>
          <cell r="J139" t="str">
            <v>Gate 1 Submitted</v>
          </cell>
          <cell r="K139" t="str">
            <v>Civil Not Started</v>
          </cell>
        </row>
        <row r="140">
          <cell r="B140" t="str">
            <v>KLG7</v>
          </cell>
          <cell r="C140" t="str">
            <v>FSAM</v>
          </cell>
          <cell r="D140" t="str">
            <v>QLD</v>
          </cell>
          <cell r="E140" t="str">
            <v>QLD Metro</v>
          </cell>
          <cell r="F140" t="str">
            <v>Jonathan Cogan</v>
          </cell>
          <cell r="G140">
            <v>0.01</v>
          </cell>
          <cell r="H140">
            <v>0</v>
          </cell>
          <cell r="I140">
            <v>1E-3</v>
          </cell>
          <cell r="J140" t="str">
            <v>CI Received</v>
          </cell>
          <cell r="K140" t="str">
            <v>Civil Not Started</v>
          </cell>
        </row>
        <row r="141">
          <cell r="B141" t="str">
            <v>MAI11</v>
          </cell>
          <cell r="C141" t="str">
            <v>FSAM</v>
          </cell>
          <cell r="D141" t="str">
            <v>NSW</v>
          </cell>
          <cell r="E141" t="str">
            <v>NSW North</v>
          </cell>
          <cell r="F141" t="str">
            <v>James Herden</v>
          </cell>
          <cell r="G141">
            <v>0.01</v>
          </cell>
          <cell r="H141">
            <v>0</v>
          </cell>
          <cell r="I141">
            <v>1E-3</v>
          </cell>
          <cell r="J141" t="str">
            <v>CI Received</v>
          </cell>
          <cell r="K141" t="str">
            <v>Civil Not Started</v>
          </cell>
        </row>
        <row r="142">
          <cell r="B142" t="str">
            <v>COR8</v>
          </cell>
          <cell r="C142" t="str">
            <v>FSAM</v>
          </cell>
          <cell r="D142" t="str">
            <v>NSW</v>
          </cell>
          <cell r="E142" t="str">
            <v>NSW South / ACT</v>
          </cell>
          <cell r="F142" t="str">
            <v>Steven Blewitt</v>
          </cell>
          <cell r="G142">
            <v>0.01</v>
          </cell>
          <cell r="H142">
            <v>0</v>
          </cell>
          <cell r="I142">
            <v>1E-3</v>
          </cell>
          <cell r="J142" t="str">
            <v>CI Received</v>
          </cell>
          <cell r="K142" t="str">
            <v>Civil Not Started</v>
          </cell>
        </row>
        <row r="143">
          <cell r="B143" t="str">
            <v>MDG1</v>
          </cell>
          <cell r="C143" t="str">
            <v>FSAM</v>
          </cell>
          <cell r="D143" t="str">
            <v>NSW</v>
          </cell>
          <cell r="E143" t="str">
            <v>NSW North</v>
          </cell>
          <cell r="F143" t="str">
            <v>James Herden</v>
          </cell>
          <cell r="G143">
            <v>0.01</v>
          </cell>
          <cell r="H143">
            <v>0</v>
          </cell>
          <cell r="I143">
            <v>1E-3</v>
          </cell>
          <cell r="J143" t="str">
            <v>CI Received</v>
          </cell>
          <cell r="K143" t="str">
            <v>Civil Not Started</v>
          </cell>
        </row>
        <row r="144">
          <cell r="B144" t="str">
            <v>MDG2</v>
          </cell>
          <cell r="C144" t="str">
            <v>FSAM</v>
          </cell>
          <cell r="D144" t="str">
            <v>NSW</v>
          </cell>
          <cell r="E144" t="str">
            <v>NSW North</v>
          </cell>
          <cell r="F144" t="str">
            <v>James Herden</v>
          </cell>
          <cell r="G144">
            <v>0.01</v>
          </cell>
          <cell r="H144">
            <v>0</v>
          </cell>
          <cell r="I144">
            <v>1E-3</v>
          </cell>
          <cell r="J144" t="str">
            <v>CI Received</v>
          </cell>
          <cell r="K144" t="str">
            <v>Civil Not Started</v>
          </cell>
        </row>
        <row r="145">
          <cell r="B145" t="str">
            <v>BDB2</v>
          </cell>
          <cell r="C145" t="str">
            <v>FSAM</v>
          </cell>
          <cell r="D145" t="str">
            <v>QLD</v>
          </cell>
          <cell r="E145" t="str">
            <v>QLD Metro</v>
          </cell>
          <cell r="F145" t="str">
            <v>Jonathan Cogan</v>
          </cell>
          <cell r="G145">
            <v>0.01</v>
          </cell>
          <cell r="H145">
            <v>0</v>
          </cell>
          <cell r="I145">
            <v>1E-3</v>
          </cell>
          <cell r="J145" t="str">
            <v>CI Received</v>
          </cell>
          <cell r="K145" t="str">
            <v>Civil Not Started</v>
          </cell>
        </row>
        <row r="146">
          <cell r="B146" t="str">
            <v>MKY4</v>
          </cell>
          <cell r="C146" t="str">
            <v>FSAM</v>
          </cell>
          <cell r="D146" t="str">
            <v>QLD</v>
          </cell>
          <cell r="E146" t="str">
            <v>QLD North</v>
          </cell>
          <cell r="F146" t="str">
            <v>Sunil Nair</v>
          </cell>
          <cell r="G146">
            <v>0.5</v>
          </cell>
          <cell r="H146">
            <v>0</v>
          </cell>
          <cell r="I146">
            <v>0.05</v>
          </cell>
          <cell r="J146" t="str">
            <v>Gate 1 Submitted</v>
          </cell>
          <cell r="K146" t="str">
            <v>Civil Not Started</v>
          </cell>
        </row>
        <row r="147">
          <cell r="B147" t="str">
            <v>MDG3</v>
          </cell>
          <cell r="C147" t="str">
            <v>FSAM</v>
          </cell>
          <cell r="D147" t="str">
            <v>NSW</v>
          </cell>
          <cell r="E147" t="str">
            <v>NSW North</v>
          </cell>
          <cell r="F147" t="str">
            <v>James Herden</v>
          </cell>
          <cell r="G147">
            <v>0.01</v>
          </cell>
          <cell r="H147">
            <v>0</v>
          </cell>
          <cell r="I147">
            <v>1E-3</v>
          </cell>
          <cell r="J147" t="str">
            <v>CI Received</v>
          </cell>
          <cell r="K147" t="str">
            <v>Civil Not Started</v>
          </cell>
        </row>
        <row r="148">
          <cell r="B148" t="str">
            <v>WAG1</v>
          </cell>
          <cell r="C148" t="str">
            <v>FSAM</v>
          </cell>
          <cell r="D148" t="str">
            <v>NSW</v>
          </cell>
          <cell r="E148" t="str">
            <v>NSW South / ACT</v>
          </cell>
          <cell r="F148" t="str">
            <v>Steven Blewitt</v>
          </cell>
          <cell r="G148">
            <v>0.01</v>
          </cell>
          <cell r="H148">
            <v>0</v>
          </cell>
          <cell r="I148">
            <v>1E-3</v>
          </cell>
          <cell r="J148" t="str">
            <v>CI Received</v>
          </cell>
          <cell r="K148" t="str">
            <v>Civil Not Started</v>
          </cell>
        </row>
        <row r="149">
          <cell r="B149" t="str">
            <v>WAG2</v>
          </cell>
          <cell r="C149" t="str">
            <v>FSAM</v>
          </cell>
          <cell r="D149" t="str">
            <v>NSW</v>
          </cell>
          <cell r="E149" t="str">
            <v>NSW South / ACT</v>
          </cell>
          <cell r="F149" t="str">
            <v>Steven Blewitt</v>
          </cell>
          <cell r="G149">
            <v>0.01</v>
          </cell>
          <cell r="H149">
            <v>0</v>
          </cell>
          <cell r="I149">
            <v>1E-3</v>
          </cell>
          <cell r="J149" t="str">
            <v>CI Received</v>
          </cell>
          <cell r="K149" t="str">
            <v>Civil Not Started</v>
          </cell>
        </row>
        <row r="150">
          <cell r="B150" t="str">
            <v>WAG3</v>
          </cell>
          <cell r="C150" t="str">
            <v>FSAM</v>
          </cell>
          <cell r="D150" t="str">
            <v>NSW</v>
          </cell>
          <cell r="E150" t="str">
            <v>NSW South / ACT</v>
          </cell>
          <cell r="F150" t="str">
            <v>Steven Blewitt</v>
          </cell>
          <cell r="G150">
            <v>0.01</v>
          </cell>
          <cell r="H150">
            <v>0</v>
          </cell>
          <cell r="I150">
            <v>1E-3</v>
          </cell>
          <cell r="J150" t="str">
            <v>CI Received</v>
          </cell>
          <cell r="K150" t="str">
            <v>Civil Not Started</v>
          </cell>
        </row>
        <row r="151">
          <cell r="B151" t="str">
            <v>LJT9</v>
          </cell>
          <cell r="C151" t="str">
            <v>FSAM</v>
          </cell>
          <cell r="D151" t="str">
            <v>NSW</v>
          </cell>
          <cell r="E151" t="str">
            <v>Sydney East</v>
          </cell>
          <cell r="F151" t="str">
            <v>Adam Walsh</v>
          </cell>
          <cell r="G151">
            <v>0.01</v>
          </cell>
          <cell r="H151">
            <v>0</v>
          </cell>
          <cell r="I151">
            <v>1E-3</v>
          </cell>
          <cell r="J151" t="str">
            <v>CI Received</v>
          </cell>
          <cell r="K151" t="str">
            <v>Civil Not Started</v>
          </cell>
        </row>
        <row r="152">
          <cell r="B152" t="str">
            <v>BBE2</v>
          </cell>
          <cell r="C152" t="str">
            <v>FSAM</v>
          </cell>
          <cell r="D152" t="str">
            <v>QLD</v>
          </cell>
          <cell r="E152" t="str">
            <v>QLD South</v>
          </cell>
          <cell r="F152" t="str">
            <v>Alan Bassett</v>
          </cell>
          <cell r="G152">
            <v>0.01</v>
          </cell>
          <cell r="H152">
            <v>0</v>
          </cell>
          <cell r="I152">
            <v>1E-3</v>
          </cell>
          <cell r="J152" t="str">
            <v>CI Received</v>
          </cell>
          <cell r="K152" t="str">
            <v>Civil Not Started</v>
          </cell>
        </row>
        <row r="153">
          <cell r="B153" t="str">
            <v>GUL7</v>
          </cell>
          <cell r="C153" t="str">
            <v>FSAM</v>
          </cell>
          <cell r="D153" t="str">
            <v>QLD</v>
          </cell>
          <cell r="E153" t="str">
            <v>QLD North</v>
          </cell>
          <cell r="F153" t="str">
            <v>Sunil Nair</v>
          </cell>
          <cell r="G153">
            <v>0.01</v>
          </cell>
          <cell r="H153">
            <v>0</v>
          </cell>
          <cell r="I153">
            <v>1E-3</v>
          </cell>
          <cell r="J153" t="str">
            <v>CI Received</v>
          </cell>
          <cell r="K153" t="str">
            <v>Civil Not Started</v>
          </cell>
        </row>
        <row r="154">
          <cell r="B154" t="str">
            <v>IPS8</v>
          </cell>
          <cell r="C154" t="str">
            <v>FSAM</v>
          </cell>
          <cell r="D154" t="str">
            <v>QLD</v>
          </cell>
          <cell r="E154" t="str">
            <v>QLD Metro</v>
          </cell>
          <cell r="F154" t="str">
            <v>Col Higman</v>
          </cell>
          <cell r="G154">
            <v>0.01</v>
          </cell>
          <cell r="H154">
            <v>0</v>
          </cell>
          <cell r="I154">
            <v>1E-3</v>
          </cell>
          <cell r="J154" t="str">
            <v>CI Received</v>
          </cell>
          <cell r="K154" t="str">
            <v>Civil Not Started</v>
          </cell>
        </row>
        <row r="155">
          <cell r="B155" t="str">
            <v>NDG4</v>
          </cell>
          <cell r="C155" t="str">
            <v>FSAM</v>
          </cell>
          <cell r="D155" t="str">
            <v>QLD</v>
          </cell>
          <cell r="E155" t="str">
            <v>QLD Metro</v>
          </cell>
          <cell r="F155" t="str">
            <v>Jonathan Cogan</v>
          </cell>
          <cell r="G155">
            <v>0.01</v>
          </cell>
          <cell r="H155">
            <v>0</v>
          </cell>
          <cell r="I155">
            <v>1E-3</v>
          </cell>
          <cell r="J155" t="str">
            <v>CI Received</v>
          </cell>
          <cell r="K155" t="str">
            <v>Civil Not Started</v>
          </cell>
        </row>
        <row r="156">
          <cell r="B156" t="str">
            <v>TEE5</v>
          </cell>
          <cell r="C156" t="str">
            <v>FSAM</v>
          </cell>
          <cell r="D156" t="str">
            <v>NSW</v>
          </cell>
          <cell r="E156" t="str">
            <v>NSW North</v>
          </cell>
          <cell r="F156" t="str">
            <v>James Herden</v>
          </cell>
          <cell r="G156">
            <v>0.01</v>
          </cell>
          <cell r="H156">
            <v>0</v>
          </cell>
          <cell r="I156">
            <v>1E-3</v>
          </cell>
          <cell r="J156" t="str">
            <v>CI Received</v>
          </cell>
          <cell r="K156" t="str">
            <v>Civil Not Started</v>
          </cell>
        </row>
        <row r="157">
          <cell r="B157" t="str">
            <v>BLK10</v>
          </cell>
          <cell r="C157" t="str">
            <v>FSAM</v>
          </cell>
          <cell r="D157" t="str">
            <v>NSW</v>
          </cell>
          <cell r="E157" t="str">
            <v>Sydney East</v>
          </cell>
          <cell r="F157" t="str">
            <v>Damien Marov</v>
          </cell>
          <cell r="G157">
            <v>0.01</v>
          </cell>
          <cell r="H157">
            <v>0</v>
          </cell>
          <cell r="I157">
            <v>1E-3</v>
          </cell>
          <cell r="J157" t="str">
            <v>CI Received</v>
          </cell>
          <cell r="K157" t="str">
            <v>Civil Not Started</v>
          </cell>
        </row>
        <row r="158">
          <cell r="B158" t="str">
            <v>GOS8</v>
          </cell>
          <cell r="C158" t="str">
            <v>FSAM</v>
          </cell>
          <cell r="D158" t="str">
            <v>NSW</v>
          </cell>
          <cell r="E158" t="str">
            <v>Sydney East</v>
          </cell>
          <cell r="F158" t="str">
            <v>Adam Walsh</v>
          </cell>
          <cell r="G158">
            <v>0.01</v>
          </cell>
          <cell r="H158">
            <v>0</v>
          </cell>
          <cell r="I158">
            <v>1E-3</v>
          </cell>
          <cell r="J158" t="str">
            <v>CI Received</v>
          </cell>
          <cell r="K158" t="str">
            <v>Civil Not Started</v>
          </cell>
        </row>
        <row r="159">
          <cell r="B159" t="str">
            <v>LIV4</v>
          </cell>
          <cell r="C159" t="str">
            <v>FSAM</v>
          </cell>
          <cell r="D159" t="str">
            <v>NSW</v>
          </cell>
          <cell r="E159" t="str">
            <v>Sydney West</v>
          </cell>
          <cell r="F159" t="str">
            <v>Damien Marov</v>
          </cell>
          <cell r="G159">
            <v>0.01</v>
          </cell>
          <cell r="H159">
            <v>0</v>
          </cell>
          <cell r="I159">
            <v>1E-3</v>
          </cell>
          <cell r="J159" t="str">
            <v>CI Received</v>
          </cell>
          <cell r="K159" t="str">
            <v>Civil Not Started</v>
          </cell>
        </row>
        <row r="160">
          <cell r="B160" t="str">
            <v>LJT5</v>
          </cell>
          <cell r="C160" t="str">
            <v>FSAM</v>
          </cell>
          <cell r="D160" t="str">
            <v>NSW</v>
          </cell>
          <cell r="E160" t="str">
            <v>Sydney East</v>
          </cell>
          <cell r="F160" t="str">
            <v>Adam Walsh</v>
          </cell>
          <cell r="G160">
            <v>0.01</v>
          </cell>
          <cell r="H160">
            <v>0</v>
          </cell>
          <cell r="I160">
            <v>1E-3</v>
          </cell>
          <cell r="J160" t="str">
            <v>CI Received</v>
          </cell>
          <cell r="K160" t="str">
            <v>Civil Not Started</v>
          </cell>
        </row>
        <row r="161">
          <cell r="B161" t="str">
            <v>LJT8</v>
          </cell>
          <cell r="C161" t="str">
            <v>FSAM</v>
          </cell>
          <cell r="D161" t="str">
            <v>NSW</v>
          </cell>
          <cell r="E161" t="str">
            <v>Sydney East</v>
          </cell>
          <cell r="F161" t="str">
            <v>Adam Walsh</v>
          </cell>
          <cell r="G161">
            <v>0.01</v>
          </cell>
          <cell r="H161">
            <v>0</v>
          </cell>
          <cell r="I161">
            <v>1E-3</v>
          </cell>
          <cell r="J161" t="str">
            <v>CI Received</v>
          </cell>
          <cell r="K161" t="str">
            <v>Civil Not Started</v>
          </cell>
        </row>
        <row r="162">
          <cell r="B162" t="str">
            <v>MAI3</v>
          </cell>
          <cell r="C162" t="str">
            <v>FSAM</v>
          </cell>
          <cell r="D162" t="str">
            <v>NSW</v>
          </cell>
          <cell r="E162" t="str">
            <v>NSW North</v>
          </cell>
          <cell r="F162" t="str">
            <v>James Herden</v>
          </cell>
          <cell r="G162">
            <v>0.01</v>
          </cell>
          <cell r="H162">
            <v>0</v>
          </cell>
          <cell r="I162">
            <v>1E-3</v>
          </cell>
          <cell r="J162" t="str">
            <v>CI Received</v>
          </cell>
          <cell r="K162" t="str">
            <v>Civil Not Started</v>
          </cell>
        </row>
        <row r="163">
          <cell r="B163" t="str">
            <v>RCH7</v>
          </cell>
          <cell r="C163" t="str">
            <v>FSAM</v>
          </cell>
          <cell r="D163" t="str">
            <v>NSW</v>
          </cell>
          <cell r="E163" t="str">
            <v>NSW South / ACT</v>
          </cell>
          <cell r="F163" t="str">
            <v>Damien Marov</v>
          </cell>
          <cell r="G163">
            <v>0.01</v>
          </cell>
          <cell r="H163">
            <v>0</v>
          </cell>
          <cell r="I163">
            <v>1E-3</v>
          </cell>
          <cell r="J163" t="str">
            <v>CI Received</v>
          </cell>
          <cell r="K163" t="str">
            <v>Civil Not Started</v>
          </cell>
        </row>
        <row r="164">
          <cell r="B164" t="str">
            <v>WLG5</v>
          </cell>
          <cell r="C164" t="str">
            <v>FSAM</v>
          </cell>
          <cell r="D164" t="str">
            <v>NSW</v>
          </cell>
          <cell r="E164" t="str">
            <v>NSW South / ACT</v>
          </cell>
          <cell r="F164" t="str">
            <v>Steven Blewitt</v>
          </cell>
          <cell r="G164">
            <v>0.01</v>
          </cell>
          <cell r="H164">
            <v>0</v>
          </cell>
          <cell r="I164">
            <v>1E-3</v>
          </cell>
          <cell r="J164" t="str">
            <v>CI Received</v>
          </cell>
          <cell r="K164" t="str">
            <v>Civil Not Started</v>
          </cell>
        </row>
        <row r="165">
          <cell r="B165" t="str">
            <v>APL5</v>
          </cell>
          <cell r="C165" t="str">
            <v>FSAM</v>
          </cell>
          <cell r="D165" t="str">
            <v>QLD</v>
          </cell>
          <cell r="E165" t="str">
            <v>QLD Metro</v>
          </cell>
          <cell r="F165" t="str">
            <v>Jonathan Cogan</v>
          </cell>
          <cell r="G165">
            <v>0.01</v>
          </cell>
          <cell r="H165">
            <v>0</v>
          </cell>
          <cell r="I165">
            <v>1E-3</v>
          </cell>
          <cell r="J165" t="str">
            <v>CI Received</v>
          </cell>
          <cell r="K165" t="str">
            <v>Civil Not Started</v>
          </cell>
        </row>
        <row r="166">
          <cell r="B166" t="str">
            <v>APL6</v>
          </cell>
          <cell r="C166" t="str">
            <v>FSAM</v>
          </cell>
          <cell r="D166" t="str">
            <v>QLD</v>
          </cell>
          <cell r="E166" t="str">
            <v>QLD Metro</v>
          </cell>
          <cell r="F166" t="str">
            <v>Jonathan Cogan</v>
          </cell>
          <cell r="G166">
            <v>0.01</v>
          </cell>
          <cell r="H166">
            <v>0</v>
          </cell>
          <cell r="I166">
            <v>1E-3</v>
          </cell>
          <cell r="J166" t="str">
            <v>CI Received</v>
          </cell>
          <cell r="K166" t="str">
            <v>Civil Not Started</v>
          </cell>
        </row>
        <row r="167">
          <cell r="B167" t="str">
            <v>ASH1</v>
          </cell>
          <cell r="C167" t="str">
            <v>FSAM</v>
          </cell>
          <cell r="D167" t="str">
            <v>QLD</v>
          </cell>
          <cell r="E167" t="str">
            <v>QLD Metro</v>
          </cell>
          <cell r="F167" t="str">
            <v>Jonathan Cogan</v>
          </cell>
          <cell r="G167">
            <v>0.01</v>
          </cell>
          <cell r="H167">
            <v>0</v>
          </cell>
          <cell r="I167">
            <v>1E-3</v>
          </cell>
          <cell r="J167" t="str">
            <v>CI Received</v>
          </cell>
          <cell r="K167" t="str">
            <v>Civil Not Started</v>
          </cell>
        </row>
        <row r="168">
          <cell r="B168" t="str">
            <v>ASH2</v>
          </cell>
          <cell r="C168" t="str">
            <v>FSAM</v>
          </cell>
          <cell r="D168" t="str">
            <v>QLD</v>
          </cell>
          <cell r="E168" t="str">
            <v>QLD Metro</v>
          </cell>
          <cell r="F168" t="str">
            <v>Jonathan Cogan</v>
          </cell>
          <cell r="G168">
            <v>0.01</v>
          </cell>
          <cell r="H168">
            <v>0</v>
          </cell>
          <cell r="I168">
            <v>1E-3</v>
          </cell>
          <cell r="J168" t="str">
            <v>CI Received</v>
          </cell>
          <cell r="K168" t="str">
            <v>Civil Not Started</v>
          </cell>
        </row>
        <row r="169">
          <cell r="B169" t="str">
            <v>ASH3</v>
          </cell>
          <cell r="C169" t="str">
            <v>FSAM</v>
          </cell>
          <cell r="D169" t="str">
            <v>QLD</v>
          </cell>
          <cell r="E169" t="str">
            <v>QLD Metro</v>
          </cell>
          <cell r="F169" t="str">
            <v>Jonathan Cogan</v>
          </cell>
          <cell r="G169">
            <v>0.01</v>
          </cell>
          <cell r="H169">
            <v>0</v>
          </cell>
          <cell r="I169">
            <v>1E-3</v>
          </cell>
          <cell r="J169" t="str">
            <v>CI Received</v>
          </cell>
          <cell r="K169" t="str">
            <v>Civil Not Started</v>
          </cell>
        </row>
        <row r="170">
          <cell r="B170" t="str">
            <v>BBE1</v>
          </cell>
          <cell r="C170" t="str">
            <v>FSAM</v>
          </cell>
          <cell r="D170" t="str">
            <v>QLD</v>
          </cell>
          <cell r="E170" t="str">
            <v>QLD North</v>
          </cell>
          <cell r="F170" t="str">
            <v>Alan Bassett</v>
          </cell>
          <cell r="G170">
            <v>0.01</v>
          </cell>
          <cell r="H170">
            <v>0</v>
          </cell>
          <cell r="I170">
            <v>1E-3</v>
          </cell>
          <cell r="J170" t="str">
            <v>CI Received</v>
          </cell>
          <cell r="K170" t="str">
            <v>Civil Not Started</v>
          </cell>
        </row>
        <row r="171">
          <cell r="B171" t="str">
            <v>CAI5</v>
          </cell>
          <cell r="C171" t="str">
            <v>FSAM</v>
          </cell>
          <cell r="D171" t="str">
            <v>QLD</v>
          </cell>
          <cell r="E171" t="str">
            <v>QLD North</v>
          </cell>
          <cell r="F171" t="str">
            <v>Sunil Nair</v>
          </cell>
          <cell r="G171">
            <v>0.01</v>
          </cell>
          <cell r="H171">
            <v>0</v>
          </cell>
          <cell r="I171">
            <v>1E-3</v>
          </cell>
          <cell r="J171" t="str">
            <v>CI Received</v>
          </cell>
          <cell r="K171" t="str">
            <v>Civil Not Started</v>
          </cell>
        </row>
        <row r="172">
          <cell r="B172" t="str">
            <v>GDN7</v>
          </cell>
          <cell r="C172" t="str">
            <v>FSAM</v>
          </cell>
          <cell r="D172" t="str">
            <v>QLD</v>
          </cell>
          <cell r="E172" t="str">
            <v>QLD Metro</v>
          </cell>
          <cell r="F172" t="str">
            <v>Jonathan Cogan</v>
          </cell>
          <cell r="G172">
            <v>0.01</v>
          </cell>
          <cell r="H172">
            <v>0</v>
          </cell>
          <cell r="I172">
            <v>1E-3</v>
          </cell>
          <cell r="J172" t="str">
            <v>CI Received</v>
          </cell>
          <cell r="K172" t="str">
            <v>Civil Not Started</v>
          </cell>
        </row>
        <row r="173">
          <cell r="B173" t="str">
            <v>GDN8</v>
          </cell>
          <cell r="C173" t="str">
            <v>FSAM</v>
          </cell>
          <cell r="D173" t="str">
            <v>QLD</v>
          </cell>
          <cell r="E173" t="str">
            <v>QLD Metro</v>
          </cell>
          <cell r="F173" t="str">
            <v>Jonathan Cogan</v>
          </cell>
          <cell r="G173">
            <v>0.01</v>
          </cell>
          <cell r="H173">
            <v>0</v>
          </cell>
          <cell r="I173">
            <v>1E-3</v>
          </cell>
          <cell r="J173" t="str">
            <v>CI Received</v>
          </cell>
          <cell r="K173" t="str">
            <v>Civil Not Started</v>
          </cell>
        </row>
        <row r="174">
          <cell r="B174" t="str">
            <v>KLG4</v>
          </cell>
          <cell r="C174" t="str">
            <v>FSAM</v>
          </cell>
          <cell r="D174" t="str">
            <v>QLD</v>
          </cell>
          <cell r="E174" t="str">
            <v>QLD Metro</v>
          </cell>
          <cell r="F174" t="str">
            <v>Jonathan Cogan</v>
          </cell>
          <cell r="G174">
            <v>0.01</v>
          </cell>
          <cell r="H174">
            <v>0</v>
          </cell>
          <cell r="I174">
            <v>1E-3</v>
          </cell>
          <cell r="J174" t="str">
            <v>CI Received</v>
          </cell>
          <cell r="K174" t="str">
            <v>Civil Not Started</v>
          </cell>
        </row>
        <row r="175">
          <cell r="B175" t="str">
            <v>ROT1</v>
          </cell>
          <cell r="C175" t="str">
            <v>FSAM</v>
          </cell>
          <cell r="D175" t="str">
            <v>QLD</v>
          </cell>
          <cell r="E175" t="str">
            <v>QLD South</v>
          </cell>
          <cell r="F175" t="str">
            <v>Alan Bassett</v>
          </cell>
          <cell r="G175">
            <v>0.01</v>
          </cell>
          <cell r="H175">
            <v>0</v>
          </cell>
          <cell r="I175">
            <v>1E-3</v>
          </cell>
          <cell r="J175" t="str">
            <v>CI Received</v>
          </cell>
          <cell r="K175" t="str">
            <v>Civil Not Started</v>
          </cell>
        </row>
        <row r="176">
          <cell r="B176" t="str">
            <v>ROT2</v>
          </cell>
          <cell r="C176" t="str">
            <v>FSAM</v>
          </cell>
          <cell r="D176" t="str">
            <v>QLD</v>
          </cell>
          <cell r="E176" t="str">
            <v>QLD South</v>
          </cell>
          <cell r="F176" t="str">
            <v>Alan Bassett</v>
          </cell>
          <cell r="G176">
            <v>0.01</v>
          </cell>
          <cell r="H176">
            <v>0</v>
          </cell>
          <cell r="I176">
            <v>1E-3</v>
          </cell>
          <cell r="J176" t="str">
            <v>CI Received</v>
          </cell>
          <cell r="K176" t="str">
            <v>Civil Not Started</v>
          </cell>
        </row>
        <row r="177">
          <cell r="B177" t="str">
            <v>ROT3</v>
          </cell>
          <cell r="C177" t="str">
            <v>FSAM</v>
          </cell>
          <cell r="D177" t="str">
            <v>QLD</v>
          </cell>
          <cell r="E177" t="str">
            <v>QLD South</v>
          </cell>
          <cell r="F177" t="str">
            <v>Alan Bassett</v>
          </cell>
          <cell r="G177">
            <v>0.01</v>
          </cell>
          <cell r="H177">
            <v>0</v>
          </cell>
          <cell r="I177">
            <v>1E-3</v>
          </cell>
          <cell r="J177" t="str">
            <v>CI Received</v>
          </cell>
          <cell r="K177" t="str">
            <v>Civil Not Started</v>
          </cell>
        </row>
        <row r="178">
          <cell r="B178" t="str">
            <v>SGI1</v>
          </cell>
          <cell r="C178" t="str">
            <v>FSAM</v>
          </cell>
          <cell r="D178" t="str">
            <v>QLD</v>
          </cell>
          <cell r="E178" t="str">
            <v>QLD Metro</v>
          </cell>
          <cell r="F178" t="str">
            <v>Jonathan Cogan</v>
          </cell>
          <cell r="G178">
            <v>0.01</v>
          </cell>
          <cell r="H178">
            <v>0</v>
          </cell>
          <cell r="I178">
            <v>1E-3</v>
          </cell>
          <cell r="J178" t="str">
            <v>CI Received</v>
          </cell>
          <cell r="K178" t="str">
            <v>Civil Not Started</v>
          </cell>
        </row>
        <row r="179">
          <cell r="B179" t="str">
            <v>SLA1</v>
          </cell>
          <cell r="C179" t="str">
            <v>FSAM</v>
          </cell>
          <cell r="D179" t="str">
            <v>QLD</v>
          </cell>
          <cell r="E179" t="str">
            <v>QLD Metro</v>
          </cell>
          <cell r="F179" t="str">
            <v>Jonathan Cogan</v>
          </cell>
          <cell r="G179">
            <v>0.01</v>
          </cell>
          <cell r="H179">
            <v>0</v>
          </cell>
          <cell r="I179">
            <v>1E-3</v>
          </cell>
          <cell r="J179" t="str">
            <v>CI Received</v>
          </cell>
          <cell r="K179" t="str">
            <v>Civil Not Started</v>
          </cell>
        </row>
        <row r="180">
          <cell r="B180" t="str">
            <v>SLA2</v>
          </cell>
          <cell r="C180" t="str">
            <v>FSAM</v>
          </cell>
          <cell r="D180" t="str">
            <v>QLD</v>
          </cell>
          <cell r="E180" t="str">
            <v>QLD Metro</v>
          </cell>
          <cell r="F180" t="str">
            <v>Jonathan Cogan</v>
          </cell>
          <cell r="G180">
            <v>0.01</v>
          </cell>
          <cell r="H180">
            <v>0</v>
          </cell>
          <cell r="I180">
            <v>1E-3</v>
          </cell>
          <cell r="J180" t="str">
            <v>CI Received</v>
          </cell>
          <cell r="K180" t="str">
            <v>Civil Not Started</v>
          </cell>
        </row>
        <row r="181">
          <cell r="B181" t="str">
            <v>SLA3</v>
          </cell>
          <cell r="C181" t="str">
            <v>FSAM</v>
          </cell>
          <cell r="D181" t="str">
            <v>QLD</v>
          </cell>
          <cell r="E181" t="str">
            <v>QLD Metro</v>
          </cell>
          <cell r="F181" t="str">
            <v>Jonathan Cogan</v>
          </cell>
          <cell r="G181">
            <v>0.01</v>
          </cell>
          <cell r="H181">
            <v>0</v>
          </cell>
          <cell r="I181">
            <v>1E-3</v>
          </cell>
          <cell r="J181" t="str">
            <v>CI Received</v>
          </cell>
          <cell r="K181" t="str">
            <v>Civil Not Started</v>
          </cell>
        </row>
        <row r="182">
          <cell r="B182" t="str">
            <v>CVI3</v>
          </cell>
          <cell r="C182" t="str">
            <v>FSAM</v>
          </cell>
          <cell r="D182" t="str">
            <v>NSW</v>
          </cell>
          <cell r="E182" t="str">
            <v>NSW South / ACT</v>
          </cell>
          <cell r="F182" t="str">
            <v>James Herden</v>
          </cell>
          <cell r="G182">
            <v>0.5</v>
          </cell>
          <cell r="H182">
            <v>0</v>
          </cell>
          <cell r="I182">
            <v>0.05</v>
          </cell>
          <cell r="J182" t="str">
            <v>Gate 1 Submitted</v>
          </cell>
          <cell r="K182" t="str">
            <v>Civil Not Started</v>
          </cell>
        </row>
        <row r="183">
          <cell r="B183" t="str">
            <v>CVI4</v>
          </cell>
          <cell r="C183" t="str">
            <v>FSAM</v>
          </cell>
          <cell r="D183" t="str">
            <v>NSW</v>
          </cell>
          <cell r="E183" t="str">
            <v>NSW South / ACT</v>
          </cell>
          <cell r="F183" t="str">
            <v>Steven Blewitt</v>
          </cell>
          <cell r="G183">
            <v>0.01</v>
          </cell>
          <cell r="H183">
            <v>0</v>
          </cell>
          <cell r="I183">
            <v>1E-3</v>
          </cell>
          <cell r="J183" t="str">
            <v>CI Received</v>
          </cell>
          <cell r="K183" t="str">
            <v>Civil Not Started</v>
          </cell>
        </row>
        <row r="184">
          <cell r="B184" t="str">
            <v>CVI5</v>
          </cell>
          <cell r="C184" t="str">
            <v>FSAM</v>
          </cell>
          <cell r="D184" t="str">
            <v>NSW</v>
          </cell>
          <cell r="E184" t="str">
            <v>NSW South / ACT</v>
          </cell>
          <cell r="F184" t="str">
            <v>Steven Blewitt</v>
          </cell>
          <cell r="G184">
            <v>0.01</v>
          </cell>
          <cell r="H184">
            <v>0</v>
          </cell>
          <cell r="I184">
            <v>1E-3</v>
          </cell>
          <cell r="J184" t="str">
            <v>CI Received</v>
          </cell>
          <cell r="K184" t="str">
            <v>Civil Not Started</v>
          </cell>
        </row>
        <row r="185">
          <cell r="B185" t="str">
            <v>CVI6</v>
          </cell>
          <cell r="C185" t="str">
            <v>FSAM</v>
          </cell>
          <cell r="D185" t="str">
            <v>NSW</v>
          </cell>
          <cell r="E185" t="str">
            <v>NSW South / ACT</v>
          </cell>
          <cell r="F185" t="str">
            <v>Damien Marov</v>
          </cell>
          <cell r="G185">
            <v>0.01</v>
          </cell>
          <cell r="H185">
            <v>0</v>
          </cell>
          <cell r="I185">
            <v>1E-3</v>
          </cell>
          <cell r="J185" t="str">
            <v>CI Received</v>
          </cell>
          <cell r="K185" t="str">
            <v>Civil Not Started</v>
          </cell>
        </row>
        <row r="186">
          <cell r="B186" t="str">
            <v>QBN4</v>
          </cell>
          <cell r="C186" t="str">
            <v>FSAM</v>
          </cell>
          <cell r="D186" t="str">
            <v>NSW</v>
          </cell>
          <cell r="E186" t="str">
            <v>NSW South / ACT</v>
          </cell>
          <cell r="F186" t="str">
            <v>Steven Blewitt</v>
          </cell>
          <cell r="G186">
            <v>0.01</v>
          </cell>
          <cell r="H186">
            <v>0</v>
          </cell>
          <cell r="I186">
            <v>1E-3</v>
          </cell>
          <cell r="J186" t="str">
            <v>CI Received</v>
          </cell>
          <cell r="K186" t="str">
            <v>Civil Not Started</v>
          </cell>
        </row>
        <row r="187">
          <cell r="B187" t="str">
            <v>TNS7</v>
          </cell>
          <cell r="C187" t="str">
            <v>FSAM</v>
          </cell>
          <cell r="D187" t="str">
            <v>QLD</v>
          </cell>
          <cell r="E187" t="str">
            <v>QLD North</v>
          </cell>
          <cell r="F187" t="str">
            <v>Sunil Nair</v>
          </cell>
          <cell r="G187">
            <v>0</v>
          </cell>
          <cell r="H187">
            <v>0</v>
          </cell>
          <cell r="I187">
            <v>0</v>
          </cell>
          <cell r="J187" t="str">
            <v>CI Not Received</v>
          </cell>
          <cell r="K187" t="str">
            <v>Civil Not Started</v>
          </cell>
        </row>
        <row r="188">
          <cell r="B188" t="str">
            <v>HOM5</v>
          </cell>
          <cell r="C188" t="str">
            <v>FSAM</v>
          </cell>
          <cell r="D188" t="str">
            <v>NSW</v>
          </cell>
          <cell r="E188" t="str">
            <v>Sydney East</v>
          </cell>
          <cell r="F188" t="str">
            <v>Adam Walsh</v>
          </cell>
          <cell r="G188">
            <v>0</v>
          </cell>
          <cell r="H188">
            <v>0</v>
          </cell>
          <cell r="I188">
            <v>0</v>
          </cell>
          <cell r="J188" t="str">
            <v>CI Not Received</v>
          </cell>
          <cell r="K188" t="str">
            <v>Civil Not Started</v>
          </cell>
        </row>
        <row r="189">
          <cell r="B189" t="str">
            <v>WLG8</v>
          </cell>
          <cell r="C189" t="str">
            <v>FSAM</v>
          </cell>
          <cell r="D189" t="str">
            <v>NSW</v>
          </cell>
          <cell r="E189" t="str">
            <v>NSW South / ACT</v>
          </cell>
          <cell r="F189" t="str">
            <v>Steven Blewitt</v>
          </cell>
          <cell r="G189">
            <v>0</v>
          </cell>
          <cell r="H189">
            <v>0</v>
          </cell>
          <cell r="I189">
            <v>0</v>
          </cell>
          <cell r="J189" t="str">
            <v>CI Not Received</v>
          </cell>
          <cell r="K189" t="str">
            <v>Civil Not Started</v>
          </cell>
        </row>
        <row r="190">
          <cell r="B190" t="str">
            <v>BLC1</v>
          </cell>
          <cell r="C190" t="str">
            <v>FSAM</v>
          </cell>
          <cell r="D190" t="str">
            <v>NSW</v>
          </cell>
          <cell r="E190" t="str">
            <v>NSW South / ACT</v>
          </cell>
          <cell r="F190" t="str">
            <v>Steven Blewitt</v>
          </cell>
          <cell r="G190">
            <v>0</v>
          </cell>
          <cell r="H190">
            <v>0</v>
          </cell>
          <cell r="I190">
            <v>0</v>
          </cell>
          <cell r="J190" t="str">
            <v>CI Not Received</v>
          </cell>
          <cell r="K190" t="str">
            <v>Civil Not Started</v>
          </cell>
        </row>
        <row r="191">
          <cell r="B191" t="str">
            <v>BLC4</v>
          </cell>
          <cell r="C191" t="str">
            <v>FSAM</v>
          </cell>
          <cell r="D191" t="str">
            <v>NSW</v>
          </cell>
          <cell r="E191" t="str">
            <v>NSW South / ACT</v>
          </cell>
          <cell r="F191" t="str">
            <v>Steven Blewitt</v>
          </cell>
          <cell r="G191">
            <v>0</v>
          </cell>
          <cell r="H191">
            <v>0</v>
          </cell>
          <cell r="I191">
            <v>0</v>
          </cell>
          <cell r="J191" t="str">
            <v>CI Not Received</v>
          </cell>
          <cell r="K191" t="str">
            <v>Civil Not Started</v>
          </cell>
        </row>
        <row r="192">
          <cell r="B192" t="str">
            <v>WLG9</v>
          </cell>
          <cell r="C192" t="str">
            <v>FSAM</v>
          </cell>
          <cell r="D192" t="str">
            <v>NSW</v>
          </cell>
          <cell r="E192" t="str">
            <v>NSW South / ACT</v>
          </cell>
          <cell r="F192" t="str">
            <v>Steven Blewitt</v>
          </cell>
          <cell r="G192">
            <v>0</v>
          </cell>
          <cell r="H192">
            <v>0</v>
          </cell>
          <cell r="I192">
            <v>0</v>
          </cell>
          <cell r="J192" t="str">
            <v>CI Not Received</v>
          </cell>
          <cell r="K192" t="str">
            <v>Civil Not Started</v>
          </cell>
        </row>
        <row r="193">
          <cell r="B193" t="str">
            <v>BLC3</v>
          </cell>
          <cell r="C193" t="str">
            <v>FSAM</v>
          </cell>
          <cell r="D193" t="str">
            <v>NSW</v>
          </cell>
          <cell r="E193" t="str">
            <v>NSW South / ACT</v>
          </cell>
          <cell r="F193" t="str">
            <v>Steven Blewitt</v>
          </cell>
          <cell r="G193">
            <v>0</v>
          </cell>
          <cell r="H193">
            <v>0</v>
          </cell>
          <cell r="I193">
            <v>0</v>
          </cell>
          <cell r="J193" t="str">
            <v>CI Not Received</v>
          </cell>
          <cell r="K193" t="str">
            <v>Civil Not Started</v>
          </cell>
        </row>
        <row r="194">
          <cell r="B194" t="str">
            <v>GRN1</v>
          </cell>
          <cell r="C194" t="str">
            <v>FSAM</v>
          </cell>
          <cell r="D194" t="str">
            <v>NSW</v>
          </cell>
          <cell r="E194" t="str">
            <v>NSW North</v>
          </cell>
          <cell r="F194" t="str">
            <v>James Herden</v>
          </cell>
          <cell r="G194">
            <v>0</v>
          </cell>
          <cell r="H194">
            <v>0</v>
          </cell>
          <cell r="I194">
            <v>0</v>
          </cell>
          <cell r="J194" t="str">
            <v>CI Not Received</v>
          </cell>
          <cell r="K194" t="str">
            <v>Civil Not Started</v>
          </cell>
        </row>
        <row r="195">
          <cell r="B195" t="str">
            <v>SOP2</v>
          </cell>
          <cell r="C195" t="str">
            <v>FSAM</v>
          </cell>
          <cell r="D195" t="str">
            <v>QLD</v>
          </cell>
          <cell r="E195" t="str">
            <v>QLD Metro</v>
          </cell>
          <cell r="F195" t="str">
            <v>Jonathan Cogan</v>
          </cell>
          <cell r="G195">
            <v>0</v>
          </cell>
          <cell r="H195">
            <v>0</v>
          </cell>
          <cell r="I195">
            <v>0</v>
          </cell>
          <cell r="J195" t="str">
            <v>CI Not Received</v>
          </cell>
          <cell r="K195" t="str">
            <v>Civil Not Started</v>
          </cell>
        </row>
        <row r="196">
          <cell r="B196" t="str">
            <v>TNS8</v>
          </cell>
          <cell r="C196" t="str">
            <v>FSAM</v>
          </cell>
          <cell r="D196" t="str">
            <v>QLD</v>
          </cell>
          <cell r="E196" t="str">
            <v>QLD North</v>
          </cell>
          <cell r="F196" t="str">
            <v>Sunil Nair</v>
          </cell>
          <cell r="G196">
            <v>0</v>
          </cell>
          <cell r="H196">
            <v>0</v>
          </cell>
          <cell r="I196">
            <v>0</v>
          </cell>
          <cell r="J196" t="str">
            <v>CI Not Received</v>
          </cell>
          <cell r="K196" t="str">
            <v>Civil Not Started</v>
          </cell>
        </row>
        <row r="197">
          <cell r="B197" t="str">
            <v>BLC2</v>
          </cell>
          <cell r="C197" t="str">
            <v>FSAM</v>
          </cell>
          <cell r="D197" t="str">
            <v>NSW</v>
          </cell>
          <cell r="E197" t="str">
            <v>NSW South / ACT</v>
          </cell>
          <cell r="F197" t="str">
            <v>Steven Blewitt</v>
          </cell>
          <cell r="G197">
            <v>0</v>
          </cell>
          <cell r="H197">
            <v>0</v>
          </cell>
          <cell r="I197">
            <v>0</v>
          </cell>
          <cell r="J197" t="str">
            <v>CI Not Received</v>
          </cell>
          <cell r="K197" t="str">
            <v>Civil Not Started</v>
          </cell>
        </row>
        <row r="198">
          <cell r="B198" t="str">
            <v>CAS3</v>
          </cell>
          <cell r="C198" t="str">
            <v>FSAM</v>
          </cell>
          <cell r="D198" t="str">
            <v>NSW</v>
          </cell>
          <cell r="E198" t="str">
            <v>Sydney East</v>
          </cell>
          <cell r="F198" t="str">
            <v>Adam Walsh</v>
          </cell>
          <cell r="G198">
            <v>0</v>
          </cell>
          <cell r="H198">
            <v>0</v>
          </cell>
          <cell r="I198">
            <v>0</v>
          </cell>
          <cell r="J198" t="str">
            <v>CI Not Received</v>
          </cell>
          <cell r="K198" t="str">
            <v>Civil Not Started</v>
          </cell>
        </row>
        <row r="199">
          <cell r="B199" t="str">
            <v>GRN2</v>
          </cell>
          <cell r="C199" t="str">
            <v>FSAM</v>
          </cell>
          <cell r="D199" t="str">
            <v>NSW</v>
          </cell>
          <cell r="E199" t="str">
            <v>NSW North</v>
          </cell>
          <cell r="F199" t="str">
            <v>James Herden</v>
          </cell>
          <cell r="G199">
            <v>0</v>
          </cell>
          <cell r="H199">
            <v>0</v>
          </cell>
          <cell r="I199">
            <v>0</v>
          </cell>
          <cell r="J199" t="str">
            <v>CI Not Received</v>
          </cell>
          <cell r="K199" t="str">
            <v>Civil Not Started</v>
          </cell>
        </row>
        <row r="200">
          <cell r="B200" t="str">
            <v>GRN3</v>
          </cell>
          <cell r="C200" t="str">
            <v>FSAM</v>
          </cell>
          <cell r="D200" t="str">
            <v>NSW</v>
          </cell>
          <cell r="E200" t="str">
            <v>NSW North</v>
          </cell>
          <cell r="F200" t="str">
            <v>James Herden</v>
          </cell>
          <cell r="G200">
            <v>0</v>
          </cell>
          <cell r="H200">
            <v>0</v>
          </cell>
          <cell r="I200">
            <v>0</v>
          </cell>
          <cell r="J200" t="str">
            <v>CI Not Received</v>
          </cell>
          <cell r="K200" t="str">
            <v>Civil Not Started</v>
          </cell>
        </row>
        <row r="201">
          <cell r="B201" t="str">
            <v>HOM6</v>
          </cell>
          <cell r="C201" t="str">
            <v>FSAM</v>
          </cell>
          <cell r="D201" t="str">
            <v>NSW</v>
          </cell>
          <cell r="E201" t="str">
            <v>Sydney East</v>
          </cell>
          <cell r="F201" t="str">
            <v>Adam Walsh</v>
          </cell>
          <cell r="G201">
            <v>0</v>
          </cell>
          <cell r="H201">
            <v>0</v>
          </cell>
          <cell r="I201">
            <v>0</v>
          </cell>
          <cell r="J201" t="str">
            <v>CI Not Received</v>
          </cell>
          <cell r="K201" t="str">
            <v>Civil Not Started</v>
          </cell>
        </row>
        <row r="202">
          <cell r="B202" t="str">
            <v>MAI7</v>
          </cell>
          <cell r="C202" t="str">
            <v>FSAM</v>
          </cell>
          <cell r="D202" t="str">
            <v>NSW</v>
          </cell>
          <cell r="E202" t="str">
            <v>NSW North</v>
          </cell>
          <cell r="F202" t="str">
            <v>James Herden</v>
          </cell>
          <cell r="G202">
            <v>0</v>
          </cell>
          <cell r="H202">
            <v>0</v>
          </cell>
          <cell r="I202">
            <v>0</v>
          </cell>
          <cell r="J202" t="str">
            <v>CI Not Received</v>
          </cell>
          <cell r="K202" t="str">
            <v>Civil Not Started</v>
          </cell>
        </row>
        <row r="203">
          <cell r="B203" t="str">
            <v>PTH8</v>
          </cell>
          <cell r="C203" t="str">
            <v>FSAM</v>
          </cell>
          <cell r="D203" t="str">
            <v>NSW</v>
          </cell>
          <cell r="E203" t="str">
            <v>Sydney West</v>
          </cell>
          <cell r="F203" t="str">
            <v>Damien Marov</v>
          </cell>
          <cell r="G203">
            <v>0</v>
          </cell>
          <cell r="H203">
            <v>0</v>
          </cell>
          <cell r="I203">
            <v>0</v>
          </cell>
          <cell r="J203" t="str">
            <v>CI Not Received</v>
          </cell>
          <cell r="K203" t="str">
            <v>Civil Not Started</v>
          </cell>
        </row>
        <row r="204">
          <cell r="B204" t="str">
            <v>EDG1</v>
          </cell>
          <cell r="C204" t="str">
            <v>FSAM</v>
          </cell>
          <cell r="D204" t="str">
            <v>QLD</v>
          </cell>
          <cell r="E204" t="str">
            <v>QLD North</v>
          </cell>
          <cell r="F204" t="str">
            <v>Sunil Nair</v>
          </cell>
          <cell r="G204">
            <v>0</v>
          </cell>
          <cell r="H204">
            <v>0</v>
          </cell>
          <cell r="I204">
            <v>0</v>
          </cell>
          <cell r="J204" t="str">
            <v>CI Not Received</v>
          </cell>
          <cell r="K204" t="str">
            <v>Civil Not Started</v>
          </cell>
        </row>
        <row r="205">
          <cell r="B205" t="str">
            <v>EDG2</v>
          </cell>
          <cell r="C205" t="str">
            <v>FSAM</v>
          </cell>
          <cell r="D205" t="str">
            <v>QLD</v>
          </cell>
          <cell r="E205" t="str">
            <v>QLD North</v>
          </cell>
          <cell r="F205" t="str">
            <v>Sunil Nair</v>
          </cell>
          <cell r="G205">
            <v>0</v>
          </cell>
          <cell r="H205">
            <v>0</v>
          </cell>
          <cell r="I205">
            <v>0</v>
          </cell>
          <cell r="J205" t="str">
            <v>CI Not Received</v>
          </cell>
          <cell r="K205" t="str">
            <v>Civil Not Started</v>
          </cell>
        </row>
        <row r="206">
          <cell r="B206" t="str">
            <v>KLG6</v>
          </cell>
          <cell r="C206" t="str">
            <v>FSAM</v>
          </cell>
          <cell r="D206" t="str">
            <v>QLD</v>
          </cell>
          <cell r="E206" t="str">
            <v>QLD Metro</v>
          </cell>
          <cell r="F206" t="str">
            <v>Jonathan Cogan</v>
          </cell>
          <cell r="G206">
            <v>0</v>
          </cell>
          <cell r="H206">
            <v>0</v>
          </cell>
          <cell r="I206">
            <v>0</v>
          </cell>
          <cell r="J206" t="str">
            <v>CI Not Received</v>
          </cell>
          <cell r="K206" t="str">
            <v>Civil Not Started</v>
          </cell>
        </row>
        <row r="207">
          <cell r="B207" t="str">
            <v>SLA6</v>
          </cell>
          <cell r="C207" t="str">
            <v>FSAM</v>
          </cell>
          <cell r="D207" t="str">
            <v>QLD</v>
          </cell>
          <cell r="E207" t="str">
            <v>QLD Metro</v>
          </cell>
          <cell r="F207" t="str">
            <v>Jonathan Cogan</v>
          </cell>
          <cell r="G207">
            <v>0</v>
          </cell>
          <cell r="H207">
            <v>0</v>
          </cell>
          <cell r="I207">
            <v>0</v>
          </cell>
          <cell r="J207" t="str">
            <v>CI Not Received</v>
          </cell>
          <cell r="K207" t="str">
            <v>Civil Not Started</v>
          </cell>
        </row>
        <row r="208">
          <cell r="B208" t="str">
            <v>SOP1</v>
          </cell>
          <cell r="C208" t="str">
            <v>FSAM</v>
          </cell>
          <cell r="D208" t="str">
            <v>QLD</v>
          </cell>
          <cell r="E208" t="str">
            <v>QLD Metro</v>
          </cell>
          <cell r="F208" t="str">
            <v>Jonathan Cogan</v>
          </cell>
          <cell r="G208">
            <v>0</v>
          </cell>
          <cell r="H208">
            <v>0</v>
          </cell>
          <cell r="I208">
            <v>0</v>
          </cell>
          <cell r="J208" t="str">
            <v>CI Not Received</v>
          </cell>
          <cell r="K208" t="str">
            <v>Civil Not Started</v>
          </cell>
        </row>
        <row r="209">
          <cell r="B209" t="str">
            <v>TNS9</v>
          </cell>
          <cell r="C209" t="str">
            <v>FSAM</v>
          </cell>
          <cell r="D209" t="str">
            <v>QLD</v>
          </cell>
          <cell r="E209" t="str">
            <v>QLD North</v>
          </cell>
          <cell r="F209" t="str">
            <v>Sunil Nair</v>
          </cell>
          <cell r="G209">
            <v>0</v>
          </cell>
          <cell r="H209">
            <v>0</v>
          </cell>
          <cell r="I209">
            <v>0</v>
          </cell>
          <cell r="J209" t="str">
            <v>CI Not Received</v>
          </cell>
          <cell r="K209" t="str">
            <v>Civil Not Started</v>
          </cell>
        </row>
        <row r="210">
          <cell r="B210" t="str">
            <v>CAS1</v>
          </cell>
          <cell r="C210" t="str">
            <v>FSAM</v>
          </cell>
          <cell r="D210" t="str">
            <v>NSW</v>
          </cell>
          <cell r="E210" t="str">
            <v>Sydney East</v>
          </cell>
          <cell r="F210" t="str">
            <v>Adam Walsh</v>
          </cell>
          <cell r="G210">
            <v>0</v>
          </cell>
          <cell r="H210">
            <v>0</v>
          </cell>
          <cell r="I210">
            <v>0</v>
          </cell>
          <cell r="J210" t="str">
            <v>CI Not Received</v>
          </cell>
          <cell r="K210" t="str">
            <v>Civil Not Started</v>
          </cell>
        </row>
        <row r="211">
          <cell r="B211" t="str">
            <v>CAS2</v>
          </cell>
          <cell r="C211" t="str">
            <v>FSAM</v>
          </cell>
          <cell r="D211" t="str">
            <v>NSW</v>
          </cell>
          <cell r="E211" t="str">
            <v>Sydney East</v>
          </cell>
          <cell r="F211" t="str">
            <v>Adam Walsh</v>
          </cell>
          <cell r="G211">
            <v>0</v>
          </cell>
          <cell r="H211">
            <v>0</v>
          </cell>
          <cell r="I211">
            <v>0</v>
          </cell>
          <cell r="J211" t="str">
            <v>CI Not Received</v>
          </cell>
          <cell r="K211" t="str">
            <v>Civil Not Started</v>
          </cell>
        </row>
        <row r="212">
          <cell r="B212" t="str">
            <v>LIV5</v>
          </cell>
          <cell r="C212" t="str">
            <v>FSAM</v>
          </cell>
          <cell r="D212" t="str">
            <v>NSW</v>
          </cell>
          <cell r="E212" t="str">
            <v>Sydney West</v>
          </cell>
          <cell r="F212" t="str">
            <v>Damien Marov</v>
          </cell>
          <cell r="G212">
            <v>0</v>
          </cell>
          <cell r="H212">
            <v>0</v>
          </cell>
          <cell r="I212">
            <v>0</v>
          </cell>
          <cell r="J212" t="str">
            <v>CI Not Received</v>
          </cell>
          <cell r="K212" t="str">
            <v>Civil Not Started</v>
          </cell>
        </row>
        <row r="213">
          <cell r="B213" t="str">
            <v>RYD1</v>
          </cell>
          <cell r="C213" t="str">
            <v>FSAM</v>
          </cell>
          <cell r="D213" t="str">
            <v>NSW</v>
          </cell>
          <cell r="E213" t="str">
            <v>Sydney East</v>
          </cell>
          <cell r="F213" t="str">
            <v>Adam Walsh</v>
          </cell>
          <cell r="G213">
            <v>0</v>
          </cell>
          <cell r="H213">
            <v>0</v>
          </cell>
          <cell r="I213">
            <v>0</v>
          </cell>
          <cell r="J213" t="str">
            <v>CI Not Received</v>
          </cell>
          <cell r="K213" t="str">
            <v>Civil Not Started</v>
          </cell>
        </row>
        <row r="214">
          <cell r="B214" t="str">
            <v>RYD2</v>
          </cell>
          <cell r="C214" t="str">
            <v>FSAM</v>
          </cell>
          <cell r="D214" t="str">
            <v>NSW</v>
          </cell>
          <cell r="E214" t="str">
            <v>Sydney East</v>
          </cell>
          <cell r="F214" t="str">
            <v>Adam Walsh</v>
          </cell>
          <cell r="G214">
            <v>0</v>
          </cell>
          <cell r="H214">
            <v>0</v>
          </cell>
          <cell r="I214">
            <v>0</v>
          </cell>
          <cell r="J214" t="str">
            <v>CI Not Received</v>
          </cell>
          <cell r="K214" t="str">
            <v>Civil Not Started</v>
          </cell>
        </row>
        <row r="215">
          <cell r="B215" t="str">
            <v>EDG3</v>
          </cell>
          <cell r="C215" t="str">
            <v>FSAM</v>
          </cell>
          <cell r="D215" t="str">
            <v>QLD</v>
          </cell>
          <cell r="E215" t="str">
            <v>QLD North</v>
          </cell>
          <cell r="F215" t="str">
            <v>Sunil Nair</v>
          </cell>
          <cell r="G215">
            <v>0</v>
          </cell>
          <cell r="H215">
            <v>0</v>
          </cell>
          <cell r="I215">
            <v>0</v>
          </cell>
          <cell r="J215" t="str">
            <v>CI Not Received</v>
          </cell>
          <cell r="K215" t="str">
            <v>Civil Not Started</v>
          </cell>
        </row>
        <row r="216">
          <cell r="B216" t="str">
            <v>FRE1</v>
          </cell>
          <cell r="C216" t="str">
            <v>FSAM</v>
          </cell>
          <cell r="D216" t="str">
            <v>QLD</v>
          </cell>
          <cell r="E216" t="str">
            <v>QLD North</v>
          </cell>
          <cell r="F216" t="str">
            <v>Sunil Nair</v>
          </cell>
          <cell r="G216">
            <v>0</v>
          </cell>
          <cell r="H216">
            <v>0</v>
          </cell>
          <cell r="I216">
            <v>0</v>
          </cell>
          <cell r="J216" t="str">
            <v>CI Not Received</v>
          </cell>
          <cell r="K216" t="str">
            <v>Civil Not Started</v>
          </cell>
        </row>
        <row r="217">
          <cell r="B217" t="str">
            <v>TEE6</v>
          </cell>
          <cell r="C217" t="str">
            <v>FSAM</v>
          </cell>
          <cell r="D217" t="str">
            <v>NSW</v>
          </cell>
          <cell r="E217" t="str">
            <v>NSW North</v>
          </cell>
          <cell r="F217" t="str">
            <v>James Herden</v>
          </cell>
          <cell r="G217">
            <v>0</v>
          </cell>
          <cell r="H217">
            <v>0</v>
          </cell>
          <cell r="I217">
            <v>0</v>
          </cell>
          <cell r="J217" t="str">
            <v>CI Not Received</v>
          </cell>
          <cell r="K217" t="str">
            <v>Civil Not Started</v>
          </cell>
        </row>
        <row r="218">
          <cell r="B218" t="str">
            <v>BIN1</v>
          </cell>
          <cell r="C218" t="str">
            <v>FSAM</v>
          </cell>
          <cell r="D218" t="str">
            <v>NSW</v>
          </cell>
          <cell r="E218" t="str">
            <v>NSW North</v>
          </cell>
          <cell r="F218" t="str">
            <v>James Herden</v>
          </cell>
          <cell r="G218">
            <v>0</v>
          </cell>
          <cell r="H218">
            <v>0</v>
          </cell>
          <cell r="I218">
            <v>0</v>
          </cell>
          <cell r="J218" t="str">
            <v>CI Not Received</v>
          </cell>
          <cell r="K218" t="str">
            <v>Civil Not Started</v>
          </cell>
        </row>
        <row r="219">
          <cell r="B219" t="str">
            <v>COR9</v>
          </cell>
          <cell r="C219" t="str">
            <v>FSAM</v>
          </cell>
          <cell r="D219" t="str">
            <v>NSW</v>
          </cell>
          <cell r="E219" t="str">
            <v>NSW South / ACT</v>
          </cell>
          <cell r="F219" t="str">
            <v>Steven Blewitt</v>
          </cell>
          <cell r="G219">
            <v>0</v>
          </cell>
          <cell r="H219">
            <v>0</v>
          </cell>
          <cell r="I219">
            <v>0</v>
          </cell>
          <cell r="J219" t="str">
            <v>CI Not Received</v>
          </cell>
          <cell r="K219" t="str">
            <v>Civil Not Started</v>
          </cell>
        </row>
        <row r="220">
          <cell r="B220" t="str">
            <v>LIV6</v>
          </cell>
          <cell r="C220" t="str">
            <v>FSAM</v>
          </cell>
          <cell r="D220" t="str">
            <v>NSW</v>
          </cell>
          <cell r="E220" t="str">
            <v>Sydney West</v>
          </cell>
          <cell r="F220" t="str">
            <v>Damien Marov</v>
          </cell>
          <cell r="G220">
            <v>0</v>
          </cell>
          <cell r="H220">
            <v>0</v>
          </cell>
          <cell r="I220">
            <v>0</v>
          </cell>
          <cell r="J220" t="str">
            <v>CI Not Received</v>
          </cell>
          <cell r="K220" t="str">
            <v>Civil Not Started</v>
          </cell>
        </row>
        <row r="221">
          <cell r="B221" t="str">
            <v>LIV7</v>
          </cell>
          <cell r="C221" t="str">
            <v>FSAM</v>
          </cell>
          <cell r="D221" t="str">
            <v>NSW</v>
          </cell>
          <cell r="E221" t="str">
            <v>Sydney West</v>
          </cell>
          <cell r="F221" t="str">
            <v>Damien Marov</v>
          </cell>
          <cell r="G221">
            <v>0</v>
          </cell>
          <cell r="H221">
            <v>0</v>
          </cell>
          <cell r="I221">
            <v>0</v>
          </cell>
          <cell r="J221" t="str">
            <v>CI Not Received</v>
          </cell>
          <cell r="K221" t="str">
            <v>Civil Not Started</v>
          </cell>
        </row>
        <row r="222">
          <cell r="B222" t="str">
            <v>PTH9</v>
          </cell>
          <cell r="C222" t="str">
            <v>FSAM</v>
          </cell>
          <cell r="D222" t="str">
            <v>NSW</v>
          </cell>
          <cell r="E222" t="str">
            <v>Sydney West</v>
          </cell>
          <cell r="F222" t="str">
            <v>Damien Marov</v>
          </cell>
          <cell r="G222">
            <v>0</v>
          </cell>
          <cell r="H222">
            <v>0</v>
          </cell>
          <cell r="I222">
            <v>0</v>
          </cell>
          <cell r="J222" t="str">
            <v>CI Not Received</v>
          </cell>
          <cell r="K222" t="str">
            <v>Civil Not Started</v>
          </cell>
        </row>
        <row r="223">
          <cell r="B223" t="str">
            <v>FRV1</v>
          </cell>
          <cell r="C223" t="str">
            <v>FSAM</v>
          </cell>
          <cell r="D223" t="str">
            <v>QLD</v>
          </cell>
          <cell r="E223" t="str">
            <v>QLD North</v>
          </cell>
          <cell r="F223" t="str">
            <v>Sunil Nair</v>
          </cell>
          <cell r="G223">
            <v>0</v>
          </cell>
          <cell r="H223">
            <v>0</v>
          </cell>
          <cell r="I223">
            <v>0</v>
          </cell>
          <cell r="J223" t="str">
            <v>CI Not Received</v>
          </cell>
          <cell r="K223" t="str">
            <v>Civil Not Started</v>
          </cell>
        </row>
        <row r="224">
          <cell r="B224" t="str">
            <v>MKY5</v>
          </cell>
          <cell r="C224" t="str">
            <v>FSAM</v>
          </cell>
          <cell r="D224" t="str">
            <v>QLD</v>
          </cell>
          <cell r="E224" t="str">
            <v>QLD North</v>
          </cell>
          <cell r="F224" t="str">
            <v>Sunil Nair</v>
          </cell>
          <cell r="G224">
            <v>0</v>
          </cell>
          <cell r="H224">
            <v>0</v>
          </cell>
          <cell r="I224">
            <v>0</v>
          </cell>
          <cell r="J224" t="str">
            <v>CI Not Received</v>
          </cell>
          <cell r="K224" t="str">
            <v>Civil Not Started</v>
          </cell>
        </row>
        <row r="225">
          <cell r="B225" t="str">
            <v>MKY6</v>
          </cell>
          <cell r="C225" t="str">
            <v>FSAM</v>
          </cell>
          <cell r="D225" t="str">
            <v>QLD</v>
          </cell>
          <cell r="E225" t="str">
            <v>QLD North</v>
          </cell>
          <cell r="F225" t="str">
            <v>Sunil Nair</v>
          </cell>
          <cell r="G225">
            <v>0</v>
          </cell>
          <cell r="H225">
            <v>0</v>
          </cell>
          <cell r="I225">
            <v>0</v>
          </cell>
          <cell r="J225" t="str">
            <v>CI Not Received</v>
          </cell>
          <cell r="K225" t="str">
            <v>Civil Not Started</v>
          </cell>
        </row>
        <row r="226">
          <cell r="B226" t="str">
            <v>RYD3</v>
          </cell>
          <cell r="C226" t="str">
            <v>FSAM</v>
          </cell>
          <cell r="D226" t="str">
            <v>NSW</v>
          </cell>
          <cell r="E226" t="str">
            <v>Sydney East</v>
          </cell>
          <cell r="F226" t="str">
            <v>Adam Walsh</v>
          </cell>
          <cell r="G226">
            <v>0</v>
          </cell>
          <cell r="H226">
            <v>0</v>
          </cell>
          <cell r="I226">
            <v>0</v>
          </cell>
          <cell r="J226" t="str">
            <v>CI Not Received</v>
          </cell>
          <cell r="K226" t="str">
            <v>Civil Not Started</v>
          </cell>
        </row>
        <row r="227">
          <cell r="B227" t="str">
            <v>LIV8</v>
          </cell>
          <cell r="C227" t="str">
            <v>FSAM</v>
          </cell>
          <cell r="D227" t="str">
            <v>NSW</v>
          </cell>
          <cell r="E227" t="str">
            <v>Sydney West</v>
          </cell>
          <cell r="F227" t="str">
            <v>Damien Marov</v>
          </cell>
          <cell r="G227">
            <v>0</v>
          </cell>
          <cell r="H227">
            <v>0</v>
          </cell>
          <cell r="I227">
            <v>0</v>
          </cell>
          <cell r="J227" t="str">
            <v>CI Not Received</v>
          </cell>
          <cell r="K227" t="str">
            <v>Civil Not Started</v>
          </cell>
        </row>
        <row r="228">
          <cell r="B228" t="str">
            <v>FRV2</v>
          </cell>
          <cell r="C228" t="str">
            <v>FSAM</v>
          </cell>
          <cell r="D228" t="str">
            <v>QLD</v>
          </cell>
          <cell r="E228" t="str">
            <v>QLD North</v>
          </cell>
          <cell r="F228" t="str">
            <v>Sunil Nair</v>
          </cell>
          <cell r="G228">
            <v>0</v>
          </cell>
          <cell r="H228">
            <v>0</v>
          </cell>
          <cell r="I228">
            <v>0</v>
          </cell>
          <cell r="J228" t="str">
            <v>CI Not Received</v>
          </cell>
          <cell r="K228" t="str">
            <v>Civil Not Started</v>
          </cell>
        </row>
        <row r="229">
          <cell r="B229" t="str">
            <v>IPS5</v>
          </cell>
          <cell r="C229" t="str">
            <v>FSAM</v>
          </cell>
          <cell r="D229" t="str">
            <v>QLD</v>
          </cell>
          <cell r="E229" t="str">
            <v>QLD Metro</v>
          </cell>
          <cell r="F229" t="str">
            <v>Jonathan Cogan</v>
          </cell>
          <cell r="G229">
            <v>0</v>
          </cell>
          <cell r="H229">
            <v>0</v>
          </cell>
          <cell r="I229">
            <v>0</v>
          </cell>
          <cell r="J229" t="str">
            <v>CI Not Received</v>
          </cell>
          <cell r="K229" t="str">
            <v>Civil Not Started</v>
          </cell>
        </row>
        <row r="230">
          <cell r="B230" t="str">
            <v>KLG8</v>
          </cell>
          <cell r="C230" t="str">
            <v>FSAM</v>
          </cell>
          <cell r="D230" t="str">
            <v>QLD</v>
          </cell>
          <cell r="E230" t="str">
            <v>QLD Metro</v>
          </cell>
          <cell r="F230" t="str">
            <v>Jonathan Cogan</v>
          </cell>
          <cell r="G230">
            <v>0</v>
          </cell>
          <cell r="H230">
            <v>0</v>
          </cell>
          <cell r="I230">
            <v>0</v>
          </cell>
          <cell r="J230" t="str">
            <v>CI Not Received</v>
          </cell>
          <cell r="K230" t="str">
            <v>Civil Not Started</v>
          </cell>
        </row>
        <row r="231">
          <cell r="B231" t="str">
            <v>CHA1</v>
          </cell>
          <cell r="C231" t="str">
            <v>FSAM</v>
          </cell>
          <cell r="D231" t="str">
            <v>NSW</v>
          </cell>
          <cell r="E231" t="str">
            <v>Sydney East</v>
          </cell>
          <cell r="F231" t="str">
            <v>Adam Walsh</v>
          </cell>
          <cell r="G231">
            <v>0</v>
          </cell>
          <cell r="H231">
            <v>0</v>
          </cell>
          <cell r="I231">
            <v>0</v>
          </cell>
          <cell r="J231" t="str">
            <v>CI Not Received</v>
          </cell>
          <cell r="K231" t="str">
            <v>Civil Not Started</v>
          </cell>
        </row>
        <row r="232">
          <cell r="B232" t="str">
            <v>COR2</v>
          </cell>
          <cell r="C232" t="str">
            <v>FSAM</v>
          </cell>
          <cell r="D232" t="str">
            <v>NSW</v>
          </cell>
          <cell r="E232" t="str">
            <v>NSW South / ACT</v>
          </cell>
          <cell r="F232" t="str">
            <v>Steven Blewitt</v>
          </cell>
          <cell r="G232">
            <v>0</v>
          </cell>
          <cell r="H232">
            <v>0</v>
          </cell>
          <cell r="I232">
            <v>0</v>
          </cell>
          <cell r="J232" t="str">
            <v>CI Not Received</v>
          </cell>
          <cell r="K232" t="str">
            <v>Civil Not Started</v>
          </cell>
        </row>
        <row r="233">
          <cell r="B233" t="str">
            <v>COR3</v>
          </cell>
          <cell r="C233" t="str">
            <v>FSAM</v>
          </cell>
          <cell r="D233" t="str">
            <v>NSW</v>
          </cell>
          <cell r="E233" t="str">
            <v>NSW South / ACT</v>
          </cell>
          <cell r="F233" t="str">
            <v>Steven Blewitt</v>
          </cell>
          <cell r="G233">
            <v>0</v>
          </cell>
          <cell r="H233">
            <v>0</v>
          </cell>
          <cell r="I233">
            <v>0</v>
          </cell>
          <cell r="J233" t="str">
            <v>CI Not Received</v>
          </cell>
          <cell r="K233" t="str">
            <v>Civil Not Started</v>
          </cell>
        </row>
        <row r="234">
          <cell r="B234" t="str">
            <v>GRN4</v>
          </cell>
          <cell r="C234" t="str">
            <v>FSAM</v>
          </cell>
          <cell r="D234" t="str">
            <v>NSW</v>
          </cell>
          <cell r="E234" t="str">
            <v>NSW North</v>
          </cell>
          <cell r="F234" t="str">
            <v>James Herden</v>
          </cell>
          <cell r="G234">
            <v>0</v>
          </cell>
          <cell r="H234">
            <v>0</v>
          </cell>
          <cell r="I234">
            <v>0</v>
          </cell>
          <cell r="J234" t="str">
            <v>CI Not Received</v>
          </cell>
          <cell r="K234" t="str">
            <v>Civil Not Started</v>
          </cell>
        </row>
        <row r="235">
          <cell r="B235" t="str">
            <v>MAI4</v>
          </cell>
          <cell r="C235" t="str">
            <v>FSAM</v>
          </cell>
          <cell r="D235" t="str">
            <v>NSW</v>
          </cell>
          <cell r="E235" t="str">
            <v>NSW North</v>
          </cell>
          <cell r="F235" t="str">
            <v>James Herden</v>
          </cell>
          <cell r="G235">
            <v>0</v>
          </cell>
          <cell r="H235">
            <v>0</v>
          </cell>
          <cell r="I235">
            <v>0</v>
          </cell>
          <cell r="J235" t="str">
            <v>CI Not Received</v>
          </cell>
          <cell r="K235" t="str">
            <v>Civil Not Started</v>
          </cell>
        </row>
        <row r="236">
          <cell r="B236" t="str">
            <v>MAI5</v>
          </cell>
          <cell r="C236" t="str">
            <v>FSAM</v>
          </cell>
          <cell r="D236" t="str">
            <v>NSW</v>
          </cell>
          <cell r="E236" t="str">
            <v>NSW North</v>
          </cell>
          <cell r="F236" t="str">
            <v>James Herden</v>
          </cell>
          <cell r="G236">
            <v>0</v>
          </cell>
          <cell r="H236">
            <v>0</v>
          </cell>
          <cell r="I236">
            <v>0</v>
          </cell>
          <cell r="J236" t="str">
            <v>CI Not Received</v>
          </cell>
          <cell r="K236" t="str">
            <v>Civil Not Started</v>
          </cell>
        </row>
        <row r="237">
          <cell r="B237" t="str">
            <v>MAI6</v>
          </cell>
          <cell r="C237" t="str">
            <v>FSAM</v>
          </cell>
          <cell r="D237" t="str">
            <v>NSW</v>
          </cell>
          <cell r="E237" t="str">
            <v>NSW North</v>
          </cell>
          <cell r="F237" t="str">
            <v>James Herden</v>
          </cell>
          <cell r="G237">
            <v>0</v>
          </cell>
          <cell r="H237">
            <v>0</v>
          </cell>
          <cell r="I237">
            <v>0</v>
          </cell>
          <cell r="J237" t="str">
            <v>CI Not Received</v>
          </cell>
          <cell r="K237" t="str">
            <v>Civil Not Started</v>
          </cell>
        </row>
        <row r="238">
          <cell r="B238" t="str">
            <v>APL7</v>
          </cell>
          <cell r="C238" t="str">
            <v>FSAM</v>
          </cell>
          <cell r="D238" t="str">
            <v>QLD</v>
          </cell>
          <cell r="E238" t="str">
            <v>QLD Metro</v>
          </cell>
          <cell r="F238" t="str">
            <v>Jonathan Cogan</v>
          </cell>
          <cell r="G238">
            <v>0</v>
          </cell>
          <cell r="H238">
            <v>0</v>
          </cell>
          <cell r="I238">
            <v>0</v>
          </cell>
          <cell r="J238" t="str">
            <v>CI Not Received</v>
          </cell>
          <cell r="K238" t="str">
            <v>Civil Not Started</v>
          </cell>
        </row>
        <row r="239">
          <cell r="B239" t="str">
            <v>APL8</v>
          </cell>
          <cell r="C239" t="str">
            <v>FSAM</v>
          </cell>
          <cell r="D239" t="str">
            <v>QLD</v>
          </cell>
          <cell r="E239" t="str">
            <v>QLD Metro</v>
          </cell>
          <cell r="F239" t="str">
            <v>Jonathan Cogan</v>
          </cell>
          <cell r="G239">
            <v>0</v>
          </cell>
          <cell r="H239">
            <v>0</v>
          </cell>
          <cell r="I239">
            <v>0</v>
          </cell>
          <cell r="J239" t="str">
            <v>CI Not Received</v>
          </cell>
          <cell r="K239" t="str">
            <v>Civil Not Started</v>
          </cell>
        </row>
        <row r="240">
          <cell r="B240" t="str">
            <v>APL9</v>
          </cell>
          <cell r="C240" t="str">
            <v>FSAM</v>
          </cell>
          <cell r="D240" t="str">
            <v>QLD</v>
          </cell>
          <cell r="E240" t="str">
            <v>QLD Metro</v>
          </cell>
          <cell r="F240" t="str">
            <v>Jonathan Cogan</v>
          </cell>
          <cell r="G240">
            <v>0</v>
          </cell>
          <cell r="H240">
            <v>0</v>
          </cell>
          <cell r="I240">
            <v>0</v>
          </cell>
          <cell r="J240" t="str">
            <v>CI Not Received</v>
          </cell>
          <cell r="K240" t="str">
            <v>Civil Not Started</v>
          </cell>
        </row>
        <row r="241">
          <cell r="B241" t="str">
            <v>BBE3</v>
          </cell>
          <cell r="C241" t="str">
            <v>FSAM</v>
          </cell>
          <cell r="D241" t="str">
            <v>QLD</v>
          </cell>
          <cell r="E241" t="str">
            <v>QLD South</v>
          </cell>
          <cell r="F241" t="str">
            <v>Alan Bassett</v>
          </cell>
          <cell r="G241">
            <v>0</v>
          </cell>
          <cell r="H241">
            <v>0</v>
          </cell>
          <cell r="I241">
            <v>0</v>
          </cell>
          <cell r="J241" t="str">
            <v>CI Not Received</v>
          </cell>
          <cell r="K241" t="str">
            <v>Civil Not Started</v>
          </cell>
        </row>
        <row r="242">
          <cell r="B242" t="str">
            <v>BDB3</v>
          </cell>
          <cell r="C242" t="str">
            <v>FSAM</v>
          </cell>
          <cell r="D242" t="str">
            <v>QLD</v>
          </cell>
          <cell r="E242" t="str">
            <v>QLD Metro</v>
          </cell>
          <cell r="F242" t="str">
            <v>Jonathan Cogan</v>
          </cell>
          <cell r="G242">
            <v>0</v>
          </cell>
          <cell r="H242">
            <v>0</v>
          </cell>
          <cell r="I242">
            <v>0</v>
          </cell>
          <cell r="J242" t="str">
            <v>CI Not Received</v>
          </cell>
          <cell r="K242" t="str">
            <v>Civil Not Started</v>
          </cell>
        </row>
        <row r="243">
          <cell r="B243" t="str">
            <v>FRV3</v>
          </cell>
          <cell r="C243" t="str">
            <v>FSAM</v>
          </cell>
          <cell r="D243" t="str">
            <v>QLD</v>
          </cell>
          <cell r="E243" t="str">
            <v>QLD North</v>
          </cell>
          <cell r="F243" t="str">
            <v>Sunil Nair</v>
          </cell>
          <cell r="G243">
            <v>0</v>
          </cell>
          <cell r="H243">
            <v>0</v>
          </cell>
          <cell r="I243">
            <v>0</v>
          </cell>
          <cell r="J243" t="str">
            <v>CI Not Received</v>
          </cell>
          <cell r="K243" t="str">
            <v>Civil Not Started</v>
          </cell>
        </row>
        <row r="244">
          <cell r="B244" t="str">
            <v>NDG5</v>
          </cell>
          <cell r="C244" t="str">
            <v>FSAM</v>
          </cell>
          <cell r="D244" t="str">
            <v>QLD</v>
          </cell>
          <cell r="E244" t="str">
            <v>QLD Metro</v>
          </cell>
          <cell r="F244" t="str">
            <v>Jonathan Cogan</v>
          </cell>
          <cell r="G244">
            <v>0</v>
          </cell>
          <cell r="H244">
            <v>0</v>
          </cell>
          <cell r="I244">
            <v>0</v>
          </cell>
          <cell r="J244" t="str">
            <v>CI Not Received</v>
          </cell>
          <cell r="K244" t="str">
            <v>Civil Not Started</v>
          </cell>
        </row>
        <row r="245">
          <cell r="B245" t="str">
            <v>NDG6</v>
          </cell>
          <cell r="C245" t="str">
            <v>FSAM</v>
          </cell>
          <cell r="D245" t="str">
            <v>QLD</v>
          </cell>
          <cell r="E245" t="str">
            <v>QLD Metro</v>
          </cell>
          <cell r="F245" t="str">
            <v>Jonathan Cogan</v>
          </cell>
          <cell r="G245">
            <v>0</v>
          </cell>
          <cell r="H245">
            <v>0</v>
          </cell>
          <cell r="I245">
            <v>0</v>
          </cell>
          <cell r="J245" t="str">
            <v>CI Not Received</v>
          </cell>
          <cell r="K245" t="str">
            <v>Civil Not Started</v>
          </cell>
        </row>
        <row r="246">
          <cell r="B246" t="str">
            <v>SGI2</v>
          </cell>
          <cell r="C246" t="str">
            <v>FSAM</v>
          </cell>
          <cell r="D246" t="str">
            <v>QLD</v>
          </cell>
          <cell r="E246" t="str">
            <v>QLD Metro</v>
          </cell>
          <cell r="F246" t="str">
            <v>Jonathan Cogan</v>
          </cell>
          <cell r="G246">
            <v>0</v>
          </cell>
          <cell r="H246">
            <v>0</v>
          </cell>
          <cell r="I246">
            <v>0</v>
          </cell>
          <cell r="J246" t="str">
            <v>CI Not Received</v>
          </cell>
          <cell r="K246" t="str">
            <v>Civil Not Started</v>
          </cell>
        </row>
        <row r="247">
          <cell r="B247" t="str">
            <v>SGI4</v>
          </cell>
          <cell r="C247" t="str">
            <v>FSAM</v>
          </cell>
          <cell r="D247" t="str">
            <v>QLD</v>
          </cell>
          <cell r="E247" t="str">
            <v>QLD Metro</v>
          </cell>
          <cell r="F247" t="str">
            <v>Jonathan Cogan</v>
          </cell>
          <cell r="G247">
            <v>0</v>
          </cell>
          <cell r="H247">
            <v>0</v>
          </cell>
          <cell r="I247">
            <v>0</v>
          </cell>
          <cell r="J247" t="str">
            <v>CI Not Received</v>
          </cell>
          <cell r="K247" t="str">
            <v>Civil Not Started</v>
          </cell>
        </row>
        <row r="248">
          <cell r="B248" t="str">
            <v>CRC7</v>
          </cell>
          <cell r="C248" t="str">
            <v>FSAM</v>
          </cell>
          <cell r="D248" t="str">
            <v>NSW</v>
          </cell>
          <cell r="E248" t="str">
            <v>NSW South / ACT</v>
          </cell>
          <cell r="F248" t="str">
            <v>Steven Blewitt</v>
          </cell>
          <cell r="G248">
            <v>0</v>
          </cell>
          <cell r="H248">
            <v>0</v>
          </cell>
          <cell r="I248">
            <v>0</v>
          </cell>
          <cell r="J248" t="str">
            <v>CI Not Received</v>
          </cell>
          <cell r="K248" t="str">
            <v>Civil Not Started</v>
          </cell>
        </row>
        <row r="249">
          <cell r="B249" t="str">
            <v>CRC8</v>
          </cell>
          <cell r="C249" t="str">
            <v>FSAM</v>
          </cell>
          <cell r="D249" t="str">
            <v>NSW</v>
          </cell>
          <cell r="E249" t="str">
            <v>NSW South / ACT</v>
          </cell>
          <cell r="F249" t="str">
            <v>Steven Blewitt</v>
          </cell>
          <cell r="G249">
            <v>0</v>
          </cell>
          <cell r="H249">
            <v>0</v>
          </cell>
          <cell r="I249">
            <v>0</v>
          </cell>
          <cell r="J249" t="str">
            <v>CI Not Received</v>
          </cell>
          <cell r="K249" t="str">
            <v>Civil Not Started</v>
          </cell>
        </row>
        <row r="250">
          <cell r="B250" t="str">
            <v>CRC9</v>
          </cell>
          <cell r="C250" t="str">
            <v>FSAM</v>
          </cell>
          <cell r="D250" t="str">
            <v>NSW</v>
          </cell>
          <cell r="E250" t="str">
            <v>NSW South / ACT</v>
          </cell>
          <cell r="F250" t="str">
            <v>Steven Blewitt</v>
          </cell>
          <cell r="G250">
            <v>0</v>
          </cell>
          <cell r="H250">
            <v>0</v>
          </cell>
          <cell r="I250">
            <v>0</v>
          </cell>
          <cell r="J250" t="str">
            <v>CI Not Received</v>
          </cell>
          <cell r="K250" t="str">
            <v>Civil Not Started</v>
          </cell>
        </row>
        <row r="251">
          <cell r="B251" t="str">
            <v>CVI8</v>
          </cell>
          <cell r="C251" t="str">
            <v>FSAM</v>
          </cell>
          <cell r="D251" t="e">
            <v>#N/A</v>
          </cell>
          <cell r="E251" t="e">
            <v>#N/A</v>
          </cell>
          <cell r="F251" t="e">
            <v>#N/A</v>
          </cell>
          <cell r="G251">
            <v>0</v>
          </cell>
          <cell r="H251">
            <v>0</v>
          </cell>
          <cell r="I251">
            <v>0</v>
          </cell>
          <cell r="J251" t="str">
            <v>CI Not Received</v>
          </cell>
          <cell r="K251" t="str">
            <v>Civil Not Started</v>
          </cell>
        </row>
        <row r="252">
          <cell r="B252" t="str">
            <v>BLK11</v>
          </cell>
          <cell r="C252" t="str">
            <v>FSAM</v>
          </cell>
          <cell r="D252" t="str">
            <v>NSW</v>
          </cell>
          <cell r="E252" t="str">
            <v>Sydney West</v>
          </cell>
          <cell r="F252" t="str">
            <v>Damien Marov</v>
          </cell>
          <cell r="G252">
            <v>0</v>
          </cell>
          <cell r="H252">
            <v>0</v>
          </cell>
          <cell r="I252">
            <v>0</v>
          </cell>
          <cell r="J252" t="str">
            <v>CI Not Received</v>
          </cell>
          <cell r="K252" t="str">
            <v>Civil Not Started</v>
          </cell>
        </row>
        <row r="253">
          <cell r="B253" t="str">
            <v>BLK12</v>
          </cell>
          <cell r="C253" t="str">
            <v>FSAM</v>
          </cell>
          <cell r="D253" t="str">
            <v>NSW</v>
          </cell>
          <cell r="E253" t="str">
            <v>Sydney West</v>
          </cell>
          <cell r="F253" t="str">
            <v>Damien Marov</v>
          </cell>
          <cell r="G253">
            <v>0</v>
          </cell>
          <cell r="H253">
            <v>0</v>
          </cell>
          <cell r="I253">
            <v>0</v>
          </cell>
          <cell r="J253" t="str">
            <v>CI Not Received</v>
          </cell>
          <cell r="K253" t="str">
            <v>Civil Not Started</v>
          </cell>
        </row>
        <row r="254">
          <cell r="B254" t="str">
            <v>WLG7</v>
          </cell>
          <cell r="C254" t="str">
            <v>FSAM</v>
          </cell>
          <cell r="D254" t="str">
            <v>NSW</v>
          </cell>
          <cell r="E254" t="str">
            <v>NSW South / ACT</v>
          </cell>
          <cell r="F254" t="str">
            <v>Steven Blewitt</v>
          </cell>
          <cell r="G254">
            <v>0</v>
          </cell>
          <cell r="H254">
            <v>0</v>
          </cell>
          <cell r="I254">
            <v>0</v>
          </cell>
          <cell r="J254" t="str">
            <v>CI Not Received</v>
          </cell>
          <cell r="K254" t="str">
            <v>Civil Not Started</v>
          </cell>
        </row>
        <row r="255">
          <cell r="B255" t="str">
            <v>IPS6</v>
          </cell>
          <cell r="C255" t="str">
            <v>FSAM</v>
          </cell>
          <cell r="D255" t="str">
            <v>QLD</v>
          </cell>
          <cell r="E255" t="str">
            <v>QLD Metro</v>
          </cell>
          <cell r="F255" t="str">
            <v>Jonathan Cogan</v>
          </cell>
          <cell r="G255">
            <v>0</v>
          </cell>
          <cell r="H255">
            <v>0</v>
          </cell>
          <cell r="I255">
            <v>0</v>
          </cell>
          <cell r="J255" t="str">
            <v>CI Not Received</v>
          </cell>
          <cell r="K255" t="str">
            <v>Civil Not Started</v>
          </cell>
        </row>
        <row r="256">
          <cell r="B256" t="str">
            <v>IPS7</v>
          </cell>
          <cell r="C256" t="str">
            <v>FSAM</v>
          </cell>
          <cell r="D256" t="str">
            <v>QLD</v>
          </cell>
          <cell r="E256" t="str">
            <v>QLD Metro</v>
          </cell>
          <cell r="F256" t="str">
            <v>Jonathan Cogan</v>
          </cell>
          <cell r="G256">
            <v>0</v>
          </cell>
          <cell r="H256">
            <v>0</v>
          </cell>
          <cell r="I256">
            <v>0</v>
          </cell>
          <cell r="J256" t="str">
            <v>CI Not Received</v>
          </cell>
          <cell r="K256" t="str">
            <v>Civil Not Started</v>
          </cell>
        </row>
        <row r="257">
          <cell r="B257" t="str">
            <v>QBN7</v>
          </cell>
          <cell r="C257" t="str">
            <v>FSAM</v>
          </cell>
          <cell r="D257" t="e">
            <v>#N/A</v>
          </cell>
          <cell r="E257" t="e">
            <v>#N/A</v>
          </cell>
          <cell r="F257" t="e">
            <v>#N/A</v>
          </cell>
          <cell r="G257">
            <v>0</v>
          </cell>
          <cell r="H257">
            <v>0</v>
          </cell>
          <cell r="I257">
            <v>0</v>
          </cell>
          <cell r="J257" t="str">
            <v>CI Not Received</v>
          </cell>
          <cell r="K257" t="str">
            <v>Civil Not Started</v>
          </cell>
        </row>
        <row r="258">
          <cell r="B258" t="str">
            <v>SCU1</v>
          </cell>
          <cell r="C258" t="str">
            <v>FSAM</v>
          </cell>
          <cell r="D258" t="e">
            <v>#N/A</v>
          </cell>
          <cell r="E258" t="e">
            <v>#N/A</v>
          </cell>
          <cell r="F258" t="e">
            <v>#N/A</v>
          </cell>
          <cell r="G258">
            <v>0</v>
          </cell>
          <cell r="H258">
            <v>0</v>
          </cell>
          <cell r="I258">
            <v>0</v>
          </cell>
          <cell r="J258" t="str">
            <v>CI Not Received</v>
          </cell>
          <cell r="K258" t="str">
            <v>Civil Not Started</v>
          </cell>
        </row>
        <row r="259">
          <cell r="B259" t="str">
            <v>SCU2</v>
          </cell>
          <cell r="C259" t="str">
            <v>FSAM</v>
          </cell>
          <cell r="D259" t="e">
            <v>#N/A</v>
          </cell>
          <cell r="E259" t="e">
            <v>#N/A</v>
          </cell>
          <cell r="F259" t="e">
            <v>#N/A</v>
          </cell>
          <cell r="G259">
            <v>0</v>
          </cell>
          <cell r="H259">
            <v>0</v>
          </cell>
          <cell r="I259">
            <v>0</v>
          </cell>
          <cell r="J259" t="str">
            <v>CI Not Received</v>
          </cell>
          <cell r="K259" t="str">
            <v>Civil Not Started</v>
          </cell>
        </row>
        <row r="260">
          <cell r="B260" t="str">
            <v>SCU3</v>
          </cell>
          <cell r="C260" t="str">
            <v>FSAM</v>
          </cell>
          <cell r="D260" t="e">
            <v>#N/A</v>
          </cell>
          <cell r="E260" t="e">
            <v>#N/A</v>
          </cell>
          <cell r="F260" t="e">
            <v>#N/A</v>
          </cell>
          <cell r="G260">
            <v>0</v>
          </cell>
          <cell r="H260">
            <v>0</v>
          </cell>
          <cell r="I260">
            <v>0</v>
          </cell>
          <cell r="J260" t="str">
            <v>CI Not Received</v>
          </cell>
          <cell r="K260" t="str">
            <v>Civil Not Started</v>
          </cell>
        </row>
        <row r="261">
          <cell r="B261" t="str">
            <v>BLK7</v>
          </cell>
          <cell r="C261" t="str">
            <v>FSAM</v>
          </cell>
          <cell r="D261" t="str">
            <v>NSW</v>
          </cell>
          <cell r="E261" t="str">
            <v>Sydney West</v>
          </cell>
          <cell r="F261" t="str">
            <v>Damien Marov</v>
          </cell>
          <cell r="G261">
            <v>0</v>
          </cell>
          <cell r="H261">
            <v>0</v>
          </cell>
          <cell r="I261">
            <v>0</v>
          </cell>
          <cell r="J261" t="str">
            <v>CI Not Received</v>
          </cell>
          <cell r="K261" t="str">
            <v>Civil Not Started</v>
          </cell>
        </row>
        <row r="262">
          <cell r="B262" t="str">
            <v>BLK8</v>
          </cell>
          <cell r="C262" t="str">
            <v>FSAM</v>
          </cell>
          <cell r="D262" t="str">
            <v>NSW</v>
          </cell>
          <cell r="E262" t="str">
            <v>Sydney West</v>
          </cell>
          <cell r="F262" t="str">
            <v>Damien Marov</v>
          </cell>
          <cell r="G262">
            <v>0</v>
          </cell>
          <cell r="H262">
            <v>0</v>
          </cell>
          <cell r="I262">
            <v>0</v>
          </cell>
          <cell r="J262" t="str">
            <v>CI Not Received</v>
          </cell>
          <cell r="K262" t="str">
            <v>Civil Not Started</v>
          </cell>
        </row>
        <row r="263">
          <cell r="B263" t="str">
            <v>LIV1</v>
          </cell>
          <cell r="C263" t="str">
            <v>FSAM</v>
          </cell>
          <cell r="D263" t="str">
            <v>NSW</v>
          </cell>
          <cell r="E263" t="str">
            <v>Sydney West</v>
          </cell>
          <cell r="F263" t="str">
            <v>Damien Marov</v>
          </cell>
          <cell r="G263">
            <v>0</v>
          </cell>
          <cell r="H263">
            <v>0</v>
          </cell>
          <cell r="I263">
            <v>0</v>
          </cell>
          <cell r="J263" t="str">
            <v>CI Not Received</v>
          </cell>
          <cell r="K263" t="str">
            <v>Civil Not Started</v>
          </cell>
        </row>
        <row r="264">
          <cell r="B264" t="str">
            <v>LIV2</v>
          </cell>
          <cell r="C264" t="str">
            <v>FSAM</v>
          </cell>
          <cell r="D264" t="str">
            <v>NSW</v>
          </cell>
          <cell r="E264" t="str">
            <v>Sydney West</v>
          </cell>
          <cell r="F264" t="str">
            <v>Damien Marov</v>
          </cell>
          <cell r="G264">
            <v>0</v>
          </cell>
          <cell r="H264">
            <v>0</v>
          </cell>
          <cell r="I264">
            <v>0</v>
          </cell>
          <cell r="J264" t="str">
            <v>CI Not Received</v>
          </cell>
          <cell r="K264" t="str">
            <v>Civil Not Started</v>
          </cell>
        </row>
        <row r="265">
          <cell r="B265" t="str">
            <v>LIV3</v>
          </cell>
          <cell r="C265" t="str">
            <v>FSAM</v>
          </cell>
          <cell r="D265" t="str">
            <v>NSW</v>
          </cell>
          <cell r="E265" t="str">
            <v>Sydney West</v>
          </cell>
          <cell r="F265" t="str">
            <v>Damien Marov</v>
          </cell>
          <cell r="G265">
            <v>0</v>
          </cell>
          <cell r="H265">
            <v>0</v>
          </cell>
          <cell r="I265">
            <v>0</v>
          </cell>
          <cell r="J265" t="str">
            <v>CI Not Received</v>
          </cell>
          <cell r="K265" t="str">
            <v>Civil Not Started</v>
          </cell>
        </row>
        <row r="266">
          <cell r="B266" t="str">
            <v>LJT10</v>
          </cell>
          <cell r="C266" t="str">
            <v>FSAM</v>
          </cell>
          <cell r="D266" t="str">
            <v>NSW</v>
          </cell>
          <cell r="E266" t="str">
            <v>Sydney East</v>
          </cell>
          <cell r="F266" t="str">
            <v>Adam Walsh</v>
          </cell>
          <cell r="G266">
            <v>0</v>
          </cell>
          <cell r="H266">
            <v>0</v>
          </cell>
          <cell r="I266">
            <v>0</v>
          </cell>
          <cell r="J266" t="str">
            <v>CI Not Received</v>
          </cell>
          <cell r="K266" t="str">
            <v>Civil Not Started</v>
          </cell>
        </row>
        <row r="267">
          <cell r="B267" t="str">
            <v>MAI1</v>
          </cell>
          <cell r="C267" t="str">
            <v>FSAM</v>
          </cell>
          <cell r="D267" t="str">
            <v>NSW</v>
          </cell>
          <cell r="E267" t="str">
            <v>NSW North</v>
          </cell>
          <cell r="F267" t="str">
            <v>James Herden</v>
          </cell>
          <cell r="G267">
            <v>0</v>
          </cell>
          <cell r="H267">
            <v>0</v>
          </cell>
          <cell r="I267">
            <v>0</v>
          </cell>
          <cell r="J267" t="str">
            <v>CI Not Received</v>
          </cell>
          <cell r="K267" t="str">
            <v>Civil Not Started</v>
          </cell>
        </row>
        <row r="268">
          <cell r="B268" t="str">
            <v>MAI2</v>
          </cell>
          <cell r="C268" t="str">
            <v>FSAM</v>
          </cell>
          <cell r="D268" t="str">
            <v>NSW</v>
          </cell>
          <cell r="E268" t="str">
            <v>NSW North</v>
          </cell>
          <cell r="F268" t="str">
            <v>James Herden</v>
          </cell>
          <cell r="G268">
            <v>0</v>
          </cell>
          <cell r="H268">
            <v>0</v>
          </cell>
          <cell r="I268">
            <v>0</v>
          </cell>
          <cell r="J268" t="str">
            <v>CI Not Received</v>
          </cell>
          <cell r="K268" t="str">
            <v>Civil Not Started</v>
          </cell>
        </row>
        <row r="269">
          <cell r="B269" t="str">
            <v>APL10</v>
          </cell>
          <cell r="C269" t="str">
            <v>FSAM</v>
          </cell>
          <cell r="D269" t="str">
            <v>QLD</v>
          </cell>
          <cell r="E269" t="str">
            <v>QLD Metro</v>
          </cell>
          <cell r="F269" t="str">
            <v>Jonathan Cogan</v>
          </cell>
          <cell r="G269">
            <v>0</v>
          </cell>
          <cell r="H269">
            <v>0</v>
          </cell>
          <cell r="I269">
            <v>0</v>
          </cell>
          <cell r="J269" t="str">
            <v>CI Not Received</v>
          </cell>
          <cell r="K269" t="str">
            <v>Civil Not Started</v>
          </cell>
        </row>
        <row r="270">
          <cell r="B270" t="str">
            <v>ASH4</v>
          </cell>
          <cell r="C270" t="str">
            <v>FSAM</v>
          </cell>
          <cell r="D270" t="str">
            <v>QLD</v>
          </cell>
          <cell r="E270" t="str">
            <v>QLD Metro</v>
          </cell>
          <cell r="F270" t="str">
            <v>Jonathan Cogan</v>
          </cell>
          <cell r="G270">
            <v>0</v>
          </cell>
          <cell r="H270">
            <v>0</v>
          </cell>
          <cell r="I270">
            <v>0</v>
          </cell>
          <cell r="J270" t="str">
            <v>CI Not Received</v>
          </cell>
          <cell r="K270" t="str">
            <v>Civil Not Started</v>
          </cell>
        </row>
        <row r="271">
          <cell r="B271" t="str">
            <v>ASH5</v>
          </cell>
          <cell r="C271" t="str">
            <v>FSAM</v>
          </cell>
          <cell r="D271" t="str">
            <v>QLD</v>
          </cell>
          <cell r="E271" t="str">
            <v>QLD Metro</v>
          </cell>
          <cell r="F271" t="str">
            <v>Jonathan Cogan</v>
          </cell>
          <cell r="G271">
            <v>0</v>
          </cell>
          <cell r="H271">
            <v>0</v>
          </cell>
          <cell r="I271">
            <v>0</v>
          </cell>
          <cell r="J271" t="str">
            <v>CI Not Received</v>
          </cell>
          <cell r="K271" t="str">
            <v>Civil Not Started</v>
          </cell>
        </row>
        <row r="272">
          <cell r="B272" t="str">
            <v>ASH6</v>
          </cell>
          <cell r="C272" t="str">
            <v>FSAM</v>
          </cell>
          <cell r="D272" t="str">
            <v>QLD</v>
          </cell>
          <cell r="E272" t="str">
            <v>QLD Metro</v>
          </cell>
          <cell r="F272" t="str">
            <v>Jonathan Cogan</v>
          </cell>
          <cell r="G272">
            <v>0</v>
          </cell>
          <cell r="H272">
            <v>0</v>
          </cell>
          <cell r="I272">
            <v>0</v>
          </cell>
          <cell r="J272" t="str">
            <v>CI Not Received</v>
          </cell>
          <cell r="K272" t="str">
            <v>Civil Not Started</v>
          </cell>
        </row>
        <row r="273">
          <cell r="B273" t="str">
            <v>BBE4</v>
          </cell>
          <cell r="C273" t="str">
            <v>FSAM</v>
          </cell>
          <cell r="D273" t="str">
            <v>QLD</v>
          </cell>
          <cell r="E273" t="str">
            <v>QLD North</v>
          </cell>
          <cell r="F273" t="str">
            <v>Alan Bassett</v>
          </cell>
          <cell r="G273">
            <v>0</v>
          </cell>
          <cell r="H273">
            <v>0</v>
          </cell>
          <cell r="I273">
            <v>0</v>
          </cell>
          <cell r="J273" t="str">
            <v>CI Not Received</v>
          </cell>
          <cell r="K273" t="str">
            <v>Civil Not Started</v>
          </cell>
        </row>
        <row r="274">
          <cell r="B274" t="str">
            <v>BBE5</v>
          </cell>
          <cell r="C274" t="str">
            <v>FSAM</v>
          </cell>
          <cell r="D274" t="str">
            <v>QLD</v>
          </cell>
          <cell r="E274" t="str">
            <v>QLD North</v>
          </cell>
          <cell r="F274" t="str">
            <v>Alan Bassett</v>
          </cell>
          <cell r="G274">
            <v>0</v>
          </cell>
          <cell r="H274">
            <v>0</v>
          </cell>
          <cell r="I274">
            <v>0</v>
          </cell>
          <cell r="J274" t="str">
            <v>CI Not Received</v>
          </cell>
          <cell r="K274" t="str">
            <v>Civil Not Started</v>
          </cell>
        </row>
        <row r="275">
          <cell r="B275" t="str">
            <v>BBE6</v>
          </cell>
          <cell r="C275" t="str">
            <v>FSAM</v>
          </cell>
          <cell r="D275" t="str">
            <v>QLD</v>
          </cell>
          <cell r="E275" t="str">
            <v>QLD North</v>
          </cell>
          <cell r="F275" t="str">
            <v>Alan Bassett</v>
          </cell>
          <cell r="G275">
            <v>0</v>
          </cell>
          <cell r="H275">
            <v>0</v>
          </cell>
          <cell r="I275">
            <v>0</v>
          </cell>
          <cell r="J275" t="str">
            <v>CI Not Received</v>
          </cell>
          <cell r="K275" t="str">
            <v>Civil Not Started</v>
          </cell>
        </row>
        <row r="276">
          <cell r="B276" t="str">
            <v>BBE8</v>
          </cell>
          <cell r="C276" t="str">
            <v>FSAM</v>
          </cell>
          <cell r="D276" t="str">
            <v>QLD</v>
          </cell>
          <cell r="E276" t="str">
            <v>QLD South</v>
          </cell>
          <cell r="F276" t="str">
            <v>Alan Bassett</v>
          </cell>
          <cell r="G276">
            <v>0</v>
          </cell>
          <cell r="H276">
            <v>0</v>
          </cell>
          <cell r="I276">
            <v>0</v>
          </cell>
          <cell r="J276" t="str">
            <v>CI Not Received</v>
          </cell>
          <cell r="K276" t="str">
            <v>Civil Not Started</v>
          </cell>
        </row>
        <row r="277">
          <cell r="B277" t="str">
            <v>BDB4</v>
          </cell>
          <cell r="C277" t="str">
            <v>FSAM</v>
          </cell>
          <cell r="D277" t="str">
            <v>QLD</v>
          </cell>
          <cell r="E277" t="str">
            <v>QLD Metro</v>
          </cell>
          <cell r="F277" t="str">
            <v>Jonathan Cogan</v>
          </cell>
          <cell r="G277">
            <v>0</v>
          </cell>
          <cell r="H277">
            <v>0</v>
          </cell>
          <cell r="I277">
            <v>0</v>
          </cell>
          <cell r="J277" t="str">
            <v>CI Not Received</v>
          </cell>
          <cell r="K277" t="str">
            <v>Civil Not Started</v>
          </cell>
        </row>
        <row r="278">
          <cell r="B278" t="str">
            <v>BDB5</v>
          </cell>
          <cell r="C278" t="str">
            <v>FSAM</v>
          </cell>
          <cell r="D278" t="str">
            <v>QLD</v>
          </cell>
          <cell r="E278" t="str">
            <v>QLD Metro</v>
          </cell>
          <cell r="F278" t="str">
            <v>Jonathan Cogan</v>
          </cell>
          <cell r="G278">
            <v>0</v>
          </cell>
          <cell r="H278">
            <v>0</v>
          </cell>
          <cell r="I278">
            <v>0</v>
          </cell>
          <cell r="J278" t="str">
            <v>CI Not Received</v>
          </cell>
          <cell r="K278" t="str">
            <v>Civil Not Started</v>
          </cell>
        </row>
        <row r="279">
          <cell r="B279" t="str">
            <v>BDB6</v>
          </cell>
          <cell r="C279" t="str">
            <v>FSAM</v>
          </cell>
          <cell r="D279" t="str">
            <v>QLD</v>
          </cell>
          <cell r="E279" t="str">
            <v>QLD Metro</v>
          </cell>
          <cell r="F279" t="str">
            <v>Jonathan Cogan</v>
          </cell>
          <cell r="G279">
            <v>0</v>
          </cell>
          <cell r="H279">
            <v>0</v>
          </cell>
          <cell r="I279">
            <v>0</v>
          </cell>
          <cell r="J279" t="str">
            <v>CI Not Received</v>
          </cell>
          <cell r="K279" t="str">
            <v>Civil Not Started</v>
          </cell>
        </row>
        <row r="280">
          <cell r="B280" t="str">
            <v>BDB7</v>
          </cell>
          <cell r="C280" t="str">
            <v>FSAM</v>
          </cell>
          <cell r="D280" t="str">
            <v>QLD</v>
          </cell>
          <cell r="E280" t="str">
            <v>QLD Metro</v>
          </cell>
          <cell r="F280" t="str">
            <v>Jonathan Cogan</v>
          </cell>
          <cell r="G280">
            <v>0</v>
          </cell>
          <cell r="H280">
            <v>0</v>
          </cell>
          <cell r="I280">
            <v>0</v>
          </cell>
          <cell r="J280" t="str">
            <v>CI Not Received</v>
          </cell>
          <cell r="K280" t="str">
            <v>Civil Not Started</v>
          </cell>
        </row>
        <row r="281">
          <cell r="B281" t="str">
            <v>CAI6</v>
          </cell>
          <cell r="C281" t="str">
            <v>FSAM</v>
          </cell>
          <cell r="D281" t="str">
            <v>QLD</v>
          </cell>
          <cell r="E281" t="str">
            <v>QLD North</v>
          </cell>
          <cell r="F281" t="str">
            <v>Sunil Nair</v>
          </cell>
          <cell r="G281">
            <v>0</v>
          </cell>
          <cell r="H281">
            <v>0</v>
          </cell>
          <cell r="I281">
            <v>0</v>
          </cell>
          <cell r="J281" t="str">
            <v>CI Not Received</v>
          </cell>
          <cell r="K281" t="str">
            <v>Civil Not Started</v>
          </cell>
        </row>
        <row r="282">
          <cell r="B282" t="str">
            <v>GUL8</v>
          </cell>
          <cell r="C282" t="str">
            <v>FSAM</v>
          </cell>
          <cell r="D282" t="str">
            <v>QLD</v>
          </cell>
          <cell r="E282" t="str">
            <v>QLD North</v>
          </cell>
          <cell r="F282" t="str">
            <v>Sunil Nair</v>
          </cell>
          <cell r="G282">
            <v>0</v>
          </cell>
          <cell r="H282">
            <v>0</v>
          </cell>
          <cell r="I282">
            <v>0</v>
          </cell>
          <cell r="J282" t="str">
            <v>CI Not Received</v>
          </cell>
          <cell r="K282" t="str">
            <v>Civil Not Started</v>
          </cell>
        </row>
        <row r="283">
          <cell r="B283" t="str">
            <v>HYP1</v>
          </cell>
          <cell r="C283" t="str">
            <v>FSAM</v>
          </cell>
          <cell r="D283" t="str">
            <v>QLD</v>
          </cell>
          <cell r="E283" t="str">
            <v>QLD North</v>
          </cell>
          <cell r="F283" t="str">
            <v>Sunil Nair</v>
          </cell>
          <cell r="G283">
            <v>0</v>
          </cell>
          <cell r="H283">
            <v>0</v>
          </cell>
          <cell r="I283">
            <v>0</v>
          </cell>
          <cell r="J283" t="str">
            <v>CI Not Received</v>
          </cell>
          <cell r="K283" t="str">
            <v>Civil Not Started</v>
          </cell>
        </row>
        <row r="284">
          <cell r="B284" t="str">
            <v>IPS3</v>
          </cell>
          <cell r="C284" t="str">
            <v>FSAM</v>
          </cell>
          <cell r="D284" t="str">
            <v>QLD</v>
          </cell>
          <cell r="E284" t="str">
            <v>QLD Metro</v>
          </cell>
          <cell r="F284" t="str">
            <v>Jonathan Cogan</v>
          </cell>
          <cell r="G284">
            <v>0</v>
          </cell>
          <cell r="H284">
            <v>0</v>
          </cell>
          <cell r="I284">
            <v>0</v>
          </cell>
          <cell r="J284" t="str">
            <v>CI Not Received</v>
          </cell>
          <cell r="K284" t="str">
            <v>Civil Not Started</v>
          </cell>
        </row>
        <row r="285">
          <cell r="B285" t="str">
            <v>IPS9</v>
          </cell>
          <cell r="C285" t="str">
            <v>FSAM</v>
          </cell>
          <cell r="D285" t="str">
            <v>QLD</v>
          </cell>
          <cell r="E285" t="str">
            <v>QLD Metro</v>
          </cell>
          <cell r="F285" t="str">
            <v>Jonathan Cogan</v>
          </cell>
          <cell r="G285">
            <v>0</v>
          </cell>
          <cell r="H285">
            <v>0</v>
          </cell>
          <cell r="I285">
            <v>0</v>
          </cell>
          <cell r="J285" t="str">
            <v>CI Not Received</v>
          </cell>
          <cell r="K285" t="str">
            <v>Civil Not Started</v>
          </cell>
        </row>
        <row r="286">
          <cell r="B286" t="str">
            <v>KLG5</v>
          </cell>
          <cell r="C286" t="str">
            <v>FSAM</v>
          </cell>
          <cell r="D286" t="str">
            <v>QLD</v>
          </cell>
          <cell r="E286" t="str">
            <v>QLD Metro</v>
          </cell>
          <cell r="F286" t="str">
            <v>Jonathan Cogan</v>
          </cell>
          <cell r="G286">
            <v>0</v>
          </cell>
          <cell r="H286">
            <v>0</v>
          </cell>
          <cell r="I286">
            <v>0</v>
          </cell>
          <cell r="J286" t="str">
            <v>CI Not Received</v>
          </cell>
          <cell r="K286" t="str">
            <v>Civil Not Started</v>
          </cell>
        </row>
        <row r="287">
          <cell r="B287" t="str">
            <v>ROT4</v>
          </cell>
          <cell r="C287" t="str">
            <v>FSAM</v>
          </cell>
          <cell r="D287" t="str">
            <v>QLD</v>
          </cell>
          <cell r="E287" t="str">
            <v>QLD North</v>
          </cell>
          <cell r="F287" t="str">
            <v>Sunil Nair</v>
          </cell>
          <cell r="G287">
            <v>0</v>
          </cell>
          <cell r="H287">
            <v>0</v>
          </cell>
          <cell r="I287">
            <v>0</v>
          </cell>
          <cell r="J287" t="str">
            <v>CI Not Received</v>
          </cell>
          <cell r="K287" t="str">
            <v>Civil Not Started</v>
          </cell>
        </row>
        <row r="288">
          <cell r="B288" t="str">
            <v>ROT5</v>
          </cell>
          <cell r="C288" t="str">
            <v>FSAM</v>
          </cell>
          <cell r="D288" t="str">
            <v>QLD</v>
          </cell>
          <cell r="E288" t="str">
            <v>QLD North</v>
          </cell>
          <cell r="F288" t="str">
            <v>Sunil Nair</v>
          </cell>
          <cell r="G288">
            <v>0</v>
          </cell>
          <cell r="H288">
            <v>0</v>
          </cell>
          <cell r="I288">
            <v>0</v>
          </cell>
          <cell r="J288" t="str">
            <v>CI Not Received</v>
          </cell>
          <cell r="K288" t="str">
            <v>Civil Not Started</v>
          </cell>
        </row>
        <row r="289">
          <cell r="B289" t="str">
            <v>ROT6</v>
          </cell>
          <cell r="C289" t="str">
            <v>FSAM</v>
          </cell>
          <cell r="D289" t="str">
            <v>QLD</v>
          </cell>
          <cell r="E289" t="str">
            <v>QLD North</v>
          </cell>
          <cell r="F289" t="str">
            <v>Sunil Nair</v>
          </cell>
          <cell r="G289">
            <v>0</v>
          </cell>
          <cell r="H289">
            <v>0</v>
          </cell>
          <cell r="I289">
            <v>0</v>
          </cell>
          <cell r="J289" t="str">
            <v>CI Not Received</v>
          </cell>
          <cell r="K289" t="str">
            <v>Civil Not Started</v>
          </cell>
        </row>
        <row r="290">
          <cell r="B290" t="str">
            <v>SAR1</v>
          </cell>
          <cell r="C290" t="str">
            <v>FSAM</v>
          </cell>
          <cell r="D290" t="str">
            <v>QLD</v>
          </cell>
          <cell r="E290" t="str">
            <v>QLD North</v>
          </cell>
          <cell r="F290" t="str">
            <v>Sunil Nair</v>
          </cell>
          <cell r="G290">
            <v>0</v>
          </cell>
          <cell r="H290">
            <v>0</v>
          </cell>
          <cell r="I290">
            <v>0</v>
          </cell>
          <cell r="J290" t="str">
            <v>CI Not Received</v>
          </cell>
          <cell r="K290" t="str">
            <v>Civil Not Started</v>
          </cell>
        </row>
        <row r="291">
          <cell r="B291" t="str">
            <v>SFT1</v>
          </cell>
          <cell r="C291" t="str">
            <v>FSAM</v>
          </cell>
          <cell r="D291" t="str">
            <v>QLD</v>
          </cell>
          <cell r="E291" t="str">
            <v>QLD North</v>
          </cell>
          <cell r="F291" t="str">
            <v>Sunil Nair</v>
          </cell>
          <cell r="G291">
            <v>0</v>
          </cell>
          <cell r="H291">
            <v>0</v>
          </cell>
          <cell r="I291">
            <v>0</v>
          </cell>
          <cell r="J291" t="str">
            <v>CI Not Received</v>
          </cell>
          <cell r="K291" t="str">
            <v>Civil Not Started</v>
          </cell>
        </row>
        <row r="292">
          <cell r="B292" t="str">
            <v>SGI3</v>
          </cell>
          <cell r="C292" t="str">
            <v>FSAM</v>
          </cell>
          <cell r="D292" t="str">
            <v>QLD</v>
          </cell>
          <cell r="E292" t="str">
            <v>QLD Metro</v>
          </cell>
          <cell r="F292" t="str">
            <v>Jonathan Cogan</v>
          </cell>
          <cell r="G292">
            <v>0</v>
          </cell>
          <cell r="H292">
            <v>0</v>
          </cell>
          <cell r="I292">
            <v>0</v>
          </cell>
          <cell r="J292" t="str">
            <v>CI Not Received</v>
          </cell>
          <cell r="K292" t="str">
            <v>Civil Not Started</v>
          </cell>
        </row>
        <row r="293">
          <cell r="B293" t="str">
            <v>SLA4</v>
          </cell>
          <cell r="C293" t="str">
            <v>FSAM</v>
          </cell>
          <cell r="D293" t="str">
            <v>QLD</v>
          </cell>
          <cell r="E293" t="str">
            <v>QLD Metro</v>
          </cell>
          <cell r="F293" t="str">
            <v>Jonathan Cogan</v>
          </cell>
          <cell r="G293">
            <v>0</v>
          </cell>
          <cell r="H293">
            <v>0</v>
          </cell>
          <cell r="I293">
            <v>0</v>
          </cell>
          <cell r="J293" t="str">
            <v>CI Not Received</v>
          </cell>
          <cell r="K293" t="str">
            <v>Civil Not Started</v>
          </cell>
        </row>
        <row r="294">
          <cell r="B294" t="str">
            <v>SLA5</v>
          </cell>
          <cell r="C294" t="str">
            <v>FSAM</v>
          </cell>
          <cell r="D294" t="str">
            <v>QLD</v>
          </cell>
          <cell r="E294" t="str">
            <v>QLD Metro</v>
          </cell>
          <cell r="F294" t="str">
            <v>Jonathan Cogan</v>
          </cell>
          <cell r="G294">
            <v>0</v>
          </cell>
          <cell r="H294">
            <v>0</v>
          </cell>
          <cell r="I294">
            <v>0</v>
          </cell>
          <cell r="J294" t="str">
            <v>CI Not Received</v>
          </cell>
          <cell r="K294" t="str">
            <v>Civil Not Started</v>
          </cell>
        </row>
        <row r="295">
          <cell r="B295" t="str">
            <v>TNS5</v>
          </cell>
          <cell r="C295" t="str">
            <v>FSAM</v>
          </cell>
          <cell r="D295" t="e">
            <v>#N/A</v>
          </cell>
          <cell r="E295" t="e">
            <v>#N/A</v>
          </cell>
          <cell r="F295" t="e">
            <v>#N/A</v>
          </cell>
          <cell r="G295">
            <v>0</v>
          </cell>
          <cell r="H295">
            <v>0</v>
          </cell>
          <cell r="I295">
            <v>0</v>
          </cell>
          <cell r="J295" t="str">
            <v>CI Not Received</v>
          </cell>
          <cell r="K295" t="str">
            <v>Civil Not Started</v>
          </cell>
        </row>
        <row r="296">
          <cell r="B296" t="str">
            <v>TOB10</v>
          </cell>
          <cell r="C296" t="str">
            <v>FSAM</v>
          </cell>
          <cell r="D296" t="str">
            <v>QLD</v>
          </cell>
          <cell r="E296" t="str">
            <v>QLD South</v>
          </cell>
          <cell r="F296" t="str">
            <v>Alan Bassett</v>
          </cell>
          <cell r="G296">
            <v>0</v>
          </cell>
          <cell r="H296">
            <v>0</v>
          </cell>
          <cell r="I296">
            <v>0</v>
          </cell>
          <cell r="J296" t="str">
            <v>CI Not Received</v>
          </cell>
          <cell r="K296" t="str">
            <v>Civil Not Started</v>
          </cell>
        </row>
        <row r="297">
          <cell r="B297" t="str">
            <v>TOB11</v>
          </cell>
          <cell r="C297" t="str">
            <v>FSAM</v>
          </cell>
          <cell r="D297" t="str">
            <v>QLD</v>
          </cell>
          <cell r="E297" t="str">
            <v>QLD South</v>
          </cell>
          <cell r="F297" t="str">
            <v>Alan Bassett</v>
          </cell>
          <cell r="G297">
            <v>0</v>
          </cell>
          <cell r="H297">
            <v>0</v>
          </cell>
          <cell r="I297">
            <v>0</v>
          </cell>
          <cell r="J297" t="str">
            <v>CI Not Received</v>
          </cell>
          <cell r="K297" t="str">
            <v>Civil Not Started</v>
          </cell>
        </row>
        <row r="298">
          <cell r="B298" t="str">
            <v>TOB12</v>
          </cell>
          <cell r="C298" t="str">
            <v>FSAM</v>
          </cell>
          <cell r="D298" t="str">
            <v>QLD</v>
          </cell>
          <cell r="E298" t="str">
            <v>QLD South</v>
          </cell>
          <cell r="F298" t="str">
            <v>Alan Bassett</v>
          </cell>
          <cell r="G298">
            <v>0</v>
          </cell>
          <cell r="H298">
            <v>0</v>
          </cell>
          <cell r="I298">
            <v>0</v>
          </cell>
          <cell r="J298" t="str">
            <v>CI Not Received</v>
          </cell>
          <cell r="K298" t="str">
            <v>Civil Not Started</v>
          </cell>
        </row>
        <row r="299">
          <cell r="B299" t="str">
            <v>WOB1</v>
          </cell>
          <cell r="C299" t="str">
            <v>FSAM</v>
          </cell>
          <cell r="D299" t="str">
            <v>QLD</v>
          </cell>
          <cell r="E299" t="str">
            <v>QLD Metro</v>
          </cell>
          <cell r="F299" t="str">
            <v>Jonathan Cogan</v>
          </cell>
          <cell r="G299">
            <v>0</v>
          </cell>
          <cell r="H299">
            <v>0</v>
          </cell>
          <cell r="I299">
            <v>0</v>
          </cell>
          <cell r="J299" t="str">
            <v>CI Not Received</v>
          </cell>
          <cell r="K299" t="str">
            <v>Civil Not Started</v>
          </cell>
        </row>
        <row r="300">
          <cell r="B300" t="str">
            <v>CVI7</v>
          </cell>
          <cell r="C300" t="str">
            <v>FSAM</v>
          </cell>
          <cell r="D300" t="str">
            <v>NSW</v>
          </cell>
          <cell r="E300" t="str">
            <v>NSW South / ACT</v>
          </cell>
          <cell r="F300" t="str">
            <v>Steven Blewitt</v>
          </cell>
          <cell r="G300">
            <v>0</v>
          </cell>
          <cell r="H300">
            <v>0</v>
          </cell>
          <cell r="I300">
            <v>0</v>
          </cell>
          <cell r="J300" t="str">
            <v>CI Not Received</v>
          </cell>
          <cell r="K300" t="str">
            <v>Civil Not Started</v>
          </cell>
        </row>
        <row r="301">
          <cell r="B301" t="str">
            <v>CVI9</v>
          </cell>
          <cell r="C301" t="str">
            <v>FSAM</v>
          </cell>
          <cell r="D301" t="str">
            <v>NSW</v>
          </cell>
          <cell r="E301" t="str">
            <v>NSW South / ACT</v>
          </cell>
          <cell r="F301" t="str">
            <v>Steven Blewitt</v>
          </cell>
          <cell r="G301">
            <v>0</v>
          </cell>
          <cell r="H301">
            <v>0</v>
          </cell>
          <cell r="I301">
            <v>0</v>
          </cell>
          <cell r="J301" t="str">
            <v>CI Not Received</v>
          </cell>
          <cell r="K301" t="str">
            <v>Civil Not Started</v>
          </cell>
        </row>
        <row r="302">
          <cell r="B302" t="str">
            <v>QBN1</v>
          </cell>
          <cell r="C302" t="str">
            <v>FSAM</v>
          </cell>
          <cell r="D302" t="str">
            <v>NSW</v>
          </cell>
          <cell r="E302" t="str">
            <v>NSW South / ACT</v>
          </cell>
          <cell r="F302" t="str">
            <v>Steven Blewitt</v>
          </cell>
          <cell r="G302">
            <v>0</v>
          </cell>
          <cell r="H302">
            <v>0</v>
          </cell>
          <cell r="I302">
            <v>0</v>
          </cell>
          <cell r="J302" t="str">
            <v>CI Not Received</v>
          </cell>
          <cell r="K302" t="str">
            <v>Civil Not Started</v>
          </cell>
        </row>
        <row r="303">
          <cell r="B303" t="str">
            <v>QBN2</v>
          </cell>
          <cell r="C303" t="str">
            <v>FSAM</v>
          </cell>
          <cell r="D303" t="str">
            <v>NSW</v>
          </cell>
          <cell r="E303" t="str">
            <v>NSW South / ACT</v>
          </cell>
          <cell r="F303" t="str">
            <v>Steven Blewitt</v>
          </cell>
          <cell r="G303">
            <v>0</v>
          </cell>
          <cell r="H303">
            <v>0</v>
          </cell>
          <cell r="I303">
            <v>0</v>
          </cell>
          <cell r="J303" t="str">
            <v>CI Not Received</v>
          </cell>
          <cell r="K303" t="str">
            <v>Civil Not Started</v>
          </cell>
        </row>
        <row r="304">
          <cell r="B304" t="str">
            <v>QBN5</v>
          </cell>
          <cell r="C304" t="str">
            <v>FSAM</v>
          </cell>
          <cell r="D304" t="str">
            <v>NSW</v>
          </cell>
          <cell r="E304" t="str">
            <v>NSW South / ACT</v>
          </cell>
          <cell r="F304" t="str">
            <v>Steven Blewitt</v>
          </cell>
          <cell r="G304">
            <v>0</v>
          </cell>
          <cell r="H304">
            <v>0</v>
          </cell>
          <cell r="I304">
            <v>0</v>
          </cell>
          <cell r="J304" t="str">
            <v>CI Not Received</v>
          </cell>
          <cell r="K304" t="str">
            <v>Civil Not Started</v>
          </cell>
        </row>
        <row r="305">
          <cell r="B305" t="str">
            <v>QBN6</v>
          </cell>
          <cell r="C305" t="str">
            <v>FSAM</v>
          </cell>
          <cell r="D305" t="e">
            <v>#N/A</v>
          </cell>
          <cell r="E305" t="e">
            <v>#N/A</v>
          </cell>
          <cell r="F305" t="e">
            <v>#N/A</v>
          </cell>
          <cell r="G305">
            <v>0</v>
          </cell>
          <cell r="H305">
            <v>0</v>
          </cell>
          <cell r="I305">
            <v>0</v>
          </cell>
          <cell r="J305" t="str">
            <v>CI Not Received</v>
          </cell>
          <cell r="K305" t="str">
            <v>Civil Not Started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_Cover"/>
      <sheetName val="ROCK_OTR"/>
      <sheetName val="Data_Checks"/>
      <sheetName val="BOMBOQ"/>
      <sheetName val="BOQ Summary (Old)"/>
      <sheetName val="BOQ Summary Workings"/>
      <sheetName val="Cable Hauling"/>
      <sheetName val="rate master"/>
      <sheetName val="CSMD Listing"/>
      <sheetName val="list_fiber_cable"/>
      <sheetName val="Equipment"/>
      <sheetName val="Cabinet Tail Calculator"/>
      <sheetName val="New CAD Dump"/>
      <sheetName val="New CAD Dump Summary"/>
      <sheetName val="Aerial"/>
      <sheetName val="Cable Summary Details For NBN"/>
      <sheetName val="Cable Length Details"/>
      <sheetName val="Drum Schedule"/>
      <sheetName val="GNAF Counts"/>
      <sheetName val="Item ID in Use"/>
      <sheetName val="Map CAD to BOQ"/>
      <sheetName val="Change log"/>
    </sheetNames>
    <sheetDataSet>
      <sheetData sheetId="0">
        <row r="3">
          <cell r="S3" t="str">
            <v>Multi Haul</v>
          </cell>
        </row>
        <row r="4">
          <cell r="S4" t="str">
            <v>Single Haul</v>
          </cell>
        </row>
        <row r="38">
          <cell r="F3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 Export"/>
      <sheetName val="Risk"/>
      <sheetName val="VarianceExport"/>
      <sheetName val="Export File"/>
      <sheetName val="Instructions"/>
      <sheetName val="Design EV"/>
      <sheetName val="Construction EV"/>
      <sheetName val="Budget &amp; Actuals Import"/>
      <sheetName val="Import Last Months Export File"/>
      <sheetName val="Refresh Last Month Pivot"/>
      <sheetName val="Import FSAM Diary Quants"/>
      <sheetName val="Variance &amp; Risk Codes"/>
      <sheetName val="Project Info"/>
      <sheetName val="CV Pivot"/>
      <sheetName val="Bgt and Act Pivot"/>
      <sheetName val="Risk Pivot"/>
      <sheetName val="Variance Report"/>
      <sheetName val="FSAM Summary"/>
      <sheetName val="Overclaim Calc"/>
      <sheetName val="FSAM Summary D&amp;C"/>
      <sheetName val="Design List"/>
      <sheetName val="Materials List"/>
      <sheetName val="Construction List"/>
      <sheetName val="Revenue Summary"/>
      <sheetName val="Change Report"/>
      <sheetName val="FSAM Summary Design"/>
      <sheetName val="BLC1"/>
      <sheetName val="BLC2"/>
      <sheetName val="TRK1"/>
      <sheetName val="LIV2"/>
      <sheetName val="LIV3"/>
      <sheetName val="GRN2"/>
      <sheetName val="SGI1"/>
      <sheetName val="SGI3"/>
      <sheetName val="SGI6"/>
      <sheetName val="KIA2"/>
      <sheetName val="KIA3"/>
      <sheetName val="CRC1"/>
      <sheetName val="CRC2"/>
      <sheetName val="CRC3"/>
      <sheetName val="CRC4"/>
      <sheetName val="CRC5"/>
      <sheetName val="CRC6"/>
      <sheetName val="ARM4"/>
      <sheetName val="ARM5"/>
      <sheetName val="ARM6"/>
      <sheetName val="CFS1"/>
      <sheetName val="CFS2"/>
      <sheetName val="CFS3"/>
      <sheetName val="CFS4"/>
      <sheetName val="CFS5"/>
      <sheetName val="CFS6"/>
      <sheetName val="CFS7"/>
      <sheetName val="SAW1"/>
      <sheetName val="SAW2"/>
      <sheetName val="SAW3"/>
      <sheetName val="SAW4"/>
      <sheetName val="APL1"/>
      <sheetName val="APL2"/>
      <sheetName val="APL3"/>
      <sheetName val="APL4"/>
      <sheetName val="APL5"/>
      <sheetName val="APL6"/>
      <sheetName val="APL7"/>
      <sheetName val="GDN1"/>
      <sheetName val="GDN2"/>
      <sheetName val="GDN3"/>
      <sheetName val="GDN4"/>
      <sheetName val="GDN5"/>
      <sheetName val="GDN6"/>
      <sheetName val="GDN7"/>
      <sheetName val="GDN8"/>
      <sheetName val="TOB1"/>
      <sheetName val="TOB2"/>
      <sheetName val="TOB3"/>
      <sheetName val="TOB4"/>
      <sheetName val="TOB5"/>
      <sheetName val="TOB6"/>
      <sheetName val="TOB7"/>
      <sheetName val="TOB8"/>
      <sheetName val="TOB9"/>
      <sheetName val="BLK1"/>
      <sheetName val="BLK2"/>
      <sheetName val="BLK3"/>
      <sheetName val="BLK4"/>
      <sheetName val="BLK5"/>
      <sheetName val="BLK6"/>
      <sheetName val="BLK7"/>
      <sheetName val="BLK9"/>
      <sheetName val="BLK10"/>
      <sheetName val="GOS1"/>
      <sheetName val="GOS2"/>
      <sheetName val="GOS3"/>
      <sheetName val="GOS4"/>
      <sheetName val="GOS5"/>
      <sheetName val="GOS6"/>
      <sheetName val="GOS7"/>
      <sheetName val="GOS8"/>
      <sheetName val="GUL2"/>
      <sheetName val="GUL3"/>
      <sheetName val="GUL4"/>
      <sheetName val="GUL5"/>
      <sheetName val="GUL6"/>
      <sheetName val="GUL7"/>
      <sheetName val="PTH1"/>
      <sheetName val="PTH2"/>
      <sheetName val="PTH3"/>
      <sheetName val="PTH4"/>
      <sheetName val="PTH5"/>
      <sheetName val="PTH6"/>
      <sheetName val="PTH7"/>
      <sheetName val="PTH8"/>
      <sheetName val="HOM1"/>
      <sheetName val="HOM2"/>
      <sheetName val="HOM3"/>
      <sheetName val="HOM4"/>
      <sheetName val="RIV1"/>
      <sheetName val="RIV2"/>
      <sheetName val="RIV3"/>
      <sheetName val="RIV4"/>
      <sheetName val="TNS1"/>
      <sheetName val="TNS2"/>
      <sheetName val="TNS3"/>
      <sheetName val="TNS4"/>
      <sheetName val="TNS5"/>
      <sheetName val="TNS6"/>
      <sheetName val="TNS7"/>
      <sheetName val="LID1"/>
      <sheetName val="LID2"/>
      <sheetName val="LID3"/>
      <sheetName val="LID4"/>
      <sheetName val="LID5"/>
      <sheetName val="LID6"/>
      <sheetName val="LID7"/>
      <sheetName val="LID8"/>
      <sheetName val="RCH1"/>
      <sheetName val="RCH2"/>
      <sheetName val="RCH3"/>
      <sheetName val="RCH4"/>
      <sheetName val="RCH5"/>
      <sheetName val="RCH6"/>
      <sheetName val="RCH7"/>
      <sheetName val="MAI3"/>
      <sheetName val="MAI7"/>
      <sheetName val="MAI11"/>
      <sheetName val="CAI1"/>
      <sheetName val="CAI2"/>
      <sheetName val="CAI3"/>
      <sheetName val="CAI4"/>
      <sheetName val="CAI5"/>
      <sheetName val="MKY1"/>
      <sheetName val="MKY2"/>
      <sheetName val="MKY3"/>
      <sheetName val="MKY4"/>
      <sheetName val="MKY5"/>
      <sheetName val="MDG1"/>
      <sheetName val="MDG2"/>
      <sheetName val="MDG3"/>
      <sheetName val="TEE2"/>
      <sheetName val="TEE3"/>
      <sheetName val="TEE4"/>
      <sheetName val="TEE5"/>
      <sheetName val="ASH1"/>
      <sheetName val="ASH2"/>
      <sheetName val="ASH3"/>
      <sheetName val="BBE1"/>
      <sheetName val="BBE2"/>
      <sheetName val="BBE3"/>
      <sheetName val="BBE8"/>
      <sheetName val="BDB1"/>
      <sheetName val="BDB2"/>
      <sheetName val="BDB4"/>
      <sheetName val="COR4"/>
      <sheetName val="COR5"/>
      <sheetName val="COR6"/>
      <sheetName val="COR7"/>
      <sheetName val="COR8"/>
      <sheetName val="COR11"/>
      <sheetName val="CVI1"/>
      <sheetName val="CVI2"/>
      <sheetName val="CVI3"/>
      <sheetName val="CVI4"/>
      <sheetName val="CVI5"/>
      <sheetName val="CVI6"/>
      <sheetName val="DAP1"/>
      <sheetName val="DAP2"/>
      <sheetName val="DAP3"/>
      <sheetName val="DAP4"/>
      <sheetName val="DAP5"/>
      <sheetName val="DAP6"/>
      <sheetName val="IPS2"/>
      <sheetName val="IPS3"/>
      <sheetName val="IPS4"/>
      <sheetName val="IPS8"/>
      <sheetName val="KLG1"/>
      <sheetName val="KLG4"/>
      <sheetName val="KLG7"/>
      <sheetName val="LIV4"/>
      <sheetName val="LJT1"/>
      <sheetName val="LJT2"/>
      <sheetName val="LJT3"/>
      <sheetName val="LJT4"/>
      <sheetName val="LJT5"/>
      <sheetName val="LJT6"/>
      <sheetName val="LJT7"/>
      <sheetName val="LJT8"/>
      <sheetName val="LJT9"/>
      <sheetName val="NDG1"/>
      <sheetName val="NDG2"/>
      <sheetName val="NDG3"/>
      <sheetName val="NDG4"/>
      <sheetName val="NDG5"/>
      <sheetName val="NDG6"/>
      <sheetName val="QBN3"/>
      <sheetName val="QBN4"/>
      <sheetName val="QBN6"/>
      <sheetName val="ROT1"/>
      <sheetName val="ROT2"/>
      <sheetName val="ROT3"/>
      <sheetName val="ROT4"/>
      <sheetName val="SLA1"/>
      <sheetName val="SLA2"/>
      <sheetName val="SLA3"/>
      <sheetName val="WAG1"/>
      <sheetName val="WAG2"/>
      <sheetName val="WAG3"/>
      <sheetName val="WLG1"/>
      <sheetName val="WLG2"/>
      <sheetName val="WLG3"/>
      <sheetName val="WLG4"/>
      <sheetName val="WLG5"/>
      <sheetName val="WLG6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JDE FSAM Subledger</v>
          </cell>
          <cell r="B1" t="str">
            <v>Design EV</v>
          </cell>
          <cell r="C1" t="str">
            <v>Design Status Comment</v>
          </cell>
        </row>
        <row r="2">
          <cell r="A2" t="str">
            <v>CAS1</v>
          </cell>
          <cell r="B2">
            <v>0.01</v>
          </cell>
          <cell r="C2" t="str">
            <v>CI Received</v>
          </cell>
        </row>
        <row r="3">
          <cell r="A3" t="str">
            <v>CFS1</v>
          </cell>
          <cell r="B3">
            <v>0</v>
          </cell>
          <cell r="C3" t="str">
            <v>Designed by NBN</v>
          </cell>
        </row>
        <row r="4">
          <cell r="A4" t="str">
            <v>CFS2</v>
          </cell>
          <cell r="B4">
            <v>0</v>
          </cell>
          <cell r="C4" t="str">
            <v>Designed by NBN</v>
          </cell>
        </row>
        <row r="5">
          <cell r="A5" t="str">
            <v>GRN1</v>
          </cell>
          <cell r="B5">
            <v>0.01</v>
          </cell>
          <cell r="C5" t="str">
            <v>CI Received</v>
          </cell>
        </row>
        <row r="6">
          <cell r="A6" t="str">
            <v>GRN3</v>
          </cell>
          <cell r="B6">
            <v>0.01</v>
          </cell>
          <cell r="C6" t="str">
            <v>CI Received</v>
          </cell>
        </row>
        <row r="7">
          <cell r="A7" t="str">
            <v>HOM5</v>
          </cell>
          <cell r="B7">
            <v>0.01</v>
          </cell>
          <cell r="C7" t="str">
            <v>CI Received</v>
          </cell>
        </row>
        <row r="8">
          <cell r="A8" t="str">
            <v>HOM6</v>
          </cell>
          <cell r="B8">
            <v>0.01</v>
          </cell>
          <cell r="C8" t="str">
            <v>CI Received</v>
          </cell>
        </row>
        <row r="9">
          <cell r="A9" t="str">
            <v>PTH9</v>
          </cell>
          <cell r="B9">
            <v>0.01</v>
          </cell>
          <cell r="C9" t="str">
            <v>CI Received</v>
          </cell>
        </row>
        <row r="10">
          <cell r="A10" t="str">
            <v>RYD1</v>
          </cell>
          <cell r="B10">
            <v>0.01</v>
          </cell>
          <cell r="C10" t="str">
            <v>CI Received</v>
          </cell>
        </row>
        <row r="11">
          <cell r="A11" t="str">
            <v>TEE1</v>
          </cell>
          <cell r="B11">
            <v>0.01</v>
          </cell>
          <cell r="C11" t="str">
            <v>CI Received</v>
          </cell>
        </row>
        <row r="12">
          <cell r="A12" t="str">
            <v>TEE6</v>
          </cell>
          <cell r="B12">
            <v>0.01</v>
          </cell>
          <cell r="C12" t="str">
            <v>CI Received</v>
          </cell>
        </row>
        <row r="13">
          <cell r="A13" t="str">
            <v>WAG4</v>
          </cell>
          <cell r="B13">
            <v>0.01</v>
          </cell>
          <cell r="C13" t="str">
            <v>CI Received</v>
          </cell>
        </row>
        <row r="14">
          <cell r="A14" t="str">
            <v>APL7</v>
          </cell>
          <cell r="B14">
            <v>0.01</v>
          </cell>
          <cell r="C14" t="str">
            <v>CI Received</v>
          </cell>
        </row>
        <row r="15">
          <cell r="A15" t="str">
            <v>APL8</v>
          </cell>
          <cell r="B15">
            <v>0.01</v>
          </cell>
          <cell r="C15" t="str">
            <v>CI Received</v>
          </cell>
        </row>
        <row r="16">
          <cell r="A16" t="str">
            <v>APL9</v>
          </cell>
          <cell r="B16">
            <v>0.01</v>
          </cell>
          <cell r="C16" t="str">
            <v>CI Received</v>
          </cell>
        </row>
        <row r="17">
          <cell r="A17" t="str">
            <v>ASH4</v>
          </cell>
          <cell r="B17">
            <v>0.01</v>
          </cell>
          <cell r="C17" t="str">
            <v>CI Received</v>
          </cell>
        </row>
        <row r="18">
          <cell r="A18" t="str">
            <v>CAI6</v>
          </cell>
          <cell r="B18">
            <v>0.01</v>
          </cell>
          <cell r="C18" t="str">
            <v>CI Received</v>
          </cell>
        </row>
        <row r="19">
          <cell r="A19" t="str">
            <v>FRV1</v>
          </cell>
          <cell r="B19">
            <v>0.01</v>
          </cell>
          <cell r="C19" t="str">
            <v>CI Received</v>
          </cell>
        </row>
        <row r="20">
          <cell r="A20" t="str">
            <v>TOB10</v>
          </cell>
          <cell r="B20">
            <v>0.01</v>
          </cell>
          <cell r="C20" t="str">
            <v>CI Received</v>
          </cell>
        </row>
        <row r="21">
          <cell r="A21" t="str">
            <v>QBN5</v>
          </cell>
          <cell r="B21">
            <v>0.01</v>
          </cell>
          <cell r="C21" t="str">
            <v>CI Received</v>
          </cell>
        </row>
        <row r="22">
          <cell r="A22" t="str">
            <v>BLK7</v>
          </cell>
          <cell r="B22">
            <v>0.01</v>
          </cell>
          <cell r="C22" t="str">
            <v>CI Received</v>
          </cell>
        </row>
        <row r="23">
          <cell r="A23" t="str">
            <v>GOS8</v>
          </cell>
          <cell r="B23">
            <v>0.01</v>
          </cell>
          <cell r="C23" t="str">
            <v>CI Received</v>
          </cell>
        </row>
        <row r="24">
          <cell r="A24" t="str">
            <v>GRN2</v>
          </cell>
          <cell r="B24">
            <v>0.01</v>
          </cell>
          <cell r="C24" t="str">
            <v>CI Received</v>
          </cell>
        </row>
        <row r="25">
          <cell r="A25" t="str">
            <v>LIV3</v>
          </cell>
          <cell r="B25">
            <v>0.01</v>
          </cell>
          <cell r="C25" t="str">
            <v>CI Received</v>
          </cell>
        </row>
        <row r="26">
          <cell r="A26" t="str">
            <v>MDG1</v>
          </cell>
          <cell r="B26">
            <v>0.01</v>
          </cell>
          <cell r="C26" t="str">
            <v>CI Received</v>
          </cell>
        </row>
        <row r="27">
          <cell r="A27" t="str">
            <v>MDG2</v>
          </cell>
          <cell r="B27">
            <v>0.01</v>
          </cell>
          <cell r="C27" t="str">
            <v>CI Received</v>
          </cell>
        </row>
        <row r="28">
          <cell r="A28" t="str">
            <v>MDG3</v>
          </cell>
          <cell r="B28">
            <v>0.01</v>
          </cell>
          <cell r="C28" t="str">
            <v>CI Received</v>
          </cell>
        </row>
        <row r="29">
          <cell r="A29" t="str">
            <v>PTH8</v>
          </cell>
          <cell r="B29">
            <v>0.01</v>
          </cell>
          <cell r="C29" t="str">
            <v>CI Received</v>
          </cell>
        </row>
        <row r="30">
          <cell r="A30" t="str">
            <v>RCH7</v>
          </cell>
          <cell r="B30">
            <v>0.01</v>
          </cell>
          <cell r="C30" t="str">
            <v>CI Received</v>
          </cell>
        </row>
        <row r="31">
          <cell r="A31" t="str">
            <v>TEE5</v>
          </cell>
          <cell r="B31">
            <v>0.01</v>
          </cell>
          <cell r="C31" t="str">
            <v>CI Received</v>
          </cell>
        </row>
        <row r="32">
          <cell r="A32" t="str">
            <v>WAG1</v>
          </cell>
          <cell r="B32">
            <v>0.01</v>
          </cell>
          <cell r="C32" t="str">
            <v>CI Received</v>
          </cell>
        </row>
        <row r="33">
          <cell r="A33" t="str">
            <v>WAG2</v>
          </cell>
          <cell r="B33">
            <v>0.01</v>
          </cell>
          <cell r="C33" t="str">
            <v>CI Received</v>
          </cell>
        </row>
        <row r="34">
          <cell r="A34" t="str">
            <v>WAG3</v>
          </cell>
          <cell r="B34">
            <v>0.01</v>
          </cell>
          <cell r="C34" t="str">
            <v>CI Received</v>
          </cell>
        </row>
        <row r="35">
          <cell r="A35" t="str">
            <v>APL5</v>
          </cell>
          <cell r="B35">
            <v>0.01</v>
          </cell>
          <cell r="C35" t="str">
            <v>CI Received</v>
          </cell>
        </row>
        <row r="36">
          <cell r="A36" t="str">
            <v>APL6</v>
          </cell>
          <cell r="B36">
            <v>0.01</v>
          </cell>
          <cell r="C36" t="str">
            <v>CI Received</v>
          </cell>
        </row>
        <row r="37">
          <cell r="A37" t="str">
            <v>ASH1</v>
          </cell>
          <cell r="B37">
            <v>0.01</v>
          </cell>
          <cell r="C37" t="str">
            <v>CI Received</v>
          </cell>
        </row>
        <row r="38">
          <cell r="A38" t="str">
            <v>ASH2</v>
          </cell>
          <cell r="B38">
            <v>0.01</v>
          </cell>
          <cell r="C38" t="str">
            <v>CI Received</v>
          </cell>
        </row>
        <row r="39">
          <cell r="A39" t="str">
            <v>BBE1</v>
          </cell>
          <cell r="B39">
            <v>0.01</v>
          </cell>
          <cell r="C39" t="str">
            <v>CI Received</v>
          </cell>
        </row>
        <row r="40">
          <cell r="A40" t="str">
            <v>BBE2</v>
          </cell>
          <cell r="B40">
            <v>0.01</v>
          </cell>
          <cell r="C40" t="str">
            <v>CI Received</v>
          </cell>
        </row>
        <row r="41">
          <cell r="A41" t="str">
            <v>BBE3</v>
          </cell>
          <cell r="B41">
            <v>0.01</v>
          </cell>
          <cell r="C41" t="str">
            <v>CI Received</v>
          </cell>
        </row>
        <row r="42">
          <cell r="A42" t="str">
            <v>BBE8</v>
          </cell>
          <cell r="B42">
            <v>0.01</v>
          </cell>
          <cell r="C42" t="str">
            <v>CI Received</v>
          </cell>
        </row>
        <row r="43">
          <cell r="A43" t="str">
            <v>BDB4</v>
          </cell>
          <cell r="B43">
            <v>0.01</v>
          </cell>
          <cell r="C43" t="str">
            <v>CI Received</v>
          </cell>
        </row>
        <row r="44">
          <cell r="A44" t="str">
            <v>CAI5</v>
          </cell>
          <cell r="B44">
            <v>0.01</v>
          </cell>
          <cell r="C44" t="str">
            <v>CI Received</v>
          </cell>
        </row>
        <row r="45">
          <cell r="A45" t="str">
            <v>GDN7</v>
          </cell>
          <cell r="B45">
            <v>0.01</v>
          </cell>
          <cell r="C45" t="str">
            <v>CI Received</v>
          </cell>
        </row>
        <row r="46">
          <cell r="A46" t="str">
            <v>GDN8</v>
          </cell>
          <cell r="B46">
            <v>0.01</v>
          </cell>
          <cell r="C46" t="str">
            <v>CI Received</v>
          </cell>
        </row>
        <row r="47">
          <cell r="A47" t="str">
            <v>GUL7</v>
          </cell>
          <cell r="B47">
            <v>0.01</v>
          </cell>
          <cell r="C47" t="str">
            <v>CI Received</v>
          </cell>
        </row>
        <row r="48">
          <cell r="A48" t="str">
            <v>IPS3</v>
          </cell>
          <cell r="B48">
            <v>0.01</v>
          </cell>
          <cell r="C48" t="str">
            <v>CI Received</v>
          </cell>
        </row>
        <row r="49">
          <cell r="A49" t="str">
            <v>IPS8</v>
          </cell>
          <cell r="B49">
            <v>0.01</v>
          </cell>
          <cell r="C49" t="str">
            <v>CI Received</v>
          </cell>
        </row>
        <row r="50">
          <cell r="A50" t="str">
            <v>KLG4</v>
          </cell>
          <cell r="B50">
            <v>0.01</v>
          </cell>
          <cell r="C50" t="str">
            <v>CI Received</v>
          </cell>
        </row>
        <row r="51">
          <cell r="A51" t="str">
            <v>KLG7</v>
          </cell>
          <cell r="B51">
            <v>0.01</v>
          </cell>
          <cell r="C51" t="str">
            <v>CI Received</v>
          </cell>
        </row>
        <row r="52">
          <cell r="A52" t="str">
            <v>MKY5</v>
          </cell>
          <cell r="B52">
            <v>0.01</v>
          </cell>
          <cell r="C52" t="str">
            <v>CI Received</v>
          </cell>
        </row>
        <row r="53">
          <cell r="A53" t="str">
            <v>NDG4</v>
          </cell>
          <cell r="B53">
            <v>0.01</v>
          </cell>
          <cell r="C53" t="str">
            <v>CI Received</v>
          </cell>
        </row>
        <row r="54">
          <cell r="A54" t="str">
            <v>NDG5</v>
          </cell>
          <cell r="B54">
            <v>0.01</v>
          </cell>
          <cell r="C54" t="str">
            <v>CI Received</v>
          </cell>
        </row>
        <row r="55">
          <cell r="A55" t="str">
            <v>NDG6</v>
          </cell>
          <cell r="B55">
            <v>0.01</v>
          </cell>
          <cell r="C55" t="str">
            <v>CI Received</v>
          </cell>
        </row>
        <row r="56">
          <cell r="A56" t="str">
            <v>ROT3</v>
          </cell>
          <cell r="B56">
            <v>0.01</v>
          </cell>
          <cell r="C56" t="str">
            <v>CI Received</v>
          </cell>
        </row>
        <row r="57">
          <cell r="A57" t="str">
            <v>ROT4</v>
          </cell>
          <cell r="B57">
            <v>0.01</v>
          </cell>
          <cell r="C57" t="str">
            <v>CI Received</v>
          </cell>
        </row>
        <row r="58">
          <cell r="A58" t="str">
            <v>SGI1</v>
          </cell>
          <cell r="B58">
            <v>0.01</v>
          </cell>
          <cell r="C58" t="str">
            <v>CI Received</v>
          </cell>
        </row>
        <row r="59">
          <cell r="A59" t="str">
            <v>SGI3</v>
          </cell>
          <cell r="B59">
            <v>0.01</v>
          </cell>
          <cell r="C59" t="str">
            <v>CI Received</v>
          </cell>
        </row>
        <row r="60">
          <cell r="A60" t="str">
            <v>SLA1</v>
          </cell>
          <cell r="B60">
            <v>0.01</v>
          </cell>
          <cell r="C60" t="str">
            <v>CI Received</v>
          </cell>
        </row>
        <row r="61">
          <cell r="A61" t="str">
            <v>SLA2</v>
          </cell>
          <cell r="B61">
            <v>0.01</v>
          </cell>
          <cell r="C61" t="str">
            <v>CI Received</v>
          </cell>
        </row>
        <row r="62">
          <cell r="A62" t="str">
            <v>SLA3</v>
          </cell>
          <cell r="B62">
            <v>0.01</v>
          </cell>
          <cell r="C62" t="str">
            <v>CI Received</v>
          </cell>
        </row>
        <row r="63">
          <cell r="A63" t="str">
            <v>TNS7</v>
          </cell>
          <cell r="B63">
            <v>0.01</v>
          </cell>
          <cell r="C63" t="str">
            <v>CI Received</v>
          </cell>
        </row>
        <row r="64">
          <cell r="A64" t="str">
            <v>BLC1</v>
          </cell>
          <cell r="B64">
            <v>0.01</v>
          </cell>
          <cell r="C64" t="str">
            <v>CI Received</v>
          </cell>
        </row>
        <row r="65">
          <cell r="A65" t="str">
            <v>BLC2</v>
          </cell>
          <cell r="B65">
            <v>0.01</v>
          </cell>
          <cell r="C65" t="str">
            <v>CI Received</v>
          </cell>
        </row>
        <row r="66">
          <cell r="A66" t="str">
            <v>CFS3</v>
          </cell>
          <cell r="B66">
            <v>0.99</v>
          </cell>
          <cell r="C66" t="str">
            <v>CoA Accepted</v>
          </cell>
        </row>
        <row r="67">
          <cell r="A67" t="str">
            <v>CFS5</v>
          </cell>
          <cell r="B67">
            <v>0.99</v>
          </cell>
          <cell r="C67" t="str">
            <v>CoA Accepted</v>
          </cell>
        </row>
        <row r="68">
          <cell r="A68" t="str">
            <v>DAP2</v>
          </cell>
          <cell r="B68">
            <v>0.99</v>
          </cell>
          <cell r="C68" t="str">
            <v>CoA Accepted</v>
          </cell>
        </row>
        <row r="69">
          <cell r="A69" t="str">
            <v>GOS1</v>
          </cell>
          <cell r="B69">
            <v>0.99</v>
          </cell>
          <cell r="C69" t="str">
            <v>CoA Accepted</v>
          </cell>
        </row>
        <row r="70">
          <cell r="A70" t="str">
            <v>GOS2</v>
          </cell>
          <cell r="B70">
            <v>0.99</v>
          </cell>
          <cell r="C70" t="str">
            <v>CoA Accepted</v>
          </cell>
        </row>
        <row r="71">
          <cell r="A71" t="str">
            <v>HOM2</v>
          </cell>
          <cell r="B71">
            <v>0.99</v>
          </cell>
          <cell r="C71" t="str">
            <v>CoA Accepted</v>
          </cell>
        </row>
        <row r="72">
          <cell r="A72" t="str">
            <v>KIA2</v>
          </cell>
          <cell r="B72">
            <v>0.99</v>
          </cell>
          <cell r="C72" t="str">
            <v>CoA Accepted</v>
          </cell>
        </row>
        <row r="73">
          <cell r="A73" t="str">
            <v>KIA3</v>
          </cell>
          <cell r="B73">
            <v>0.99</v>
          </cell>
          <cell r="C73" t="str">
            <v>CoA Accepted</v>
          </cell>
        </row>
        <row r="74">
          <cell r="A74" t="str">
            <v>LID1</v>
          </cell>
          <cell r="B74">
            <v>0.99</v>
          </cell>
          <cell r="C74" t="str">
            <v>CoA Accepted</v>
          </cell>
        </row>
        <row r="75">
          <cell r="A75" t="str">
            <v>SAW1</v>
          </cell>
          <cell r="B75">
            <v>0.99</v>
          </cell>
          <cell r="C75" t="str">
            <v>CoA Accepted</v>
          </cell>
        </row>
        <row r="76">
          <cell r="A76" t="str">
            <v>SAW2</v>
          </cell>
          <cell r="B76">
            <v>0.99</v>
          </cell>
          <cell r="C76" t="str">
            <v>CoA Accepted</v>
          </cell>
        </row>
        <row r="77">
          <cell r="A77" t="str">
            <v>SAW3</v>
          </cell>
          <cell r="B77">
            <v>0.99</v>
          </cell>
          <cell r="C77" t="str">
            <v>CoA Accepted</v>
          </cell>
        </row>
        <row r="78">
          <cell r="A78" t="str">
            <v>APL1</v>
          </cell>
          <cell r="B78">
            <v>0.99</v>
          </cell>
          <cell r="C78" t="str">
            <v>CoA Accepted</v>
          </cell>
        </row>
        <row r="79">
          <cell r="A79" t="str">
            <v>APL2</v>
          </cell>
          <cell r="B79">
            <v>0.99</v>
          </cell>
          <cell r="C79" t="str">
            <v>CoA Accepted</v>
          </cell>
        </row>
        <row r="80">
          <cell r="A80" t="str">
            <v>APL3</v>
          </cell>
          <cell r="B80">
            <v>0.99</v>
          </cell>
          <cell r="C80" t="str">
            <v>CoA Accepted</v>
          </cell>
        </row>
        <row r="81">
          <cell r="A81" t="str">
            <v>APL4</v>
          </cell>
          <cell r="B81">
            <v>0.99</v>
          </cell>
          <cell r="C81" t="str">
            <v>CoA Accepted</v>
          </cell>
        </row>
        <row r="82">
          <cell r="A82" t="str">
            <v>CAI1</v>
          </cell>
          <cell r="B82">
            <v>0.99</v>
          </cell>
          <cell r="C82" t="str">
            <v>CoA Accepted</v>
          </cell>
        </row>
        <row r="83">
          <cell r="A83" t="str">
            <v>GDN1</v>
          </cell>
          <cell r="B83">
            <v>0.99</v>
          </cell>
          <cell r="C83" t="str">
            <v>CoA Accepted</v>
          </cell>
        </row>
        <row r="84">
          <cell r="A84" t="str">
            <v>GDN2</v>
          </cell>
          <cell r="B84">
            <v>0.99</v>
          </cell>
          <cell r="C84" t="str">
            <v>CoA Accepted</v>
          </cell>
        </row>
        <row r="85">
          <cell r="A85" t="str">
            <v>GUL4</v>
          </cell>
          <cell r="B85">
            <v>0.99</v>
          </cell>
          <cell r="C85" t="str">
            <v>CoA Accepted</v>
          </cell>
        </row>
        <row r="86">
          <cell r="A86" t="str">
            <v>TOB2</v>
          </cell>
          <cell r="B86">
            <v>0.99</v>
          </cell>
          <cell r="C86" t="str">
            <v>CoA Accepted</v>
          </cell>
        </row>
        <row r="87">
          <cell r="A87" t="str">
            <v>CRC1</v>
          </cell>
          <cell r="B87">
            <v>0.99</v>
          </cell>
          <cell r="C87" t="str">
            <v>CoA Accepted</v>
          </cell>
        </row>
        <row r="88">
          <cell r="A88" t="str">
            <v>CRC2</v>
          </cell>
          <cell r="B88">
            <v>0.99</v>
          </cell>
          <cell r="C88" t="str">
            <v>CoA Accepted</v>
          </cell>
        </row>
        <row r="89">
          <cell r="A89" t="str">
            <v>CRC4</v>
          </cell>
          <cell r="B89">
            <v>0.99</v>
          </cell>
          <cell r="C89" t="str">
            <v>CoA Accepted</v>
          </cell>
        </row>
        <row r="90">
          <cell r="A90" t="str">
            <v>CRC5</v>
          </cell>
          <cell r="B90">
            <v>0.99</v>
          </cell>
          <cell r="C90" t="str">
            <v>CoA Accepted</v>
          </cell>
        </row>
        <row r="91">
          <cell r="A91" t="str">
            <v>TOB1</v>
          </cell>
          <cell r="B91">
            <v>1</v>
          </cell>
          <cell r="C91" t="str">
            <v>Final Acceptance</v>
          </cell>
        </row>
        <row r="92">
          <cell r="A92" t="str">
            <v>CRC3</v>
          </cell>
          <cell r="B92">
            <v>1</v>
          </cell>
          <cell r="C92" t="str">
            <v>Final Acceptance</v>
          </cell>
        </row>
        <row r="93">
          <cell r="A93" t="str">
            <v>CRC6</v>
          </cell>
          <cell r="B93">
            <v>1</v>
          </cell>
          <cell r="C93" t="str">
            <v>Final Acceptance</v>
          </cell>
        </row>
        <row r="94">
          <cell r="A94" t="str">
            <v>BLK10</v>
          </cell>
          <cell r="B94">
            <v>0.5</v>
          </cell>
          <cell r="C94" t="str">
            <v>Gate 1 Submitted</v>
          </cell>
        </row>
        <row r="95">
          <cell r="A95" t="str">
            <v>COR4</v>
          </cell>
          <cell r="B95">
            <v>0.5</v>
          </cell>
          <cell r="C95" t="str">
            <v>Gate 1 Submitted</v>
          </cell>
        </row>
        <row r="96">
          <cell r="A96" t="str">
            <v>COR5</v>
          </cell>
          <cell r="B96">
            <v>0.5</v>
          </cell>
          <cell r="C96" t="str">
            <v>Gate 1 Submitted</v>
          </cell>
        </row>
        <row r="97">
          <cell r="A97" t="str">
            <v>COR6</v>
          </cell>
          <cell r="B97">
            <v>0.5</v>
          </cell>
          <cell r="C97" t="str">
            <v>Gate 1 Submitted</v>
          </cell>
        </row>
        <row r="98">
          <cell r="A98" t="str">
            <v>COR8</v>
          </cell>
          <cell r="B98">
            <v>0.5</v>
          </cell>
          <cell r="C98" t="str">
            <v>Gate 1 Submitted</v>
          </cell>
        </row>
        <row r="99">
          <cell r="A99" t="str">
            <v>DAP1</v>
          </cell>
          <cell r="B99">
            <v>0.5</v>
          </cell>
          <cell r="C99" t="str">
            <v>Gate 1 Submitted</v>
          </cell>
        </row>
        <row r="100">
          <cell r="A100" t="str">
            <v>DAP6</v>
          </cell>
          <cell r="B100">
            <v>0.5</v>
          </cell>
          <cell r="C100" t="str">
            <v>Gate 1 Submitted</v>
          </cell>
        </row>
        <row r="101">
          <cell r="A101" t="str">
            <v>HOM4</v>
          </cell>
          <cell r="B101">
            <v>0.5</v>
          </cell>
          <cell r="C101" t="str">
            <v>Gate 1 Submitted</v>
          </cell>
        </row>
        <row r="102">
          <cell r="A102" t="str">
            <v>LID7</v>
          </cell>
          <cell r="B102">
            <v>0.5</v>
          </cell>
          <cell r="C102" t="str">
            <v>Gate 1 Submitted</v>
          </cell>
        </row>
        <row r="103">
          <cell r="A103" t="str">
            <v>LIV2</v>
          </cell>
          <cell r="B103">
            <v>0.5</v>
          </cell>
          <cell r="C103" t="str">
            <v>Gate 1 Submitted</v>
          </cell>
        </row>
        <row r="104">
          <cell r="A104" t="str">
            <v>LIV4</v>
          </cell>
          <cell r="B104">
            <v>0.5</v>
          </cell>
          <cell r="C104" t="str">
            <v>Gate 1 Submitted</v>
          </cell>
        </row>
        <row r="105">
          <cell r="A105" t="str">
            <v>LJT5</v>
          </cell>
          <cell r="B105">
            <v>0.5</v>
          </cell>
          <cell r="C105" t="str">
            <v>Gate 1 Submitted</v>
          </cell>
        </row>
        <row r="106">
          <cell r="A106" t="str">
            <v>LJT6</v>
          </cell>
          <cell r="B106">
            <v>0.5</v>
          </cell>
          <cell r="C106" t="str">
            <v>Gate 1 Submitted</v>
          </cell>
        </row>
        <row r="107">
          <cell r="A107" t="str">
            <v>LJT8</v>
          </cell>
          <cell r="B107">
            <v>0.5</v>
          </cell>
          <cell r="C107" t="str">
            <v>Gate 1 Submitted</v>
          </cell>
        </row>
        <row r="108">
          <cell r="A108" t="str">
            <v>LJT9</v>
          </cell>
          <cell r="B108">
            <v>0.5</v>
          </cell>
          <cell r="C108" t="str">
            <v>Gate 1 Submitted</v>
          </cell>
        </row>
        <row r="109">
          <cell r="A109" t="str">
            <v>MAI3</v>
          </cell>
          <cell r="B109">
            <v>0.5</v>
          </cell>
          <cell r="C109" t="str">
            <v>Gate 1 Submitted</v>
          </cell>
        </row>
        <row r="110">
          <cell r="A110" t="str">
            <v>MAI7</v>
          </cell>
          <cell r="B110">
            <v>0.5</v>
          </cell>
          <cell r="C110" t="str">
            <v>Gate 1 Submitted</v>
          </cell>
        </row>
        <row r="111">
          <cell r="A111" t="str">
            <v>MAI11</v>
          </cell>
          <cell r="B111">
            <v>0.5</v>
          </cell>
          <cell r="C111" t="str">
            <v>Gate 1 Submitted</v>
          </cell>
        </row>
        <row r="112">
          <cell r="A112" t="str">
            <v>WLG5</v>
          </cell>
          <cell r="B112">
            <v>0.5</v>
          </cell>
          <cell r="C112" t="str">
            <v>Gate 1 Submitted</v>
          </cell>
        </row>
        <row r="113">
          <cell r="A113" t="str">
            <v>WLG6</v>
          </cell>
          <cell r="B113">
            <v>0.5</v>
          </cell>
          <cell r="C113" t="str">
            <v>Gate 1 Submitted</v>
          </cell>
        </row>
        <row r="114">
          <cell r="A114" t="str">
            <v>ASH3</v>
          </cell>
          <cell r="B114">
            <v>0.5</v>
          </cell>
          <cell r="C114" t="str">
            <v>Gate 1 Submitted</v>
          </cell>
        </row>
        <row r="115">
          <cell r="A115" t="str">
            <v>BDB1</v>
          </cell>
          <cell r="B115">
            <v>0.5</v>
          </cell>
          <cell r="C115" t="str">
            <v>Gate 1 Submitted</v>
          </cell>
        </row>
        <row r="116">
          <cell r="A116" t="str">
            <v>BDB2</v>
          </cell>
          <cell r="B116">
            <v>0.5</v>
          </cell>
          <cell r="C116" t="str">
            <v>Gate 1 Submitted</v>
          </cell>
        </row>
        <row r="117">
          <cell r="A117" t="str">
            <v>CAI4</v>
          </cell>
          <cell r="B117">
            <v>0.5</v>
          </cell>
          <cell r="C117" t="str">
            <v>Gate 1 Submitted</v>
          </cell>
        </row>
        <row r="118">
          <cell r="A118" t="str">
            <v>IPS2</v>
          </cell>
          <cell r="B118">
            <v>0.5</v>
          </cell>
          <cell r="C118" t="str">
            <v>Gate 1 Submitted</v>
          </cell>
        </row>
        <row r="119">
          <cell r="A119" t="str">
            <v>IPS4</v>
          </cell>
          <cell r="B119">
            <v>0.5</v>
          </cell>
          <cell r="C119" t="str">
            <v>Gate 1 Submitted</v>
          </cell>
        </row>
        <row r="120">
          <cell r="A120" t="str">
            <v>ROT1</v>
          </cell>
          <cell r="B120">
            <v>0.5</v>
          </cell>
          <cell r="C120" t="str">
            <v>Gate 1 Submitted</v>
          </cell>
        </row>
        <row r="121">
          <cell r="A121" t="str">
            <v>ROT2</v>
          </cell>
          <cell r="B121">
            <v>0.5</v>
          </cell>
          <cell r="C121" t="str">
            <v>Gate 1 Submitted</v>
          </cell>
        </row>
        <row r="122">
          <cell r="A122" t="str">
            <v>TOB7</v>
          </cell>
          <cell r="B122">
            <v>0.5</v>
          </cell>
          <cell r="C122" t="str">
            <v>Gate 1 Submitted</v>
          </cell>
        </row>
        <row r="123">
          <cell r="A123" t="str">
            <v>TOB8</v>
          </cell>
          <cell r="B123">
            <v>0.5</v>
          </cell>
          <cell r="C123" t="str">
            <v>Gate 1 Submitted</v>
          </cell>
        </row>
        <row r="124">
          <cell r="A124" t="str">
            <v>TOB9</v>
          </cell>
          <cell r="B124">
            <v>0.5</v>
          </cell>
          <cell r="C124" t="str">
            <v>Gate 1 Submitted</v>
          </cell>
        </row>
        <row r="125">
          <cell r="A125" t="str">
            <v>CVI2</v>
          </cell>
          <cell r="B125">
            <v>0.5</v>
          </cell>
          <cell r="C125" t="str">
            <v>Gate 1 Submitted</v>
          </cell>
        </row>
        <row r="126">
          <cell r="A126" t="str">
            <v>CVI3</v>
          </cell>
          <cell r="B126">
            <v>0.5</v>
          </cell>
          <cell r="C126" t="str">
            <v>Gate 1 Submitted</v>
          </cell>
        </row>
        <row r="127">
          <cell r="A127" t="str">
            <v>CVI4</v>
          </cell>
          <cell r="B127">
            <v>0.5</v>
          </cell>
          <cell r="C127" t="str">
            <v>Gate 1 Submitted</v>
          </cell>
        </row>
        <row r="128">
          <cell r="A128" t="str">
            <v>CVI5</v>
          </cell>
          <cell r="B128">
            <v>0.5</v>
          </cell>
          <cell r="C128" t="str">
            <v>Gate 1 Submitted</v>
          </cell>
        </row>
        <row r="129">
          <cell r="A129" t="str">
            <v>CVI6</v>
          </cell>
          <cell r="B129">
            <v>0.5</v>
          </cell>
          <cell r="C129" t="str">
            <v>Gate 1 Submitted</v>
          </cell>
        </row>
        <row r="130">
          <cell r="A130" t="str">
            <v>QBN3</v>
          </cell>
          <cell r="B130">
            <v>0.5</v>
          </cell>
          <cell r="C130" t="str">
            <v>Gate 1 Submitted</v>
          </cell>
        </row>
        <row r="131">
          <cell r="A131" t="str">
            <v>QBN4</v>
          </cell>
          <cell r="B131">
            <v>0.5</v>
          </cell>
          <cell r="C131" t="str">
            <v>Gate 1 Submitted</v>
          </cell>
        </row>
        <row r="132">
          <cell r="A132" t="str">
            <v>QBN6</v>
          </cell>
          <cell r="B132">
            <v>0.5</v>
          </cell>
          <cell r="C132" t="str">
            <v>Gate 1 Submitted</v>
          </cell>
        </row>
        <row r="133">
          <cell r="A133" t="str">
            <v>BLK9</v>
          </cell>
          <cell r="B133">
            <v>0.9</v>
          </cell>
          <cell r="C133" t="str">
            <v>Gate 2 Submitted</v>
          </cell>
        </row>
        <row r="134">
          <cell r="A134" t="str">
            <v>COR7</v>
          </cell>
          <cell r="B134">
            <v>0.9</v>
          </cell>
          <cell r="C134" t="str">
            <v>Gate 2 Submitted</v>
          </cell>
        </row>
        <row r="135">
          <cell r="A135" t="str">
            <v>GOS5</v>
          </cell>
          <cell r="B135">
            <v>0.9</v>
          </cell>
          <cell r="C135" t="str">
            <v>Gate 2 Submitted</v>
          </cell>
        </row>
        <row r="136">
          <cell r="A136" t="str">
            <v>PTH7</v>
          </cell>
          <cell r="B136">
            <v>0.9</v>
          </cell>
          <cell r="C136" t="str">
            <v>Gate 2 Submitted</v>
          </cell>
        </row>
        <row r="137">
          <cell r="A137" t="str">
            <v>WLG3</v>
          </cell>
          <cell r="B137">
            <v>0.9</v>
          </cell>
          <cell r="C137" t="str">
            <v>Gate 2 Submitted</v>
          </cell>
        </row>
        <row r="138">
          <cell r="A138" t="str">
            <v>MKY4</v>
          </cell>
          <cell r="B138">
            <v>0.9</v>
          </cell>
          <cell r="C138" t="str">
            <v>Gate 2 Submitted</v>
          </cell>
        </row>
        <row r="139">
          <cell r="A139" t="str">
            <v>CVI1</v>
          </cell>
          <cell r="B139">
            <v>0.9</v>
          </cell>
          <cell r="C139" t="str">
            <v>Gate 2 Submitted</v>
          </cell>
        </row>
        <row r="140">
          <cell r="A140" t="str">
            <v>ARM4</v>
          </cell>
          <cell r="B140">
            <v>0.95</v>
          </cell>
          <cell r="C140" t="str">
            <v>Gate 3 Submitted</v>
          </cell>
        </row>
        <row r="141">
          <cell r="A141" t="str">
            <v>ARM5</v>
          </cell>
          <cell r="B141">
            <v>0.95</v>
          </cell>
          <cell r="C141" t="str">
            <v>Gate 3 Submitted</v>
          </cell>
        </row>
        <row r="142">
          <cell r="A142" t="str">
            <v>ARM6</v>
          </cell>
          <cell r="B142">
            <v>0.95</v>
          </cell>
          <cell r="C142" t="str">
            <v>Gate 3 Submitted</v>
          </cell>
        </row>
        <row r="143">
          <cell r="A143" t="str">
            <v>BLK1</v>
          </cell>
          <cell r="B143">
            <v>0.95</v>
          </cell>
          <cell r="C143" t="str">
            <v>Gate 3 Submitted</v>
          </cell>
        </row>
        <row r="144">
          <cell r="A144" t="str">
            <v>BLK2</v>
          </cell>
          <cell r="B144">
            <v>0.95</v>
          </cell>
          <cell r="C144" t="str">
            <v>Gate 3 Submitted</v>
          </cell>
        </row>
        <row r="145">
          <cell r="A145" t="str">
            <v>BLK3</v>
          </cell>
          <cell r="B145">
            <v>0.95</v>
          </cell>
          <cell r="C145" t="str">
            <v>Gate 3 Submitted</v>
          </cell>
        </row>
        <row r="146">
          <cell r="A146" t="str">
            <v>BLK4</v>
          </cell>
          <cell r="B146">
            <v>0.95</v>
          </cell>
          <cell r="C146" t="str">
            <v>Gate 3 Submitted</v>
          </cell>
        </row>
        <row r="147">
          <cell r="A147" t="str">
            <v>BLK5</v>
          </cell>
          <cell r="B147">
            <v>0.95</v>
          </cell>
          <cell r="C147" t="str">
            <v>Gate 3 Submitted</v>
          </cell>
        </row>
        <row r="148">
          <cell r="A148" t="str">
            <v>BLK6</v>
          </cell>
          <cell r="B148">
            <v>0.95</v>
          </cell>
          <cell r="C148" t="str">
            <v>Gate 3 Submitted</v>
          </cell>
        </row>
        <row r="149">
          <cell r="A149" t="str">
            <v>CFS4</v>
          </cell>
          <cell r="B149">
            <v>0.95</v>
          </cell>
          <cell r="C149" t="str">
            <v>Gate 3 Submitted</v>
          </cell>
        </row>
        <row r="150">
          <cell r="A150" t="str">
            <v>CFS6</v>
          </cell>
          <cell r="B150">
            <v>0.95</v>
          </cell>
          <cell r="C150" t="str">
            <v>Gate 3 Submitted</v>
          </cell>
        </row>
        <row r="151">
          <cell r="A151" t="str">
            <v>CFS7</v>
          </cell>
          <cell r="B151">
            <v>0.95</v>
          </cell>
          <cell r="C151" t="str">
            <v>Gate 3 Submitted</v>
          </cell>
        </row>
        <row r="152">
          <cell r="A152" t="str">
            <v>COR11</v>
          </cell>
          <cell r="B152">
            <v>0.95</v>
          </cell>
          <cell r="C152" t="str">
            <v>Gate 3 Submitted</v>
          </cell>
        </row>
        <row r="153">
          <cell r="A153" t="str">
            <v>DAP3</v>
          </cell>
          <cell r="B153">
            <v>0.95</v>
          </cell>
          <cell r="C153" t="str">
            <v>Gate 3 Submitted</v>
          </cell>
        </row>
        <row r="154">
          <cell r="A154" t="str">
            <v>DAP4</v>
          </cell>
          <cell r="B154">
            <v>0.95</v>
          </cell>
          <cell r="C154" t="str">
            <v>Gate 3 Submitted</v>
          </cell>
        </row>
        <row r="155">
          <cell r="A155" t="str">
            <v>DAP5</v>
          </cell>
          <cell r="B155">
            <v>0.95</v>
          </cell>
          <cell r="C155" t="str">
            <v>Gate 3 Submitted</v>
          </cell>
        </row>
        <row r="156">
          <cell r="A156" t="str">
            <v>GOS3</v>
          </cell>
          <cell r="B156">
            <v>0.95</v>
          </cell>
          <cell r="C156" t="str">
            <v>Gate 3 Submitted</v>
          </cell>
        </row>
        <row r="157">
          <cell r="A157" t="str">
            <v>GOS4</v>
          </cell>
          <cell r="B157">
            <v>0.95</v>
          </cell>
          <cell r="C157" t="str">
            <v>Gate 3 Submitted</v>
          </cell>
        </row>
        <row r="158">
          <cell r="A158" t="str">
            <v>GOS6</v>
          </cell>
          <cell r="B158">
            <v>0.95</v>
          </cell>
          <cell r="C158" t="str">
            <v>Gate 3 Submitted</v>
          </cell>
        </row>
        <row r="159">
          <cell r="A159" t="str">
            <v>GOS7</v>
          </cell>
          <cell r="B159">
            <v>0.95</v>
          </cell>
          <cell r="C159" t="str">
            <v>Gate 3 Submitted</v>
          </cell>
        </row>
        <row r="160">
          <cell r="A160" t="str">
            <v>HOM1</v>
          </cell>
          <cell r="B160">
            <v>0.95</v>
          </cell>
          <cell r="C160" t="str">
            <v>Gate 3 Submitted</v>
          </cell>
        </row>
        <row r="161">
          <cell r="A161" t="str">
            <v>HOM3</v>
          </cell>
          <cell r="B161">
            <v>0.95</v>
          </cell>
          <cell r="C161" t="str">
            <v>Gate 3 Submitted</v>
          </cell>
        </row>
        <row r="162">
          <cell r="A162" t="str">
            <v>LID2</v>
          </cell>
          <cell r="B162">
            <v>0.95</v>
          </cell>
          <cell r="C162" t="str">
            <v>Gate 3 Submitted</v>
          </cell>
        </row>
        <row r="163">
          <cell r="A163" t="str">
            <v>LID3</v>
          </cell>
          <cell r="B163">
            <v>0.95</v>
          </cell>
          <cell r="C163" t="str">
            <v>Gate 3 Submitted</v>
          </cell>
        </row>
        <row r="164">
          <cell r="A164" t="str">
            <v>LID4</v>
          </cell>
          <cell r="B164">
            <v>0.95</v>
          </cell>
          <cell r="C164" t="str">
            <v>Gate 3 Submitted</v>
          </cell>
        </row>
        <row r="165">
          <cell r="A165" t="str">
            <v>LID5</v>
          </cell>
          <cell r="B165">
            <v>0.95</v>
          </cell>
          <cell r="C165" t="str">
            <v>Gate 3 Submitted</v>
          </cell>
        </row>
        <row r="166">
          <cell r="A166" t="str">
            <v>LID6</v>
          </cell>
          <cell r="B166">
            <v>0.95</v>
          </cell>
          <cell r="C166" t="str">
            <v>Gate 3 Submitted</v>
          </cell>
        </row>
        <row r="167">
          <cell r="A167" t="str">
            <v>LID8</v>
          </cell>
          <cell r="B167">
            <v>0.95</v>
          </cell>
          <cell r="C167" t="str">
            <v>Gate 3 Submitted</v>
          </cell>
        </row>
        <row r="168">
          <cell r="A168" t="str">
            <v>LJT1</v>
          </cell>
          <cell r="B168">
            <v>0.95</v>
          </cell>
          <cell r="C168" t="str">
            <v>Gate 3 Submitted</v>
          </cell>
        </row>
        <row r="169">
          <cell r="A169" t="str">
            <v>LJT2</v>
          </cell>
          <cell r="B169">
            <v>0.95</v>
          </cell>
          <cell r="C169" t="str">
            <v>Gate 3 Submitted</v>
          </cell>
        </row>
        <row r="170">
          <cell r="A170" t="str">
            <v>LJT3</v>
          </cell>
          <cell r="B170">
            <v>0.95</v>
          </cell>
          <cell r="C170" t="str">
            <v>Gate 3 Submitted</v>
          </cell>
        </row>
        <row r="171">
          <cell r="A171" t="str">
            <v>LJT4</v>
          </cell>
          <cell r="B171">
            <v>0.95</v>
          </cell>
          <cell r="C171" t="str">
            <v>Gate 3 Submitted</v>
          </cell>
        </row>
        <row r="172">
          <cell r="A172" t="str">
            <v>LJT7</v>
          </cell>
          <cell r="B172">
            <v>0.95</v>
          </cell>
          <cell r="C172" t="str">
            <v>Gate 3 Submitted</v>
          </cell>
        </row>
        <row r="173">
          <cell r="A173" t="str">
            <v>PTH1</v>
          </cell>
          <cell r="B173">
            <v>0.95</v>
          </cell>
          <cell r="C173" t="str">
            <v>Gate 3 Submitted</v>
          </cell>
        </row>
        <row r="174">
          <cell r="A174" t="str">
            <v>PTH2</v>
          </cell>
          <cell r="B174">
            <v>0.95</v>
          </cell>
          <cell r="C174" t="str">
            <v>Gate 3 Submitted</v>
          </cell>
        </row>
        <row r="175">
          <cell r="A175" t="str">
            <v>PTH3</v>
          </cell>
          <cell r="B175">
            <v>0.95</v>
          </cell>
          <cell r="C175" t="str">
            <v>Gate 3 Submitted</v>
          </cell>
        </row>
        <row r="176">
          <cell r="A176" t="str">
            <v>PTH4</v>
          </cell>
          <cell r="B176">
            <v>0.95</v>
          </cell>
          <cell r="C176" t="str">
            <v>Gate 3 Submitted</v>
          </cell>
        </row>
        <row r="177">
          <cell r="A177" t="str">
            <v>PTH5</v>
          </cell>
          <cell r="B177">
            <v>0.95</v>
          </cell>
          <cell r="C177" t="str">
            <v>Gate 3 Submitted</v>
          </cell>
        </row>
        <row r="178">
          <cell r="A178" t="str">
            <v>PTH6</v>
          </cell>
          <cell r="B178">
            <v>0.95</v>
          </cell>
          <cell r="C178" t="str">
            <v>Gate 3 Submitted</v>
          </cell>
        </row>
        <row r="179">
          <cell r="A179" t="str">
            <v>RCH1</v>
          </cell>
          <cell r="B179">
            <v>0.95</v>
          </cell>
          <cell r="C179" t="str">
            <v>Gate 3 Submitted</v>
          </cell>
        </row>
        <row r="180">
          <cell r="A180" t="str">
            <v>RCH2</v>
          </cell>
          <cell r="B180">
            <v>0.95</v>
          </cell>
          <cell r="C180" t="str">
            <v>Gate 3 Submitted</v>
          </cell>
        </row>
        <row r="181">
          <cell r="A181" t="str">
            <v>RCH3</v>
          </cell>
          <cell r="B181">
            <v>0.95</v>
          </cell>
          <cell r="C181" t="str">
            <v>Gate 3 Submitted</v>
          </cell>
        </row>
        <row r="182">
          <cell r="A182" t="str">
            <v>RCH4</v>
          </cell>
          <cell r="B182">
            <v>0.95</v>
          </cell>
          <cell r="C182" t="str">
            <v>Gate 3 Submitted</v>
          </cell>
        </row>
        <row r="183">
          <cell r="A183" t="str">
            <v>RCH5</v>
          </cell>
          <cell r="B183">
            <v>0.95</v>
          </cell>
          <cell r="C183" t="str">
            <v>Gate 3 Submitted</v>
          </cell>
        </row>
        <row r="184">
          <cell r="A184" t="str">
            <v>RCH6</v>
          </cell>
          <cell r="B184">
            <v>0.95</v>
          </cell>
          <cell r="C184" t="str">
            <v>Gate 3 Submitted</v>
          </cell>
        </row>
        <row r="185">
          <cell r="A185" t="str">
            <v>RIV1</v>
          </cell>
          <cell r="B185">
            <v>0.95</v>
          </cell>
          <cell r="C185" t="str">
            <v>Gate 3 Submitted</v>
          </cell>
        </row>
        <row r="186">
          <cell r="A186" t="str">
            <v>RIV2</v>
          </cell>
          <cell r="B186">
            <v>0.95</v>
          </cell>
          <cell r="C186" t="str">
            <v>Gate 3 Submitted</v>
          </cell>
        </row>
        <row r="187">
          <cell r="A187" t="str">
            <v>RIV3</v>
          </cell>
          <cell r="B187">
            <v>0.95</v>
          </cell>
          <cell r="C187" t="str">
            <v>Gate 3 Submitted</v>
          </cell>
        </row>
        <row r="188">
          <cell r="A188" t="str">
            <v>RIV4</v>
          </cell>
          <cell r="B188">
            <v>0.95</v>
          </cell>
          <cell r="C188" t="str">
            <v>Gate 3 Submitted</v>
          </cell>
        </row>
        <row r="189">
          <cell r="A189" t="str">
            <v>SAW4</v>
          </cell>
          <cell r="B189">
            <v>0.95</v>
          </cell>
          <cell r="C189" t="str">
            <v>Gate 3 Submitted</v>
          </cell>
        </row>
        <row r="190">
          <cell r="A190" t="str">
            <v>TEE2</v>
          </cell>
          <cell r="B190">
            <v>0.95</v>
          </cell>
          <cell r="C190" t="str">
            <v>Gate 3 Submitted</v>
          </cell>
        </row>
        <row r="191">
          <cell r="A191" t="str">
            <v>TEE3</v>
          </cell>
          <cell r="B191">
            <v>0.95</v>
          </cell>
          <cell r="C191" t="str">
            <v>Gate 3 Submitted</v>
          </cell>
        </row>
        <row r="192">
          <cell r="A192" t="str">
            <v>TEE4</v>
          </cell>
          <cell r="B192">
            <v>0.95</v>
          </cell>
          <cell r="C192" t="str">
            <v>Gate 3 Submitted</v>
          </cell>
        </row>
        <row r="193">
          <cell r="A193" t="str">
            <v>WLG1</v>
          </cell>
          <cell r="B193">
            <v>0.95</v>
          </cell>
          <cell r="C193" t="str">
            <v>Gate 3 Submitted</v>
          </cell>
        </row>
        <row r="194">
          <cell r="A194" t="str">
            <v>WLG2</v>
          </cell>
          <cell r="B194">
            <v>0.95</v>
          </cell>
          <cell r="C194" t="str">
            <v>Gate 3 Submitted</v>
          </cell>
        </row>
        <row r="195">
          <cell r="A195" t="str">
            <v>WLG4</v>
          </cell>
          <cell r="B195">
            <v>0.95</v>
          </cell>
          <cell r="C195" t="str">
            <v>Gate 3 Submitted</v>
          </cell>
        </row>
        <row r="196">
          <cell r="A196" t="str">
            <v>CAI2</v>
          </cell>
          <cell r="B196">
            <v>0.95</v>
          </cell>
          <cell r="C196" t="str">
            <v>Gate 3 Submitted</v>
          </cell>
        </row>
        <row r="197">
          <cell r="A197" t="str">
            <v>CAI3</v>
          </cell>
          <cell r="B197">
            <v>0.95</v>
          </cell>
          <cell r="C197" t="str">
            <v>Gate 3 Submitted</v>
          </cell>
        </row>
        <row r="198">
          <cell r="A198" t="str">
            <v>GDN3</v>
          </cell>
          <cell r="B198">
            <v>0.95</v>
          </cell>
          <cell r="C198" t="str">
            <v>Gate 3 Submitted</v>
          </cell>
        </row>
        <row r="199">
          <cell r="A199" t="str">
            <v>GDN4</v>
          </cell>
          <cell r="B199">
            <v>0.95</v>
          </cell>
          <cell r="C199" t="str">
            <v>Gate 3 Submitted</v>
          </cell>
        </row>
        <row r="200">
          <cell r="A200" t="str">
            <v>GDN5</v>
          </cell>
          <cell r="B200">
            <v>0.95</v>
          </cell>
          <cell r="C200" t="str">
            <v>Gate 3 Submitted</v>
          </cell>
        </row>
        <row r="201">
          <cell r="A201" t="str">
            <v>GDN6</v>
          </cell>
          <cell r="B201">
            <v>0.95</v>
          </cell>
          <cell r="C201" t="str">
            <v>Gate 3 Submitted</v>
          </cell>
        </row>
        <row r="202">
          <cell r="A202" t="str">
            <v>GUL2</v>
          </cell>
          <cell r="B202">
            <v>0.95</v>
          </cell>
          <cell r="C202" t="str">
            <v>Gate 3 Submitted</v>
          </cell>
        </row>
        <row r="203">
          <cell r="A203" t="str">
            <v>GUL3</v>
          </cell>
          <cell r="B203">
            <v>0.95</v>
          </cell>
          <cell r="C203" t="str">
            <v>Gate 3 Submitted</v>
          </cell>
        </row>
        <row r="204">
          <cell r="A204" t="str">
            <v>GUL5</v>
          </cell>
          <cell r="B204">
            <v>0.95</v>
          </cell>
          <cell r="C204" t="str">
            <v>Gate 3 Submitted</v>
          </cell>
        </row>
        <row r="205">
          <cell r="A205" t="str">
            <v>GUL6</v>
          </cell>
          <cell r="B205">
            <v>0.95</v>
          </cell>
          <cell r="C205" t="str">
            <v>Gate 3 Submitted</v>
          </cell>
        </row>
        <row r="206">
          <cell r="A206" t="str">
            <v>KLG1</v>
          </cell>
          <cell r="B206">
            <v>0.95</v>
          </cell>
          <cell r="C206" t="str">
            <v>Gate 3 Submitted</v>
          </cell>
        </row>
        <row r="207">
          <cell r="A207" t="str">
            <v>MKY1</v>
          </cell>
          <cell r="B207">
            <v>0.95</v>
          </cell>
          <cell r="C207" t="str">
            <v>Gate 3 Submitted</v>
          </cell>
        </row>
        <row r="208">
          <cell r="A208" t="str">
            <v>MKY2</v>
          </cell>
          <cell r="B208">
            <v>0.95</v>
          </cell>
          <cell r="C208" t="str">
            <v>Gate 3 Submitted</v>
          </cell>
        </row>
        <row r="209">
          <cell r="A209" t="str">
            <v>MKY3</v>
          </cell>
          <cell r="B209">
            <v>0.95</v>
          </cell>
          <cell r="C209" t="str">
            <v>Gate 3 Submitted</v>
          </cell>
        </row>
        <row r="210">
          <cell r="A210" t="str">
            <v>NDG1</v>
          </cell>
          <cell r="B210">
            <v>0.95</v>
          </cell>
          <cell r="C210" t="str">
            <v>Gate 3 Submitted</v>
          </cell>
        </row>
        <row r="211">
          <cell r="A211" t="str">
            <v>NDG2</v>
          </cell>
          <cell r="B211">
            <v>0.95</v>
          </cell>
          <cell r="C211" t="str">
            <v>Gate 3 Submitted</v>
          </cell>
        </row>
        <row r="212">
          <cell r="A212" t="str">
            <v>NDG3</v>
          </cell>
          <cell r="B212">
            <v>0.95</v>
          </cell>
          <cell r="C212" t="str">
            <v>Gate 3 Submitted</v>
          </cell>
        </row>
        <row r="213">
          <cell r="A213" t="str">
            <v>TNS1</v>
          </cell>
          <cell r="B213">
            <v>0.95</v>
          </cell>
          <cell r="C213" t="str">
            <v>Gate 3 Submitted</v>
          </cell>
        </row>
        <row r="214">
          <cell r="A214" t="str">
            <v>TNS2</v>
          </cell>
          <cell r="B214">
            <v>0.95</v>
          </cell>
          <cell r="C214" t="str">
            <v>Gate 3 Submitted</v>
          </cell>
        </row>
        <row r="215">
          <cell r="A215" t="str">
            <v>TNS3</v>
          </cell>
          <cell r="B215">
            <v>0.95</v>
          </cell>
          <cell r="C215" t="str">
            <v>Gate 3 Submitted</v>
          </cell>
        </row>
        <row r="216">
          <cell r="A216" t="str">
            <v>TNS4</v>
          </cell>
          <cell r="B216">
            <v>0.95</v>
          </cell>
          <cell r="C216" t="str">
            <v>Gate 3 Submitted</v>
          </cell>
        </row>
        <row r="217">
          <cell r="A217" t="str">
            <v>TNS5</v>
          </cell>
          <cell r="B217">
            <v>0.95</v>
          </cell>
          <cell r="C217" t="str">
            <v>Gate 3 Submitted</v>
          </cell>
        </row>
        <row r="218">
          <cell r="A218" t="str">
            <v>TNS6</v>
          </cell>
          <cell r="B218">
            <v>0.95</v>
          </cell>
          <cell r="C218" t="str">
            <v>Gate 3 Submitted</v>
          </cell>
        </row>
        <row r="219">
          <cell r="A219" t="str">
            <v>SGI6</v>
          </cell>
          <cell r="B219">
            <v>0.01</v>
          </cell>
          <cell r="C219" t="str">
            <v>CI Received</v>
          </cell>
        </row>
        <row r="220">
          <cell r="A220" t="str">
            <v>TRK1</v>
          </cell>
          <cell r="B220">
            <v>0.01</v>
          </cell>
          <cell r="C220" t="str">
            <v>CI Received</v>
          </cell>
        </row>
        <row r="221">
          <cell r="A221" t="str">
            <v>TOB3</v>
          </cell>
          <cell r="B221">
            <v>0.95</v>
          </cell>
          <cell r="C221" t="str">
            <v>Gate 3 Submitted</v>
          </cell>
        </row>
        <row r="222">
          <cell r="A222" t="str">
            <v>TOB4</v>
          </cell>
          <cell r="B222">
            <v>0.95</v>
          </cell>
          <cell r="C222" t="str">
            <v>Gate 3 Submitted</v>
          </cell>
        </row>
        <row r="223">
          <cell r="A223" t="str">
            <v>TOB5</v>
          </cell>
          <cell r="B223">
            <v>0.95</v>
          </cell>
          <cell r="C223" t="str">
            <v>Gate 3 Submitted</v>
          </cell>
        </row>
        <row r="224">
          <cell r="A224" t="str">
            <v>TOB6</v>
          </cell>
          <cell r="B224">
            <v>0.95</v>
          </cell>
          <cell r="C224" t="str">
            <v>Gate 3 Submitted</v>
          </cell>
        </row>
      </sheetData>
      <sheetData sheetId="6">
        <row r="1">
          <cell r="A1" t="str">
            <v>Subledger</v>
          </cell>
          <cell r="B1" t="str">
            <v>EV</v>
          </cell>
          <cell r="C1" t="str">
            <v>Construction Status</v>
          </cell>
        </row>
        <row r="2">
          <cell r="A2" t="str">
            <v>ARM4</v>
          </cell>
          <cell r="B2">
            <v>0.99</v>
          </cell>
          <cell r="C2" t="str">
            <v>76% to 99%</v>
          </cell>
        </row>
        <row r="3">
          <cell r="A3" t="str">
            <v>ARM5</v>
          </cell>
          <cell r="B3">
            <v>0.99</v>
          </cell>
          <cell r="C3" t="str">
            <v>76% to 99%</v>
          </cell>
        </row>
        <row r="4">
          <cell r="A4" t="str">
            <v>ARM6</v>
          </cell>
          <cell r="B4">
            <v>0.60733140232125227</v>
          </cell>
          <cell r="C4" t="str">
            <v>51% to 75%</v>
          </cell>
        </row>
        <row r="5">
          <cell r="A5" t="str">
            <v>BLK1</v>
          </cell>
          <cell r="B5">
            <v>0.72008357761296848</v>
          </cell>
          <cell r="C5" t="str">
            <v>51% to 75%</v>
          </cell>
        </row>
        <row r="6">
          <cell r="A6" t="str">
            <v>BLK2</v>
          </cell>
          <cell r="B6">
            <v>2.8000266607853701E-2</v>
          </cell>
          <cell r="C6" t="str">
            <v>1% to 25%</v>
          </cell>
        </row>
        <row r="7">
          <cell r="A7" t="str">
            <v>BLK3</v>
          </cell>
          <cell r="B7">
            <v>1.9703747585013177E-2</v>
          </cell>
          <cell r="C7" t="str">
            <v>1% to 25%</v>
          </cell>
        </row>
        <row r="8">
          <cell r="A8" t="str">
            <v>BLK4</v>
          </cell>
          <cell r="B8">
            <v>7.2771310035204114E-3</v>
          </cell>
          <cell r="C8" t="str">
            <v>0%</v>
          </cell>
        </row>
        <row r="9">
          <cell r="A9" t="str">
            <v>BLK5</v>
          </cell>
          <cell r="B9">
            <v>0</v>
          </cell>
          <cell r="C9" t="str">
            <v>0%</v>
          </cell>
        </row>
        <row r="10">
          <cell r="A10" t="str">
            <v>BLK6</v>
          </cell>
          <cell r="B10">
            <v>6.6225165562913907E-4</v>
          </cell>
          <cell r="C10" t="str">
            <v>0%</v>
          </cell>
        </row>
        <row r="11">
          <cell r="A11" t="str">
            <v>BLK9</v>
          </cell>
          <cell r="B11">
            <v>0</v>
          </cell>
          <cell r="C11" t="str">
            <v>0%</v>
          </cell>
        </row>
        <row r="12">
          <cell r="A12" t="str">
            <v>CFS1</v>
          </cell>
          <cell r="B12">
            <v>0.99</v>
          </cell>
          <cell r="C12" t="str">
            <v>76% to 99%</v>
          </cell>
        </row>
        <row r="13">
          <cell r="A13" t="str">
            <v>CFS2</v>
          </cell>
          <cell r="B13">
            <v>0.99</v>
          </cell>
          <cell r="C13" t="str">
            <v>76% to 99%</v>
          </cell>
        </row>
        <row r="14">
          <cell r="A14" t="str">
            <v>CFS3</v>
          </cell>
          <cell r="B14">
            <v>0.74002765828581751</v>
          </cell>
          <cell r="C14" t="str">
            <v>51% to 75%</v>
          </cell>
        </row>
        <row r="15">
          <cell r="A15" t="str">
            <v>CFS4</v>
          </cell>
          <cell r="B15">
            <v>0.11911474091816909</v>
          </cell>
          <cell r="C15" t="str">
            <v>1% to 25%</v>
          </cell>
        </row>
        <row r="16">
          <cell r="A16" t="str">
            <v>CFS5</v>
          </cell>
          <cell r="B16">
            <v>0.99</v>
          </cell>
          <cell r="C16" t="str">
            <v>76% to 99%</v>
          </cell>
        </row>
        <row r="17">
          <cell r="A17" t="str">
            <v>CFS6</v>
          </cell>
          <cell r="B17">
            <v>6.0606060606060597E-3</v>
          </cell>
          <cell r="C17" t="str">
            <v>0%</v>
          </cell>
        </row>
        <row r="18">
          <cell r="A18" t="str">
            <v>CFS7</v>
          </cell>
          <cell r="B18">
            <v>5.2525252525252523E-2</v>
          </cell>
          <cell r="C18" t="str">
            <v>1% to 25%</v>
          </cell>
        </row>
        <row r="19">
          <cell r="A19" t="str">
            <v>COR4</v>
          </cell>
          <cell r="B19">
            <v>0</v>
          </cell>
          <cell r="C19" t="str">
            <v>0%</v>
          </cell>
        </row>
        <row r="20">
          <cell r="A20" t="str">
            <v>COR5</v>
          </cell>
          <cell r="B20">
            <v>0</v>
          </cell>
          <cell r="C20" t="str">
            <v>0%</v>
          </cell>
        </row>
        <row r="21">
          <cell r="A21" t="str">
            <v>COR6</v>
          </cell>
          <cell r="B21">
            <v>0</v>
          </cell>
          <cell r="C21" t="str">
            <v>0%</v>
          </cell>
        </row>
        <row r="22">
          <cell r="A22" t="str">
            <v>COR7</v>
          </cell>
          <cell r="B22">
            <v>0</v>
          </cell>
          <cell r="C22" t="str">
            <v>0%</v>
          </cell>
        </row>
        <row r="23">
          <cell r="A23" t="str">
            <v>COR8</v>
          </cell>
          <cell r="B23">
            <v>0</v>
          </cell>
          <cell r="C23" t="str">
            <v>0%</v>
          </cell>
        </row>
        <row r="24">
          <cell r="A24" t="str">
            <v>COR11</v>
          </cell>
          <cell r="B24">
            <v>0</v>
          </cell>
          <cell r="C24" t="str">
            <v>0%</v>
          </cell>
        </row>
        <row r="25">
          <cell r="A25" t="str">
            <v>DAP1</v>
          </cell>
          <cell r="B25">
            <v>0</v>
          </cell>
          <cell r="C25" t="str">
            <v>0%</v>
          </cell>
        </row>
        <row r="26">
          <cell r="A26" t="str">
            <v>DAP2</v>
          </cell>
          <cell r="B26">
            <v>0</v>
          </cell>
          <cell r="C26" t="str">
            <v>0%</v>
          </cell>
        </row>
        <row r="27">
          <cell r="A27" t="str">
            <v>DAP3</v>
          </cell>
          <cell r="B27">
            <v>0</v>
          </cell>
          <cell r="C27" t="str">
            <v>0%</v>
          </cell>
        </row>
        <row r="28">
          <cell r="A28" t="str">
            <v>DAP4</v>
          </cell>
          <cell r="B28">
            <v>0</v>
          </cell>
          <cell r="C28" t="str">
            <v>0%</v>
          </cell>
        </row>
        <row r="29">
          <cell r="A29" t="str">
            <v>DAP5</v>
          </cell>
          <cell r="B29">
            <v>0</v>
          </cell>
          <cell r="C29" t="str">
            <v>0%</v>
          </cell>
        </row>
        <row r="30">
          <cell r="A30" t="str">
            <v>DAP6</v>
          </cell>
          <cell r="B30">
            <v>0</v>
          </cell>
          <cell r="C30" t="str">
            <v>0%</v>
          </cell>
        </row>
        <row r="31">
          <cell r="A31" t="str">
            <v>GOS1</v>
          </cell>
          <cell r="B31">
            <v>0.99</v>
          </cell>
          <cell r="C31" t="str">
            <v>76% to 99%</v>
          </cell>
        </row>
        <row r="32">
          <cell r="A32" t="str">
            <v>GOS2</v>
          </cell>
          <cell r="B32">
            <v>0.99</v>
          </cell>
          <cell r="C32" t="str">
            <v>76% to 99%</v>
          </cell>
        </row>
        <row r="33">
          <cell r="A33" t="str">
            <v>GOS3</v>
          </cell>
          <cell r="B33">
            <v>0.20101320065093323</v>
          </cell>
          <cell r="C33" t="str">
            <v>1% to 25%</v>
          </cell>
        </row>
        <row r="34">
          <cell r="A34" t="str">
            <v>GOS4</v>
          </cell>
          <cell r="B34">
            <v>0</v>
          </cell>
          <cell r="C34" t="str">
            <v>0%</v>
          </cell>
        </row>
        <row r="35">
          <cell r="A35" t="str">
            <v>GOS5</v>
          </cell>
          <cell r="B35">
            <v>0</v>
          </cell>
          <cell r="C35" t="str">
            <v>0%</v>
          </cell>
        </row>
        <row r="36">
          <cell r="A36" t="str">
            <v>GOS6</v>
          </cell>
          <cell r="B36">
            <v>0</v>
          </cell>
          <cell r="C36" t="str">
            <v>0%</v>
          </cell>
        </row>
        <row r="37">
          <cell r="A37" t="str">
            <v>GOS7</v>
          </cell>
          <cell r="B37">
            <v>0</v>
          </cell>
          <cell r="C37" t="str">
            <v>0%</v>
          </cell>
        </row>
        <row r="38">
          <cell r="A38" t="str">
            <v>GOS8</v>
          </cell>
          <cell r="B38">
            <v>0</v>
          </cell>
          <cell r="C38" t="str">
            <v>0%</v>
          </cell>
        </row>
        <row r="39">
          <cell r="A39" t="str">
            <v>HOM1</v>
          </cell>
          <cell r="B39">
            <v>0.99</v>
          </cell>
          <cell r="C39" t="str">
            <v>76% to 99%</v>
          </cell>
        </row>
        <row r="40">
          <cell r="A40" t="str">
            <v>HOM2</v>
          </cell>
          <cell r="B40">
            <v>0.31381049760546542</v>
          </cell>
          <cell r="C40" t="str">
            <v>26% to 50%</v>
          </cell>
        </row>
        <row r="41">
          <cell r="A41" t="str">
            <v>HOM3</v>
          </cell>
          <cell r="B41">
            <v>0</v>
          </cell>
          <cell r="C41" t="str">
            <v>0%</v>
          </cell>
        </row>
        <row r="42">
          <cell r="A42" t="str">
            <v>HOM4</v>
          </cell>
          <cell r="B42">
            <v>0</v>
          </cell>
          <cell r="C42" t="str">
            <v>0%</v>
          </cell>
        </row>
        <row r="43">
          <cell r="A43" t="str">
            <v>KIA2</v>
          </cell>
          <cell r="B43">
            <v>0.16314972218939683</v>
          </cell>
          <cell r="C43" t="str">
            <v>1% to 25%</v>
          </cell>
        </row>
        <row r="44">
          <cell r="A44" t="str">
            <v>KIA3</v>
          </cell>
          <cell r="B44">
            <v>0.89096892907006597</v>
          </cell>
          <cell r="C44" t="str">
            <v>76% to 99%</v>
          </cell>
        </row>
        <row r="45">
          <cell r="A45" t="str">
            <v>LID1</v>
          </cell>
          <cell r="B45">
            <v>0.17977031418324829</v>
          </cell>
          <cell r="C45" t="str">
            <v>1% to 25%</v>
          </cell>
        </row>
        <row r="46">
          <cell r="A46" t="str">
            <v>LID2</v>
          </cell>
          <cell r="B46">
            <v>1.8771270807068915E-2</v>
          </cell>
          <cell r="C46" t="str">
            <v>1% to 25%</v>
          </cell>
        </row>
        <row r="47">
          <cell r="A47" t="str">
            <v>LID3</v>
          </cell>
          <cell r="B47">
            <v>6.6508313539192405E-3</v>
          </cell>
          <cell r="C47" t="str">
            <v>0%</v>
          </cell>
        </row>
        <row r="48">
          <cell r="A48" t="str">
            <v>LID4</v>
          </cell>
          <cell r="B48">
            <v>0</v>
          </cell>
          <cell r="C48" t="str">
            <v>0%</v>
          </cell>
        </row>
        <row r="49">
          <cell r="A49" t="str">
            <v>LID5</v>
          </cell>
          <cell r="B49">
            <v>0</v>
          </cell>
          <cell r="C49" t="str">
            <v>0%</v>
          </cell>
        </row>
        <row r="50">
          <cell r="A50" t="str">
            <v>LID6</v>
          </cell>
          <cell r="B50">
            <v>0</v>
          </cell>
          <cell r="C50" t="str">
            <v>0%</v>
          </cell>
        </row>
        <row r="51">
          <cell r="A51" t="str">
            <v>LID7</v>
          </cell>
          <cell r="B51">
            <v>0</v>
          </cell>
          <cell r="C51" t="str">
            <v>0%</v>
          </cell>
        </row>
        <row r="52">
          <cell r="A52" t="str">
            <v>LID8</v>
          </cell>
          <cell r="B52">
            <v>0</v>
          </cell>
          <cell r="C52" t="str">
            <v>0%</v>
          </cell>
        </row>
        <row r="53">
          <cell r="A53" t="str">
            <v>LIV4</v>
          </cell>
          <cell r="B53">
            <v>0</v>
          </cell>
          <cell r="C53" t="str">
            <v>0%</v>
          </cell>
        </row>
        <row r="54">
          <cell r="A54" t="str">
            <v>LJT1</v>
          </cell>
          <cell r="B54">
            <v>8.638781571653481E-2</v>
          </cell>
          <cell r="C54" t="str">
            <v>1% to 25%</v>
          </cell>
        </row>
        <row r="55">
          <cell r="A55" t="str">
            <v>LJT2</v>
          </cell>
          <cell r="B55">
            <v>0</v>
          </cell>
          <cell r="C55" t="str">
            <v>0%</v>
          </cell>
        </row>
        <row r="56">
          <cell r="A56" t="str">
            <v>LJT3</v>
          </cell>
          <cell r="B56">
            <v>0</v>
          </cell>
          <cell r="C56" t="str">
            <v>0%</v>
          </cell>
        </row>
        <row r="57">
          <cell r="A57" t="str">
            <v>LJT4</v>
          </cell>
          <cell r="B57">
            <v>0</v>
          </cell>
          <cell r="C57" t="str">
            <v>0%</v>
          </cell>
        </row>
        <row r="58">
          <cell r="A58" t="str">
            <v>LJT5</v>
          </cell>
          <cell r="B58">
            <v>0</v>
          </cell>
          <cell r="C58" t="str">
            <v>0%</v>
          </cell>
        </row>
        <row r="59">
          <cell r="A59" t="str">
            <v>LJT6</v>
          </cell>
          <cell r="B59">
            <v>0</v>
          </cell>
          <cell r="C59" t="str">
            <v>0%</v>
          </cell>
        </row>
        <row r="60">
          <cell r="A60" t="str">
            <v>LJT7</v>
          </cell>
          <cell r="B60">
            <v>0</v>
          </cell>
          <cell r="C60" t="str">
            <v>0%</v>
          </cell>
        </row>
        <row r="61">
          <cell r="A61" t="str">
            <v>LJT8</v>
          </cell>
          <cell r="B61">
            <v>0</v>
          </cell>
          <cell r="C61" t="str">
            <v>0%</v>
          </cell>
        </row>
        <row r="62">
          <cell r="A62" t="str">
            <v>LJT9</v>
          </cell>
          <cell r="B62">
            <v>0</v>
          </cell>
          <cell r="C62" t="str">
            <v>0%</v>
          </cell>
        </row>
        <row r="63">
          <cell r="A63" t="str">
            <v>MAI3</v>
          </cell>
          <cell r="B63">
            <v>0</v>
          </cell>
          <cell r="C63" t="str">
            <v>0%</v>
          </cell>
        </row>
        <row r="64">
          <cell r="A64" t="str">
            <v>MAI7</v>
          </cell>
          <cell r="B64">
            <v>0</v>
          </cell>
          <cell r="C64" t="str">
            <v>0%</v>
          </cell>
        </row>
        <row r="65">
          <cell r="A65" t="str">
            <v>MAI11</v>
          </cell>
          <cell r="B65">
            <v>0</v>
          </cell>
          <cell r="C65" t="str">
            <v>0%</v>
          </cell>
        </row>
        <row r="66">
          <cell r="A66" t="str">
            <v>MDG1</v>
          </cell>
          <cell r="B66">
            <v>0</v>
          </cell>
          <cell r="C66" t="str">
            <v>0%</v>
          </cell>
        </row>
        <row r="67">
          <cell r="A67" t="str">
            <v>MDG2</v>
          </cell>
          <cell r="B67">
            <v>0</v>
          </cell>
          <cell r="C67" t="str">
            <v>0%</v>
          </cell>
        </row>
        <row r="68">
          <cell r="A68" t="str">
            <v>MDG3</v>
          </cell>
          <cell r="B68">
            <v>0</v>
          </cell>
          <cell r="C68" t="str">
            <v>0%</v>
          </cell>
        </row>
        <row r="69">
          <cell r="A69" t="str">
            <v>PTH1</v>
          </cell>
          <cell r="B69">
            <v>0.97791114877510565</v>
          </cell>
          <cell r="C69" t="str">
            <v>76% to 99%</v>
          </cell>
        </row>
        <row r="70">
          <cell r="A70" t="str">
            <v>PTH2</v>
          </cell>
          <cell r="B70">
            <v>0.49164088326321403</v>
          </cell>
          <cell r="C70" t="str">
            <v>26% to 50%</v>
          </cell>
        </row>
        <row r="71">
          <cell r="A71" t="str">
            <v>PTH3</v>
          </cell>
          <cell r="B71">
            <v>0</v>
          </cell>
          <cell r="C71" t="str">
            <v>0%</v>
          </cell>
        </row>
        <row r="72">
          <cell r="A72" t="str">
            <v>PTH4</v>
          </cell>
          <cell r="B72">
            <v>0</v>
          </cell>
          <cell r="C72" t="str">
            <v>0%</v>
          </cell>
        </row>
        <row r="73">
          <cell r="A73" t="str">
            <v>PTH5</v>
          </cell>
          <cell r="B73">
            <v>0</v>
          </cell>
          <cell r="C73" t="str">
            <v>0%</v>
          </cell>
        </row>
        <row r="74">
          <cell r="A74" t="str">
            <v>PTH6</v>
          </cell>
          <cell r="B74">
            <v>0</v>
          </cell>
          <cell r="C74" t="str">
            <v>0%</v>
          </cell>
        </row>
        <row r="75">
          <cell r="A75" t="str">
            <v>PTH7</v>
          </cell>
          <cell r="B75">
            <v>0</v>
          </cell>
          <cell r="C75" t="str">
            <v>0%</v>
          </cell>
        </row>
        <row r="76">
          <cell r="A76" t="str">
            <v>RCH1</v>
          </cell>
          <cell r="B76">
            <v>9.0720835651990198E-2</v>
          </cell>
          <cell r="C76" t="str">
            <v>1% to 25%</v>
          </cell>
        </row>
        <row r="77">
          <cell r="A77" t="str">
            <v>RCH2</v>
          </cell>
          <cell r="B77">
            <v>0.65238498003955803</v>
          </cell>
          <cell r="C77" t="str">
            <v>51% to 75%</v>
          </cell>
        </row>
        <row r="78">
          <cell r="A78" t="str">
            <v>RCH3</v>
          </cell>
          <cell r="B78">
            <v>4.522292692429139E-2</v>
          </cell>
          <cell r="C78" t="str">
            <v>1% to 25%</v>
          </cell>
        </row>
        <row r="79">
          <cell r="A79" t="str">
            <v>RCH4</v>
          </cell>
          <cell r="B79">
            <v>0.13371104031392353</v>
          </cell>
          <cell r="C79" t="str">
            <v>1% to 25%</v>
          </cell>
        </row>
        <row r="80">
          <cell r="A80" t="str">
            <v>RCH5</v>
          </cell>
          <cell r="B80">
            <v>0</v>
          </cell>
          <cell r="C80" t="str">
            <v>0%</v>
          </cell>
        </row>
        <row r="81">
          <cell r="A81" t="str">
            <v>RCH6</v>
          </cell>
          <cell r="B81">
            <v>0</v>
          </cell>
          <cell r="C81" t="str">
            <v>0%</v>
          </cell>
        </row>
        <row r="82">
          <cell r="A82" t="str">
            <v>RIV1</v>
          </cell>
          <cell r="B82">
            <v>2.230911810737014E-2</v>
          </cell>
          <cell r="C82" t="str">
            <v>1% to 25%</v>
          </cell>
        </row>
        <row r="83">
          <cell r="A83" t="str">
            <v>RIV2</v>
          </cell>
          <cell r="B83">
            <v>1.9170411511002121E-2</v>
          </cell>
          <cell r="C83" t="str">
            <v>1% to 25%</v>
          </cell>
        </row>
        <row r="84">
          <cell r="A84" t="str">
            <v>RIV3</v>
          </cell>
          <cell r="B84">
            <v>0</v>
          </cell>
          <cell r="C84" t="str">
            <v>0%</v>
          </cell>
        </row>
        <row r="85">
          <cell r="A85" t="str">
            <v>RIV4</v>
          </cell>
          <cell r="B85">
            <v>0</v>
          </cell>
          <cell r="C85" t="str">
            <v>0%</v>
          </cell>
        </row>
        <row r="86">
          <cell r="A86" t="str">
            <v>SAW1</v>
          </cell>
          <cell r="B86">
            <v>0.94829510954746343</v>
          </cell>
          <cell r="C86" t="str">
            <v>76% to 99%</v>
          </cell>
        </row>
        <row r="87">
          <cell r="A87" t="str">
            <v>SAW2</v>
          </cell>
          <cell r="B87">
            <v>0.41546426041064571</v>
          </cell>
          <cell r="C87" t="str">
            <v>26% to 50%</v>
          </cell>
        </row>
        <row r="88">
          <cell r="A88" t="str">
            <v>SAW3</v>
          </cell>
          <cell r="B88">
            <v>0.27272847613479423</v>
          </cell>
          <cell r="C88" t="str">
            <v>26% to 50%</v>
          </cell>
        </row>
        <row r="89">
          <cell r="A89" t="str">
            <v>SAW4</v>
          </cell>
          <cell r="B89">
            <v>4.8408784442386187E-2</v>
          </cell>
          <cell r="C89" t="str">
            <v>1% to 25%</v>
          </cell>
        </row>
        <row r="90">
          <cell r="A90" t="str">
            <v>TEE2</v>
          </cell>
          <cell r="B90">
            <v>0</v>
          </cell>
          <cell r="C90" t="str">
            <v>0%</v>
          </cell>
        </row>
        <row r="91">
          <cell r="A91" t="str">
            <v>TEE3</v>
          </cell>
          <cell r="B91">
            <v>0</v>
          </cell>
          <cell r="C91" t="str">
            <v>0%</v>
          </cell>
        </row>
        <row r="92">
          <cell r="A92" t="str">
            <v>TEE4</v>
          </cell>
          <cell r="B92">
            <v>0</v>
          </cell>
          <cell r="C92" t="str">
            <v>0%</v>
          </cell>
        </row>
        <row r="93">
          <cell r="A93" t="str">
            <v>TEE5</v>
          </cell>
          <cell r="B93">
            <v>0</v>
          </cell>
          <cell r="C93" t="str">
            <v>0%</v>
          </cell>
        </row>
        <row r="94">
          <cell r="A94" t="str">
            <v>WAG1</v>
          </cell>
          <cell r="B94">
            <v>0</v>
          </cell>
          <cell r="C94" t="str">
            <v>0%</v>
          </cell>
        </row>
        <row r="95">
          <cell r="A95" t="str">
            <v>WAG2</v>
          </cell>
          <cell r="B95">
            <v>0</v>
          </cell>
          <cell r="C95" t="str">
            <v>0%</v>
          </cell>
        </row>
        <row r="96">
          <cell r="A96" t="str">
            <v>WAG3</v>
          </cell>
          <cell r="B96">
            <v>0</v>
          </cell>
          <cell r="C96" t="str">
            <v>0%</v>
          </cell>
        </row>
        <row r="97">
          <cell r="A97" t="str">
            <v>WLG1</v>
          </cell>
          <cell r="B97">
            <v>0</v>
          </cell>
          <cell r="C97" t="str">
            <v>0%</v>
          </cell>
        </row>
        <row r="98">
          <cell r="A98" t="str">
            <v>WLG2</v>
          </cell>
          <cell r="B98">
            <v>0</v>
          </cell>
          <cell r="C98" t="str">
            <v>0%</v>
          </cell>
        </row>
        <row r="99">
          <cell r="A99" t="str">
            <v>WLG3</v>
          </cell>
          <cell r="B99">
            <v>0</v>
          </cell>
          <cell r="C99" t="str">
            <v>0%</v>
          </cell>
        </row>
        <row r="100">
          <cell r="A100" t="str">
            <v>WLG4</v>
          </cell>
          <cell r="B100">
            <v>0</v>
          </cell>
          <cell r="C100" t="str">
            <v>0%</v>
          </cell>
        </row>
        <row r="101">
          <cell r="A101" t="str">
            <v>WLG5</v>
          </cell>
          <cell r="B101">
            <v>0</v>
          </cell>
          <cell r="C101" t="str">
            <v>0%</v>
          </cell>
        </row>
        <row r="102">
          <cell r="A102" t="str">
            <v>WLG6</v>
          </cell>
          <cell r="B102">
            <v>0</v>
          </cell>
          <cell r="C102" t="str">
            <v>0%</v>
          </cell>
        </row>
        <row r="103">
          <cell r="A103" t="str">
            <v>APL1</v>
          </cell>
          <cell r="B103">
            <v>0.99</v>
          </cell>
          <cell r="C103" t="str">
            <v>76% to 99%</v>
          </cell>
        </row>
        <row r="104">
          <cell r="A104" t="str">
            <v>APL2</v>
          </cell>
          <cell r="B104">
            <v>0.61675899072486329</v>
          </cell>
          <cell r="C104" t="str">
            <v>51% to 75%</v>
          </cell>
        </row>
        <row r="105">
          <cell r="A105" t="str">
            <v>APL3</v>
          </cell>
          <cell r="B105">
            <v>0.99</v>
          </cell>
          <cell r="C105" t="str">
            <v>76% to 99%</v>
          </cell>
        </row>
        <row r="106">
          <cell r="A106" t="str">
            <v>APL4</v>
          </cell>
          <cell r="B106">
            <v>0.99</v>
          </cell>
          <cell r="C106" t="str">
            <v>76% to 99%</v>
          </cell>
        </row>
        <row r="107">
          <cell r="A107" t="str">
            <v>APL5</v>
          </cell>
          <cell r="B107">
            <v>0</v>
          </cell>
          <cell r="C107" t="str">
            <v>0%</v>
          </cell>
        </row>
        <row r="108">
          <cell r="A108" t="str">
            <v>APL6</v>
          </cell>
          <cell r="B108">
            <v>0</v>
          </cell>
          <cell r="C108" t="str">
            <v>0%</v>
          </cell>
        </row>
        <row r="109">
          <cell r="A109" t="str">
            <v>ASH1</v>
          </cell>
          <cell r="B109">
            <v>0</v>
          </cell>
          <cell r="C109" t="str">
            <v>0%</v>
          </cell>
        </row>
        <row r="110">
          <cell r="A110" t="str">
            <v>ASH2</v>
          </cell>
          <cell r="B110">
            <v>0</v>
          </cell>
          <cell r="C110" t="str">
            <v>0%</v>
          </cell>
        </row>
        <row r="111">
          <cell r="A111" t="str">
            <v>ASH3</v>
          </cell>
          <cell r="B111">
            <v>0</v>
          </cell>
          <cell r="C111" t="str">
            <v>0%</v>
          </cell>
        </row>
        <row r="112">
          <cell r="A112" t="str">
            <v>BBE1</v>
          </cell>
          <cell r="B112">
            <v>0</v>
          </cell>
          <cell r="C112" t="str">
            <v>0%</v>
          </cell>
        </row>
        <row r="113">
          <cell r="A113" t="str">
            <v>BDB1</v>
          </cell>
          <cell r="B113">
            <v>0</v>
          </cell>
          <cell r="C113" t="str">
            <v>0%</v>
          </cell>
        </row>
        <row r="114">
          <cell r="A114" t="str">
            <v>BDB2</v>
          </cell>
          <cell r="B114">
            <v>0</v>
          </cell>
          <cell r="C114" t="str">
            <v>0%</v>
          </cell>
        </row>
        <row r="115">
          <cell r="A115" t="str">
            <v>CAI1</v>
          </cell>
          <cell r="B115">
            <v>0.99</v>
          </cell>
          <cell r="C115" t="str">
            <v>76% to 99%</v>
          </cell>
        </row>
        <row r="116">
          <cell r="A116" t="str">
            <v>CAI2</v>
          </cell>
          <cell r="B116">
            <v>6.6307339903989371E-3</v>
          </cell>
          <cell r="C116" t="str">
            <v>0%</v>
          </cell>
        </row>
        <row r="117">
          <cell r="A117" t="str">
            <v>CAI3</v>
          </cell>
          <cell r="B117">
            <v>0.14626087540570532</v>
          </cell>
          <cell r="C117" t="str">
            <v>1% to 25%</v>
          </cell>
        </row>
        <row r="118">
          <cell r="A118" t="str">
            <v>CAI4</v>
          </cell>
          <cell r="B118">
            <v>0</v>
          </cell>
          <cell r="C118" t="str">
            <v>0%</v>
          </cell>
        </row>
        <row r="119">
          <cell r="A119" t="str">
            <v>GDN1</v>
          </cell>
          <cell r="B119">
            <v>0.54809812733637098</v>
          </cell>
          <cell r="C119" t="str">
            <v>51% to 75%</v>
          </cell>
        </row>
        <row r="120">
          <cell r="A120" t="str">
            <v>GDN2</v>
          </cell>
          <cell r="B120">
            <v>0.71135685970125018</v>
          </cell>
          <cell r="C120" t="str">
            <v>51% to 75%</v>
          </cell>
        </row>
        <row r="121">
          <cell r="A121" t="str">
            <v>GDN3</v>
          </cell>
          <cell r="B121">
            <v>0.447306699323468</v>
          </cell>
          <cell r="C121" t="str">
            <v>26% to 50%</v>
          </cell>
        </row>
        <row r="122">
          <cell r="A122" t="str">
            <v>GDN4</v>
          </cell>
          <cell r="B122">
            <v>0.24632491159692865</v>
          </cell>
          <cell r="C122" t="str">
            <v>1% to 25%</v>
          </cell>
        </row>
        <row r="123">
          <cell r="A123" t="str">
            <v>GDN5</v>
          </cell>
          <cell r="B123">
            <v>0</v>
          </cell>
          <cell r="C123" t="str">
            <v>0%</v>
          </cell>
        </row>
        <row r="124">
          <cell r="A124" t="str">
            <v>GDN6</v>
          </cell>
          <cell r="B124">
            <v>0</v>
          </cell>
          <cell r="C124" t="str">
            <v>0%</v>
          </cell>
        </row>
        <row r="125">
          <cell r="A125" t="str">
            <v>GDN7</v>
          </cell>
          <cell r="B125">
            <v>0</v>
          </cell>
          <cell r="C125" t="str">
            <v>0%</v>
          </cell>
        </row>
        <row r="126">
          <cell r="A126" t="str">
            <v>GDN8</v>
          </cell>
          <cell r="B126">
            <v>0</v>
          </cell>
          <cell r="C126" t="str">
            <v>0%</v>
          </cell>
        </row>
        <row r="127">
          <cell r="A127" t="str">
            <v>GUL2</v>
          </cell>
          <cell r="B127">
            <v>0.53377241315541657</v>
          </cell>
          <cell r="C127" t="str">
            <v>51% to 75%</v>
          </cell>
        </row>
        <row r="128">
          <cell r="A128" t="str">
            <v>GUL3</v>
          </cell>
          <cell r="B128">
            <v>0.79344943319570649</v>
          </cell>
          <cell r="C128" t="str">
            <v>76% to 99%</v>
          </cell>
        </row>
        <row r="129">
          <cell r="A129" t="str">
            <v>GUL4</v>
          </cell>
          <cell r="B129">
            <v>0.42168441875900758</v>
          </cell>
          <cell r="C129" t="str">
            <v>26% to 50%</v>
          </cell>
        </row>
        <row r="130">
          <cell r="A130" t="str">
            <v>GUL5</v>
          </cell>
          <cell r="B130">
            <v>0.33127490439211482</v>
          </cell>
          <cell r="C130" t="str">
            <v>26% to 50%</v>
          </cell>
        </row>
        <row r="131">
          <cell r="A131" t="str">
            <v>GUL6</v>
          </cell>
          <cell r="B131">
            <v>4.7300068352699939E-2</v>
          </cell>
          <cell r="C131" t="str">
            <v>1% to 25%</v>
          </cell>
        </row>
        <row r="132">
          <cell r="A132" t="str">
            <v>GUL7</v>
          </cell>
          <cell r="B132">
            <v>0</v>
          </cell>
          <cell r="C132" t="str">
            <v>0%</v>
          </cell>
        </row>
        <row r="133">
          <cell r="A133" t="str">
            <v>IPS2</v>
          </cell>
          <cell r="B133">
            <v>0</v>
          </cell>
          <cell r="C133" t="str">
            <v>0%</v>
          </cell>
        </row>
        <row r="134">
          <cell r="A134" t="str">
            <v>IPS3</v>
          </cell>
          <cell r="B134">
            <v>0</v>
          </cell>
          <cell r="C134" t="str">
            <v>0%</v>
          </cell>
        </row>
        <row r="135">
          <cell r="A135" t="str">
            <v>IPS4</v>
          </cell>
          <cell r="B135">
            <v>0</v>
          </cell>
          <cell r="C135" t="str">
            <v>0%</v>
          </cell>
        </row>
        <row r="136">
          <cell r="A136" t="str">
            <v>IPS8</v>
          </cell>
          <cell r="B136">
            <v>0</v>
          </cell>
          <cell r="C136" t="str">
            <v>0%</v>
          </cell>
        </row>
        <row r="137">
          <cell r="A137" t="str">
            <v>KLG1</v>
          </cell>
          <cell r="B137">
            <v>0</v>
          </cell>
          <cell r="C137" t="str">
            <v>0%</v>
          </cell>
        </row>
        <row r="138">
          <cell r="A138" t="str">
            <v>KLG4</v>
          </cell>
          <cell r="B138">
            <v>0</v>
          </cell>
          <cell r="C138" t="str">
            <v>0%</v>
          </cell>
        </row>
        <row r="139">
          <cell r="A139" t="str">
            <v>KLG7</v>
          </cell>
          <cell r="B139">
            <v>0</v>
          </cell>
          <cell r="C139" t="str">
            <v>0%</v>
          </cell>
        </row>
        <row r="140">
          <cell r="A140" t="str">
            <v>MKY1</v>
          </cell>
          <cell r="B140">
            <v>9.2908591938161873E-3</v>
          </cell>
          <cell r="C140" t="str">
            <v>0%</v>
          </cell>
        </row>
        <row r="141">
          <cell r="A141" t="str">
            <v>MKY2</v>
          </cell>
          <cell r="B141">
            <v>0</v>
          </cell>
          <cell r="C141" t="str">
            <v>0%</v>
          </cell>
        </row>
        <row r="142">
          <cell r="A142" t="str">
            <v>MKY3</v>
          </cell>
          <cell r="B142">
            <v>0</v>
          </cell>
          <cell r="C142" t="str">
            <v>0%</v>
          </cell>
        </row>
        <row r="143">
          <cell r="A143" t="str">
            <v>MKY4</v>
          </cell>
          <cell r="B143">
            <v>0</v>
          </cell>
          <cell r="C143" t="str">
            <v>0%</v>
          </cell>
        </row>
        <row r="144">
          <cell r="A144" t="str">
            <v>NDG1</v>
          </cell>
          <cell r="B144">
            <v>0</v>
          </cell>
          <cell r="C144" t="str">
            <v>0%</v>
          </cell>
        </row>
        <row r="145">
          <cell r="A145" t="str">
            <v>NDG2</v>
          </cell>
          <cell r="B145">
            <v>0</v>
          </cell>
          <cell r="C145" t="str">
            <v>0%</v>
          </cell>
        </row>
        <row r="146">
          <cell r="A146" t="str">
            <v>NDG3</v>
          </cell>
          <cell r="B146">
            <v>4.2378270615376162E-2</v>
          </cell>
          <cell r="C146" t="str">
            <v>1% to 25%</v>
          </cell>
        </row>
        <row r="147">
          <cell r="A147" t="str">
            <v>ROT1</v>
          </cell>
          <cell r="B147">
            <v>0</v>
          </cell>
          <cell r="C147" t="str">
            <v>0%</v>
          </cell>
        </row>
        <row r="148">
          <cell r="A148" t="str">
            <v>ROT2</v>
          </cell>
          <cell r="B148">
            <v>0</v>
          </cell>
          <cell r="C148" t="str">
            <v>0%</v>
          </cell>
        </row>
        <row r="149">
          <cell r="A149" t="str">
            <v>ROT3</v>
          </cell>
          <cell r="B149">
            <v>0</v>
          </cell>
          <cell r="C149" t="str">
            <v>0%</v>
          </cell>
        </row>
        <row r="150">
          <cell r="A150" t="str">
            <v>SLA1</v>
          </cell>
          <cell r="B150">
            <v>0</v>
          </cell>
          <cell r="C150" t="str">
            <v>0%</v>
          </cell>
        </row>
        <row r="151">
          <cell r="A151" t="str">
            <v>SLA2</v>
          </cell>
          <cell r="B151">
            <v>0</v>
          </cell>
          <cell r="C151" t="str">
            <v>0%</v>
          </cell>
        </row>
        <row r="152">
          <cell r="A152" t="str">
            <v>SLA3</v>
          </cell>
          <cell r="B152">
            <v>0</v>
          </cell>
          <cell r="C152" t="str">
            <v>0%</v>
          </cell>
        </row>
        <row r="153">
          <cell r="A153" t="str">
            <v>TNS1</v>
          </cell>
          <cell r="B153">
            <v>0.75067326607642093</v>
          </cell>
          <cell r="C153" t="str">
            <v>51% to 75%</v>
          </cell>
        </row>
        <row r="154">
          <cell r="A154" t="str">
            <v>TNS2</v>
          </cell>
          <cell r="B154">
            <v>0.75743494549010382</v>
          </cell>
          <cell r="C154" t="str">
            <v>51% to 75%</v>
          </cell>
        </row>
        <row r="155">
          <cell r="A155" t="str">
            <v>TNS3</v>
          </cell>
          <cell r="B155">
            <v>0.64013120681889624</v>
          </cell>
          <cell r="C155" t="str">
            <v>51% to 75%</v>
          </cell>
        </row>
        <row r="156">
          <cell r="A156" t="str">
            <v>TNS4</v>
          </cell>
          <cell r="B156">
            <v>0.16601103292850355</v>
          </cell>
          <cell r="C156" t="str">
            <v>1% to 25%</v>
          </cell>
        </row>
        <row r="157">
          <cell r="A157" t="str">
            <v>TNS5</v>
          </cell>
          <cell r="B157">
            <v>0.19692460304918655</v>
          </cell>
          <cell r="C157" t="str">
            <v>1% to 25%</v>
          </cell>
        </row>
        <row r="158">
          <cell r="A158" t="str">
            <v>TNS6</v>
          </cell>
          <cell r="B158">
            <v>0</v>
          </cell>
          <cell r="C158" t="str">
            <v>0%</v>
          </cell>
        </row>
        <row r="159">
          <cell r="A159" t="str">
            <v>TOB1</v>
          </cell>
          <cell r="B159">
            <v>1</v>
          </cell>
          <cell r="C159" t="str">
            <v>100%</v>
          </cell>
        </row>
        <row r="160">
          <cell r="A160" t="str">
            <v>TOB2</v>
          </cell>
          <cell r="B160">
            <v>0.39898209831698139</v>
          </cell>
          <cell r="C160" t="str">
            <v>26% to 50%</v>
          </cell>
        </row>
        <row r="161">
          <cell r="A161" t="str">
            <v>TOB3</v>
          </cell>
          <cell r="B161">
            <v>0.72445633793674136</v>
          </cell>
          <cell r="C161" t="str">
            <v>51% to 75%</v>
          </cell>
        </row>
        <row r="162">
          <cell r="A162" t="str">
            <v>TOB4</v>
          </cell>
          <cell r="B162">
            <v>0.14606155813520585</v>
          </cell>
          <cell r="C162" t="str">
            <v>1% to 25%</v>
          </cell>
        </row>
        <row r="163">
          <cell r="A163" t="str">
            <v>TOB5</v>
          </cell>
          <cell r="B163">
            <v>0</v>
          </cell>
          <cell r="C163" t="str">
            <v>0%</v>
          </cell>
        </row>
        <row r="164">
          <cell r="A164" t="str">
            <v>TOB6</v>
          </cell>
          <cell r="B164">
            <v>2.6432699455228264E-3</v>
          </cell>
          <cell r="C164" t="str">
            <v>0%</v>
          </cell>
        </row>
        <row r="165">
          <cell r="A165" t="str">
            <v>TOB7</v>
          </cell>
          <cell r="B165">
            <v>0</v>
          </cell>
          <cell r="C165" t="str">
            <v>0%</v>
          </cell>
        </row>
        <row r="166">
          <cell r="A166" t="str">
            <v>TOB8</v>
          </cell>
          <cell r="B166">
            <v>0</v>
          </cell>
          <cell r="C166" t="str">
            <v>0%</v>
          </cell>
        </row>
        <row r="167">
          <cell r="A167" t="str">
            <v>TOB9</v>
          </cell>
          <cell r="B167">
            <v>0</v>
          </cell>
          <cell r="C167" t="str">
            <v>0%</v>
          </cell>
        </row>
        <row r="168">
          <cell r="A168" t="str">
            <v>CRC1</v>
          </cell>
          <cell r="B168">
            <v>0.99</v>
          </cell>
          <cell r="C168" t="str">
            <v>76% to 99%</v>
          </cell>
        </row>
        <row r="169">
          <cell r="A169" t="str">
            <v>CRC2</v>
          </cell>
          <cell r="B169">
            <v>0.99</v>
          </cell>
          <cell r="C169" t="str">
            <v>76% to 99%</v>
          </cell>
        </row>
        <row r="170">
          <cell r="A170" t="str">
            <v>CRC3</v>
          </cell>
          <cell r="B170">
            <v>1</v>
          </cell>
          <cell r="C170" t="str">
            <v>100%</v>
          </cell>
        </row>
        <row r="171">
          <cell r="A171" t="str">
            <v>CRC4</v>
          </cell>
          <cell r="B171">
            <v>0.93250489887147336</v>
          </cell>
          <cell r="C171" t="str">
            <v>76% to 99%</v>
          </cell>
        </row>
        <row r="172">
          <cell r="A172" t="str">
            <v>CRC5</v>
          </cell>
          <cell r="B172">
            <v>0.99</v>
          </cell>
          <cell r="C172" t="str">
            <v>76% to 99%</v>
          </cell>
        </row>
        <row r="173">
          <cell r="A173" t="str">
            <v>CRC6</v>
          </cell>
          <cell r="B173">
            <v>1</v>
          </cell>
          <cell r="C173" t="str">
            <v>100%</v>
          </cell>
        </row>
        <row r="174">
          <cell r="A174" t="str">
            <v>CVI1</v>
          </cell>
          <cell r="B174">
            <v>0</v>
          </cell>
          <cell r="C174" t="str">
            <v>0%</v>
          </cell>
        </row>
        <row r="175">
          <cell r="A175" t="str">
            <v>CVI2</v>
          </cell>
          <cell r="B175">
            <v>0</v>
          </cell>
          <cell r="C175" t="str">
            <v>0%</v>
          </cell>
        </row>
        <row r="176">
          <cell r="A176" t="str">
            <v>CVI3</v>
          </cell>
          <cell r="B176">
            <v>0</v>
          </cell>
          <cell r="C176" t="str">
            <v>0%</v>
          </cell>
        </row>
        <row r="177">
          <cell r="A177" t="str">
            <v>CVI4</v>
          </cell>
          <cell r="B177">
            <v>0</v>
          </cell>
          <cell r="C177" t="str">
            <v>0%</v>
          </cell>
        </row>
        <row r="178">
          <cell r="A178" t="str">
            <v>CVI5</v>
          </cell>
          <cell r="B178">
            <v>0</v>
          </cell>
          <cell r="C178" t="str">
            <v>0%</v>
          </cell>
        </row>
        <row r="179">
          <cell r="A179" t="str">
            <v>CVI6</v>
          </cell>
          <cell r="B179">
            <v>0</v>
          </cell>
          <cell r="C179" t="str">
            <v>0%</v>
          </cell>
        </row>
        <row r="180">
          <cell r="A180" t="str">
            <v>QBN3</v>
          </cell>
          <cell r="B180">
            <v>0</v>
          </cell>
          <cell r="C180" t="str">
            <v>0%</v>
          </cell>
        </row>
        <row r="181">
          <cell r="A181" t="str">
            <v>QBN4</v>
          </cell>
          <cell r="B181">
            <v>0</v>
          </cell>
          <cell r="C181" t="str">
            <v>0%</v>
          </cell>
        </row>
        <row r="182">
          <cell r="A182" t="str">
            <v>QBN6</v>
          </cell>
          <cell r="B182">
            <v>0</v>
          </cell>
          <cell r="C182" t="str">
            <v>0%</v>
          </cell>
        </row>
        <row r="183">
          <cell r="A183" t="str">
            <v>NDG4</v>
          </cell>
          <cell r="B183">
            <v>0</v>
          </cell>
          <cell r="C183" t="str">
            <v>0%</v>
          </cell>
        </row>
        <row r="184">
          <cell r="A184" t="str">
            <v>SGI1</v>
          </cell>
          <cell r="B184">
            <v>0</v>
          </cell>
          <cell r="C184" t="str">
            <v>0%</v>
          </cell>
        </row>
        <row r="185">
          <cell r="A185" t="str">
            <v>BBE2</v>
          </cell>
          <cell r="B185">
            <v>0</v>
          </cell>
          <cell r="C185" t="str">
            <v>0%</v>
          </cell>
        </row>
        <row r="186">
          <cell r="A186" t="str">
            <v>BBE3</v>
          </cell>
          <cell r="B186">
            <v>0</v>
          </cell>
          <cell r="C186" t="str">
            <v>0%</v>
          </cell>
        </row>
        <row r="187">
          <cell r="A187" t="str">
            <v>BBE8</v>
          </cell>
          <cell r="B187">
            <v>0</v>
          </cell>
          <cell r="C187" t="str">
            <v>0%</v>
          </cell>
        </row>
        <row r="188">
          <cell r="A188" t="str">
            <v>BLK10</v>
          </cell>
          <cell r="B188">
            <v>0</v>
          </cell>
          <cell r="C188" t="str">
            <v>0%</v>
          </cell>
        </row>
        <row r="189">
          <cell r="A189" t="str">
            <v>GRN2</v>
          </cell>
          <cell r="B189">
            <v>0</v>
          </cell>
          <cell r="C189" t="str">
            <v>0%</v>
          </cell>
        </row>
        <row r="190">
          <cell r="A190" t="str">
            <v>LIV3</v>
          </cell>
          <cell r="B190">
            <v>0</v>
          </cell>
          <cell r="C190" t="str">
            <v>0%</v>
          </cell>
        </row>
        <row r="191">
          <cell r="A191" t="str">
            <v>LIV2</v>
          </cell>
          <cell r="B191">
            <v>0</v>
          </cell>
          <cell r="C191" t="str">
            <v>0%</v>
          </cell>
        </row>
      </sheetData>
      <sheetData sheetId="7"/>
      <sheetData sheetId="8"/>
      <sheetData sheetId="9"/>
      <sheetData sheetId="10">
        <row r="3">
          <cell r="A3" t="str">
            <v>Sum of Qty Completed</v>
          </cell>
        </row>
      </sheetData>
      <sheetData sheetId="11">
        <row r="2">
          <cell r="F2" t="str">
            <v>Risk Item Number</v>
          </cell>
          <cell r="G2" t="str">
            <v>Risk Name &amp; Description</v>
          </cell>
          <cell r="H2" t="str">
            <v>Risk Name</v>
          </cell>
        </row>
        <row r="3">
          <cell r="F3">
            <v>0</v>
          </cell>
          <cell r="G3">
            <v>0</v>
          </cell>
          <cell r="H3" t="str">
            <v>No relevant code, Comment Required --&gt;</v>
          </cell>
        </row>
        <row r="4">
          <cell r="F4">
            <v>1</v>
          </cell>
          <cell r="G4">
            <v>0</v>
          </cell>
          <cell r="H4" t="str">
            <v>PDS Final Reconciliation</v>
          </cell>
        </row>
        <row r="5">
          <cell r="F5" t="str">
            <v>TR-03300</v>
          </cell>
          <cell r="G5" t="str">
            <v xml:space="preserve">Self Performance Productivity Description: Failure to efficiently manage our self performance crews against our DJC. Uncertainty of self performance costs. </v>
          </cell>
          <cell r="H5" t="str">
            <v xml:space="preserve">Self Performance Productivity </v>
          </cell>
        </row>
        <row r="6">
          <cell r="F6" t="str">
            <v>TR-03275</v>
          </cell>
          <cell r="G6" t="str">
            <v xml:space="preserve">Subcontract Resources Description: Inability to engage sufficient subcontract resources </v>
          </cell>
          <cell r="H6" t="str">
            <v xml:space="preserve">Subcontract Resources </v>
          </cell>
        </row>
        <row r="7">
          <cell r="F7" t="str">
            <v>TR-03283</v>
          </cell>
          <cell r="G7" t="str">
            <v xml:space="preserve">Uncertainty of GNAF Volume Forecast Description: Recovery of overheads is subject to the forecast volume of work by GNAF. A reduction against what is forecast will result in reduced overhead recovery. </v>
          </cell>
          <cell r="H7" t="str">
            <v xml:space="preserve">Uncertainty of GNAF Volume Forecast </v>
          </cell>
        </row>
        <row r="8">
          <cell r="F8" t="str">
            <v>TR-03284</v>
          </cell>
          <cell r="G8" t="str">
            <v xml:space="preserve">Uncertainty of Revenue per GNAF Description: Recovery of overheads is based on the value of SOR rates per GNAF/Premise. </v>
          </cell>
          <cell r="H8" t="str">
            <v xml:space="preserve">Uncertainty of Revenue per GNAF </v>
          </cell>
        </row>
        <row r="9">
          <cell r="F9" t="str">
            <v>TR-03256</v>
          </cell>
          <cell r="G9" t="str">
            <v xml:space="preserve">Multi Haul Description: Commercial disagreement regarding the method of measurement for cable hauling activities. </v>
          </cell>
          <cell r="H9" t="str">
            <v xml:space="preserve">Multi Haul </v>
          </cell>
        </row>
        <row r="10">
          <cell r="F10" t="str">
            <v>TR-03259</v>
          </cell>
          <cell r="G10" t="str">
            <v xml:space="preserve">Liquidated Damages Description: The program is currently liable for Design Profile Liquidated damages however they are not being applied by NBN </v>
          </cell>
          <cell r="H10" t="str">
            <v xml:space="preserve">Liquidated Damages </v>
          </cell>
        </row>
        <row r="11">
          <cell r="F11" t="str">
            <v>TR-03262</v>
          </cell>
          <cell r="G11" t="str">
            <v xml:space="preserve">BOQs Description: Silcar is liable for BOQ accuracy and innacuracies can lead to a failure to recover payment for work completed after the BOQs are lump summed up. </v>
          </cell>
          <cell r="H11" t="str">
            <v xml:space="preserve">BOQs </v>
          </cell>
        </row>
        <row r="12">
          <cell r="F12" t="str">
            <v>TR-03270</v>
          </cell>
          <cell r="G12" t="str">
            <v xml:space="preserve">Excessive overtime Description: Excessive payment of overtime rates paid to design and supervision staff to recover delays. </v>
          </cell>
          <cell r="H12" t="str">
            <v xml:space="preserve">Excessive overtime </v>
          </cell>
        </row>
        <row r="13">
          <cell r="F13" t="str">
            <v>TR-03250</v>
          </cell>
          <cell r="G13" t="str">
            <v xml:space="preserve">IR Description: Union action </v>
          </cell>
          <cell r="H13" t="str">
            <v xml:space="preserve">IR </v>
          </cell>
        </row>
        <row r="14">
          <cell r="F14" t="str">
            <v>TR-03271</v>
          </cell>
          <cell r="G14" t="str">
            <v xml:space="preserve">Forecast Productivity not Achieved Description: Forecast efficiency gains not being fully realised as per current cost forecasting. </v>
          </cell>
          <cell r="H14" t="str">
            <v xml:space="preserve">Forecast Productivity not Achieved </v>
          </cell>
        </row>
        <row r="15">
          <cell r="F15" t="str">
            <v>TR-03263</v>
          </cell>
          <cell r="G15" t="str">
            <v xml:space="preserve">Cash flow Description: Change in project cash requirements due to delayed or accelerated program </v>
          </cell>
          <cell r="H15" t="str">
            <v xml:space="preserve">Cash flow </v>
          </cell>
        </row>
        <row r="16">
          <cell r="F16" t="str">
            <v>TR-03249</v>
          </cell>
          <cell r="G16" t="str">
            <v xml:space="preserve">Insufficient QTY of Site Supervision Description: Potential compliance or productivity issues if the level of site supervision is insufficient. </v>
          </cell>
          <cell r="H16" t="str">
            <v xml:space="preserve">Insufficient QTY of Site Supervision </v>
          </cell>
        </row>
        <row r="17">
          <cell r="F17" t="str">
            <v>TR-03252</v>
          </cell>
          <cell r="G17" t="str">
            <v xml:space="preserve">IMS Compliance Description: Failure to effectively implement our management systems resulting in loss of certifications </v>
          </cell>
          <cell r="H17" t="str">
            <v xml:space="preserve">IMS Compliance </v>
          </cell>
        </row>
        <row r="18">
          <cell r="F18" t="str">
            <v>TR-03276</v>
          </cell>
          <cell r="G18" t="str">
            <v xml:space="preserve">Subcontractor engagement &amp; onboarding Description: Mobilisation of subcontractors does not meet project demand including timely procurement process and induction / onboarding. </v>
          </cell>
          <cell r="H18" t="str">
            <v xml:space="preserve">Subcontractor engagement &amp; onboarding </v>
          </cell>
        </row>
        <row r="19">
          <cell r="F19" t="str">
            <v>TR-03296</v>
          </cell>
          <cell r="G19" t="str">
            <v xml:space="preserve">Self Remediation Description: Self remediation of FSAMs was performed by the JV to have greater control and certainty over construction delivery. </v>
          </cell>
          <cell r="H19" t="str">
            <v xml:space="preserve">Self Remediation </v>
          </cell>
        </row>
        <row r="20">
          <cell r="F20" t="str">
            <v>TR-03288</v>
          </cell>
          <cell r="G20" t="str">
            <v xml:space="preserve">Procurement &amp; Logistics Description: Procurement and logistics is untested and accounts for a third of project spend </v>
          </cell>
          <cell r="H20" t="str">
            <v xml:space="preserve">Procurement &amp; Logistics </v>
          </cell>
        </row>
        <row r="21">
          <cell r="F21" t="str">
            <v>TR-03253</v>
          </cell>
          <cell r="G21" t="str">
            <v xml:space="preserve">Inclement Weather &amp; Natural Events Description: Severe or prolonged inclement weather events may lead to isolation from facilities, damage to facilities and/or damage to the works </v>
          </cell>
          <cell r="H21" t="str">
            <v xml:space="preserve">Inclement Weather &amp; Natural Events </v>
          </cell>
        </row>
        <row r="22">
          <cell r="F22" t="str">
            <v>TR-03299</v>
          </cell>
          <cell r="G22" t="str">
            <v xml:space="preserve">Rock/OTR SOR items Description: NBN do not agree that rock/OTR are remeasurable items </v>
          </cell>
          <cell r="H22" t="str">
            <v xml:space="preserve">Rock/OTR SOR items </v>
          </cell>
        </row>
        <row r="23">
          <cell r="F23" t="str">
            <v>TR-03293</v>
          </cell>
          <cell r="G23" t="str">
            <v xml:space="preserve">Offshore design Description: Failure to produce suitable design outputs from offshore design activities </v>
          </cell>
          <cell r="H23" t="str">
            <v xml:space="preserve">Offshore design </v>
          </cell>
        </row>
        <row r="24">
          <cell r="F24" t="str">
            <v>TR-03298</v>
          </cell>
          <cell r="G24" t="str">
            <v xml:space="preserve">Ribbon Splicing Description: Splice and test requirements for ribbon are uncertain. Productivity is uncertain. </v>
          </cell>
          <cell r="H24" t="str">
            <v xml:space="preserve">Ribbon Splicing </v>
          </cell>
        </row>
        <row r="25">
          <cell r="F25" t="str">
            <v>TR-03294</v>
          </cell>
          <cell r="G25" t="str">
            <v xml:space="preserve">Resource constraints in specific FSAreas Description: Resource constraints in specific FSAreas - Wagga - Mackay - Cairns - Mudgee </v>
          </cell>
          <cell r="H25" t="str">
            <v xml:space="preserve">Resource constraints in specific FSAreas </v>
          </cell>
        </row>
        <row r="26">
          <cell r="F26" t="str">
            <v>TR-03281</v>
          </cell>
          <cell r="G26" t="str">
            <v xml:space="preserve">Telstra Behaviour Description: Obstructive behaviour from Telstra </v>
          </cell>
          <cell r="H26" t="str">
            <v xml:space="preserve">Telstra Behaviour </v>
          </cell>
        </row>
        <row r="27">
          <cell r="F27" t="str">
            <v>TR-03287</v>
          </cell>
          <cell r="G27" t="str">
            <v xml:space="preserve">Telstra Remediation Lockout Description: Telstra remediation takes longer than 3 months and we do not have entitlement to EOT. </v>
          </cell>
          <cell r="H27" t="str">
            <v xml:space="preserve">Telstra Remediation Lockout </v>
          </cell>
        </row>
        <row r="28">
          <cell r="F28" t="str">
            <v>TR-03272</v>
          </cell>
          <cell r="G28" t="str">
            <v xml:space="preserve">Decoupled Construction Cis Description: Failure to loop around effectively to clean up loose ends and aerial designs on fast tracked Cis. </v>
          </cell>
          <cell r="H28" t="str">
            <v xml:space="preserve">Decoupled Construction Cis </v>
          </cell>
        </row>
        <row r="29">
          <cell r="F29" t="str">
            <v>TR-03257</v>
          </cell>
          <cell r="G29" t="str">
            <v xml:space="preserve">NBN Co Description: Lack of maturity in NBNs operational systems, process and requirements drives unforseen change in our program requirements </v>
          </cell>
          <cell r="H29" t="str">
            <v xml:space="preserve">NBN Co </v>
          </cell>
        </row>
        <row r="30">
          <cell r="F30" t="str">
            <v>TR-03264</v>
          </cell>
          <cell r="G30" t="str">
            <v xml:space="preserve">Change of government Description: Change in government may drive scope change in the project </v>
          </cell>
          <cell r="H30" t="str">
            <v xml:space="preserve">Change of government </v>
          </cell>
        </row>
        <row r="31">
          <cell r="F31" t="str">
            <v>TR-03266</v>
          </cell>
          <cell r="G31" t="str">
            <v xml:space="preserve">Aerial Design Resources Description: Inability to engage sufficient number of Lvl 3 qualified aerial designers </v>
          </cell>
          <cell r="H31" t="str">
            <v xml:space="preserve">Aerial Design Resources </v>
          </cell>
        </row>
        <row r="32">
          <cell r="F32" t="str">
            <v>TR-03295</v>
          </cell>
          <cell r="G32" t="str">
            <v xml:space="preserve">Self Performance Resource Availability Description: Inability to secure skilled direct workforce </v>
          </cell>
          <cell r="H32" t="str">
            <v xml:space="preserve">Self Performance Resource Availability </v>
          </cell>
        </row>
        <row r="33">
          <cell r="F33" t="str">
            <v>TR-03292</v>
          </cell>
          <cell r="G33" t="str">
            <v xml:space="preserve">Non-systematic escalation Description: Non systematic escalation of any number of project inputs due to the high volume of work being conducted nationally </v>
          </cell>
          <cell r="H33" t="str">
            <v xml:space="preserve">Non-systematic escalation </v>
          </cell>
        </row>
        <row r="34">
          <cell r="F34" t="str">
            <v>TR-03289</v>
          </cell>
          <cell r="G34" t="str">
            <v xml:space="preserve">Rate of volume increase Description: Inability to maintain safety, environmental and quality standards during period of extreme volume ramp up </v>
          </cell>
          <cell r="H34" t="str">
            <v xml:space="preserve">Rate of volume increase </v>
          </cell>
        </row>
        <row r="35">
          <cell r="F35" t="str">
            <v>TR-03254</v>
          </cell>
          <cell r="G35" t="str">
            <v xml:space="preserve">Insolvency Description: Insolvency of material supplier, subcontractor or design consultant. </v>
          </cell>
          <cell r="H35" t="str">
            <v xml:space="preserve">Insolvency </v>
          </cell>
        </row>
        <row r="36">
          <cell r="F36" t="str">
            <v>TR-03273</v>
          </cell>
          <cell r="G36" t="str">
            <v xml:space="preserve">Design Changes Description: Late design changes </v>
          </cell>
          <cell r="H36" t="str">
            <v xml:space="preserve">Design Changes </v>
          </cell>
        </row>
        <row r="37">
          <cell r="F37" t="str">
            <v>TR-03274</v>
          </cell>
          <cell r="G37" t="str">
            <v xml:space="preserve">Design Resources Description: Inability to engage sufficient quality design resources </v>
          </cell>
          <cell r="H37" t="str">
            <v xml:space="preserve">Design Resources </v>
          </cell>
        </row>
        <row r="38">
          <cell r="F38" t="str">
            <v>TR-03279</v>
          </cell>
          <cell r="G38" t="str">
            <v xml:space="preserve">Site specific environmental requirements Description: Non compliance with site specific environmental requirements </v>
          </cell>
          <cell r="H38" t="str">
            <v xml:space="preserve">Site specific environmental requirements </v>
          </cell>
        </row>
        <row r="39">
          <cell r="F39" t="str">
            <v>TR-03286</v>
          </cell>
          <cell r="G39" t="str">
            <v xml:space="preserve">Telstra Lockout Description: Insufficient reporting from Telstra during the lockout period does not allow us to plan sufficiently for delay or acceleration on the part of Telstra. </v>
          </cell>
          <cell r="H39" t="str">
            <v xml:space="preserve">Telstra Lockout </v>
          </cell>
        </row>
        <row r="40">
          <cell r="F40" t="str">
            <v>TR-03290</v>
          </cell>
          <cell r="G40" t="str">
            <v xml:space="preserve">Recruitment of Competent Resources Description: Inability to attract competent professionals and provide hiring managers with high calibre applicants for interviewing. </v>
          </cell>
          <cell r="H40" t="str">
            <v xml:space="preserve">Recruitment of Competent Resources </v>
          </cell>
        </row>
        <row r="41">
          <cell r="F41" t="str">
            <v>TR-03255</v>
          </cell>
          <cell r="G41" t="str">
            <v xml:space="preserve">Land Access - 2 Description: Failure to communicate Land Access/planning information to scopers, designers and field staff resulting in rework due to poorly placed cabinets, poorly routed works or regulatory non-compliance </v>
          </cell>
          <cell r="H41" t="str">
            <v xml:space="preserve">Land Access - 2 </v>
          </cell>
        </row>
        <row r="42">
          <cell r="F42" t="str">
            <v>TR-03265</v>
          </cell>
          <cell r="G42" t="str">
            <v xml:space="preserve">Aerial Access Agreements Description: Delay to aerial design and construction due to relationship with the electrical authorities. </v>
          </cell>
          <cell r="H42" t="str">
            <v xml:space="preserve">Aerial Access Agreements </v>
          </cell>
        </row>
        <row r="43">
          <cell r="F43" t="str">
            <v>TR-03268</v>
          </cell>
          <cell r="G43" t="str">
            <v xml:space="preserve">Constructability of Design Description: Designs may not reflect best practice construction methods </v>
          </cell>
          <cell r="H43" t="str">
            <v xml:space="preserve">Constructability of Design </v>
          </cell>
        </row>
        <row r="44">
          <cell r="F44" t="str">
            <v>TR-03258</v>
          </cell>
          <cell r="G44" t="str">
            <v xml:space="preserve">NBN IT Systems Description: Failure by NBN to deliver their IT Roadmap. </v>
          </cell>
          <cell r="H44" t="str">
            <v xml:space="preserve">NBN IT Systems </v>
          </cell>
        </row>
        <row r="45">
          <cell r="F45" t="str">
            <v>TR-03267</v>
          </cell>
          <cell r="G45" t="str">
            <v xml:space="preserve">ArcGIS Downtime Description: Downtime of ArcGIS on the Amazon server </v>
          </cell>
          <cell r="H45" t="str">
            <v xml:space="preserve">ArcGIS Downtime </v>
          </cell>
        </row>
        <row r="46">
          <cell r="F46" t="str">
            <v>TR-03261</v>
          </cell>
          <cell r="G46" t="str">
            <v xml:space="preserve">Mobile Device Security Description: Data security of mobile devices that are holding increasing more information. </v>
          </cell>
          <cell r="H46" t="str">
            <v xml:space="preserve">Mobile Device Security </v>
          </cell>
        </row>
        <row r="47">
          <cell r="F47" t="str">
            <v>TR-03269</v>
          </cell>
          <cell r="G47" t="str">
            <v xml:space="preserve">Drillers mud spill Description: Spill of drillers mud at site or during transportation </v>
          </cell>
          <cell r="H47" t="str">
            <v xml:space="preserve">Drillers mud spill </v>
          </cell>
        </row>
        <row r="48">
          <cell r="F48" t="str">
            <v>TR-03278</v>
          </cell>
          <cell r="G48" t="str">
            <v xml:space="preserve">Silcar Comms Secondments Description: Silcar Comms not delivering promised seconded resources or removing seconded resources </v>
          </cell>
          <cell r="H48" t="str">
            <v xml:space="preserve">Silcar Comms Secondments </v>
          </cell>
        </row>
        <row r="49">
          <cell r="F49" t="str">
            <v>TR-03291</v>
          </cell>
          <cell r="G49" t="str">
            <v xml:space="preserve">NBN Program Delivery Incentive Payment Description: A incentive payment scheme based on a target premises past quota has been agreed with NBN. </v>
          </cell>
          <cell r="H49" t="str">
            <v xml:space="preserve">NBN Program Delivery Incentive Payment </v>
          </cell>
        </row>
        <row r="50">
          <cell r="F50" t="str">
            <v>TR-03260</v>
          </cell>
          <cell r="G50" t="str">
            <v xml:space="preserve">Long Service Leave Description: The JV is potentially required to make a Q-Leave and NSW Portable Long Service leave contribution. </v>
          </cell>
          <cell r="H50" t="str">
            <v xml:space="preserve">Long Service Leave </v>
          </cell>
        </row>
        <row r="51">
          <cell r="F51" t="str">
            <v>TR-03277</v>
          </cell>
          <cell r="G51" t="str">
            <v xml:space="preserve">Telstra Description: - Late changes in remediation plans invalidating Telstra LAANs - Legal issues relating to us issuing LAANs on Telstra's behalf - Causing a delay to Telstra due to inadequate LAANs that we issue on their behalf. </v>
          </cell>
          <cell r="H51" t="str">
            <v xml:space="preserve">Telstra </v>
          </cell>
        </row>
        <row r="52">
          <cell r="F52" t="str">
            <v>TR-03251</v>
          </cell>
          <cell r="G52" t="str">
            <v xml:space="preserve">Land Access - 1 Description: Failure in the land access process </v>
          </cell>
          <cell r="H52" t="str">
            <v xml:space="preserve">Land Access - 1 </v>
          </cell>
        </row>
        <row r="53">
          <cell r="F53" t="str">
            <v>TR-03297</v>
          </cell>
          <cell r="G53" t="str">
            <v xml:space="preserve">Signal Loss Description: Failure to meet signal loss requirements resulting in technical breach at completion. </v>
          </cell>
          <cell r="H53" t="str">
            <v xml:space="preserve">Signal Loss </v>
          </cell>
        </row>
        <row r="54">
          <cell r="F54" t="str">
            <v>TR-03285</v>
          </cell>
          <cell r="G54" t="str">
            <v xml:space="preserve">Telstra Christmas Embargo Description: Inability to perform all planned works during the end of year Telstra Embargo </v>
          </cell>
          <cell r="H54" t="str">
            <v xml:space="preserve">Telstra Christmas Embargo </v>
          </cell>
        </row>
        <row r="55">
          <cell r="F55" t="str">
            <v>TR-03282</v>
          </cell>
          <cell r="G55" t="str">
            <v xml:space="preserve">Term extension Description: Contract extension </v>
          </cell>
          <cell r="H55" t="str">
            <v xml:space="preserve">Term extension </v>
          </cell>
        </row>
        <row r="56">
          <cell r="F56" t="str">
            <v>TR-03280</v>
          </cell>
          <cell r="G56" t="str">
            <v xml:space="preserve">SpatialNET Description: Failure of SpatialNET to meet the requirements promised by the NBN roadmap or delayed implementation of the roadmap. NBN witholding functionality of SpatialNET. </v>
          </cell>
          <cell r="H56" t="str">
            <v xml:space="preserve">SpatialNET </v>
          </cell>
        </row>
      </sheetData>
      <sheetData sheetId="12"/>
      <sheetData sheetId="13"/>
      <sheetData sheetId="14">
        <row r="3">
          <cell r="A3" t="str">
            <v>Row Labels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Rpts"/>
      <sheetName val="Forms"/>
      <sheetName val="Validation Tables"/>
      <sheetName val="Notes"/>
      <sheetName val="Flex-Sep"/>
      <sheetName val="Flex-July1"/>
      <sheetName val="Flex-Sep2"/>
      <sheetName val="Flex-Dec2"/>
      <sheetName val="Flex-Mar2"/>
      <sheetName val="Flex-Jun2"/>
      <sheetName val="NWJuly1"/>
      <sheetName val="Flex-Mar"/>
      <sheetName val="NWMar"/>
      <sheetName val="Flex-Dec"/>
      <sheetName val="NWDec"/>
      <sheetName val="Flex-Jun"/>
      <sheetName val="NWJun"/>
      <sheetName val="NWSep"/>
      <sheetName val="Desal O&amp;M JV"/>
      <sheetName val="Val1"/>
      <sheetName val="Val2"/>
      <sheetName val="Val Degremont"/>
      <sheetName val="Val Aquasure"/>
      <sheetName val="ContractDebtors"/>
      <sheetName val="Cash"/>
      <sheetName val="OtherDebtors"/>
      <sheetName val="Macros"/>
      <sheetName val="Master"/>
      <sheetName val="Module6"/>
      <sheetName val="Module4"/>
      <sheetName val="Module7"/>
      <sheetName val="Module5"/>
      <sheetName val="Module1"/>
      <sheetName val="Module2"/>
      <sheetName val="Module8"/>
      <sheetName val="R&amp;O"/>
      <sheetName val="WIP"/>
      <sheetName val="NZ Journal"/>
      <sheetName val="Download_NZ"/>
      <sheetName val="Sheet3"/>
      <sheetName val="Sheet1"/>
      <sheetName val="O&amp;M Val - Annual"/>
    </sheetNames>
    <sheetDataSet>
      <sheetData sheetId="0" refreshError="1"/>
      <sheetData sheetId="1" refreshError="1"/>
      <sheetData sheetId="2">
        <row r="11">
          <cell r="B11">
            <v>1</v>
          </cell>
          <cell r="C11" t="str">
            <v>TAllwaste</v>
          </cell>
          <cell r="D11" t="str">
            <v>Allwaste</v>
          </cell>
          <cell r="E11">
            <v>0</v>
          </cell>
        </row>
        <row r="12">
          <cell r="B12">
            <v>2</v>
          </cell>
          <cell r="C12" t="str">
            <v>TGarrettsNorth</v>
          </cell>
          <cell r="D12" t="str">
            <v>GarrettsNorth</v>
          </cell>
        </row>
        <row r="13">
          <cell r="B13">
            <v>3</v>
          </cell>
          <cell r="C13" t="str">
            <v>TGarrettsSouth</v>
          </cell>
          <cell r="D13" t="str">
            <v>GarrettsSouth</v>
          </cell>
        </row>
        <row r="14">
          <cell r="B14">
            <v>4</v>
          </cell>
          <cell r="C14" t="str">
            <v>TSEWL</v>
          </cell>
          <cell r="D14" t="str">
            <v>SEWL</v>
          </cell>
        </row>
        <row r="15">
          <cell r="B15">
            <v>5</v>
          </cell>
          <cell r="C15" t="str">
            <v>TMW</v>
          </cell>
          <cell r="D15" t="str">
            <v>MW</v>
          </cell>
        </row>
        <row r="16">
          <cell r="B16">
            <v>6</v>
          </cell>
          <cell r="C16" t="str">
            <v>TMtceSJ</v>
          </cell>
          <cell r="D16" t="str">
            <v>MtceSJ</v>
          </cell>
        </row>
        <row r="17">
          <cell r="B17">
            <v>7</v>
          </cell>
          <cell r="C17" t="str">
            <v>Thydro</v>
          </cell>
          <cell r="D17" t="str">
            <v>Hydro</v>
          </cell>
        </row>
        <row r="18">
          <cell r="B18">
            <v>8</v>
          </cell>
          <cell r="C18" t="str">
            <v>TMultinet</v>
          </cell>
          <cell r="D18" t="str">
            <v>Multinet</v>
          </cell>
        </row>
        <row r="19">
          <cell r="B19">
            <v>9</v>
          </cell>
          <cell r="C19" t="str">
            <v>TUEMoorbn</v>
          </cell>
        </row>
        <row r="20">
          <cell r="B20">
            <v>10</v>
          </cell>
          <cell r="C20" t="str">
            <v>TUEMorn</v>
          </cell>
        </row>
        <row r="21">
          <cell r="B21">
            <v>11</v>
          </cell>
          <cell r="C21" t="str">
            <v>TUEOHDS</v>
          </cell>
        </row>
        <row r="22">
          <cell r="B22">
            <v>12</v>
          </cell>
          <cell r="C22" t="str">
            <v>TWACorp</v>
          </cell>
          <cell r="D22" t="str">
            <v>WA Water Corp</v>
          </cell>
        </row>
        <row r="23">
          <cell r="B23">
            <v>13</v>
          </cell>
          <cell r="C23" t="str">
            <v>TRemediation</v>
          </cell>
          <cell r="D23" t="str">
            <v>Remediation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0">
          <cell r="B10" t="str">
            <v>REMEDIATION</v>
          </cell>
          <cell r="D10">
            <v>27785</v>
          </cell>
          <cell r="E10">
            <v>1570</v>
          </cell>
          <cell r="G10">
            <v>3739</v>
          </cell>
          <cell r="H10">
            <v>272</v>
          </cell>
          <cell r="J10">
            <v>5837</v>
          </cell>
          <cell r="K10">
            <v>1019</v>
          </cell>
          <cell r="L10">
            <v>216</v>
          </cell>
          <cell r="M10">
            <v>30</v>
          </cell>
          <cell r="N10">
            <v>275</v>
          </cell>
          <cell r="O10">
            <v>42</v>
          </cell>
          <cell r="P10">
            <v>275</v>
          </cell>
          <cell r="Q10">
            <v>45</v>
          </cell>
          <cell r="R10">
            <v>766</v>
          </cell>
          <cell r="S10">
            <v>117</v>
          </cell>
          <cell r="T10">
            <v>671</v>
          </cell>
          <cell r="U10">
            <v>118</v>
          </cell>
          <cell r="V10">
            <v>1436</v>
          </cell>
          <cell r="W10">
            <v>235</v>
          </cell>
          <cell r="X10">
            <v>4002</v>
          </cell>
          <cell r="Y10">
            <v>865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2781</v>
          </cell>
          <cell r="AQ10">
            <v>660</v>
          </cell>
          <cell r="AR10">
            <v>3056</v>
          </cell>
          <cell r="AS10">
            <v>702</v>
          </cell>
          <cell r="AT10">
            <v>3331</v>
          </cell>
          <cell r="AU10">
            <v>747</v>
          </cell>
          <cell r="AV10">
            <v>4002</v>
          </cell>
          <cell r="AW10">
            <v>865</v>
          </cell>
        </row>
        <row r="11">
          <cell r="B11" t="str">
            <v>UTILITIES</v>
          </cell>
          <cell r="D11">
            <v>835458</v>
          </cell>
          <cell r="E11">
            <v>439309</v>
          </cell>
          <cell r="G11">
            <v>54989</v>
          </cell>
          <cell r="H11">
            <v>25542</v>
          </cell>
          <cell r="J11">
            <v>86950</v>
          </cell>
          <cell r="K11">
            <v>4785</v>
          </cell>
          <cell r="L11">
            <v>13259</v>
          </cell>
          <cell r="M11">
            <v>589</v>
          </cell>
          <cell r="N11">
            <v>14806</v>
          </cell>
          <cell r="O11">
            <v>882</v>
          </cell>
          <cell r="P11">
            <v>15051</v>
          </cell>
          <cell r="Q11">
            <v>1010</v>
          </cell>
          <cell r="R11">
            <v>43116</v>
          </cell>
          <cell r="S11">
            <v>2480</v>
          </cell>
          <cell r="T11">
            <v>34785</v>
          </cell>
          <cell r="U11">
            <v>1906</v>
          </cell>
          <cell r="V11">
            <v>77901</v>
          </cell>
          <cell r="W11">
            <v>4386</v>
          </cell>
          <cell r="X11">
            <v>160036</v>
          </cell>
          <cell r="Y11">
            <v>8814</v>
          </cell>
          <cell r="Z11">
            <v>74029</v>
          </cell>
          <cell r="AA11">
            <v>3712</v>
          </cell>
          <cell r="AB11">
            <v>49761</v>
          </cell>
          <cell r="AC11">
            <v>2827</v>
          </cell>
          <cell r="AD11">
            <v>123790</v>
          </cell>
          <cell r="AE11">
            <v>6539</v>
          </cell>
          <cell r="AL11">
            <v>236461</v>
          </cell>
          <cell r="AM11">
            <v>14235</v>
          </cell>
          <cell r="AN11">
            <v>0</v>
          </cell>
          <cell r="AO11">
            <v>0</v>
          </cell>
          <cell r="AP11">
            <v>95394</v>
          </cell>
          <cell r="AQ11">
            <v>5017</v>
          </cell>
          <cell r="AR11">
            <v>110200</v>
          </cell>
          <cell r="AS11">
            <v>5899</v>
          </cell>
          <cell r="AT11">
            <v>125251</v>
          </cell>
          <cell r="AU11">
            <v>6909</v>
          </cell>
          <cell r="AV11">
            <v>160036</v>
          </cell>
          <cell r="AW11">
            <v>8814</v>
          </cell>
        </row>
        <row r="12">
          <cell r="B12" t="str">
            <v>TELECOMMUNICATIONS</v>
          </cell>
          <cell r="D12">
            <v>0</v>
          </cell>
          <cell r="E12">
            <v>0</v>
          </cell>
          <cell r="G12">
            <v>0</v>
          </cell>
          <cell r="H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</row>
        <row r="13">
          <cell r="B13" t="str">
            <v>TOTAL EXTERNAL</v>
          </cell>
          <cell r="D13">
            <v>1125181</v>
          </cell>
          <cell r="E13">
            <v>581503</v>
          </cell>
          <cell r="G13">
            <v>78616</v>
          </cell>
          <cell r="H13">
            <v>36533</v>
          </cell>
          <cell r="J13">
            <v>111642</v>
          </cell>
          <cell r="K13">
            <v>6327</v>
          </cell>
          <cell r="L13">
            <v>16784</v>
          </cell>
          <cell r="M13">
            <v>737</v>
          </cell>
          <cell r="N13">
            <v>18091</v>
          </cell>
          <cell r="O13">
            <v>1005</v>
          </cell>
          <cell r="P13">
            <v>18483</v>
          </cell>
          <cell r="Q13">
            <v>1155</v>
          </cell>
          <cell r="R13">
            <v>53359</v>
          </cell>
          <cell r="S13">
            <v>2896</v>
          </cell>
          <cell r="T13">
            <v>45240</v>
          </cell>
          <cell r="U13">
            <v>2362</v>
          </cell>
          <cell r="V13">
            <v>98598</v>
          </cell>
          <cell r="W13">
            <v>5258</v>
          </cell>
          <cell r="X13">
            <v>202154</v>
          </cell>
          <cell r="Y13">
            <v>10839</v>
          </cell>
          <cell r="Z13">
            <v>96323</v>
          </cell>
          <cell r="AA13">
            <v>4560</v>
          </cell>
          <cell r="AB13">
            <v>70727</v>
          </cell>
          <cell r="AC13">
            <v>3533</v>
          </cell>
          <cell r="AD13">
            <v>167050</v>
          </cell>
          <cell r="AE13">
            <v>8093</v>
          </cell>
          <cell r="AL13">
            <v>314563</v>
          </cell>
          <cell r="AM13">
            <v>22763</v>
          </cell>
          <cell r="AN13">
            <v>0</v>
          </cell>
          <cell r="AO13">
            <v>0</v>
          </cell>
          <cell r="AP13">
            <v>120339</v>
          </cell>
          <cell r="AQ13">
            <v>6318</v>
          </cell>
          <cell r="AR13">
            <v>138431</v>
          </cell>
          <cell r="AS13">
            <v>7323</v>
          </cell>
          <cell r="AT13">
            <v>156914</v>
          </cell>
          <cell r="AU13">
            <v>8478</v>
          </cell>
          <cell r="AV13">
            <v>202154</v>
          </cell>
          <cell r="AW13">
            <v>10839</v>
          </cell>
        </row>
        <row r="14">
          <cell r="B14" t="str">
            <v>039092</v>
          </cell>
          <cell r="C14" t="str">
            <v>PLANT OPERATING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5</v>
          </cell>
          <cell r="I14">
            <v>0</v>
          </cell>
          <cell r="J14">
            <v>0</v>
          </cell>
          <cell r="K14">
            <v>-4.7896200000000002</v>
          </cell>
          <cell r="R14">
            <v>0</v>
          </cell>
          <cell r="S14">
            <v>0</v>
          </cell>
          <cell r="U14">
            <v>4.7896200000000002</v>
          </cell>
          <cell r="V14">
            <v>0</v>
          </cell>
          <cell r="W14">
            <v>4.7896200000000002</v>
          </cell>
          <cell r="X14">
            <v>0</v>
          </cell>
          <cell r="Y14">
            <v>0</v>
          </cell>
          <cell r="AD14">
            <v>0</v>
          </cell>
          <cell r="AE14">
            <v>0</v>
          </cell>
          <cell r="AL14">
            <v>0</v>
          </cell>
          <cell r="AM14">
            <v>0.21037999999999979</v>
          </cell>
          <cell r="AN14">
            <v>0</v>
          </cell>
          <cell r="AO14">
            <v>0</v>
          </cell>
          <cell r="AP14">
            <v>0</v>
          </cell>
          <cell r="AQ14">
            <v>-4.7896200000000002</v>
          </cell>
          <cell r="AR14">
            <v>0</v>
          </cell>
          <cell r="AS14">
            <v>-4.7896200000000002</v>
          </cell>
          <cell r="AT14">
            <v>0</v>
          </cell>
          <cell r="AU14">
            <v>-4.7896200000000002</v>
          </cell>
          <cell r="AV14">
            <v>0</v>
          </cell>
          <cell r="AW14">
            <v>0</v>
          </cell>
        </row>
        <row r="15">
          <cell r="B15" t="str">
            <v xml:space="preserve"> IDLE PLANT </v>
          </cell>
          <cell r="E15">
            <v>0</v>
          </cell>
          <cell r="H15">
            <v>0</v>
          </cell>
          <cell r="J15">
            <v>0</v>
          </cell>
          <cell r="K15">
            <v>0</v>
          </cell>
          <cell r="R15">
            <v>0</v>
          </cell>
          <cell r="S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AD15">
            <v>0</v>
          </cell>
          <cell r="AE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</row>
        <row r="17">
          <cell r="B17" t="str">
            <v>INTERNAL CONTRACTS</v>
          </cell>
        </row>
        <row r="18">
          <cell r="D18">
            <v>0</v>
          </cell>
          <cell r="E18">
            <v>0</v>
          </cell>
          <cell r="G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</row>
        <row r="19">
          <cell r="B19" t="str">
            <v>TOTAL INTERNAL</v>
          </cell>
          <cell r="D19">
            <v>0</v>
          </cell>
          <cell r="E19">
            <v>0</v>
          </cell>
          <cell r="G19">
            <v>0</v>
          </cell>
          <cell r="H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</row>
        <row r="20">
          <cell r="B20" t="str">
            <v>TOTAL COMMITTED CONTRACTS</v>
          </cell>
          <cell r="D20">
            <v>1125181</v>
          </cell>
          <cell r="E20">
            <v>581503</v>
          </cell>
          <cell r="G20">
            <v>78616</v>
          </cell>
          <cell r="H20">
            <v>36538</v>
          </cell>
          <cell r="J20">
            <v>111642</v>
          </cell>
          <cell r="K20">
            <v>6322.2103800000004</v>
          </cell>
          <cell r="L20">
            <v>16784</v>
          </cell>
          <cell r="M20">
            <v>737</v>
          </cell>
          <cell r="N20">
            <v>18091</v>
          </cell>
          <cell r="O20">
            <v>1005</v>
          </cell>
          <cell r="P20">
            <v>18483</v>
          </cell>
          <cell r="Q20">
            <v>1155</v>
          </cell>
          <cell r="R20">
            <v>53359</v>
          </cell>
          <cell r="S20">
            <v>2896</v>
          </cell>
          <cell r="T20">
            <v>45240</v>
          </cell>
          <cell r="U20">
            <v>2366.78962</v>
          </cell>
          <cell r="V20">
            <v>98598</v>
          </cell>
          <cell r="W20">
            <v>5262.7896199999996</v>
          </cell>
          <cell r="X20">
            <v>202154</v>
          </cell>
          <cell r="Y20">
            <v>10839</v>
          </cell>
          <cell r="Z20">
            <v>96323</v>
          </cell>
          <cell r="AA20">
            <v>4560</v>
          </cell>
          <cell r="AB20">
            <v>70727</v>
          </cell>
          <cell r="AC20">
            <v>3533</v>
          </cell>
          <cell r="AD20">
            <v>167050</v>
          </cell>
          <cell r="AE20">
            <v>8093</v>
          </cell>
          <cell r="AL20">
            <v>314563</v>
          </cell>
          <cell r="AM20">
            <v>22763.21038</v>
          </cell>
          <cell r="AN20">
            <v>0</v>
          </cell>
          <cell r="AO20">
            <v>0</v>
          </cell>
          <cell r="AP20">
            <v>120339</v>
          </cell>
          <cell r="AQ20">
            <v>6313.2103800000004</v>
          </cell>
          <cell r="AR20">
            <v>138431</v>
          </cell>
          <cell r="AS20">
            <v>7318.2103800000004</v>
          </cell>
          <cell r="AT20">
            <v>156914</v>
          </cell>
          <cell r="AU20">
            <v>8473.2103800000004</v>
          </cell>
          <cell r="AV20">
            <v>202154</v>
          </cell>
          <cell r="AW20">
            <v>10839</v>
          </cell>
        </row>
        <row r="21">
          <cell r="B21" t="str">
            <v xml:space="preserve">NEW WORK </v>
          </cell>
        </row>
        <row r="22">
          <cell r="B22" t="str">
            <v>NWWM</v>
          </cell>
          <cell r="C22" t="str">
            <v>WASTE MANAGEMENT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1334.5480000000002</v>
          </cell>
          <cell r="AC22">
            <v>142.07600000000002</v>
          </cell>
          <cell r="AD22">
            <v>1334.5480000000002</v>
          </cell>
          <cell r="AE22">
            <v>142.07600000000002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</row>
        <row r="23">
          <cell r="B23" t="str">
            <v>NWREM</v>
          </cell>
          <cell r="C23" t="str">
            <v>REMEDIATION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1875</v>
          </cell>
          <cell r="AA23">
            <v>187.5</v>
          </cell>
          <cell r="AB23">
            <v>1875</v>
          </cell>
          <cell r="AC23">
            <v>187.5</v>
          </cell>
          <cell r="AD23">
            <v>3750</v>
          </cell>
          <cell r="AE23">
            <v>375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</row>
        <row r="24">
          <cell r="B24" t="str">
            <v>NWUT</v>
          </cell>
          <cell r="C24" t="str">
            <v>UTILITIES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16569</v>
          </cell>
          <cell r="U24">
            <v>1314.75</v>
          </cell>
          <cell r="V24">
            <v>16569</v>
          </cell>
          <cell r="W24">
            <v>1314.75</v>
          </cell>
          <cell r="X24">
            <v>16569</v>
          </cell>
          <cell r="Y24">
            <v>1314.75</v>
          </cell>
          <cell r="Z24">
            <v>35450</v>
          </cell>
          <cell r="AA24">
            <v>3065.5</v>
          </cell>
          <cell r="AB24">
            <v>61415.07</v>
          </cell>
          <cell r="AC24">
            <v>3924.7174000000005</v>
          </cell>
          <cell r="AD24">
            <v>96865.07</v>
          </cell>
          <cell r="AE24">
            <v>6990.2173999999995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16569</v>
          </cell>
          <cell r="AW24">
            <v>1314.75</v>
          </cell>
        </row>
        <row r="25">
          <cell r="B25" t="str">
            <v>NWCOM</v>
          </cell>
          <cell r="C25" t="str">
            <v>TELECOMMUNICATIONS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</row>
        <row r="26">
          <cell r="B26" t="str">
            <v>TOTAL NEW WORK</v>
          </cell>
          <cell r="D26">
            <v>0</v>
          </cell>
          <cell r="E26">
            <v>0</v>
          </cell>
          <cell r="G26">
            <v>0</v>
          </cell>
          <cell r="H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16569</v>
          </cell>
          <cell r="U26">
            <v>1314.75</v>
          </cell>
          <cell r="V26">
            <v>16569</v>
          </cell>
          <cell r="W26">
            <v>1314.75</v>
          </cell>
          <cell r="X26">
            <v>16569</v>
          </cell>
          <cell r="Y26">
            <v>1314.75</v>
          </cell>
          <cell r="Z26">
            <v>37325</v>
          </cell>
          <cell r="AA26">
            <v>3253</v>
          </cell>
          <cell r="AB26">
            <v>64624.618000000002</v>
          </cell>
          <cell r="AC26">
            <v>4254.2934000000005</v>
          </cell>
          <cell r="AD26">
            <v>101949.618</v>
          </cell>
          <cell r="AE26">
            <v>7507.2933999999996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16569</v>
          </cell>
          <cell r="AW26">
            <v>1314.75</v>
          </cell>
        </row>
        <row r="27">
          <cell r="B27" t="str">
            <v>OPERATING RESULT</v>
          </cell>
          <cell r="D27">
            <v>1125181</v>
          </cell>
          <cell r="E27">
            <v>581503</v>
          </cell>
          <cell r="G27">
            <v>78616</v>
          </cell>
          <cell r="H27">
            <v>36538</v>
          </cell>
          <cell r="J27">
            <v>111642</v>
          </cell>
          <cell r="K27">
            <v>6322.2103800000004</v>
          </cell>
          <cell r="L27">
            <v>16784</v>
          </cell>
          <cell r="M27">
            <v>737</v>
          </cell>
          <cell r="N27">
            <v>18091</v>
          </cell>
          <cell r="O27">
            <v>1005</v>
          </cell>
          <cell r="P27">
            <v>18483</v>
          </cell>
          <cell r="Q27">
            <v>1155</v>
          </cell>
          <cell r="R27">
            <v>53359</v>
          </cell>
          <cell r="S27">
            <v>2896</v>
          </cell>
          <cell r="T27">
            <v>61809</v>
          </cell>
          <cell r="U27">
            <v>3681.53962</v>
          </cell>
          <cell r="V27">
            <v>115167</v>
          </cell>
          <cell r="W27">
            <v>6577.5396199999996</v>
          </cell>
          <cell r="X27">
            <v>218723</v>
          </cell>
          <cell r="Y27">
            <v>12153.75</v>
          </cell>
          <cell r="Z27">
            <v>133648</v>
          </cell>
          <cell r="AA27">
            <v>7813</v>
          </cell>
          <cell r="AB27">
            <v>135351.61800000002</v>
          </cell>
          <cell r="AC27">
            <v>7787.2934000000005</v>
          </cell>
          <cell r="AD27">
            <v>268999.61800000002</v>
          </cell>
          <cell r="AE27">
            <v>15600.293399999999</v>
          </cell>
          <cell r="AL27">
            <v>314563</v>
          </cell>
          <cell r="AM27">
            <v>22763.21038</v>
          </cell>
          <cell r="AN27">
            <v>0</v>
          </cell>
          <cell r="AO27">
            <v>0</v>
          </cell>
          <cell r="AP27">
            <v>120339</v>
          </cell>
          <cell r="AQ27">
            <v>6313.2103800000004</v>
          </cell>
          <cell r="AR27">
            <v>138431</v>
          </cell>
          <cell r="AS27">
            <v>7318.2103800000004</v>
          </cell>
          <cell r="AT27">
            <v>156914</v>
          </cell>
          <cell r="AU27">
            <v>8473.2103800000004</v>
          </cell>
          <cell r="AV27">
            <v>218723</v>
          </cell>
          <cell r="AW27">
            <v>12153.75</v>
          </cell>
        </row>
        <row r="28">
          <cell r="B28" t="str">
            <v>039090</v>
          </cell>
          <cell r="C28" t="str">
            <v>AREA OVERHEADS</v>
          </cell>
          <cell r="D28">
            <v>0</v>
          </cell>
          <cell r="E28">
            <v>0</v>
          </cell>
          <cell r="F28">
            <v>0.2151359779316962</v>
          </cell>
          <cell r="G28">
            <v>-6670.2</v>
          </cell>
          <cell r="H28">
            <v>-5235.2</v>
          </cell>
          <cell r="I28">
            <v>-1</v>
          </cell>
          <cell r="J28">
            <v>0</v>
          </cell>
          <cell r="K28">
            <v>-1435.0743299999999</v>
          </cell>
          <cell r="M28">
            <v>-270</v>
          </cell>
          <cell r="O28">
            <v>-270</v>
          </cell>
          <cell r="Q28">
            <v>-270</v>
          </cell>
          <cell r="R28">
            <v>0</v>
          </cell>
          <cell r="S28">
            <v>-810</v>
          </cell>
          <cell r="U28">
            <v>-825</v>
          </cell>
          <cell r="V28">
            <v>0</v>
          </cell>
          <cell r="W28">
            <v>-1635</v>
          </cell>
          <cell r="X28">
            <v>0</v>
          </cell>
          <cell r="Y28">
            <v>-3070.0743299999999</v>
          </cell>
          <cell r="AA28">
            <v>-1800</v>
          </cell>
          <cell r="AC28">
            <v>-1800</v>
          </cell>
          <cell r="AD28">
            <v>0</v>
          </cell>
          <cell r="AE28">
            <v>-3600</v>
          </cell>
          <cell r="AL28">
            <v>0</v>
          </cell>
          <cell r="AM28">
            <v>-0.1999999999998181</v>
          </cell>
          <cell r="AN28">
            <v>0</v>
          </cell>
          <cell r="AO28">
            <v>0</v>
          </cell>
          <cell r="AP28">
            <v>0</v>
          </cell>
          <cell r="AQ28">
            <v>-1705.0743299999999</v>
          </cell>
          <cell r="AR28">
            <v>0</v>
          </cell>
          <cell r="AS28">
            <v>-1975.0743299999999</v>
          </cell>
          <cell r="AT28">
            <v>0</v>
          </cell>
          <cell r="AU28">
            <v>-2245.0743299999999</v>
          </cell>
          <cell r="AV28">
            <v>0</v>
          </cell>
          <cell r="AW28">
            <v>-3070.0743299999999</v>
          </cell>
        </row>
        <row r="29">
          <cell r="B29">
            <v>39098</v>
          </cell>
          <cell r="C29" t="str">
            <v>TENDERS - VIC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R29">
            <v>0</v>
          </cell>
          <cell r="S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AD29">
            <v>0</v>
          </cell>
          <cell r="AE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</row>
        <row r="30">
          <cell r="B30" t="str">
            <v>039100</v>
          </cell>
          <cell r="C30" t="str">
            <v>EXCESS PROVISIONS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R30">
            <v>0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AD30">
            <v>0</v>
          </cell>
          <cell r="AE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</row>
        <row r="31">
          <cell r="B31" t="str">
            <v>039099</v>
          </cell>
          <cell r="C31" t="str">
            <v>PROVISION FOR MAINTENANCE</v>
          </cell>
          <cell r="D31">
            <v>0</v>
          </cell>
          <cell r="E31">
            <v>0</v>
          </cell>
          <cell r="F31">
            <v>1</v>
          </cell>
          <cell r="G31">
            <v>-150</v>
          </cell>
          <cell r="H31">
            <v>0</v>
          </cell>
          <cell r="I31">
            <v>-1</v>
          </cell>
          <cell r="J31">
            <v>0</v>
          </cell>
          <cell r="K31">
            <v>-150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-150</v>
          </cell>
          <cell r="AD31">
            <v>0</v>
          </cell>
          <cell r="AE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-150</v>
          </cell>
          <cell r="AR31">
            <v>0</v>
          </cell>
          <cell r="AS31">
            <v>-150</v>
          </cell>
          <cell r="AT31">
            <v>0</v>
          </cell>
          <cell r="AU31">
            <v>-150</v>
          </cell>
          <cell r="AV31">
            <v>0</v>
          </cell>
          <cell r="AW31">
            <v>-150</v>
          </cell>
        </row>
        <row r="32">
          <cell r="B32" t="str">
            <v>NET REVENUE/PROFIT</v>
          </cell>
          <cell r="D32">
            <v>1125181</v>
          </cell>
          <cell r="E32">
            <v>581503</v>
          </cell>
          <cell r="G32">
            <v>71795.8</v>
          </cell>
          <cell r="H32">
            <v>31302.799999999999</v>
          </cell>
          <cell r="J32">
            <v>111642</v>
          </cell>
          <cell r="K32">
            <v>4737.136050000001</v>
          </cell>
          <cell r="L32">
            <v>16784</v>
          </cell>
          <cell r="M32">
            <v>467</v>
          </cell>
          <cell r="N32">
            <v>18091</v>
          </cell>
          <cell r="O32">
            <v>735</v>
          </cell>
          <cell r="P32">
            <v>18483</v>
          </cell>
          <cell r="Q32">
            <v>885</v>
          </cell>
          <cell r="R32">
            <v>53359</v>
          </cell>
          <cell r="S32">
            <v>2086</v>
          </cell>
          <cell r="T32">
            <v>61809</v>
          </cell>
          <cell r="U32">
            <v>2856.53962</v>
          </cell>
          <cell r="V32">
            <v>115167</v>
          </cell>
          <cell r="W32">
            <v>4942.5396199999996</v>
          </cell>
          <cell r="X32">
            <v>218723</v>
          </cell>
          <cell r="Y32">
            <v>8933.6756700000005</v>
          </cell>
          <cell r="Z32">
            <v>133648</v>
          </cell>
          <cell r="AA32">
            <v>6013</v>
          </cell>
          <cell r="AB32">
            <v>135351.61800000002</v>
          </cell>
          <cell r="AC32">
            <v>5987.2934000000005</v>
          </cell>
          <cell r="AD32">
            <v>268999.61800000002</v>
          </cell>
          <cell r="AE32">
            <v>12000.293399999999</v>
          </cell>
          <cell r="AL32">
            <v>314563</v>
          </cell>
          <cell r="AM32">
            <v>22763.01038</v>
          </cell>
          <cell r="AN32">
            <v>0</v>
          </cell>
          <cell r="AO32">
            <v>0</v>
          </cell>
          <cell r="AP32">
            <v>120339</v>
          </cell>
          <cell r="AQ32">
            <v>4458.136050000001</v>
          </cell>
          <cell r="AR32">
            <v>138431</v>
          </cell>
          <cell r="AS32">
            <v>5193.136050000001</v>
          </cell>
          <cell r="AT32">
            <v>156914</v>
          </cell>
          <cell r="AU32">
            <v>6078.136050000001</v>
          </cell>
          <cell r="AV32">
            <v>218723</v>
          </cell>
          <cell r="AW32">
            <v>8933.6756700000005</v>
          </cell>
        </row>
        <row r="34">
          <cell r="B34" t="str">
            <v>R &amp; D CREDIT</v>
          </cell>
        </row>
        <row r="35">
          <cell r="B35" t="str">
            <v>POSITION INCLUDING R&amp;D CREDIT</v>
          </cell>
        </row>
        <row r="37">
          <cell r="B37" t="str">
            <v>WASTE MANAGEMENT</v>
          </cell>
        </row>
        <row r="38">
          <cell r="B38" t="str">
            <v>MELBOURNE C &amp; R</v>
          </cell>
        </row>
        <row r="39">
          <cell r="B39" t="str">
            <v>032035</v>
          </cell>
          <cell r="C39" t="str">
            <v>MELBOURNE BULKLIFT</v>
          </cell>
          <cell r="D39">
            <v>12308804.244901115</v>
          </cell>
          <cell r="E39">
            <v>3838675.3849011157</v>
          </cell>
          <cell r="F39">
            <v>0.69814803742572396</v>
          </cell>
          <cell r="G39">
            <v>1261402.6817039151</v>
          </cell>
          <cell r="H39">
            <v>503995.54170391511</v>
          </cell>
          <cell r="I39">
            <v>0.11418093879252959</v>
          </cell>
          <cell r="J39">
            <v>1274647.01</v>
          </cell>
          <cell r="K39">
            <v>160621.97</v>
          </cell>
          <cell r="L39">
            <v>223404.69092288881</v>
          </cell>
          <cell r="M39">
            <v>29626.359967586144</v>
          </cell>
          <cell r="N39">
            <v>203978.19606002897</v>
          </cell>
          <cell r="O39">
            <v>27137.11127475258</v>
          </cell>
          <cell r="P39">
            <v>203978.19606002897</v>
          </cell>
          <cell r="Q39">
            <v>27137.11127475258</v>
          </cell>
          <cell r="R39">
            <v>631361.08304294676</v>
          </cell>
          <cell r="S39">
            <v>83900.582517091301</v>
          </cell>
          <cell r="T39">
            <v>631361.08304294676</v>
          </cell>
          <cell r="U39">
            <v>83900.582517091272</v>
          </cell>
          <cell r="V39">
            <v>1262722.1660858935</v>
          </cell>
          <cell r="W39">
            <v>167801.16503418257</v>
          </cell>
          <cell r="X39">
            <v>2537369.1760858935</v>
          </cell>
          <cell r="Y39">
            <v>328423.13503418257</v>
          </cell>
          <cell r="Z39">
            <v>1287976.6094076114</v>
          </cell>
          <cell r="AA39">
            <v>168097.18833486622</v>
          </cell>
          <cell r="AB39">
            <v>1287976.6094076114</v>
          </cell>
          <cell r="AC39">
            <v>168097.18833486622</v>
          </cell>
          <cell r="AD39">
            <v>2575953.2188152228</v>
          </cell>
          <cell r="AE39">
            <v>336194.37666973245</v>
          </cell>
          <cell r="AF39" t="e">
            <v>#N/A</v>
          </cell>
          <cell r="AH39" t="e">
            <v>#N/A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1498051.7009228887</v>
          </cell>
          <cell r="AQ39">
            <v>190248.32996758615</v>
          </cell>
          <cell r="AR39">
            <v>1702029.8969829176</v>
          </cell>
          <cell r="AS39">
            <v>217385.44124233874</v>
          </cell>
          <cell r="AT39">
            <v>1906008.0930429464</v>
          </cell>
          <cell r="AU39">
            <v>244522.55251709133</v>
          </cell>
          <cell r="AV39">
            <v>2537369.1760858935</v>
          </cell>
          <cell r="AW39">
            <v>328423.13503418257</v>
          </cell>
        </row>
        <row r="40">
          <cell r="B40" t="str">
            <v>032045</v>
          </cell>
          <cell r="C40" t="str">
            <v>MELBOURNE TRANSFER STATION</v>
          </cell>
          <cell r="D40">
            <v>3198250.3057895857</v>
          </cell>
          <cell r="E40">
            <v>997852.28578958567</v>
          </cell>
          <cell r="F40">
            <v>0.71642014626021078</v>
          </cell>
          <cell r="G40">
            <v>1079136.6572901148</v>
          </cell>
          <cell r="H40">
            <v>396914.34729011473</v>
          </cell>
          <cell r="I40">
            <v>0.5092396333034066</v>
          </cell>
          <cell r="J40">
            <v>391062.23</v>
          </cell>
          <cell r="K40">
            <v>162908.35</v>
          </cell>
          <cell r="L40">
            <v>69779.88012514585</v>
          </cell>
          <cell r="M40">
            <v>27756.248062245799</v>
          </cell>
          <cell r="N40">
            <v>63712.064462089693</v>
          </cell>
          <cell r="O40">
            <v>25342.661274224414</v>
          </cell>
          <cell r="P40">
            <v>63712.064462089693</v>
          </cell>
          <cell r="Q40">
            <v>25342.661274224414</v>
          </cell>
          <cell r="R40">
            <v>197204.00904932525</v>
          </cell>
          <cell r="S40">
            <v>78441.570610694631</v>
          </cell>
          <cell r="T40">
            <v>197204.00904932525</v>
          </cell>
          <cell r="U40">
            <v>78441.570610694602</v>
          </cell>
          <cell r="V40">
            <v>394408.0180986505</v>
          </cell>
          <cell r="W40">
            <v>156883.14122138923</v>
          </cell>
          <cell r="X40">
            <v>785470.24809865048</v>
          </cell>
          <cell r="Y40">
            <v>319791.49122138927</v>
          </cell>
          <cell r="Z40">
            <v>402296.17846062349</v>
          </cell>
          <cell r="AA40">
            <v>160020.80404581703</v>
          </cell>
          <cell r="AB40">
            <v>201148.08923031174</v>
          </cell>
          <cell r="AC40">
            <v>80010.402022908514</v>
          </cell>
          <cell r="AD40">
            <v>603444.26769093517</v>
          </cell>
          <cell r="AE40">
            <v>240031.20606872556</v>
          </cell>
          <cell r="AF40" t="e">
            <v>#N/A</v>
          </cell>
          <cell r="AG40">
            <v>39905</v>
          </cell>
          <cell r="AH40" t="e">
            <v>#N/A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460842.11012514582</v>
          </cell>
          <cell r="AQ40">
            <v>190664.59806224582</v>
          </cell>
          <cell r="AR40">
            <v>524554.17458723555</v>
          </cell>
          <cell r="AS40">
            <v>216007.25933647022</v>
          </cell>
          <cell r="AT40">
            <v>588266.23904932523</v>
          </cell>
          <cell r="AU40">
            <v>241349.92061069462</v>
          </cell>
          <cell r="AV40">
            <v>785470.24809865048</v>
          </cell>
          <cell r="AW40">
            <v>319791.49122138927</v>
          </cell>
        </row>
        <row r="41">
          <cell r="B41" t="str">
            <v>032049</v>
          </cell>
          <cell r="C41" t="str">
            <v>MELBOURNE WORKSHOP</v>
          </cell>
          <cell r="D41">
            <v>219371.37</v>
          </cell>
          <cell r="E41">
            <v>0</v>
          </cell>
          <cell r="F41">
            <v>1</v>
          </cell>
          <cell r="G41">
            <v>-120486.85</v>
          </cell>
          <cell r="H41">
            <v>0</v>
          </cell>
          <cell r="I41">
            <v>-0.35452092346037717</v>
          </cell>
          <cell r="J41">
            <v>0</v>
          </cell>
          <cell r="K41">
            <v>0</v>
          </cell>
          <cell r="L41">
            <v>0</v>
          </cell>
          <cell r="M41">
            <v>-3.865352482534945E-12</v>
          </cell>
          <cell r="N41">
            <v>0</v>
          </cell>
          <cell r="O41">
            <v>-2.1373125491663814E-11</v>
          </cell>
          <cell r="P41">
            <v>0</v>
          </cell>
          <cell r="Q41">
            <v>-2.1373125491663814E-11</v>
          </cell>
          <cell r="R41">
            <v>0</v>
          </cell>
          <cell r="S41">
            <v>-4.6611603465862572E-11</v>
          </cell>
          <cell r="T41">
            <v>0</v>
          </cell>
          <cell r="U41">
            <v>-1.9099388737231493E-11</v>
          </cell>
          <cell r="V41">
            <v>0</v>
          </cell>
          <cell r="W41">
            <v>-6.5710992203094065E-11</v>
          </cell>
          <cell r="X41">
            <v>0</v>
          </cell>
          <cell r="Y41">
            <v>-6.5710992203094065E-11</v>
          </cell>
          <cell r="Z41">
            <v>0</v>
          </cell>
          <cell r="AA41">
            <v>-8.3143731899326671E-11</v>
          </cell>
          <cell r="AB41">
            <v>0</v>
          </cell>
          <cell r="AC41">
            <v>-8.3143731899326671E-11</v>
          </cell>
          <cell r="AD41">
            <v>0</v>
          </cell>
          <cell r="AE41">
            <v>-1.6628746379865334E-10</v>
          </cell>
          <cell r="AF41" t="e">
            <v>#N/A</v>
          </cell>
          <cell r="AH41" t="e">
            <v>#N/A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2.3199845600174741E-10</v>
          </cell>
          <cell r="AN41">
            <v>0</v>
          </cell>
          <cell r="AO41">
            <v>0</v>
          </cell>
          <cell r="AP41">
            <v>0</v>
          </cell>
          <cell r="AQ41">
            <v>-3.865352482534945E-12</v>
          </cell>
          <cell r="AR41">
            <v>0</v>
          </cell>
          <cell r="AS41">
            <v>-2.5238477974198759E-11</v>
          </cell>
          <cell r="AT41">
            <v>0</v>
          </cell>
          <cell r="AU41">
            <v>-4.6611603465862572E-11</v>
          </cell>
          <cell r="AV41">
            <v>0</v>
          </cell>
          <cell r="AW41">
            <v>-6.5710992203094065E-11</v>
          </cell>
        </row>
        <row r="42">
          <cell r="B42" t="str">
            <v>032701</v>
          </cell>
          <cell r="C42" t="str">
            <v>WHITEHORSE DOMESTIC</v>
          </cell>
          <cell r="D42">
            <v>13242599.966995729</v>
          </cell>
          <cell r="E42">
            <v>2060827.3969957288</v>
          </cell>
          <cell r="F42">
            <v>0.84121576500376627</v>
          </cell>
          <cell r="G42">
            <v>994234.69776676991</v>
          </cell>
          <cell r="H42">
            <v>115980.08776676981</v>
          </cell>
          <cell r="I42">
            <v>8.1172848450604504E-2</v>
          </cell>
          <cell r="J42">
            <v>1021944.64</v>
          </cell>
          <cell r="K42">
            <v>50476.95000000007</v>
          </cell>
          <cell r="L42">
            <v>180498.97231874237</v>
          </cell>
          <cell r="M42">
            <v>10158.195044309556</v>
          </cell>
          <cell r="N42">
            <v>164803.40950841695</v>
          </cell>
          <cell r="O42">
            <v>9274.8737361087988</v>
          </cell>
          <cell r="P42">
            <v>164803.40950841695</v>
          </cell>
          <cell r="Q42">
            <v>9274.8737361087988</v>
          </cell>
          <cell r="R42">
            <v>510105.79133557627</v>
          </cell>
          <cell r="S42">
            <v>28707.942516527153</v>
          </cell>
          <cell r="T42">
            <v>510105.79133557633</v>
          </cell>
          <cell r="U42">
            <v>28707.942516527215</v>
          </cell>
          <cell r="V42">
            <v>1020211.5826711527</v>
          </cell>
          <cell r="W42">
            <v>57415.885033054365</v>
          </cell>
          <cell r="X42">
            <v>2042156.2226711526</v>
          </cell>
          <cell r="Y42">
            <v>107892.83503305443</v>
          </cell>
          <cell r="Z42">
            <v>1040615.8143245756</v>
          </cell>
          <cell r="AA42">
            <v>58564.202733715494</v>
          </cell>
          <cell r="AB42">
            <v>0</v>
          </cell>
          <cell r="AC42">
            <v>0</v>
          </cell>
          <cell r="AD42">
            <v>1040615.8143245756</v>
          </cell>
          <cell r="AE42">
            <v>58564.202733715494</v>
          </cell>
          <cell r="AF42" t="e">
            <v>#N/A</v>
          </cell>
          <cell r="AG42">
            <v>39819</v>
          </cell>
          <cell r="AH42" t="e">
            <v>#N/A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1202443.6123187423</v>
          </cell>
          <cell r="AQ42">
            <v>60635.145044309626</v>
          </cell>
          <cell r="AR42">
            <v>1367247.0218271592</v>
          </cell>
          <cell r="AS42">
            <v>69910.018780418424</v>
          </cell>
          <cell r="AT42">
            <v>1532050.4313355761</v>
          </cell>
          <cell r="AU42">
            <v>79184.892516527223</v>
          </cell>
          <cell r="AV42">
            <v>2042156.2226711526</v>
          </cell>
          <cell r="AW42">
            <v>107892.83503305443</v>
          </cell>
        </row>
        <row r="43">
          <cell r="B43" t="str">
            <v>032707</v>
          </cell>
          <cell r="C43" t="str">
            <v>WHITEHORSE GREEN WASTE</v>
          </cell>
          <cell r="D43">
            <v>3733999</v>
          </cell>
          <cell r="E43">
            <v>3360653.42</v>
          </cell>
          <cell r="F43">
            <v>9.8064303281683723E-2</v>
          </cell>
          <cell r="G43">
            <v>381604</v>
          </cell>
          <cell r="H43">
            <v>337008.7</v>
          </cell>
          <cell r="I43">
            <v>0.11383026164876156</v>
          </cell>
          <cell r="J43">
            <v>373345.58</v>
          </cell>
          <cell r="K43">
            <v>44595.3</v>
          </cell>
          <cell r="L43">
            <v>65317.544933727797</v>
          </cell>
          <cell r="M43">
            <v>6986.649756213018</v>
          </cell>
          <cell r="N43">
            <v>59637.758417751473</v>
          </cell>
          <cell r="O43">
            <v>6118.2454295857942</v>
          </cell>
          <cell r="P43">
            <v>59637.758417751473</v>
          </cell>
          <cell r="Q43">
            <v>6118.2454295857942</v>
          </cell>
          <cell r="R43">
            <v>184593.06176923076</v>
          </cell>
          <cell r="S43">
            <v>19223.140615384607</v>
          </cell>
          <cell r="T43">
            <v>184593.06176923076</v>
          </cell>
          <cell r="U43">
            <v>19223.140615384615</v>
          </cell>
          <cell r="V43">
            <v>369186.12353846151</v>
          </cell>
          <cell r="W43">
            <v>38446.281230769222</v>
          </cell>
          <cell r="X43">
            <v>742531.70353846159</v>
          </cell>
          <cell r="Y43">
            <v>83041.581230769225</v>
          </cell>
          <cell r="Z43">
            <v>376569.84600923082</v>
          </cell>
          <cell r="AA43">
            <v>39754.06085076923</v>
          </cell>
          <cell r="AB43">
            <v>376569.84600923082</v>
          </cell>
          <cell r="AC43">
            <v>39754.06085076923</v>
          </cell>
          <cell r="AD43">
            <v>753139.69201846165</v>
          </cell>
          <cell r="AE43">
            <v>79508.121701538461</v>
          </cell>
          <cell r="AF43" t="e">
            <v>#N/A</v>
          </cell>
          <cell r="AG43">
            <v>41090</v>
          </cell>
          <cell r="AH43" t="e">
            <v>#N/A</v>
          </cell>
          <cell r="AI43" t="e">
            <v>#N/A</v>
          </cell>
          <cell r="AJ43">
            <v>6085</v>
          </cell>
          <cell r="AK43">
            <v>238524</v>
          </cell>
          <cell r="AL43">
            <v>2238327.604443077</v>
          </cell>
          <cell r="AM43">
            <v>219054.29706769233</v>
          </cell>
          <cell r="AN43">
            <v>0</v>
          </cell>
          <cell r="AO43">
            <v>0</v>
          </cell>
          <cell r="AP43">
            <v>438663.12493372778</v>
          </cell>
          <cell r="AQ43">
            <v>51581.94975621302</v>
          </cell>
          <cell r="AR43">
            <v>498300.88335147925</v>
          </cell>
          <cell r="AS43">
            <v>57700.195185798817</v>
          </cell>
          <cell r="AT43">
            <v>557938.64176923071</v>
          </cell>
          <cell r="AU43">
            <v>63818.440615384614</v>
          </cell>
          <cell r="AV43">
            <v>742531.70353846159</v>
          </cell>
          <cell r="AW43">
            <v>83041.581230769225</v>
          </cell>
        </row>
        <row r="44">
          <cell r="B44" t="str">
            <v>032760</v>
          </cell>
          <cell r="C44" t="str">
            <v>WHITEHORSE LITTER</v>
          </cell>
          <cell r="D44">
            <v>1127772.8137180333</v>
          </cell>
          <cell r="E44">
            <v>170856.62371803331</v>
          </cell>
          <cell r="F44">
            <v>0.84171728038422999</v>
          </cell>
          <cell r="G44">
            <v>83469.446679225075</v>
          </cell>
          <cell r="H44">
            <v>5561.4466792250751</v>
          </cell>
          <cell r="I44">
            <v>7.9928351582268908E-2</v>
          </cell>
          <cell r="J44">
            <v>87726.73</v>
          </cell>
          <cell r="K44">
            <v>5026.53</v>
          </cell>
          <cell r="L44">
            <v>14964.593851922185</v>
          </cell>
          <cell r="M44">
            <v>487.10309833273737</v>
          </cell>
          <cell r="N44">
            <v>13663.324821320257</v>
          </cell>
          <cell r="O44">
            <v>444.7463071733676</v>
          </cell>
          <cell r="P44">
            <v>13663.324821320257</v>
          </cell>
          <cell r="Q44">
            <v>444.7463071733676</v>
          </cell>
          <cell r="R44">
            <v>42291.243494562703</v>
          </cell>
          <cell r="S44">
            <v>1376.5957126794726</v>
          </cell>
          <cell r="T44">
            <v>42291.243494562703</v>
          </cell>
          <cell r="U44">
            <v>1376.5957126794742</v>
          </cell>
          <cell r="V44">
            <v>84582.486989125406</v>
          </cell>
          <cell r="W44">
            <v>2753.1914253589466</v>
          </cell>
          <cell r="X44">
            <v>172309.21698912542</v>
          </cell>
          <cell r="Y44">
            <v>7779.7214253589464</v>
          </cell>
          <cell r="Z44">
            <v>86274.136728907921</v>
          </cell>
          <cell r="AA44">
            <v>2808.2552538661303</v>
          </cell>
          <cell r="AB44">
            <v>0</v>
          </cell>
          <cell r="AC44">
            <v>0</v>
          </cell>
          <cell r="AD44">
            <v>86274.136728907921</v>
          </cell>
          <cell r="AE44">
            <v>2808.2552538661303</v>
          </cell>
          <cell r="AF44" t="e">
            <v>#N/A</v>
          </cell>
          <cell r="AG44">
            <v>39819</v>
          </cell>
          <cell r="AH44" t="e">
            <v>#N/A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102691.32385192218</v>
          </cell>
          <cell r="AQ44">
            <v>5513.6330983327371</v>
          </cell>
          <cell r="AR44">
            <v>116354.64867324244</v>
          </cell>
          <cell r="AS44">
            <v>5958.3794055061044</v>
          </cell>
          <cell r="AT44">
            <v>130017.9734945627</v>
          </cell>
          <cell r="AU44">
            <v>6403.1257126794717</v>
          </cell>
          <cell r="AV44">
            <v>172309.21698912542</v>
          </cell>
          <cell r="AW44">
            <v>7779.7214253589464</v>
          </cell>
        </row>
        <row r="45">
          <cell r="B45" t="str">
            <v>032801</v>
          </cell>
          <cell r="C45" t="str">
            <v>CASEY DOMESTIC</v>
          </cell>
          <cell r="D45">
            <v>16650000</v>
          </cell>
          <cell r="E45">
            <v>4318166.34</v>
          </cell>
          <cell r="F45">
            <v>0.73098576798654236</v>
          </cell>
          <cell r="G45">
            <v>1194000</v>
          </cell>
          <cell r="H45">
            <v>160282.37</v>
          </cell>
          <cell r="I45">
            <v>7.7251552795031056E-2</v>
          </cell>
          <cell r="J45">
            <v>1368485.68</v>
          </cell>
          <cell r="K45">
            <v>45548.03</v>
          </cell>
          <cell r="L45">
            <v>239906.42510117267</v>
          </cell>
          <cell r="M45">
            <v>9074.1684278515386</v>
          </cell>
          <cell r="N45">
            <v>218157.6124836794</v>
          </cell>
          <cell r="O45">
            <v>7075.9868254295907</v>
          </cell>
          <cell r="P45">
            <v>218157.6124836794</v>
          </cell>
          <cell r="Q45">
            <v>7075.9868254295907</v>
          </cell>
          <cell r="R45">
            <v>676221.65006853151</v>
          </cell>
          <cell r="S45">
            <v>23226.14207871072</v>
          </cell>
          <cell r="T45">
            <v>676221.65006853151</v>
          </cell>
          <cell r="U45">
            <v>23226.142078710691</v>
          </cell>
          <cell r="V45">
            <v>1352443.300137063</v>
          </cell>
          <cell r="W45">
            <v>46452.284157421411</v>
          </cell>
          <cell r="X45">
            <v>2720928.9801370632</v>
          </cell>
          <cell r="Y45">
            <v>92000.31415742141</v>
          </cell>
          <cell r="Z45">
            <v>1379492.1661398043</v>
          </cell>
          <cell r="AA45">
            <v>48988.42144057012</v>
          </cell>
          <cell r="AB45">
            <v>1379492.1661398043</v>
          </cell>
          <cell r="AC45">
            <v>48988.42144057012</v>
          </cell>
          <cell r="AD45">
            <v>2758984.3322796086</v>
          </cell>
          <cell r="AE45">
            <v>97976.842881140241</v>
          </cell>
          <cell r="AF45" t="e">
            <v>#N/A</v>
          </cell>
          <cell r="AG45">
            <v>40029</v>
          </cell>
          <cell r="AH45" t="e">
            <v>#N/A</v>
          </cell>
          <cell r="AI45" t="e">
            <v>#N/A</v>
          </cell>
          <cell r="AJ45">
            <v>15853</v>
          </cell>
          <cell r="AK45">
            <v>8165</v>
          </cell>
          <cell r="AL45">
            <v>206738.70758332824</v>
          </cell>
          <cell r="AM45">
            <v>15853.242961438344</v>
          </cell>
          <cell r="AN45">
            <v>0</v>
          </cell>
          <cell r="AO45">
            <v>0</v>
          </cell>
          <cell r="AP45">
            <v>1608392.1051011726</v>
          </cell>
          <cell r="AQ45">
            <v>54622.198427851537</v>
          </cell>
          <cell r="AR45">
            <v>1826549.7175848519</v>
          </cell>
          <cell r="AS45">
            <v>61698.185253281132</v>
          </cell>
          <cell r="AT45">
            <v>2044707.3300685312</v>
          </cell>
          <cell r="AU45">
            <v>68774.172078710719</v>
          </cell>
          <cell r="AV45">
            <v>2720928.9801370632</v>
          </cell>
          <cell r="AW45">
            <v>92000.31415742141</v>
          </cell>
        </row>
        <row r="46">
          <cell r="B46" t="str">
            <v>032804</v>
          </cell>
          <cell r="C46" t="str">
            <v>CASEY RECYCLING</v>
          </cell>
          <cell r="D46">
            <v>8683000</v>
          </cell>
          <cell r="E46">
            <v>2272789.85</v>
          </cell>
          <cell r="F46">
            <v>0.7309931735159817</v>
          </cell>
          <cell r="G46">
            <v>799000</v>
          </cell>
          <cell r="H46">
            <v>151940.03</v>
          </cell>
          <cell r="I46">
            <v>0.10134449518011161</v>
          </cell>
          <cell r="J46">
            <v>716371.29</v>
          </cell>
          <cell r="K46">
            <v>47777.919999999998</v>
          </cell>
          <cell r="L46">
            <v>126795.44509540459</v>
          </cell>
          <cell r="M46">
            <v>9323.1923641692229</v>
          </cell>
          <cell r="N46">
            <v>114438.676826239</v>
          </cell>
          <cell r="O46">
            <v>7181.4025933719167</v>
          </cell>
          <cell r="P46">
            <v>114438.676826239</v>
          </cell>
          <cell r="Q46">
            <v>7181.4025933719167</v>
          </cell>
          <cell r="R46">
            <v>355672.7987478826</v>
          </cell>
          <cell r="S46">
            <v>23685.997550913056</v>
          </cell>
          <cell r="T46">
            <v>355672.79874788265</v>
          </cell>
          <cell r="U46">
            <v>23685.997550913129</v>
          </cell>
          <cell r="V46">
            <v>711345.59749576519</v>
          </cell>
          <cell r="W46">
            <v>47371.995101826185</v>
          </cell>
          <cell r="X46">
            <v>1427716.8874957652</v>
          </cell>
          <cell r="Y46">
            <v>95149.915101826191</v>
          </cell>
          <cell r="Z46">
            <v>725572.50944568065</v>
          </cell>
          <cell r="AA46">
            <v>48319.435003862687</v>
          </cell>
          <cell r="AB46">
            <v>725572.50944568065</v>
          </cell>
          <cell r="AC46">
            <v>48319.435003862687</v>
          </cell>
          <cell r="AD46">
            <v>1451145.0188913613</v>
          </cell>
          <cell r="AE46">
            <v>96638.870007725374</v>
          </cell>
          <cell r="AF46" t="e">
            <v>#N/A</v>
          </cell>
          <cell r="AG46">
            <v>40029</v>
          </cell>
          <cell r="AH46" t="e">
            <v>#N/A</v>
          </cell>
          <cell r="AI46" t="e">
            <v>#N/A</v>
          </cell>
          <cell r="AJ46">
            <v>7929</v>
          </cell>
          <cell r="AK46">
            <v>8053</v>
          </cell>
          <cell r="AL46">
            <v>110299.23361287359</v>
          </cell>
          <cell r="AM46">
            <v>7929.1648904484464</v>
          </cell>
          <cell r="AN46">
            <v>0</v>
          </cell>
          <cell r="AO46">
            <v>0</v>
          </cell>
          <cell r="AP46">
            <v>843166.73509540467</v>
          </cell>
          <cell r="AQ46">
            <v>57101.112364169225</v>
          </cell>
          <cell r="AR46">
            <v>957605.41192164365</v>
          </cell>
          <cell r="AS46">
            <v>64282.514957541141</v>
          </cell>
          <cell r="AT46">
            <v>1072044.0887478827</v>
          </cell>
          <cell r="AU46">
            <v>71463.917550913058</v>
          </cell>
          <cell r="AV46">
            <v>1427716.8874957652</v>
          </cell>
          <cell r="AW46">
            <v>95149.915101826191</v>
          </cell>
        </row>
        <row r="47">
          <cell r="B47" t="str">
            <v>032805</v>
          </cell>
          <cell r="C47" t="str">
            <v>CASEY MRF</v>
          </cell>
          <cell r="D47">
            <v>24473000</v>
          </cell>
          <cell r="E47">
            <v>7336644.5</v>
          </cell>
          <cell r="F47">
            <v>0.69823064900922105</v>
          </cell>
          <cell r="G47">
            <v>-1012000</v>
          </cell>
          <cell r="H47">
            <v>-353947.41</v>
          </cell>
          <cell r="I47">
            <v>-3.9709633117520113E-2</v>
          </cell>
          <cell r="J47">
            <v>2333518.02</v>
          </cell>
          <cell r="K47">
            <v>-138722.12</v>
          </cell>
          <cell r="L47">
            <v>410070.07834895415</v>
          </cell>
          <cell r="M47">
            <v>-14379.380230579975</v>
          </cell>
          <cell r="N47">
            <v>369876.80457947997</v>
          </cell>
          <cell r="O47">
            <v>-20355.309775746984</v>
          </cell>
          <cell r="P47">
            <v>369876.80457947997</v>
          </cell>
          <cell r="Q47">
            <v>-20355.309775746984</v>
          </cell>
          <cell r="R47">
            <v>1149823.6875079141</v>
          </cell>
          <cell r="S47">
            <v>-55089.999782073945</v>
          </cell>
          <cell r="T47">
            <v>1149823.6875079141</v>
          </cell>
          <cell r="U47">
            <v>-55089.999782073879</v>
          </cell>
          <cell r="V47">
            <v>2299647.3750158283</v>
          </cell>
          <cell r="W47">
            <v>-110179.99956414782</v>
          </cell>
          <cell r="X47">
            <v>4633165.3950158283</v>
          </cell>
          <cell r="Y47">
            <v>-248902.11956414781</v>
          </cell>
          <cell r="Z47">
            <v>2345640.3225161447</v>
          </cell>
          <cell r="AA47">
            <v>-120275.25795543073</v>
          </cell>
          <cell r="AB47">
            <v>2345640.3225161447</v>
          </cell>
          <cell r="AC47">
            <v>-120275.25795543073</v>
          </cell>
          <cell r="AD47">
            <v>4691280.6450322894</v>
          </cell>
          <cell r="AE47">
            <v>-240550.51591086146</v>
          </cell>
          <cell r="AF47" t="e">
            <v>#N/A</v>
          </cell>
          <cell r="AG47">
            <v>40029</v>
          </cell>
          <cell r="AH47" t="e">
            <v>#N/A</v>
          </cell>
          <cell r="AI47" t="e">
            <v>#N/A</v>
          </cell>
          <cell r="AJ47">
            <v>-3217</v>
          </cell>
          <cell r="AK47">
            <v>-20046</v>
          </cell>
          <cell r="AL47">
            <v>345716.4799518818</v>
          </cell>
          <cell r="AM47">
            <v>-3216.8945249906974</v>
          </cell>
          <cell r="AN47">
            <v>0</v>
          </cell>
          <cell r="AO47">
            <v>0</v>
          </cell>
          <cell r="AP47">
            <v>2743588.0983489542</v>
          </cell>
          <cell r="AQ47">
            <v>-153101.50023057996</v>
          </cell>
          <cell r="AR47">
            <v>3113464.9029284343</v>
          </cell>
          <cell r="AS47">
            <v>-173456.81000632694</v>
          </cell>
          <cell r="AT47">
            <v>3483341.7075079144</v>
          </cell>
          <cell r="AU47">
            <v>-193812.11978207392</v>
          </cell>
          <cell r="AV47">
            <v>4633165.3950158283</v>
          </cell>
          <cell r="AW47">
            <v>-248902.11956414781</v>
          </cell>
        </row>
        <row r="48">
          <cell r="B48" t="str">
            <v>032807</v>
          </cell>
          <cell r="C48" t="str">
            <v>CASEY GREENWASTE - NEW</v>
          </cell>
          <cell r="D48">
            <v>8806750</v>
          </cell>
          <cell r="E48">
            <v>2892486.04</v>
          </cell>
          <cell r="F48">
            <v>0.67188267026019588</v>
          </cell>
          <cell r="G48">
            <v>1541840</v>
          </cell>
          <cell r="H48">
            <v>508743.17</v>
          </cell>
          <cell r="I48">
            <v>0.21223112192718149</v>
          </cell>
          <cell r="J48">
            <v>905268.03</v>
          </cell>
          <cell r="K48">
            <v>154005.59</v>
          </cell>
          <cell r="L48">
            <v>159344.50904286985</v>
          </cell>
          <cell r="M48">
            <v>27837.579620047549</v>
          </cell>
          <cell r="N48">
            <v>145488.46477827249</v>
          </cell>
          <cell r="O48">
            <v>25416.920522652115</v>
          </cell>
          <cell r="P48">
            <v>145488.46477827249</v>
          </cell>
          <cell r="Q48">
            <v>25416.920522652115</v>
          </cell>
          <cell r="R48">
            <v>450321.43859941483</v>
          </cell>
          <cell r="S48">
            <v>78671.420665351776</v>
          </cell>
          <cell r="T48">
            <v>450321.43859941483</v>
          </cell>
          <cell r="U48">
            <v>78671.42066535179</v>
          </cell>
          <cell r="V48">
            <v>900642.87719882966</v>
          </cell>
          <cell r="W48">
            <v>157342.84133070358</v>
          </cell>
          <cell r="X48">
            <v>1805910.9071988296</v>
          </cell>
          <cell r="Y48">
            <v>311348.43133070355</v>
          </cell>
          <cell r="Z48">
            <v>918655.73474280618</v>
          </cell>
          <cell r="AA48">
            <v>160489.69815731759</v>
          </cell>
          <cell r="AB48">
            <v>918655.73474280618</v>
          </cell>
          <cell r="AC48">
            <v>160489.69815731759</v>
          </cell>
          <cell r="AD48">
            <v>1837311.4694856124</v>
          </cell>
          <cell r="AE48">
            <v>320979.39631463517</v>
          </cell>
          <cell r="AF48" t="e">
            <v>#N/A</v>
          </cell>
          <cell r="AG48">
            <v>40029</v>
          </cell>
          <cell r="AH48" t="e">
            <v>#N/A</v>
          </cell>
          <cell r="AI48" t="e">
            <v>#N/A</v>
          </cell>
          <cell r="AJ48">
            <v>30421</v>
          </cell>
          <cell r="AK48">
            <v>26748</v>
          </cell>
          <cell r="AL48">
            <v>154531.6933155579</v>
          </cell>
          <cell r="AM48">
            <v>30420.932354661229</v>
          </cell>
          <cell r="AN48">
            <v>0</v>
          </cell>
          <cell r="AO48">
            <v>0</v>
          </cell>
          <cell r="AP48">
            <v>1064612.5390428698</v>
          </cell>
          <cell r="AQ48">
            <v>181843.16962004756</v>
          </cell>
          <cell r="AR48">
            <v>1210101.0038211423</v>
          </cell>
          <cell r="AS48">
            <v>207260.09014269966</v>
          </cell>
          <cell r="AT48">
            <v>1355589.4685994147</v>
          </cell>
          <cell r="AU48">
            <v>232677.01066535176</v>
          </cell>
          <cell r="AV48">
            <v>1805910.9071988296</v>
          </cell>
          <cell r="AW48">
            <v>311348.43133070355</v>
          </cell>
        </row>
        <row r="49">
          <cell r="B49" t="str">
            <v>032901</v>
          </cell>
          <cell r="C49" t="str">
            <v>CARDINIA DOMESTIC</v>
          </cell>
          <cell r="D49">
            <v>9170561.5611067582</v>
          </cell>
          <cell r="E49">
            <v>2281933.6411067583</v>
          </cell>
          <cell r="F49">
            <v>0.75186084839540124</v>
          </cell>
          <cell r="G49">
            <v>1236683.8459275605</v>
          </cell>
          <cell r="H49">
            <v>313227.95592756046</v>
          </cell>
          <cell r="I49">
            <v>0.15587382240105882</v>
          </cell>
          <cell r="J49">
            <v>760407.37</v>
          </cell>
          <cell r="K49">
            <v>113468.67</v>
          </cell>
          <cell r="L49">
            <v>132804.84247331845</v>
          </cell>
          <cell r="M49">
            <v>18315.206988699119</v>
          </cell>
          <cell r="N49">
            <v>121256.59530172555</v>
          </cell>
          <cell r="O49">
            <v>16339.971598377442</v>
          </cell>
          <cell r="P49">
            <v>121256.59530172555</v>
          </cell>
          <cell r="Q49">
            <v>16339.971598377442</v>
          </cell>
          <cell r="R49">
            <v>375318.03307676956</v>
          </cell>
          <cell r="S49">
            <v>50995.150185454004</v>
          </cell>
          <cell r="T49">
            <v>375318.03307676956</v>
          </cell>
          <cell r="U49">
            <v>50995.150185454033</v>
          </cell>
          <cell r="V49">
            <v>750636.06615353911</v>
          </cell>
          <cell r="W49">
            <v>101990.30037090804</v>
          </cell>
          <cell r="X49">
            <v>1511043.436153539</v>
          </cell>
          <cell r="Y49">
            <v>215458.97037090803</v>
          </cell>
          <cell r="Z49">
            <v>765648.78747660969</v>
          </cell>
          <cell r="AA49">
            <v>105618.82777832619</v>
          </cell>
          <cell r="AB49">
            <v>765648.78747660969</v>
          </cell>
          <cell r="AC49">
            <v>105618.82777832619</v>
          </cell>
          <cell r="AD49">
            <v>1531297.5749532194</v>
          </cell>
          <cell r="AE49">
            <v>211237.65555665237</v>
          </cell>
          <cell r="AF49" t="e">
            <v>#N/A</v>
          </cell>
          <cell r="AG49">
            <v>39994</v>
          </cell>
          <cell r="AH49" t="e">
            <v>#N/A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893212.21247331845</v>
          </cell>
          <cell r="AQ49">
            <v>131783.87698869911</v>
          </cell>
          <cell r="AR49">
            <v>1014468.807775044</v>
          </cell>
          <cell r="AS49">
            <v>148123.84858707656</v>
          </cell>
          <cell r="AT49">
            <v>1135725.4030767696</v>
          </cell>
          <cell r="AU49">
            <v>164463.82018545401</v>
          </cell>
          <cell r="AV49">
            <v>1511043.436153539</v>
          </cell>
          <cell r="AW49">
            <v>215458.97037090803</v>
          </cell>
        </row>
        <row r="50">
          <cell r="B50" t="str">
            <v>032904</v>
          </cell>
          <cell r="C50" t="str">
            <v>CARDINIA RECYCLING</v>
          </cell>
          <cell r="D50">
            <v>4923261.1413545748</v>
          </cell>
          <cell r="E50">
            <v>1216879.0013545747</v>
          </cell>
          <cell r="F50">
            <v>0.74429590671678791</v>
          </cell>
          <cell r="G50">
            <v>583831.9696327172</v>
          </cell>
          <cell r="H50">
            <v>107269.19963271718</v>
          </cell>
          <cell r="I50">
            <v>0.13454119114036753</v>
          </cell>
          <cell r="J50">
            <v>407822.67</v>
          </cell>
          <cell r="K50">
            <v>36200.82</v>
          </cell>
          <cell r="L50">
            <v>70820.387224583057</v>
          </cell>
          <cell r="M50">
            <v>6389.2609604061199</v>
          </cell>
          <cell r="N50">
            <v>64662.092683314972</v>
          </cell>
          <cell r="O50">
            <v>5746.7165290664443</v>
          </cell>
          <cell r="P50">
            <v>64662.092683314972</v>
          </cell>
          <cell r="Q50">
            <v>5746.7165290664443</v>
          </cell>
          <cell r="R50">
            <v>200144.57259121299</v>
          </cell>
          <cell r="S50">
            <v>17882.694018539009</v>
          </cell>
          <cell r="T50">
            <v>200144.57259121299</v>
          </cell>
          <cell r="U50">
            <v>17882.694018538994</v>
          </cell>
          <cell r="V50">
            <v>400289.14518242597</v>
          </cell>
          <cell r="W50">
            <v>35765.388037078003</v>
          </cell>
          <cell r="X50">
            <v>808111.81518242601</v>
          </cell>
          <cell r="Y50">
            <v>71966.208037078002</v>
          </cell>
          <cell r="Z50">
            <v>408294.92808607442</v>
          </cell>
          <cell r="AA50">
            <v>35751.9057978196</v>
          </cell>
          <cell r="AB50">
            <v>408294.92808607442</v>
          </cell>
          <cell r="AC50">
            <v>35751.9057978196</v>
          </cell>
          <cell r="AD50">
            <v>816589.85617214884</v>
          </cell>
          <cell r="AE50">
            <v>71503.811595639199</v>
          </cell>
          <cell r="AF50" t="e">
            <v>#N/A</v>
          </cell>
          <cell r="AG50">
            <v>39994</v>
          </cell>
          <cell r="AH50" t="e">
            <v>#N/A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478643.05722458306</v>
          </cell>
          <cell r="AQ50">
            <v>42590.080960406121</v>
          </cell>
          <cell r="AR50">
            <v>543305.14990789804</v>
          </cell>
          <cell r="AS50">
            <v>48336.797489472563</v>
          </cell>
          <cell r="AT50">
            <v>607967.24259121297</v>
          </cell>
          <cell r="AU50">
            <v>54083.514018539005</v>
          </cell>
          <cell r="AV50">
            <v>808111.81518242601</v>
          </cell>
          <cell r="AW50">
            <v>71966.208037078002</v>
          </cell>
        </row>
        <row r="51">
          <cell r="B51" t="str">
            <v>032907</v>
          </cell>
          <cell r="C51" t="str">
            <v>CARDINIA GREENWASTE</v>
          </cell>
          <cell r="D51">
            <v>4537150</v>
          </cell>
          <cell r="E51">
            <v>3912767.23</v>
          </cell>
          <cell r="F51">
            <v>0.12950214668093368</v>
          </cell>
          <cell r="G51">
            <v>767144</v>
          </cell>
          <cell r="H51">
            <v>630985.1</v>
          </cell>
          <cell r="I51">
            <v>0.2034861482979072</v>
          </cell>
          <cell r="J51">
            <v>345714.19</v>
          </cell>
          <cell r="K51">
            <v>73759.350000000006</v>
          </cell>
          <cell r="L51">
            <v>51526.881479842945</v>
          </cell>
          <cell r="M51">
            <v>3513.8355710335723</v>
          </cell>
          <cell r="N51">
            <v>47154.978742465297</v>
          </cell>
          <cell r="O51">
            <v>3316.9803039871613</v>
          </cell>
          <cell r="P51">
            <v>47154.978742465297</v>
          </cell>
          <cell r="Q51">
            <v>3316.9803039871613</v>
          </cell>
          <cell r="R51">
            <v>145836.83896477355</v>
          </cell>
          <cell r="S51">
            <v>10147.796179007895</v>
          </cell>
          <cell r="T51">
            <v>145836.83896477355</v>
          </cell>
          <cell r="U51">
            <v>10147.796179007895</v>
          </cell>
          <cell r="V51">
            <v>291673.67792954709</v>
          </cell>
          <cell r="W51">
            <v>20295.592358015791</v>
          </cell>
          <cell r="X51">
            <v>637387.86792954709</v>
          </cell>
          <cell r="Y51">
            <v>94054.942358015804</v>
          </cell>
          <cell r="Z51">
            <v>324206.80238691589</v>
          </cell>
          <cell r="AA51">
            <v>47401.15510395397</v>
          </cell>
          <cell r="AB51">
            <v>324206.80238691589</v>
          </cell>
          <cell r="AC51">
            <v>47401.15510395397</v>
          </cell>
          <cell r="AD51">
            <v>648413.60477383179</v>
          </cell>
          <cell r="AE51">
            <v>94802.31020790794</v>
          </cell>
          <cell r="AF51" t="e">
            <v>#N/A</v>
          </cell>
          <cell r="AG51">
            <v>41670</v>
          </cell>
          <cell r="AH51" t="e">
            <v>#N/A</v>
          </cell>
          <cell r="AI51" t="e">
            <v>#N/A</v>
          </cell>
          <cell r="AJ51">
            <v>9380</v>
          </cell>
          <cell r="AK51">
            <v>434511</v>
          </cell>
          <cell r="AL51">
            <v>2972679.9472966213</v>
          </cell>
          <cell r="AM51">
            <v>515887.19743407622</v>
          </cell>
          <cell r="AN51">
            <v>0</v>
          </cell>
          <cell r="AO51">
            <v>0</v>
          </cell>
          <cell r="AP51">
            <v>397241.07147984294</v>
          </cell>
          <cell r="AQ51">
            <v>77273.18557103358</v>
          </cell>
          <cell r="AR51">
            <v>444396.05022230826</v>
          </cell>
          <cell r="AS51">
            <v>80590.165875020743</v>
          </cell>
          <cell r="AT51">
            <v>491551.02896477358</v>
          </cell>
          <cell r="AU51">
            <v>83907.146179007905</v>
          </cell>
          <cell r="AV51">
            <v>637387.86792954709</v>
          </cell>
          <cell r="AW51">
            <v>94054.942358015804</v>
          </cell>
        </row>
        <row r="52">
          <cell r="B52" t="str">
            <v>033104</v>
          </cell>
          <cell r="C52" t="str">
            <v>DAREBIN RECYCLING</v>
          </cell>
          <cell r="D52">
            <v>6996000</v>
          </cell>
          <cell r="E52">
            <v>2710007.65</v>
          </cell>
          <cell r="F52">
            <v>0.61090694065539042</v>
          </cell>
          <cell r="G52">
            <v>764600</v>
          </cell>
          <cell r="H52">
            <v>285413.15999999997</v>
          </cell>
          <cell r="I52">
            <v>0.12270115864813685</v>
          </cell>
          <cell r="J52">
            <v>515506.25</v>
          </cell>
          <cell r="K52">
            <v>55883.32</v>
          </cell>
          <cell r="L52">
            <v>91118.88121976101</v>
          </cell>
          <cell r="M52">
            <v>9293.4087312618285</v>
          </cell>
          <cell r="N52">
            <v>83195.500244129624</v>
          </cell>
          <cell r="O52">
            <v>7882.1784068042743</v>
          </cell>
          <cell r="P52">
            <v>83195.500244129624</v>
          </cell>
          <cell r="Q52">
            <v>7882.1784068042743</v>
          </cell>
          <cell r="R52">
            <v>257509.88170802026</v>
          </cell>
          <cell r="S52">
            <v>25057.765544870377</v>
          </cell>
          <cell r="T52">
            <v>257509.88170802029</v>
          </cell>
          <cell r="U52">
            <v>25057.765544870388</v>
          </cell>
          <cell r="V52">
            <v>515019.76341604057</v>
          </cell>
          <cell r="W52">
            <v>50115.531089740762</v>
          </cell>
          <cell r="X52">
            <v>1030526.0134160406</v>
          </cell>
          <cell r="Y52">
            <v>105998.85108974075</v>
          </cell>
          <cell r="Z52">
            <v>525320.15868436138</v>
          </cell>
          <cell r="AA52">
            <v>51758.335411535634</v>
          </cell>
          <cell r="AB52">
            <v>525320.15868436138</v>
          </cell>
          <cell r="AC52">
            <v>51758.335411535634</v>
          </cell>
          <cell r="AD52">
            <v>1050640.3173687228</v>
          </cell>
          <cell r="AE52">
            <v>103516.67082307127</v>
          </cell>
          <cell r="AF52" t="e">
            <v>#N/A</v>
          </cell>
          <cell r="AG52">
            <v>40421</v>
          </cell>
          <cell r="AH52" t="e">
            <v>#N/A</v>
          </cell>
          <cell r="AI52" t="e">
            <v>#N/A</v>
          </cell>
          <cell r="AJ52">
            <v>9413</v>
          </cell>
          <cell r="AK52">
            <v>120769</v>
          </cell>
          <cell r="AL52">
            <v>1144347.5692152365</v>
          </cell>
          <cell r="AM52">
            <v>131780.95808718796</v>
          </cell>
          <cell r="AN52">
            <v>0</v>
          </cell>
          <cell r="AO52">
            <v>0</v>
          </cell>
          <cell r="AP52">
            <v>606625.13121976098</v>
          </cell>
          <cell r="AQ52">
            <v>65176.728731261828</v>
          </cell>
          <cell r="AR52">
            <v>689820.63146389066</v>
          </cell>
          <cell r="AS52">
            <v>73058.907138066104</v>
          </cell>
          <cell r="AT52">
            <v>773016.13170802034</v>
          </cell>
          <cell r="AU52">
            <v>80941.085544870381</v>
          </cell>
          <cell r="AV52">
            <v>1030526.0134160406</v>
          </cell>
          <cell r="AW52">
            <v>105998.85108974075</v>
          </cell>
        </row>
        <row r="53">
          <cell r="B53" t="str">
            <v>033105</v>
          </cell>
          <cell r="C53" t="str">
            <v>DAREBIN MRF</v>
          </cell>
          <cell r="D53">
            <v>11350000</v>
          </cell>
          <cell r="E53">
            <v>5510260.9299999997</v>
          </cell>
          <cell r="F53">
            <v>0.51609965532098234</v>
          </cell>
          <cell r="G53">
            <v>-255000</v>
          </cell>
          <cell r="H53">
            <v>-105402.57</v>
          </cell>
          <cell r="I53">
            <v>-2.1973287376130978E-2</v>
          </cell>
          <cell r="J53">
            <v>998552.2</v>
          </cell>
          <cell r="K53">
            <v>-20944.600000000093</v>
          </cell>
          <cell r="L53">
            <v>181777.48481850649</v>
          </cell>
          <cell r="M53">
            <v>1195.3564652012399</v>
          </cell>
          <cell r="N53">
            <v>161454.23309515812</v>
          </cell>
          <cell r="O53">
            <v>-6259.884096990133</v>
          </cell>
          <cell r="P53">
            <v>161454.23309515812</v>
          </cell>
          <cell r="Q53">
            <v>-6259.884096990133</v>
          </cell>
          <cell r="R53">
            <v>504685.95100882277</v>
          </cell>
          <cell r="S53">
            <v>-11324.411728779027</v>
          </cell>
          <cell r="T53">
            <v>504685.95100882277</v>
          </cell>
          <cell r="U53">
            <v>-11324.411728778945</v>
          </cell>
          <cell r="V53">
            <v>1009371.9020176455</v>
          </cell>
          <cell r="W53">
            <v>-22648.82345755797</v>
          </cell>
          <cell r="X53">
            <v>2007924.1020176455</v>
          </cell>
          <cell r="Y53">
            <v>-43593.423457558063</v>
          </cell>
          <cell r="Z53">
            <v>1029559.3400579983</v>
          </cell>
          <cell r="AA53">
            <v>-20354.837926709053</v>
          </cell>
          <cell r="AB53">
            <v>1029559.3400579983</v>
          </cell>
          <cell r="AC53">
            <v>-20354.837926709053</v>
          </cell>
          <cell r="AD53">
            <v>2059118.6801159966</v>
          </cell>
          <cell r="AE53">
            <v>-40709.675853418106</v>
          </cell>
          <cell r="AF53" t="e">
            <v>#N/A</v>
          </cell>
          <cell r="AG53">
            <v>40421</v>
          </cell>
          <cell r="AH53" t="e">
            <v>#N/A</v>
          </cell>
          <cell r="AI53" t="e">
            <v>#N/A</v>
          </cell>
          <cell r="AJ53">
            <v>-3003</v>
          </cell>
          <cell r="AK53">
            <v>-47495</v>
          </cell>
          <cell r="AL53">
            <v>2441770.3478663573</v>
          </cell>
          <cell r="AM53">
            <v>-42044.070689023931</v>
          </cell>
          <cell r="AN53">
            <v>0</v>
          </cell>
          <cell r="AO53">
            <v>0</v>
          </cell>
          <cell r="AP53">
            <v>1180329.6848185065</v>
          </cell>
          <cell r="AQ53">
            <v>-19749.243534798854</v>
          </cell>
          <cell r="AR53">
            <v>1341783.9179136646</v>
          </cell>
          <cell r="AS53">
            <v>-26009.127631788986</v>
          </cell>
          <cell r="AT53">
            <v>1503238.1510088227</v>
          </cell>
          <cell r="AU53">
            <v>-32269.011728779118</v>
          </cell>
          <cell r="AV53">
            <v>2007924.1020176455</v>
          </cell>
          <cell r="AW53">
            <v>-43593.423457558063</v>
          </cell>
        </row>
        <row r="54">
          <cell r="B54" t="str">
            <v>033201</v>
          </cell>
          <cell r="C54" t="str">
            <v>DANDENONG DOMESTIC</v>
          </cell>
          <cell r="D54">
            <v>9581236</v>
          </cell>
          <cell r="E54">
            <v>3875413.54</v>
          </cell>
          <cell r="F54">
            <v>0.58596571494183081</v>
          </cell>
          <cell r="G54">
            <v>628123</v>
          </cell>
          <cell r="H54">
            <v>168517.8</v>
          </cell>
          <cell r="I54">
            <v>7.0156938709474564E-2</v>
          </cell>
          <cell r="J54">
            <v>719818.12</v>
          </cell>
          <cell r="K54">
            <v>14920.01</v>
          </cell>
          <cell r="L54">
            <v>127032.46883168313</v>
          </cell>
          <cell r="M54">
            <v>6721.1416416365928</v>
          </cell>
          <cell r="N54">
            <v>115986.16719414547</v>
          </cell>
          <cell r="O54">
            <v>5684.5206293203773</v>
          </cell>
          <cell r="P54">
            <v>115986.16719414547</v>
          </cell>
          <cell r="Q54">
            <v>5684.5206293203773</v>
          </cell>
          <cell r="R54">
            <v>359004.80321997404</v>
          </cell>
          <cell r="S54">
            <v>18090.182900277348</v>
          </cell>
          <cell r="T54">
            <v>359004.8032199741</v>
          </cell>
          <cell r="U54">
            <v>18090.18290027733</v>
          </cell>
          <cell r="V54">
            <v>718009.60643994808</v>
          </cell>
          <cell r="W54">
            <v>36180.365800554675</v>
          </cell>
          <cell r="X54">
            <v>1437827.7264399482</v>
          </cell>
          <cell r="Y54">
            <v>51100.375800554677</v>
          </cell>
          <cell r="Z54">
            <v>732369.79856874724</v>
          </cell>
          <cell r="AA54">
            <v>28236.528216565817</v>
          </cell>
          <cell r="AB54">
            <v>732369.79856874724</v>
          </cell>
          <cell r="AC54">
            <v>28236.528216565817</v>
          </cell>
          <cell r="AD54">
            <v>1464739.5971374945</v>
          </cell>
          <cell r="AE54">
            <v>56473.056433131635</v>
          </cell>
          <cell r="AF54" t="e">
            <v>#N/A</v>
          </cell>
          <cell r="AG54">
            <v>40451</v>
          </cell>
          <cell r="AH54" t="e">
            <v>#N/A</v>
          </cell>
          <cell r="AI54" t="e">
            <v>#N/A</v>
          </cell>
          <cell r="AJ54">
            <v>5058</v>
          </cell>
          <cell r="AK54">
            <v>70591</v>
          </cell>
          <cell r="AL54">
            <v>1692664.3364225575</v>
          </cell>
          <cell r="AM54">
            <v>75864.377766313672</v>
          </cell>
          <cell r="AN54">
            <v>0</v>
          </cell>
          <cell r="AO54">
            <v>0</v>
          </cell>
          <cell r="AP54">
            <v>846850.58883168316</v>
          </cell>
          <cell r="AQ54">
            <v>21641.151641636592</v>
          </cell>
          <cell r="AR54">
            <v>962836.75602582865</v>
          </cell>
          <cell r="AS54">
            <v>27325.672270956969</v>
          </cell>
          <cell r="AT54">
            <v>1078822.9232199742</v>
          </cell>
          <cell r="AU54">
            <v>33010.192900277347</v>
          </cell>
          <cell r="AV54">
            <v>1437827.7264399482</v>
          </cell>
          <cell r="AW54">
            <v>51100.375800554677</v>
          </cell>
        </row>
        <row r="55">
          <cell r="B55" t="str">
            <v>033204</v>
          </cell>
          <cell r="C55" t="str">
            <v>DANDENONG RECYCLING</v>
          </cell>
          <cell r="D55">
            <v>5080679</v>
          </cell>
          <cell r="E55">
            <v>2073329.66</v>
          </cell>
          <cell r="F55">
            <v>0.58464913572862964</v>
          </cell>
          <cell r="G55">
            <v>573067</v>
          </cell>
          <cell r="H55">
            <v>201089.12</v>
          </cell>
          <cell r="I55">
            <v>0.12713316940322281</v>
          </cell>
          <cell r="J55">
            <v>379416.04</v>
          </cell>
          <cell r="K55">
            <v>35735.75</v>
          </cell>
          <cell r="L55">
            <v>66959.161022704153</v>
          </cell>
          <cell r="M55">
            <v>6589.6782518690989</v>
          </cell>
          <cell r="N55">
            <v>61136.625281599452</v>
          </cell>
          <cell r="O55">
            <v>5964.4888386630873</v>
          </cell>
          <cell r="P55">
            <v>61136.625281599452</v>
          </cell>
          <cell r="Q55">
            <v>5964.4888386630873</v>
          </cell>
          <cell r="R55">
            <v>189232.41158590306</v>
          </cell>
          <cell r="S55">
            <v>18518.655929195273</v>
          </cell>
          <cell r="T55">
            <v>189232.41158590309</v>
          </cell>
          <cell r="U55">
            <v>18518.655929195298</v>
          </cell>
          <cell r="V55">
            <v>378464.82317180617</v>
          </cell>
          <cell r="W55">
            <v>37037.311858390574</v>
          </cell>
          <cell r="X55">
            <v>757880.86317180609</v>
          </cell>
          <cell r="Y55">
            <v>72773.061858390574</v>
          </cell>
          <cell r="Z55">
            <v>386034.11963524233</v>
          </cell>
          <cell r="AA55">
            <v>37778.058095558386</v>
          </cell>
          <cell r="AB55">
            <v>386034.11963524233</v>
          </cell>
          <cell r="AC55">
            <v>37778.058095558386</v>
          </cell>
          <cell r="AD55">
            <v>772068.23927048466</v>
          </cell>
          <cell r="AE55">
            <v>75556.116191116773</v>
          </cell>
          <cell r="AF55" t="e">
            <v>#N/A</v>
          </cell>
          <cell r="AG55">
            <v>40451</v>
          </cell>
          <cell r="AH55" t="e">
            <v>#N/A</v>
          </cell>
          <cell r="AI55" t="e">
            <v>#N/A</v>
          </cell>
          <cell r="AJ55">
            <v>5900</v>
          </cell>
          <cell r="AK55">
            <v>94445</v>
          </cell>
          <cell r="AL55">
            <v>922796.59755770897</v>
          </cell>
          <cell r="AM55">
            <v>88495.691950492648</v>
          </cell>
          <cell r="AN55">
            <v>0</v>
          </cell>
          <cell r="AO55">
            <v>0</v>
          </cell>
          <cell r="AP55">
            <v>446375.20102270413</v>
          </cell>
          <cell r="AQ55">
            <v>42325.428251869096</v>
          </cell>
          <cell r="AR55">
            <v>507511.8263043036</v>
          </cell>
          <cell r="AS55">
            <v>48289.917090532181</v>
          </cell>
          <cell r="AT55">
            <v>568648.45158590307</v>
          </cell>
          <cell r="AU55">
            <v>54254.405929195265</v>
          </cell>
          <cell r="AV55">
            <v>757880.86317180609</v>
          </cell>
          <cell r="AW55">
            <v>72773.061858390574</v>
          </cell>
        </row>
        <row r="56">
          <cell r="B56" t="str">
            <v>033207</v>
          </cell>
          <cell r="C56" t="str">
            <v>DANDENONG GREENWASTE</v>
          </cell>
          <cell r="D56">
            <v>7919776</v>
          </cell>
          <cell r="E56">
            <v>3253192.73</v>
          </cell>
          <cell r="F56">
            <v>0.61375233202070445</v>
          </cell>
          <cell r="G56">
            <v>1991977</v>
          </cell>
          <cell r="H56">
            <v>963594.19</v>
          </cell>
          <cell r="I56">
            <v>0.33603990283746127</v>
          </cell>
          <cell r="J56">
            <v>601364.1</v>
          </cell>
          <cell r="K56">
            <v>183271.84</v>
          </cell>
          <cell r="L56">
            <v>106128.63871882384</v>
          </cell>
          <cell r="M56">
            <v>33151.768306158818</v>
          </cell>
          <cell r="N56">
            <v>96900.061438926132</v>
          </cell>
          <cell r="O56">
            <v>30182.049323014566</v>
          </cell>
          <cell r="P56">
            <v>96900.061438926132</v>
          </cell>
          <cell r="Q56">
            <v>30182.049323014566</v>
          </cell>
          <cell r="R56">
            <v>299928.76159667608</v>
          </cell>
          <cell r="S56">
            <v>93515.866952187949</v>
          </cell>
          <cell r="T56">
            <v>299928.76159667614</v>
          </cell>
          <cell r="U56">
            <v>93515.866952187993</v>
          </cell>
          <cell r="V56">
            <v>599857.52319335216</v>
          </cell>
          <cell r="W56">
            <v>187031.73390437593</v>
          </cell>
          <cell r="X56">
            <v>1201221.623193352</v>
          </cell>
          <cell r="Y56">
            <v>370303.57390437589</v>
          </cell>
          <cell r="Z56">
            <v>611854.67365721916</v>
          </cell>
          <cell r="AA56">
            <v>189325.24358246353</v>
          </cell>
          <cell r="AB56">
            <v>611854.67365721916</v>
          </cell>
          <cell r="AC56">
            <v>189325.24358246353</v>
          </cell>
          <cell r="AD56">
            <v>1223709.3473144383</v>
          </cell>
          <cell r="AE56">
            <v>378650.48716492706</v>
          </cell>
          <cell r="AF56" t="e">
            <v>#N/A</v>
          </cell>
          <cell r="AG56">
            <v>40451</v>
          </cell>
          <cell r="AH56" t="e">
            <v>#N/A</v>
          </cell>
          <cell r="AI56" t="e">
            <v>#N/A</v>
          </cell>
          <cell r="AJ56">
            <v>26527</v>
          </cell>
          <cell r="AK56">
            <v>473313</v>
          </cell>
          <cell r="AL56">
            <v>1429625.8594922093</v>
          </cell>
          <cell r="AM56">
            <v>397911.96893069695</v>
          </cell>
          <cell r="AN56">
            <v>0</v>
          </cell>
          <cell r="AO56">
            <v>0</v>
          </cell>
          <cell r="AP56">
            <v>707492.73871882376</v>
          </cell>
          <cell r="AQ56">
            <v>216423.6083061588</v>
          </cell>
          <cell r="AR56">
            <v>804392.80015774991</v>
          </cell>
          <cell r="AS56">
            <v>246605.65762917337</v>
          </cell>
          <cell r="AT56">
            <v>901292.86159667606</v>
          </cell>
          <cell r="AU56">
            <v>276787.70695218793</v>
          </cell>
          <cell r="AV56">
            <v>1201221.623193352</v>
          </cell>
          <cell r="AW56">
            <v>370303.57390437589</v>
          </cell>
        </row>
        <row r="57">
          <cell r="B57" t="str">
            <v>033301</v>
          </cell>
          <cell r="C57" t="str">
            <v>WYNDHAM DOMESTIC</v>
          </cell>
          <cell r="D57">
            <v>9943325</v>
          </cell>
          <cell r="E57">
            <v>4744203.8499999996</v>
          </cell>
          <cell r="F57">
            <v>0.51982793205867583</v>
          </cell>
          <cell r="G57">
            <v>704765</v>
          </cell>
          <cell r="H57">
            <v>308105.39</v>
          </cell>
          <cell r="I57">
            <v>7.6285156994163592E-2</v>
          </cell>
          <cell r="J57">
            <v>778589.92</v>
          </cell>
          <cell r="K57">
            <v>55442.960000000079</v>
          </cell>
          <cell r="L57">
            <v>136630.31623528138</v>
          </cell>
          <cell r="M57">
            <v>9695.3635202862024</v>
          </cell>
          <cell r="N57">
            <v>124749.41917134391</v>
          </cell>
          <cell r="O57">
            <v>8079.6797359135171</v>
          </cell>
          <cell r="P57">
            <v>124749.41917134391</v>
          </cell>
          <cell r="Q57">
            <v>8079.6797359135171</v>
          </cell>
          <cell r="R57">
            <v>386129.15457796922</v>
          </cell>
          <cell r="S57">
            <v>25854.722992113238</v>
          </cell>
          <cell r="T57">
            <v>386129.15457796922</v>
          </cell>
          <cell r="U57">
            <v>25684.722992113198</v>
          </cell>
          <cell r="V57">
            <v>772258.30915593845</v>
          </cell>
          <cell r="W57">
            <v>51539.445984226433</v>
          </cell>
          <cell r="X57">
            <v>1550848.2291559386</v>
          </cell>
          <cell r="Y57">
            <v>106982.40598422651</v>
          </cell>
          <cell r="Z57">
            <v>787703.47533905751</v>
          </cell>
          <cell r="AA57">
            <v>53646.656203911007</v>
          </cell>
          <cell r="AB57">
            <v>787703.47533905751</v>
          </cell>
          <cell r="AC57">
            <v>53646.656203911007</v>
          </cell>
          <cell r="AD57">
            <v>1575406.950678115</v>
          </cell>
          <cell r="AE57">
            <v>107293.31240782201</v>
          </cell>
          <cell r="AF57" t="e">
            <v>#N/A</v>
          </cell>
          <cell r="AG57">
            <v>40582</v>
          </cell>
          <cell r="AH57" t="e">
            <v>#N/A</v>
          </cell>
          <cell r="AI57" t="e">
            <v>#N/A</v>
          </cell>
          <cell r="AJ57">
            <v>7856</v>
          </cell>
          <cell r="AK57">
            <v>169881</v>
          </cell>
          <cell r="AL57">
            <v>2396538.5901659466</v>
          </cell>
          <cell r="AM57">
            <v>149272.6316079516</v>
          </cell>
          <cell r="AN57">
            <v>0</v>
          </cell>
          <cell r="AO57">
            <v>0</v>
          </cell>
          <cell r="AP57">
            <v>915220.23623528145</v>
          </cell>
          <cell r="AQ57">
            <v>65138.323520286285</v>
          </cell>
          <cell r="AR57">
            <v>1039969.6554066254</v>
          </cell>
          <cell r="AS57">
            <v>73218.003256199809</v>
          </cell>
          <cell r="AT57">
            <v>1164719.0745779693</v>
          </cell>
          <cell r="AU57">
            <v>81297.682992113332</v>
          </cell>
          <cell r="AV57">
            <v>1550848.2291559386</v>
          </cell>
          <cell r="AW57">
            <v>106982.40598422651</v>
          </cell>
        </row>
        <row r="58">
          <cell r="B58" t="str">
            <v>033401</v>
          </cell>
          <cell r="C58" t="str">
            <v>BAYSIDE DOMESTIC</v>
          </cell>
          <cell r="D58">
            <v>8271100</v>
          </cell>
          <cell r="E58">
            <v>4294834.29</v>
          </cell>
          <cell r="F58">
            <v>0.47547575367235256</v>
          </cell>
          <cell r="G58">
            <v>771820</v>
          </cell>
          <cell r="H58">
            <v>361280.1</v>
          </cell>
          <cell r="I58">
            <v>0.1029192135778368</v>
          </cell>
          <cell r="J58">
            <v>600273.59</v>
          </cell>
          <cell r="K58">
            <v>64208.38</v>
          </cell>
          <cell r="L58">
            <v>106003.47462144452</v>
          </cell>
          <cell r="M58">
            <v>9304.0659842573677</v>
          </cell>
          <cell r="N58">
            <v>96785.781176101518</v>
          </cell>
          <cell r="O58">
            <v>8147.1906812784455</v>
          </cell>
          <cell r="P58">
            <v>96785.781176101518</v>
          </cell>
          <cell r="Q58">
            <v>8147.1906812784455</v>
          </cell>
          <cell r="R58">
            <v>299575.03697364754</v>
          </cell>
          <cell r="S58">
            <v>25598.447346814261</v>
          </cell>
          <cell r="T58">
            <v>299575.0369736476</v>
          </cell>
          <cell r="U58">
            <v>25598.447346814297</v>
          </cell>
          <cell r="V58">
            <v>599150.07394729508</v>
          </cell>
          <cell r="W58">
            <v>51196.894693628557</v>
          </cell>
          <cell r="X58">
            <v>1199423.6639472949</v>
          </cell>
          <cell r="Y58">
            <v>115405.27469362855</v>
          </cell>
          <cell r="Z58">
            <v>611133.07542624103</v>
          </cell>
          <cell r="AA58">
            <v>59408.405387501203</v>
          </cell>
          <cell r="AB58">
            <v>611133.07542624103</v>
          </cell>
          <cell r="AC58">
            <v>59408.405387501203</v>
          </cell>
          <cell r="AD58">
            <v>1222266.1508524821</v>
          </cell>
          <cell r="AE58">
            <v>118816.81077500241</v>
          </cell>
          <cell r="AF58" t="e">
            <v>#N/A</v>
          </cell>
          <cell r="AG58">
            <v>40724</v>
          </cell>
          <cell r="AH58" t="e">
            <v>#N/A</v>
          </cell>
          <cell r="AI58" t="e">
            <v>#N/A</v>
          </cell>
          <cell r="AJ58">
            <v>7969</v>
          </cell>
          <cell r="AK58">
            <v>237634</v>
          </cell>
          <cell r="AL58">
            <v>2473418.0652002227</v>
          </cell>
          <cell r="AM58">
            <v>191266.39453136903</v>
          </cell>
          <cell r="AN58">
            <v>0</v>
          </cell>
          <cell r="AO58">
            <v>0</v>
          </cell>
          <cell r="AP58">
            <v>706277.06462144444</v>
          </cell>
          <cell r="AQ58">
            <v>73512.445984257371</v>
          </cell>
          <cell r="AR58">
            <v>803062.84579754598</v>
          </cell>
          <cell r="AS58">
            <v>81659.636665535814</v>
          </cell>
          <cell r="AT58">
            <v>899848.62697364751</v>
          </cell>
          <cell r="AU58">
            <v>89806.827346814258</v>
          </cell>
          <cell r="AV58">
            <v>1199423.6639472949</v>
          </cell>
          <cell r="AW58">
            <v>115405.27469362855</v>
          </cell>
        </row>
        <row r="59">
          <cell r="B59" t="str">
            <v>033407</v>
          </cell>
          <cell r="C59" t="str">
            <v>BAYSIDE GREENWASTE</v>
          </cell>
          <cell r="D59">
            <v>3245240</v>
          </cell>
          <cell r="E59">
            <v>1683860.54</v>
          </cell>
          <cell r="F59">
            <v>0.4875942658437411</v>
          </cell>
          <cell r="G59">
            <v>357980</v>
          </cell>
          <cell r="H59">
            <v>204411.96</v>
          </cell>
          <cell r="I59">
            <v>0.12398606291085666</v>
          </cell>
          <cell r="J59">
            <v>243563.07</v>
          </cell>
          <cell r="K59">
            <v>27293.67</v>
          </cell>
          <cell r="L59">
            <v>42962.388989224572</v>
          </cell>
          <cell r="M59">
            <v>4853.7392044664575</v>
          </cell>
          <cell r="N59">
            <v>39226.529077118095</v>
          </cell>
          <cell r="O59">
            <v>4388.1966649476317</v>
          </cell>
          <cell r="P59">
            <v>39226.529077118095</v>
          </cell>
          <cell r="Q59">
            <v>4388.1966649476317</v>
          </cell>
          <cell r="R59">
            <v>121415.44714346077</v>
          </cell>
          <cell r="S59">
            <v>13630.132534361721</v>
          </cell>
          <cell r="T59">
            <v>121415.44714346077</v>
          </cell>
          <cell r="U59">
            <v>13630.132534361717</v>
          </cell>
          <cell r="V59">
            <v>242830.89428692154</v>
          </cell>
          <cell r="W59">
            <v>27260.265068723438</v>
          </cell>
          <cell r="X59">
            <v>486393.96428692155</v>
          </cell>
          <cell r="Y59">
            <v>54553.93506872344</v>
          </cell>
          <cell r="Z59">
            <v>247687.51217265998</v>
          </cell>
          <cell r="AA59">
            <v>27805.470370097904</v>
          </cell>
          <cell r="AB59">
            <v>247687.51217265998</v>
          </cell>
          <cell r="AC59">
            <v>27805.470370097904</v>
          </cell>
          <cell r="AD59">
            <v>495375.02434531995</v>
          </cell>
          <cell r="AE59">
            <v>55610.940740195809</v>
          </cell>
          <cell r="AF59" t="e">
            <v>#N/A</v>
          </cell>
          <cell r="AG59">
            <v>40724</v>
          </cell>
          <cell r="AH59" t="e">
            <v>#N/A</v>
          </cell>
          <cell r="AI59" t="e">
            <v>#N/A</v>
          </cell>
          <cell r="AJ59">
            <v>5064</v>
          </cell>
          <cell r="AK59">
            <v>111222</v>
          </cell>
          <cell r="AL59">
            <v>945654.62136775861</v>
          </cell>
          <cell r="AM59">
            <v>121540.75419108075</v>
          </cell>
          <cell r="AN59">
            <v>0</v>
          </cell>
          <cell r="AO59">
            <v>0</v>
          </cell>
          <cell r="AP59">
            <v>286525.45898922457</v>
          </cell>
          <cell r="AQ59">
            <v>32147.409204466458</v>
          </cell>
          <cell r="AR59">
            <v>325751.98806634266</v>
          </cell>
          <cell r="AS59">
            <v>36535.605869414088</v>
          </cell>
          <cell r="AT59">
            <v>364978.51714346075</v>
          </cell>
          <cell r="AU59">
            <v>40923.802534361719</v>
          </cell>
          <cell r="AV59">
            <v>486393.96428692155</v>
          </cell>
          <cell r="AW59">
            <v>54553.93506872344</v>
          </cell>
        </row>
        <row r="60">
          <cell r="B60" t="str">
            <v>033501</v>
          </cell>
          <cell r="C60" t="str">
            <v>GLEN EIRA DOMESTIC</v>
          </cell>
          <cell r="D60">
            <v>11974506</v>
          </cell>
          <cell r="E60">
            <v>9075997.4199999999</v>
          </cell>
          <cell r="F60">
            <v>0.23912205057396302</v>
          </cell>
          <cell r="G60">
            <v>983554</v>
          </cell>
          <cell r="H60">
            <v>713224.4</v>
          </cell>
          <cell r="I60">
            <v>8.9487607624889998E-2</v>
          </cell>
          <cell r="J60">
            <v>982992.12</v>
          </cell>
          <cell r="K60">
            <v>80040</v>
          </cell>
          <cell r="L60">
            <v>173557.99072458749</v>
          </cell>
          <cell r="M60">
            <v>11796.747697965482</v>
          </cell>
          <cell r="N60">
            <v>158465.99153114512</v>
          </cell>
          <cell r="O60">
            <v>10466.595724229323</v>
          </cell>
          <cell r="P60">
            <v>158465.99153114512</v>
          </cell>
          <cell r="Q60">
            <v>10466.595724229323</v>
          </cell>
          <cell r="R60">
            <v>490489.9737868777</v>
          </cell>
          <cell r="S60">
            <v>32729.939146424127</v>
          </cell>
          <cell r="T60">
            <v>490489.97378687776</v>
          </cell>
          <cell r="U60">
            <v>32729.939146424218</v>
          </cell>
          <cell r="V60">
            <v>980979.9475737554</v>
          </cell>
          <cell r="W60">
            <v>65459.878292848342</v>
          </cell>
          <cell r="X60">
            <v>1963972.0675737555</v>
          </cell>
          <cell r="Y60">
            <v>145499.87829284836</v>
          </cell>
          <cell r="Z60">
            <v>1000599.5465252305</v>
          </cell>
          <cell r="AA60">
            <v>74029.338958705237</v>
          </cell>
          <cell r="AB60">
            <v>1000599.5465252305</v>
          </cell>
          <cell r="AC60">
            <v>74029.338958705237</v>
          </cell>
          <cell r="AD60">
            <v>2001199.093050461</v>
          </cell>
          <cell r="AE60">
            <v>148058.67791741047</v>
          </cell>
          <cell r="AF60" t="e">
            <v>#N/A</v>
          </cell>
          <cell r="AG60">
            <v>41090</v>
          </cell>
          <cell r="AH60" t="e">
            <v>#N/A</v>
          </cell>
          <cell r="AI60" t="e">
            <v>#N/A</v>
          </cell>
          <cell r="AJ60">
            <v>13881</v>
          </cell>
          <cell r="AK60">
            <v>444176</v>
          </cell>
          <cell r="AL60">
            <v>6093818.3793757837</v>
          </cell>
          <cell r="AM60">
            <v>499705.84378974116</v>
          </cell>
          <cell r="AN60">
            <v>0</v>
          </cell>
          <cell r="AO60">
            <v>0</v>
          </cell>
          <cell r="AP60">
            <v>1156550.1107245875</v>
          </cell>
          <cell r="AQ60">
            <v>91836.747697965475</v>
          </cell>
          <cell r="AR60">
            <v>1315016.1022557325</v>
          </cell>
          <cell r="AS60">
            <v>102303.3434221948</v>
          </cell>
          <cell r="AT60">
            <v>1473482.0937868776</v>
          </cell>
          <cell r="AU60">
            <v>112769.93914642412</v>
          </cell>
          <cell r="AV60">
            <v>1963972.0675737555</v>
          </cell>
          <cell r="AW60">
            <v>145499.87829284836</v>
          </cell>
        </row>
        <row r="61">
          <cell r="B61" t="str">
            <v>033504</v>
          </cell>
          <cell r="C61" t="str">
            <v>GLEN EIRA RECYCLING</v>
          </cell>
          <cell r="D61">
            <v>7997392</v>
          </cell>
          <cell r="E61">
            <v>6037516.29</v>
          </cell>
          <cell r="F61">
            <v>0.24148850328991034</v>
          </cell>
          <cell r="G61">
            <v>765584</v>
          </cell>
          <cell r="H61">
            <v>552106.78</v>
          </cell>
          <cell r="I61">
            <v>0.10586343000256644</v>
          </cell>
          <cell r="J61">
            <v>671237.41</v>
          </cell>
          <cell r="K61">
            <v>57272.1</v>
          </cell>
          <cell r="L61">
            <v>118326.2763454266</v>
          </cell>
          <cell r="M61">
            <v>10322.073039373638</v>
          </cell>
          <cell r="N61">
            <v>108037.03492408516</v>
          </cell>
          <cell r="O61">
            <v>9424.5014707324572</v>
          </cell>
          <cell r="P61">
            <v>108037.03492408516</v>
          </cell>
          <cell r="Q61">
            <v>9424.5014707324572</v>
          </cell>
          <cell r="R61">
            <v>334400.34619359695</v>
          </cell>
          <cell r="S61">
            <v>29171.075980838552</v>
          </cell>
          <cell r="T61">
            <v>334400.34619359695</v>
          </cell>
          <cell r="U61">
            <v>29171.075980838534</v>
          </cell>
          <cell r="V61">
            <v>668800.69238719391</v>
          </cell>
          <cell r="W61">
            <v>58342.151961677082</v>
          </cell>
          <cell r="X61">
            <v>1340038.1023871941</v>
          </cell>
          <cell r="Y61">
            <v>115614.25196167707</v>
          </cell>
          <cell r="Z61">
            <v>682176.70623493777</v>
          </cell>
          <cell r="AA61">
            <v>59508.99500091056</v>
          </cell>
          <cell r="AB61">
            <v>682176.70623493777</v>
          </cell>
          <cell r="AC61">
            <v>59508.99500091056</v>
          </cell>
          <cell r="AD61">
            <v>1364353.4124698755</v>
          </cell>
          <cell r="AE61">
            <v>119017.99000182112</v>
          </cell>
          <cell r="AF61" t="e">
            <v>#N/A</v>
          </cell>
          <cell r="AG61">
            <v>41090</v>
          </cell>
          <cell r="AH61" t="e">
            <v>#N/A</v>
          </cell>
          <cell r="AI61" t="e">
            <v>#N/A</v>
          </cell>
          <cell r="AJ61">
            <v>10410</v>
          </cell>
          <cell r="AK61">
            <v>357054</v>
          </cell>
          <cell r="AL61">
            <v>4004362.1851429301</v>
          </cell>
          <cell r="AM61">
            <v>374746.63803650183</v>
          </cell>
          <cell r="AN61">
            <v>0</v>
          </cell>
          <cell r="AO61">
            <v>0</v>
          </cell>
          <cell r="AP61">
            <v>789563.6863454266</v>
          </cell>
          <cell r="AQ61">
            <v>67594.173039373636</v>
          </cell>
          <cell r="AR61">
            <v>897600.72126951173</v>
          </cell>
          <cell r="AS61">
            <v>77018.674510106095</v>
          </cell>
          <cell r="AT61">
            <v>1005637.7561935969</v>
          </cell>
          <cell r="AU61">
            <v>86443.175980838554</v>
          </cell>
          <cell r="AV61">
            <v>1340038.1023871941</v>
          </cell>
          <cell r="AW61">
            <v>115614.25196167707</v>
          </cell>
        </row>
        <row r="62">
          <cell r="B62" t="str">
            <v>033507</v>
          </cell>
          <cell r="C62" t="str">
            <v>GLEN EIRA GREENWASTE</v>
          </cell>
          <cell r="D62">
            <v>2043737</v>
          </cell>
          <cell r="E62">
            <v>1593153.16</v>
          </cell>
          <cell r="F62">
            <v>0.22085012763443326</v>
          </cell>
          <cell r="G62">
            <v>269921</v>
          </cell>
          <cell r="H62">
            <v>211084.65</v>
          </cell>
          <cell r="I62">
            <v>0.15216967261542347</v>
          </cell>
          <cell r="J62">
            <v>173568.55</v>
          </cell>
          <cell r="K62">
            <v>31208.66</v>
          </cell>
          <cell r="L62">
            <v>28918.594636840247</v>
          </cell>
          <cell r="M62">
            <v>4055.5995838822923</v>
          </cell>
          <cell r="N62">
            <v>26403.934233636752</v>
          </cell>
          <cell r="O62">
            <v>3702.9387505012251</v>
          </cell>
          <cell r="P62">
            <v>26403.934233636752</v>
          </cell>
          <cell r="Q62">
            <v>3702.9387505012251</v>
          </cell>
          <cell r="R62">
            <v>81726.463104113747</v>
          </cell>
          <cell r="S62">
            <v>11461.477084884742</v>
          </cell>
          <cell r="T62">
            <v>81726.463104113762</v>
          </cell>
          <cell r="U62">
            <v>11461.477084884742</v>
          </cell>
          <cell r="V62">
            <v>163452.92620822752</v>
          </cell>
          <cell r="W62">
            <v>22922.954169769484</v>
          </cell>
          <cell r="X62">
            <v>337021.47620822751</v>
          </cell>
          <cell r="Y62">
            <v>54131.614169769484</v>
          </cell>
          <cell r="Z62">
            <v>166721.98473239204</v>
          </cell>
          <cell r="AA62">
            <v>23381.413253164868</v>
          </cell>
          <cell r="AB62">
            <v>166721.98473239204</v>
          </cell>
          <cell r="AC62">
            <v>23381.413253164868</v>
          </cell>
          <cell r="AD62">
            <v>333443.96946478408</v>
          </cell>
          <cell r="AE62">
            <v>46762.826506329737</v>
          </cell>
          <cell r="AF62" t="e">
            <v>#N/A</v>
          </cell>
          <cell r="AG62">
            <v>41090</v>
          </cell>
          <cell r="AH62" t="e">
            <v>#N/A</v>
          </cell>
          <cell r="AI62" t="e">
            <v>#N/A</v>
          </cell>
          <cell r="AJ62">
            <v>3928</v>
          </cell>
          <cell r="AK62">
            <v>140288</v>
          </cell>
          <cell r="AL62">
            <v>1096256.2643269883</v>
          </cell>
          <cell r="AM62">
            <v>141398.86932390078</v>
          </cell>
          <cell r="AN62">
            <v>0</v>
          </cell>
          <cell r="AO62">
            <v>0</v>
          </cell>
          <cell r="AP62">
            <v>202487.14463684024</v>
          </cell>
          <cell r="AQ62">
            <v>35264.259583882289</v>
          </cell>
          <cell r="AR62">
            <v>228891.07887047698</v>
          </cell>
          <cell r="AS62">
            <v>38967.198334383516</v>
          </cell>
          <cell r="AT62">
            <v>255295.01310411372</v>
          </cell>
          <cell r="AU62">
            <v>42670.137084884744</v>
          </cell>
          <cell r="AV62">
            <v>337021.47620822751</v>
          </cell>
          <cell r="AW62">
            <v>54131.614169769484</v>
          </cell>
        </row>
        <row r="63">
          <cell r="B63" t="str">
            <v>033601</v>
          </cell>
          <cell r="C63" t="str">
            <v>KNOX DOMESTIC</v>
          </cell>
          <cell r="D63">
            <v>13238040</v>
          </cell>
          <cell r="E63">
            <v>10409512.57</v>
          </cell>
          <cell r="F63">
            <v>0.21400675730271293</v>
          </cell>
          <cell r="G63">
            <v>1913995</v>
          </cell>
          <cell r="H63">
            <v>1508889.72</v>
          </cell>
          <cell r="I63">
            <v>0.1690204339527086</v>
          </cell>
          <cell r="J63">
            <v>1156103.43</v>
          </cell>
          <cell r="K63">
            <v>164476.82</v>
          </cell>
          <cell r="L63">
            <v>202280.64831273834</v>
          </cell>
          <cell r="M63">
            <v>28810.974181780573</v>
          </cell>
          <cell r="N63">
            <v>184691.02672032634</v>
          </cell>
          <cell r="O63">
            <v>25979.585122495326</v>
          </cell>
          <cell r="P63">
            <v>184691.02672032634</v>
          </cell>
          <cell r="Q63">
            <v>25979.585122495326</v>
          </cell>
          <cell r="R63">
            <v>571662.70175339095</v>
          </cell>
          <cell r="S63">
            <v>80770.144426771221</v>
          </cell>
          <cell r="T63">
            <v>571662.70175339095</v>
          </cell>
          <cell r="U63">
            <v>80770.144426771221</v>
          </cell>
          <cell r="V63">
            <v>1143325.4035067819</v>
          </cell>
          <cell r="W63">
            <v>161540.28885354244</v>
          </cell>
          <cell r="X63">
            <v>2299428.8335067816</v>
          </cell>
          <cell r="Y63">
            <v>326017.10885354248</v>
          </cell>
          <cell r="Z63">
            <v>1166191.9115769179</v>
          </cell>
          <cell r="AA63">
            <v>165277.09623061313</v>
          </cell>
          <cell r="AB63">
            <v>1166191.9115769179</v>
          </cell>
          <cell r="AC63">
            <v>165277.09623061313</v>
          </cell>
          <cell r="AD63">
            <v>2332383.8231538357</v>
          </cell>
          <cell r="AE63">
            <v>330554.19246122625</v>
          </cell>
          <cell r="AF63" t="e">
            <v>#N/A</v>
          </cell>
          <cell r="AG63">
            <v>41090</v>
          </cell>
          <cell r="AH63" t="e">
            <v>#N/A</v>
          </cell>
          <cell r="AI63" t="e">
            <v>#N/A</v>
          </cell>
          <cell r="AJ63">
            <v>28244</v>
          </cell>
          <cell r="AK63">
            <v>991663</v>
          </cell>
          <cell r="AL63">
            <v>6933803.3433393827</v>
          </cell>
          <cell r="AM63">
            <v>1016795.2386852313</v>
          </cell>
          <cell r="AN63">
            <v>0</v>
          </cell>
          <cell r="AO63">
            <v>0</v>
          </cell>
          <cell r="AP63">
            <v>1358384.0783127383</v>
          </cell>
          <cell r="AQ63">
            <v>193287.79418178057</v>
          </cell>
          <cell r="AR63">
            <v>1543075.1050330647</v>
          </cell>
          <cell r="AS63">
            <v>219267.37930427591</v>
          </cell>
          <cell r="AT63">
            <v>1727766.1317533911</v>
          </cell>
          <cell r="AU63">
            <v>245246.96442677124</v>
          </cell>
          <cell r="AV63">
            <v>2299428.8335067816</v>
          </cell>
          <cell r="AW63">
            <v>326017.10885354248</v>
          </cell>
        </row>
        <row r="64">
          <cell r="B64" t="str">
            <v>033604</v>
          </cell>
          <cell r="C64" t="str">
            <v>KNOX RECYCLING</v>
          </cell>
          <cell r="D64">
            <v>6805647</v>
          </cell>
          <cell r="E64">
            <v>5393274.2599999998</v>
          </cell>
          <cell r="F64">
            <v>0.21080022135745757</v>
          </cell>
          <cell r="G64">
            <v>585843</v>
          </cell>
          <cell r="H64">
            <v>484606.32</v>
          </cell>
          <cell r="I64">
            <v>9.4189945535261235E-2</v>
          </cell>
          <cell r="J64">
            <v>594053.93999999994</v>
          </cell>
          <cell r="K64">
            <v>59046.34</v>
          </cell>
          <cell r="L64">
            <v>103412.21701231138</v>
          </cell>
          <cell r="M64">
            <v>10479.459488597195</v>
          </cell>
          <cell r="N64">
            <v>94419.850315588657</v>
          </cell>
          <cell r="O64">
            <v>9380.4899678496058</v>
          </cell>
          <cell r="P64">
            <v>94419.850315588657</v>
          </cell>
          <cell r="Q64">
            <v>9380.4899678496058</v>
          </cell>
          <cell r="R64">
            <v>292251.91764348868</v>
          </cell>
          <cell r="S64">
            <v>29240.439424296404</v>
          </cell>
          <cell r="T64">
            <v>292251.91764348868</v>
          </cell>
          <cell r="U64">
            <v>29240.439424296426</v>
          </cell>
          <cell r="V64">
            <v>584503.83528697735</v>
          </cell>
          <cell r="W64">
            <v>58480.878848592831</v>
          </cell>
          <cell r="X64">
            <v>1178557.7752869772</v>
          </cell>
          <cell r="Y64">
            <v>117527.21884859283</v>
          </cell>
          <cell r="Z64">
            <v>596193.91199271695</v>
          </cell>
          <cell r="AA64">
            <v>58273.481125564729</v>
          </cell>
          <cell r="AB64">
            <v>596193.91199271695</v>
          </cell>
          <cell r="AC64">
            <v>58273.481125564729</v>
          </cell>
          <cell r="AD64">
            <v>1192387.8239854339</v>
          </cell>
          <cell r="AE64">
            <v>116546.96225112946</v>
          </cell>
          <cell r="AF64" t="e">
            <v>#N/A</v>
          </cell>
          <cell r="AG64">
            <v>41090</v>
          </cell>
          <cell r="AH64" t="e">
            <v>#N/A</v>
          </cell>
          <cell r="AI64" t="e">
            <v>#N/A</v>
          </cell>
          <cell r="AJ64">
            <v>8599</v>
          </cell>
          <cell r="AK64">
            <v>349641</v>
          </cell>
          <cell r="AL64">
            <v>3616382.6007275879</v>
          </cell>
          <cell r="AM64">
            <v>309578.47890027775</v>
          </cell>
          <cell r="AN64">
            <v>0</v>
          </cell>
          <cell r="AO64">
            <v>0</v>
          </cell>
          <cell r="AP64">
            <v>697466.15701231128</v>
          </cell>
          <cell r="AQ64">
            <v>69525.799488597186</v>
          </cell>
          <cell r="AR64">
            <v>791886.00732789992</v>
          </cell>
          <cell r="AS64">
            <v>78906.289456446786</v>
          </cell>
          <cell r="AT64">
            <v>886305.85764348856</v>
          </cell>
          <cell r="AU64">
            <v>88286.779424296386</v>
          </cell>
          <cell r="AV64">
            <v>1178557.7752869772</v>
          </cell>
          <cell r="AW64">
            <v>117527.21884859283</v>
          </cell>
        </row>
        <row r="65">
          <cell r="B65" t="str">
            <v>033607</v>
          </cell>
          <cell r="C65" t="str">
            <v>KNOX GREENWASTE</v>
          </cell>
          <cell r="D65">
            <v>4777123</v>
          </cell>
          <cell r="E65">
            <v>3669176.35</v>
          </cell>
          <cell r="F65">
            <v>0.23292773240757414</v>
          </cell>
          <cell r="G65">
            <v>751598</v>
          </cell>
          <cell r="H65">
            <v>581307.76</v>
          </cell>
          <cell r="I65">
            <v>0.18670806913383969</v>
          </cell>
          <cell r="J65">
            <v>453491.06</v>
          </cell>
          <cell r="K65">
            <v>71640.850000000006</v>
          </cell>
          <cell r="L65">
            <v>79037.792685066001</v>
          </cell>
          <cell r="M65">
            <v>12361.807672320945</v>
          </cell>
          <cell r="N65">
            <v>72164.941147234174</v>
          </cell>
          <cell r="O65">
            <v>11286.867874727812</v>
          </cell>
          <cell r="P65">
            <v>72164.941147234174</v>
          </cell>
          <cell r="Q65">
            <v>11286.867874727812</v>
          </cell>
          <cell r="R65">
            <v>223367.67497953435</v>
          </cell>
          <cell r="S65">
            <v>34935.543421776572</v>
          </cell>
          <cell r="T65">
            <v>223367.67497953435</v>
          </cell>
          <cell r="U65">
            <v>34935.543421776543</v>
          </cell>
          <cell r="V65">
            <v>446735.3499590687</v>
          </cell>
          <cell r="W65">
            <v>69871.086843553116</v>
          </cell>
          <cell r="X65">
            <v>900226.40995906875</v>
          </cell>
          <cell r="Y65">
            <v>141511.93684355312</v>
          </cell>
          <cell r="Z65">
            <v>455670.05695825006</v>
          </cell>
          <cell r="AA65">
            <v>71268.508580424197</v>
          </cell>
          <cell r="AB65">
            <v>455670.05695825006</v>
          </cell>
          <cell r="AC65">
            <v>71268.508580424197</v>
          </cell>
          <cell r="AD65">
            <v>911340.11391650012</v>
          </cell>
          <cell r="AE65">
            <v>142537.01716084839</v>
          </cell>
          <cell r="AF65" t="e">
            <v>#N/A</v>
          </cell>
          <cell r="AG65">
            <v>41090</v>
          </cell>
          <cell r="AH65" t="e">
            <v>#N/A</v>
          </cell>
          <cell r="AI65" t="e">
            <v>#N/A</v>
          </cell>
          <cell r="AJ65">
            <v>10247</v>
          </cell>
          <cell r="AK65">
            <v>427611</v>
          </cell>
          <cell r="AL65">
            <v>2311100.8861244316</v>
          </cell>
          <cell r="AM65">
            <v>368899.65599559853</v>
          </cell>
          <cell r="AN65">
            <v>0</v>
          </cell>
          <cell r="AO65">
            <v>0</v>
          </cell>
          <cell r="AP65">
            <v>532528.85268506594</v>
          </cell>
          <cell r="AQ65">
            <v>84002.657672320958</v>
          </cell>
          <cell r="AR65">
            <v>604693.79383230011</v>
          </cell>
          <cell r="AS65">
            <v>95289.525547048775</v>
          </cell>
          <cell r="AT65">
            <v>676858.73497953429</v>
          </cell>
          <cell r="AU65">
            <v>106576.39342177659</v>
          </cell>
          <cell r="AV65">
            <v>900226.40995906875</v>
          </cell>
          <cell r="AW65">
            <v>141511.93684355312</v>
          </cell>
        </row>
        <row r="66">
          <cell r="B66" t="str">
            <v>033701</v>
          </cell>
          <cell r="C66" t="str">
            <v>MOONEE VALLEY DOMESTIC</v>
          </cell>
          <cell r="D66">
            <v>9082060</v>
          </cell>
          <cell r="E66">
            <v>9082060</v>
          </cell>
          <cell r="F66">
            <v>0</v>
          </cell>
          <cell r="G66">
            <v>1184617</v>
          </cell>
          <cell r="H66">
            <v>1184617</v>
          </cell>
          <cell r="I66">
            <v>0.1500000696427945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146710.20000000001</v>
          </cell>
          <cell r="Q66">
            <v>19072.326000000001</v>
          </cell>
          <cell r="R66">
            <v>146710.20000000001</v>
          </cell>
          <cell r="S66">
            <v>19072.326000000001</v>
          </cell>
          <cell r="T66">
            <v>454103</v>
          </cell>
          <cell r="U66">
            <v>59033.39</v>
          </cell>
          <cell r="V66">
            <v>600813.19999999995</v>
          </cell>
          <cell r="W66">
            <v>78105.716</v>
          </cell>
          <cell r="X66">
            <v>600813.19999999995</v>
          </cell>
          <cell r="Y66">
            <v>78105.716</v>
          </cell>
          <cell r="Z66">
            <v>908206</v>
          </cell>
          <cell r="AA66">
            <v>118461.7</v>
          </cell>
          <cell r="AB66">
            <v>908206</v>
          </cell>
          <cell r="AC66">
            <v>118461.7</v>
          </cell>
          <cell r="AD66">
            <v>1816412</v>
          </cell>
          <cell r="AE66">
            <v>236923.4</v>
          </cell>
          <cell r="AF66" t="e">
            <v>#N/A</v>
          </cell>
          <cell r="AG66">
            <v>41333</v>
          </cell>
          <cell r="AH66" t="e">
            <v>#N/A</v>
          </cell>
          <cell r="AI66" t="e">
            <v>#N/A</v>
          </cell>
          <cell r="AJ66">
            <v>19763</v>
          </cell>
          <cell r="AK66">
            <v>868719</v>
          </cell>
          <cell r="AL66">
            <v>6664834.8000000007</v>
          </cell>
          <cell r="AM66">
            <v>869587.88399999996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146710.20000000001</v>
          </cell>
          <cell r="AU66">
            <v>19072.326000000001</v>
          </cell>
          <cell r="AV66">
            <v>600813.19999999995</v>
          </cell>
          <cell r="AW66">
            <v>78105.716</v>
          </cell>
        </row>
        <row r="67">
          <cell r="B67" t="str">
            <v>032090</v>
          </cell>
          <cell r="C67" t="str">
            <v>MELBOURNE ADMINISTRATION</v>
          </cell>
          <cell r="D67">
            <v>0</v>
          </cell>
          <cell r="E67">
            <v>0</v>
          </cell>
          <cell r="F67">
            <v>0.24996928315214142</v>
          </cell>
          <cell r="G67">
            <v>-4449322.1566070337</v>
          </cell>
          <cell r="H67">
            <v>-3337128.2866070336</v>
          </cell>
          <cell r="I67">
            <v>-1</v>
          </cell>
          <cell r="J67">
            <v>0</v>
          </cell>
          <cell r="K67">
            <v>-1112193.8700000001</v>
          </cell>
          <cell r="L67">
            <v>0</v>
          </cell>
          <cell r="M67">
            <v>-175491.86222920826</v>
          </cell>
          <cell r="N67">
            <v>0</v>
          </cell>
          <cell r="O67">
            <v>-166666.48290492929</v>
          </cell>
          <cell r="P67">
            <v>0</v>
          </cell>
          <cell r="Q67">
            <v>-166666.48290492929</v>
          </cell>
          <cell r="R67">
            <v>0</v>
          </cell>
          <cell r="S67">
            <v>-508824.82803906687</v>
          </cell>
          <cell r="U67">
            <v>-508824.82803906687</v>
          </cell>
          <cell r="V67">
            <v>0</v>
          </cell>
          <cell r="W67">
            <v>-1017649.6560781337</v>
          </cell>
          <cell r="X67">
            <v>0</v>
          </cell>
          <cell r="Y67">
            <v>-2129843.5260781338</v>
          </cell>
          <cell r="Z67">
            <v>0</v>
          </cell>
          <cell r="AA67">
            <v>-1159739.3152644499</v>
          </cell>
          <cell r="AB67">
            <v>0</v>
          </cell>
          <cell r="AC67">
            <v>-1159739.3152644499</v>
          </cell>
          <cell r="AD67">
            <v>0</v>
          </cell>
          <cell r="AE67">
            <v>-2319478.6305288998</v>
          </cell>
          <cell r="AF67" t="e">
            <v>#N/A</v>
          </cell>
          <cell r="AG67">
            <v>0</v>
          </cell>
          <cell r="AH67" t="e">
            <v>#N/A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-1287685.7322292083</v>
          </cell>
          <cell r="AR67">
            <v>0</v>
          </cell>
          <cell r="AS67">
            <v>-1454352.2151341375</v>
          </cell>
          <cell r="AT67">
            <v>0</v>
          </cell>
          <cell r="AU67">
            <v>-1621018.6980390667</v>
          </cell>
          <cell r="AV67">
            <v>0</v>
          </cell>
          <cell r="AW67">
            <v>-2129843.5260781338</v>
          </cell>
        </row>
        <row r="68">
          <cell r="C68" t="str">
            <v>SUBTOTAL MELBOURNE C&amp;R</v>
          </cell>
          <cell r="D68">
            <v>229380381.40386581</v>
          </cell>
          <cell r="E68">
            <v>108066324.95386578</v>
          </cell>
          <cell r="G68">
            <v>16332982.292393269</v>
          </cell>
          <cell r="H68">
            <v>7163678.0323932702</v>
          </cell>
          <cell r="J68">
            <v>18854843.239999995</v>
          </cell>
          <cell r="K68">
            <v>522969.59</v>
          </cell>
          <cell r="L68">
            <v>3309380.5850929716</v>
          </cell>
          <cell r="M68">
            <v>118227.74117016382</v>
          </cell>
          <cell r="N68">
            <v>3010447.0742153227</v>
          </cell>
          <cell r="O68">
            <v>80683.222807540849</v>
          </cell>
          <cell r="P68">
            <v>3157157.2742153229</v>
          </cell>
          <cell r="Q68">
            <v>99755.548807540821</v>
          </cell>
          <cell r="R68">
            <v>9476984.9335236158</v>
          </cell>
          <cell r="S68">
            <v>298666.51278524555</v>
          </cell>
          <cell r="T68">
            <v>9784377.7335236166</v>
          </cell>
          <cell r="U68">
            <v>338457.57678524579</v>
          </cell>
          <cell r="V68">
            <v>19261362.667047232</v>
          </cell>
          <cell r="W68">
            <v>637124.08957049111</v>
          </cell>
          <cell r="X68">
            <v>38116205.907047242</v>
          </cell>
          <cell r="Y68">
            <v>1160093.679570491</v>
          </cell>
          <cell r="Z68">
            <v>19968666.10728696</v>
          </cell>
          <cell r="AA68">
            <v>593603.77377131092</v>
          </cell>
          <cell r="AB68">
            <v>18640628.067003164</v>
          </cell>
          <cell r="AC68">
            <v>452220.91376082064</v>
          </cell>
          <cell r="AD68">
            <v>38609294.174290121</v>
          </cell>
          <cell r="AE68">
            <v>1045824.6875321316</v>
          </cell>
          <cell r="AL68">
            <v>50195668.112528443</v>
          </cell>
          <cell r="AM68">
            <v>5480729.2552906461</v>
          </cell>
          <cell r="AN68">
            <v>0</v>
          </cell>
          <cell r="AO68">
            <v>0</v>
          </cell>
          <cell r="AP68">
            <v>22164223.825092971</v>
          </cell>
          <cell r="AQ68">
            <v>641197.33117016382</v>
          </cell>
          <cell r="AR68">
            <v>25174670.899308287</v>
          </cell>
          <cell r="AS68">
            <v>721880.55397770437</v>
          </cell>
          <cell r="AT68">
            <v>28331828.17352362</v>
          </cell>
          <cell r="AU68">
            <v>821636.10278524528</v>
          </cell>
          <cell r="AV68">
            <v>38116205.907047242</v>
          </cell>
          <cell r="AW68">
            <v>1160093.679570491</v>
          </cell>
        </row>
        <row r="69">
          <cell r="C69" t="str">
            <v>CONTRACT</v>
          </cell>
          <cell r="D69">
            <v>217071577.15896469</v>
          </cell>
          <cell r="E69">
            <v>104227649.56896466</v>
          </cell>
          <cell r="F69">
            <v>0.40624781877606547</v>
          </cell>
          <cell r="G69">
            <v>19520901.767296389</v>
          </cell>
          <cell r="H69">
            <v>9996810.7772963885</v>
          </cell>
          <cell r="I69">
            <v>7.9543008520439606E-2</v>
          </cell>
          <cell r="J69">
            <v>17580196.229999993</v>
          </cell>
          <cell r="K69">
            <v>1474541.49</v>
          </cell>
          <cell r="L69">
            <v>3085975.8941700826</v>
          </cell>
          <cell r="M69">
            <v>264093.24343178596</v>
          </cell>
          <cell r="N69">
            <v>2806468.8781552939</v>
          </cell>
          <cell r="O69">
            <v>220212.59443771755</v>
          </cell>
          <cell r="P69">
            <v>2953179.0781552941</v>
          </cell>
          <cell r="Q69">
            <v>239284.92043771752</v>
          </cell>
          <cell r="R69">
            <v>8845623.8504806682</v>
          </cell>
          <cell r="S69">
            <v>723590.75830722111</v>
          </cell>
          <cell r="T69">
            <v>9153016.650480669</v>
          </cell>
          <cell r="U69">
            <v>763381.82230722136</v>
          </cell>
          <cell r="V69">
            <v>17998640.500961337</v>
          </cell>
          <cell r="W69">
            <v>1486972.5806144422</v>
          </cell>
          <cell r="X69">
            <v>35578836.730961345</v>
          </cell>
          <cell r="Y69">
            <v>2961514.0706144422</v>
          </cell>
          <cell r="Z69">
            <v>18680689.497879349</v>
          </cell>
          <cell r="AA69">
            <v>1585245.9007008947</v>
          </cell>
          <cell r="AB69">
            <v>17352651.457595553</v>
          </cell>
          <cell r="AC69">
            <v>1443863.0406904044</v>
          </cell>
          <cell r="AD69">
            <v>36033340.955474898</v>
          </cell>
          <cell r="AE69">
            <v>3029108.941391299</v>
          </cell>
          <cell r="AL69">
            <v>50195668.112528443</v>
          </cell>
          <cell r="AM69">
            <v>5480729.2552906461</v>
          </cell>
          <cell r="AN69">
            <v>0</v>
          </cell>
          <cell r="AO69">
            <v>0</v>
          </cell>
          <cell r="AP69">
            <v>20666172.124170084</v>
          </cell>
          <cell r="AQ69">
            <v>1738634.7334317861</v>
          </cell>
          <cell r="AR69">
            <v>23472641.002325371</v>
          </cell>
          <cell r="AS69">
            <v>1958847.3278695031</v>
          </cell>
          <cell r="AT69">
            <v>26425820.080480672</v>
          </cell>
          <cell r="AU69">
            <v>2198132.2483072206</v>
          </cell>
          <cell r="AV69">
            <v>35578836.730961345</v>
          </cell>
          <cell r="AW69">
            <v>2961514.0706144422</v>
          </cell>
        </row>
        <row r="70">
          <cell r="C70" t="str">
            <v>COMMERCIAL</v>
          </cell>
          <cell r="D70">
            <v>12308804.244901115</v>
          </cell>
          <cell r="E70">
            <v>3838675.3849011157</v>
          </cell>
          <cell r="F70">
            <v>0.70582175335950403</v>
          </cell>
          <cell r="G70">
            <v>1261402.6817039151</v>
          </cell>
          <cell r="H70">
            <v>503995.54170391511</v>
          </cell>
          <cell r="I70">
            <v>7.8688497730798238E-2</v>
          </cell>
          <cell r="J70">
            <v>1274647.01</v>
          </cell>
          <cell r="K70">
            <v>160621.97</v>
          </cell>
          <cell r="L70">
            <v>223404.69092288881</v>
          </cell>
          <cell r="M70">
            <v>29626.359967586144</v>
          </cell>
          <cell r="N70">
            <v>203978.19606002897</v>
          </cell>
          <cell r="O70">
            <v>27137.11127475258</v>
          </cell>
          <cell r="P70">
            <v>203978.19606002897</v>
          </cell>
          <cell r="Q70">
            <v>27137.11127475258</v>
          </cell>
          <cell r="R70">
            <v>631361.08304294676</v>
          </cell>
          <cell r="S70">
            <v>83900.582517091301</v>
          </cell>
          <cell r="T70">
            <v>631361.08304294676</v>
          </cell>
          <cell r="U70">
            <v>83900.582517091272</v>
          </cell>
          <cell r="V70">
            <v>1262722.1660858935</v>
          </cell>
          <cell r="W70">
            <v>167801.16503418257</v>
          </cell>
          <cell r="X70">
            <v>2537369.1760858935</v>
          </cell>
          <cell r="Y70">
            <v>328423.13503418257</v>
          </cell>
          <cell r="Z70">
            <v>1287976.6094076114</v>
          </cell>
          <cell r="AA70">
            <v>168097.18833486622</v>
          </cell>
          <cell r="AB70">
            <v>1287976.6094076114</v>
          </cell>
          <cell r="AC70">
            <v>168097.18833486622</v>
          </cell>
          <cell r="AD70">
            <v>2575953.2188152228</v>
          </cell>
          <cell r="AE70">
            <v>336194.37666973245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1498051.7009228887</v>
          </cell>
          <cell r="AQ70">
            <v>190248.32996758615</v>
          </cell>
          <cell r="AR70">
            <v>1702029.8969829176</v>
          </cell>
          <cell r="AS70">
            <v>217385.44124233874</v>
          </cell>
          <cell r="AT70">
            <v>1906008.0930429464</v>
          </cell>
          <cell r="AU70">
            <v>244522.55251709133</v>
          </cell>
          <cell r="AV70">
            <v>2537369.1760858935</v>
          </cell>
          <cell r="AW70">
            <v>328423.13503418257</v>
          </cell>
        </row>
        <row r="71">
          <cell r="C71" t="str">
            <v>ADMINISTRATION</v>
          </cell>
          <cell r="D71">
            <v>0</v>
          </cell>
          <cell r="E71">
            <v>0</v>
          </cell>
          <cell r="F71">
            <v>0</v>
          </cell>
          <cell r="G71">
            <v>-4449322.1566070337</v>
          </cell>
          <cell r="H71">
            <v>-3337128.2866070336</v>
          </cell>
          <cell r="I71">
            <v>0</v>
          </cell>
          <cell r="J71">
            <v>0</v>
          </cell>
          <cell r="K71">
            <v>-1112193.8700000001</v>
          </cell>
          <cell r="L71">
            <v>0</v>
          </cell>
          <cell r="M71">
            <v>-175491.86222920826</v>
          </cell>
          <cell r="N71">
            <v>0</v>
          </cell>
          <cell r="O71">
            <v>-166666.48290492929</v>
          </cell>
          <cell r="P71">
            <v>0</v>
          </cell>
          <cell r="Q71">
            <v>-166666.48290492929</v>
          </cell>
          <cell r="R71">
            <v>0</v>
          </cell>
          <cell r="S71">
            <v>-508824.82803906687</v>
          </cell>
          <cell r="T71">
            <v>0</v>
          </cell>
          <cell r="U71">
            <v>-508824.82803906687</v>
          </cell>
          <cell r="V71">
            <v>0</v>
          </cell>
          <cell r="W71">
            <v>-1017649.6560781337</v>
          </cell>
          <cell r="X71">
            <v>0</v>
          </cell>
          <cell r="Y71">
            <v>-2129843.5260781338</v>
          </cell>
          <cell r="Z71">
            <v>0</v>
          </cell>
          <cell r="AA71">
            <v>-1159739.3152644499</v>
          </cell>
          <cell r="AB71">
            <v>0</v>
          </cell>
          <cell r="AC71">
            <v>-1159739.3152644499</v>
          </cell>
          <cell r="AD71">
            <v>0</v>
          </cell>
          <cell r="AE71">
            <v>-2319478.6305288998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-1287685.7322292083</v>
          </cell>
          <cell r="AR71">
            <v>0</v>
          </cell>
          <cell r="AS71">
            <v>-1454352.2151341375</v>
          </cell>
          <cell r="AT71">
            <v>0</v>
          </cell>
          <cell r="AU71">
            <v>-1621018.6980390667</v>
          </cell>
          <cell r="AV71">
            <v>0</v>
          </cell>
          <cell r="AW71">
            <v>-2129843.5260781338</v>
          </cell>
        </row>
        <row r="72">
          <cell r="B72" t="str">
            <v>TOTAL MELBOURNE C&amp;R</v>
          </cell>
          <cell r="D72">
            <v>229380381.40386581</v>
          </cell>
          <cell r="E72">
            <v>108066324.95386578</v>
          </cell>
          <cell r="G72">
            <v>16332982.292393269</v>
          </cell>
          <cell r="H72">
            <v>7163678.0323932702</v>
          </cell>
          <cell r="J72">
            <v>18854843.239999995</v>
          </cell>
          <cell r="K72">
            <v>522969.59</v>
          </cell>
          <cell r="L72">
            <v>3309380.5850929716</v>
          </cell>
          <cell r="M72">
            <v>118227.74117016382</v>
          </cell>
          <cell r="N72">
            <v>3010447.0742153227</v>
          </cell>
          <cell r="O72">
            <v>80683.222807540849</v>
          </cell>
          <cell r="P72">
            <v>3157157.2742153229</v>
          </cell>
          <cell r="Q72">
            <v>99755.548807540821</v>
          </cell>
          <cell r="R72">
            <v>9476984.9335236158</v>
          </cell>
          <cell r="S72">
            <v>298666.51278524555</v>
          </cell>
          <cell r="T72">
            <v>9784377.7335236166</v>
          </cell>
          <cell r="U72">
            <v>338457.57678524579</v>
          </cell>
          <cell r="V72">
            <v>19261362.667047232</v>
          </cell>
          <cell r="W72">
            <v>637124.08957049111</v>
          </cell>
          <cell r="X72">
            <v>38116205.907047242</v>
          </cell>
          <cell r="Y72">
            <v>1160093.679570491</v>
          </cell>
          <cell r="Z72">
            <v>19968666.10728696</v>
          </cell>
          <cell r="AA72">
            <v>593603.77377131092</v>
          </cell>
          <cell r="AB72">
            <v>18640628.067003164</v>
          </cell>
          <cell r="AC72">
            <v>452220.91376082064</v>
          </cell>
          <cell r="AD72">
            <v>38609294.174290121</v>
          </cell>
          <cell r="AE72">
            <v>1045824.6875321316</v>
          </cell>
          <cell r="AL72">
            <v>50195668.112528443</v>
          </cell>
          <cell r="AM72">
            <v>5480729.2552906461</v>
          </cell>
          <cell r="AN72">
            <v>0</v>
          </cell>
          <cell r="AO72">
            <v>0</v>
          </cell>
          <cell r="AP72">
            <v>22164223.825092971</v>
          </cell>
          <cell r="AQ72">
            <v>641197.33117016382</v>
          </cell>
          <cell r="AR72">
            <v>25174670.899308287</v>
          </cell>
          <cell r="AS72">
            <v>721880.55397770437</v>
          </cell>
          <cell r="AT72">
            <v>28331828.17352362</v>
          </cell>
          <cell r="AU72">
            <v>821636.10278524528</v>
          </cell>
          <cell r="AV72">
            <v>38116205.907047242</v>
          </cell>
          <cell r="AW72">
            <v>1160093.679570491</v>
          </cell>
        </row>
        <row r="73">
          <cell r="B73" t="str">
            <v>AUCKLAND C&amp;R</v>
          </cell>
        </row>
        <row r="74">
          <cell r="B74">
            <v>121104</v>
          </cell>
          <cell r="C74" t="str">
            <v>AUCKLAND C&amp;R</v>
          </cell>
          <cell r="D74">
            <v>32557869</v>
          </cell>
          <cell r="E74">
            <v>32557869</v>
          </cell>
          <cell r="F74">
            <v>0</v>
          </cell>
          <cell r="G74">
            <v>3555079</v>
          </cell>
          <cell r="H74">
            <v>3555079</v>
          </cell>
          <cell r="I74">
            <v>0.12257713826842176</v>
          </cell>
          <cell r="J74">
            <v>0</v>
          </cell>
          <cell r="K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2325562.0714285714</v>
          </cell>
          <cell r="AA74">
            <v>253934.21428571426</v>
          </cell>
          <cell r="AB74">
            <v>2325562.0714285714</v>
          </cell>
          <cell r="AC74">
            <v>253934.21428571426</v>
          </cell>
          <cell r="AD74">
            <v>4651124.1428571427</v>
          </cell>
          <cell r="AE74">
            <v>507868.42857142852</v>
          </cell>
          <cell r="AF74" t="e">
            <v>#N/A</v>
          </cell>
          <cell r="AG74">
            <v>42185</v>
          </cell>
          <cell r="AH74" t="e">
            <v>#N/A</v>
          </cell>
          <cell r="AI74" t="e">
            <v>#N/A</v>
          </cell>
          <cell r="AJ74">
            <v>42322</v>
          </cell>
          <cell r="AK74">
            <v>3047211</v>
          </cell>
          <cell r="AL74">
            <v>27906744.857142858</v>
          </cell>
          <cell r="AM74">
            <v>3047210.5714285714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</row>
        <row r="75">
          <cell r="B75" t="str">
            <v>TOTAL WASTE MANAGEMENT</v>
          </cell>
          <cell r="D75">
            <v>261938250.40386581</v>
          </cell>
          <cell r="E75">
            <v>140624193.95386577</v>
          </cell>
          <cell r="F75">
            <v>0</v>
          </cell>
          <cell r="G75">
            <v>19888061.292393267</v>
          </cell>
          <cell r="H75">
            <v>10718757.032393269</v>
          </cell>
          <cell r="J75">
            <v>18854843.239999995</v>
          </cell>
          <cell r="K75">
            <v>522969.59</v>
          </cell>
          <cell r="L75">
            <v>3309380.5850929716</v>
          </cell>
          <cell r="M75">
            <v>118227.74117016382</v>
          </cell>
          <cell r="N75">
            <v>3010447.0742153227</v>
          </cell>
          <cell r="O75">
            <v>80683.222807540849</v>
          </cell>
          <cell r="P75">
            <v>3157157.2742153229</v>
          </cell>
          <cell r="Q75">
            <v>99755.548807540821</v>
          </cell>
          <cell r="R75">
            <v>9476984.9335236158</v>
          </cell>
          <cell r="S75">
            <v>298666.51278524555</v>
          </cell>
          <cell r="T75">
            <v>9784377.7335236166</v>
          </cell>
          <cell r="U75">
            <v>338457.57678524579</v>
          </cell>
          <cell r="V75">
            <v>19261362.667047232</v>
          </cell>
          <cell r="W75">
            <v>637124.08957049111</v>
          </cell>
          <cell r="X75">
            <v>38116205.907047242</v>
          </cell>
          <cell r="Y75">
            <v>1160093.679570491</v>
          </cell>
          <cell r="Z75">
            <v>22294228.178715531</v>
          </cell>
          <cell r="AA75">
            <v>847537.98805702524</v>
          </cell>
          <cell r="AB75">
            <v>20966190.138431735</v>
          </cell>
          <cell r="AC75">
            <v>706155.12804653496</v>
          </cell>
          <cell r="AD75">
            <v>43260418.317147262</v>
          </cell>
          <cell r="AE75">
            <v>1553693.1161035602</v>
          </cell>
          <cell r="AL75">
            <v>78102412.969671309</v>
          </cell>
          <cell r="AM75">
            <v>8527939.826719217</v>
          </cell>
          <cell r="AN75">
            <v>0</v>
          </cell>
          <cell r="AO75">
            <v>0</v>
          </cell>
          <cell r="AP75">
            <v>22164223.825092971</v>
          </cell>
          <cell r="AQ75">
            <v>641197.33117016382</v>
          </cell>
          <cell r="AR75">
            <v>25174670.899308287</v>
          </cell>
          <cell r="AS75">
            <v>721880.55397770437</v>
          </cell>
          <cell r="AT75">
            <v>28331828.17352362</v>
          </cell>
          <cell r="AU75">
            <v>821636.10278524528</v>
          </cell>
          <cell r="AV75">
            <v>38116205.907047242</v>
          </cell>
          <cell r="AW75">
            <v>1160093.679570491</v>
          </cell>
        </row>
        <row r="76">
          <cell r="K76">
            <v>0</v>
          </cell>
        </row>
        <row r="77">
          <cell r="B77" t="str">
            <v>REMEDIATION</v>
          </cell>
        </row>
        <row r="78">
          <cell r="B78" t="str">
            <v>034015</v>
          </cell>
          <cell r="C78" t="str">
            <v>HIGHETT GASWORKS</v>
          </cell>
          <cell r="D78">
            <v>12275000</v>
          </cell>
          <cell r="E78">
            <v>1436470.54</v>
          </cell>
          <cell r="F78">
            <v>0.88297592303945438</v>
          </cell>
          <cell r="G78">
            <v>2010000</v>
          </cell>
          <cell r="H78">
            <v>235218.39</v>
          </cell>
          <cell r="I78">
            <v>0.19581100828056502</v>
          </cell>
          <cell r="J78">
            <v>2303035.91</v>
          </cell>
          <cell r="K78">
            <v>595526.43999999994</v>
          </cell>
          <cell r="L78">
            <v>215500</v>
          </cell>
          <cell r="M78">
            <v>30000</v>
          </cell>
          <cell r="N78">
            <v>275000</v>
          </cell>
          <cell r="O78">
            <v>42000</v>
          </cell>
          <cell r="P78">
            <v>275000</v>
          </cell>
          <cell r="Q78">
            <v>45000</v>
          </cell>
          <cell r="R78">
            <v>765500</v>
          </cell>
          <cell r="S78">
            <v>117000</v>
          </cell>
          <cell r="T78">
            <v>670971</v>
          </cell>
          <cell r="U78">
            <v>118218</v>
          </cell>
          <cell r="V78">
            <v>1436471</v>
          </cell>
          <cell r="W78">
            <v>235218</v>
          </cell>
          <cell r="X78">
            <v>3739506.91</v>
          </cell>
          <cell r="Y78">
            <v>830744.44</v>
          </cell>
          <cell r="AD78">
            <v>0</v>
          </cell>
          <cell r="AE78">
            <v>0</v>
          </cell>
          <cell r="AF78" t="e">
            <v>#N/A</v>
          </cell>
          <cell r="AG78">
            <v>41274</v>
          </cell>
          <cell r="AH78" t="e">
            <v>#N/A</v>
          </cell>
          <cell r="AI78" t="e">
            <v>#N/A</v>
          </cell>
          <cell r="AJ78">
            <v>0</v>
          </cell>
          <cell r="AK78">
            <v>0</v>
          </cell>
          <cell r="AL78">
            <v>-0.4599999999627471</v>
          </cell>
          <cell r="AM78">
            <v>0.39000000001396984</v>
          </cell>
          <cell r="AN78">
            <v>0</v>
          </cell>
          <cell r="AO78">
            <v>0</v>
          </cell>
          <cell r="AP78">
            <v>2518535.91</v>
          </cell>
          <cell r="AQ78">
            <v>625526.43999999994</v>
          </cell>
          <cell r="AR78">
            <v>2793535.91</v>
          </cell>
          <cell r="AS78">
            <v>667526.43999999994</v>
          </cell>
          <cell r="AT78">
            <v>3068535.91</v>
          </cell>
          <cell r="AU78">
            <v>712526.44</v>
          </cell>
          <cell r="AV78">
            <v>3739506.91</v>
          </cell>
          <cell r="AW78">
            <v>830744.44</v>
          </cell>
        </row>
        <row r="79">
          <cell r="B79" t="str">
            <v>034099</v>
          </cell>
          <cell r="C79" t="str">
            <v>REMEDIATION SUNDRY JOBS</v>
          </cell>
          <cell r="D79">
            <v>262272.8</v>
          </cell>
          <cell r="E79">
            <v>0</v>
          </cell>
          <cell r="F79">
            <v>1</v>
          </cell>
          <cell r="G79">
            <v>34209.5</v>
          </cell>
          <cell r="H79">
            <v>0</v>
          </cell>
          <cell r="I79">
            <v>0.15000002192373785</v>
          </cell>
          <cell r="J79">
            <v>262272.8</v>
          </cell>
          <cell r="K79">
            <v>34209.5</v>
          </cell>
          <cell r="R79">
            <v>0</v>
          </cell>
          <cell r="S79">
            <v>0</v>
          </cell>
          <cell r="V79">
            <v>0</v>
          </cell>
          <cell r="W79">
            <v>0</v>
          </cell>
          <cell r="X79">
            <v>262272.8</v>
          </cell>
          <cell r="Y79">
            <v>34209.5</v>
          </cell>
          <cell r="AD79">
            <v>0</v>
          </cell>
          <cell r="AE79">
            <v>0</v>
          </cell>
          <cell r="AF79" t="e">
            <v>#N/A</v>
          </cell>
          <cell r="AH79" t="e">
            <v>#N/A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262272.8</v>
          </cell>
          <cell r="AQ79">
            <v>34209.5</v>
          </cell>
          <cell r="AR79">
            <v>262272.8</v>
          </cell>
          <cell r="AS79">
            <v>34209.5</v>
          </cell>
          <cell r="AT79">
            <v>262272.8</v>
          </cell>
          <cell r="AU79">
            <v>34209.5</v>
          </cell>
          <cell r="AV79">
            <v>262272.8</v>
          </cell>
          <cell r="AW79">
            <v>34209.5</v>
          </cell>
        </row>
        <row r="80">
          <cell r="B80" t="str">
            <v>TOTAL REMEDIATION</v>
          </cell>
          <cell r="D80">
            <v>27784727.099999998</v>
          </cell>
          <cell r="E80">
            <v>1570397.78</v>
          </cell>
          <cell r="G80">
            <v>3738584.46</v>
          </cell>
          <cell r="H80">
            <v>271909.95</v>
          </cell>
          <cell r="J80">
            <v>5836921.2599999988</v>
          </cell>
          <cell r="K80">
            <v>1019051.18</v>
          </cell>
          <cell r="L80">
            <v>215500</v>
          </cell>
          <cell r="M80">
            <v>30000</v>
          </cell>
          <cell r="N80">
            <v>275000</v>
          </cell>
          <cell r="O80">
            <v>42000</v>
          </cell>
          <cell r="P80">
            <v>275000</v>
          </cell>
          <cell r="Q80">
            <v>45000</v>
          </cell>
          <cell r="R80">
            <v>765500</v>
          </cell>
          <cell r="S80">
            <v>117000</v>
          </cell>
          <cell r="T80">
            <v>670971</v>
          </cell>
          <cell r="U80">
            <v>118218</v>
          </cell>
          <cell r="V80">
            <v>1436471</v>
          </cell>
          <cell r="W80">
            <v>235218</v>
          </cell>
          <cell r="X80">
            <v>4001779.71</v>
          </cell>
          <cell r="Y80">
            <v>864953.94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L80">
            <v>-0.4599999999627471</v>
          </cell>
          <cell r="AM80">
            <v>0.39000000001396984</v>
          </cell>
          <cell r="AN80">
            <v>0</v>
          </cell>
          <cell r="AO80">
            <v>0</v>
          </cell>
          <cell r="AP80">
            <v>2780808.71</v>
          </cell>
          <cell r="AQ80">
            <v>659735.93999999994</v>
          </cell>
          <cell r="AR80">
            <v>3055808.71</v>
          </cell>
          <cell r="AS80">
            <v>701735.94</v>
          </cell>
          <cell r="AT80">
            <v>3330808.71</v>
          </cell>
          <cell r="AU80">
            <v>746735.94</v>
          </cell>
          <cell r="AV80">
            <v>4001779.71</v>
          </cell>
          <cell r="AW80">
            <v>864953.94</v>
          </cell>
        </row>
        <row r="81">
          <cell r="B81" t="str">
            <v>TELECOMMUNICATIONS</v>
          </cell>
          <cell r="K81">
            <v>0</v>
          </cell>
        </row>
        <row r="83">
          <cell r="B83" t="str">
            <v>TOTAL TELECOMMUNICATIONS</v>
          </cell>
          <cell r="D83">
            <v>0</v>
          </cell>
          <cell r="E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</row>
        <row r="84">
          <cell r="B84" t="str">
            <v>UTILITIES</v>
          </cell>
        </row>
        <row r="85">
          <cell r="B85" t="str">
            <v>MELBOURNE WATER</v>
          </cell>
        </row>
        <row r="86">
          <cell r="B86" t="str">
            <v>036611</v>
          </cell>
          <cell r="C86" t="str">
            <v>LAND MANAGEMENT</v>
          </cell>
          <cell r="D86">
            <v>55200000</v>
          </cell>
          <cell r="E86">
            <v>29379968.560000002</v>
          </cell>
          <cell r="F86">
            <v>0.46584470581309778</v>
          </cell>
          <cell r="G86">
            <v>4237500</v>
          </cell>
          <cell r="H86">
            <v>2158079.38</v>
          </cell>
          <cell r="I86">
            <v>8.3149374540103016E-2</v>
          </cell>
          <cell r="J86">
            <v>3895911.75</v>
          </cell>
          <cell r="K86">
            <v>349634.9</v>
          </cell>
          <cell r="L86">
            <v>450000</v>
          </cell>
          <cell r="M86">
            <v>33750</v>
          </cell>
          <cell r="N86">
            <v>650000</v>
          </cell>
          <cell r="O86">
            <v>48750</v>
          </cell>
          <cell r="P86">
            <v>550000</v>
          </cell>
          <cell r="Q86">
            <v>41250</v>
          </cell>
          <cell r="R86">
            <v>1650000</v>
          </cell>
          <cell r="S86">
            <v>123750</v>
          </cell>
          <cell r="T86">
            <v>1650000</v>
          </cell>
          <cell r="U86">
            <v>123750</v>
          </cell>
          <cell r="V86">
            <v>3300000</v>
          </cell>
          <cell r="W86">
            <v>247500</v>
          </cell>
          <cell r="X86">
            <v>7195911.75</v>
          </cell>
          <cell r="Y86">
            <v>597134.9</v>
          </cell>
          <cell r="Z86">
            <v>4000000</v>
          </cell>
          <cell r="AA86">
            <v>300000</v>
          </cell>
          <cell r="AB86">
            <v>4000000</v>
          </cell>
          <cell r="AC86">
            <v>300000</v>
          </cell>
          <cell r="AD86">
            <v>8000000</v>
          </cell>
          <cell r="AE86">
            <v>600000</v>
          </cell>
          <cell r="AF86" t="e">
            <v>#N/A</v>
          </cell>
          <cell r="AG86">
            <v>40816</v>
          </cell>
          <cell r="AH86" t="e">
            <v>#N/A</v>
          </cell>
          <cell r="AI86" t="e">
            <v>#N/A</v>
          </cell>
          <cell r="AJ86">
            <v>48540</v>
          </cell>
          <cell r="AK86">
            <v>1350000</v>
          </cell>
          <cell r="AL86">
            <v>18079968.560000002</v>
          </cell>
          <cell r="AM86">
            <v>1310579.3799999999</v>
          </cell>
          <cell r="AN86">
            <v>0</v>
          </cell>
          <cell r="AO86">
            <v>0</v>
          </cell>
          <cell r="AP86">
            <v>4345911.75</v>
          </cell>
          <cell r="AQ86">
            <v>383384.9</v>
          </cell>
          <cell r="AR86">
            <v>4995911.75</v>
          </cell>
          <cell r="AS86">
            <v>432134.9</v>
          </cell>
          <cell r="AT86">
            <v>5545911.75</v>
          </cell>
          <cell r="AU86">
            <v>473384.9</v>
          </cell>
          <cell r="AV86">
            <v>7195911.75</v>
          </cell>
          <cell r="AW86">
            <v>597134.9</v>
          </cell>
        </row>
        <row r="87">
          <cell r="B87" t="str">
            <v>036612</v>
          </cell>
          <cell r="C87" t="str">
            <v>WATERWAYS / DRAINAGE - NTH</v>
          </cell>
          <cell r="D87">
            <v>31400000</v>
          </cell>
          <cell r="E87">
            <v>16321097.130000001</v>
          </cell>
          <cell r="F87">
            <v>0.4774686711988777</v>
          </cell>
          <cell r="G87">
            <v>2440625</v>
          </cell>
          <cell r="H87">
            <v>1188916.43</v>
          </cell>
          <cell r="I87">
            <v>8.4277543973238375E-2</v>
          </cell>
          <cell r="J87">
            <v>2263336.48</v>
          </cell>
          <cell r="K87">
            <v>189426.13</v>
          </cell>
          <cell r="L87">
            <v>340000</v>
          </cell>
          <cell r="M87">
            <v>25500</v>
          </cell>
          <cell r="N87">
            <v>340000</v>
          </cell>
          <cell r="O87">
            <v>25500</v>
          </cell>
          <cell r="P87">
            <v>340000</v>
          </cell>
          <cell r="Q87">
            <v>25500</v>
          </cell>
          <cell r="R87">
            <v>1020000</v>
          </cell>
          <cell r="S87">
            <v>76500</v>
          </cell>
          <cell r="T87">
            <v>1020000</v>
          </cell>
          <cell r="U87">
            <v>76500</v>
          </cell>
          <cell r="V87">
            <v>2040000</v>
          </cell>
          <cell r="W87">
            <v>153000</v>
          </cell>
          <cell r="X87">
            <v>4303336.4800000004</v>
          </cell>
          <cell r="Y87">
            <v>342426.13</v>
          </cell>
          <cell r="Z87">
            <v>2200000</v>
          </cell>
          <cell r="AA87">
            <v>165000</v>
          </cell>
          <cell r="AB87">
            <v>2200000</v>
          </cell>
          <cell r="AC87">
            <v>165000</v>
          </cell>
          <cell r="AD87">
            <v>4400000</v>
          </cell>
          <cell r="AE87">
            <v>330000</v>
          </cell>
          <cell r="AF87" t="e">
            <v>#N/A</v>
          </cell>
          <cell r="AG87">
            <v>40816</v>
          </cell>
          <cell r="AH87" t="e">
            <v>#N/A</v>
          </cell>
          <cell r="AI87" t="e">
            <v>#N/A</v>
          </cell>
          <cell r="AJ87">
            <v>26145</v>
          </cell>
          <cell r="AK87">
            <v>742500</v>
          </cell>
          <cell r="AL87">
            <v>9881097.1300000008</v>
          </cell>
          <cell r="AM87">
            <v>705916.42999999993</v>
          </cell>
          <cell r="AN87">
            <v>0</v>
          </cell>
          <cell r="AO87">
            <v>0</v>
          </cell>
          <cell r="AP87">
            <v>2603336.48</v>
          </cell>
          <cell r="AQ87">
            <v>214926.13</v>
          </cell>
          <cell r="AR87">
            <v>2943336.48</v>
          </cell>
          <cell r="AS87">
            <v>240426.13</v>
          </cell>
          <cell r="AT87">
            <v>3283336.48</v>
          </cell>
          <cell r="AU87">
            <v>265926.13</v>
          </cell>
          <cell r="AV87">
            <v>4303336.4800000004</v>
          </cell>
          <cell r="AW87">
            <v>342426.13</v>
          </cell>
        </row>
        <row r="88">
          <cell r="B88" t="str">
            <v>036613</v>
          </cell>
          <cell r="C88" t="str">
            <v>WATERWAYS / DRAINAGE - STH</v>
          </cell>
          <cell r="D88">
            <v>35400000</v>
          </cell>
          <cell r="E88">
            <v>14855188.960000005</v>
          </cell>
          <cell r="F88">
            <v>0.57766083977942995</v>
          </cell>
          <cell r="G88">
            <v>2870625</v>
          </cell>
          <cell r="H88">
            <v>1116760.04</v>
          </cell>
          <cell r="I88">
            <v>8.8247161219666845E-2</v>
          </cell>
          <cell r="J88">
            <v>1717629.74</v>
          </cell>
          <cell r="K88">
            <v>165127.32999999999</v>
          </cell>
          <cell r="L88">
            <v>310000</v>
          </cell>
          <cell r="M88">
            <v>23250</v>
          </cell>
          <cell r="N88">
            <v>310000</v>
          </cell>
          <cell r="O88">
            <v>23250</v>
          </cell>
          <cell r="P88">
            <v>310000</v>
          </cell>
          <cell r="Q88">
            <v>23250</v>
          </cell>
          <cell r="R88">
            <v>930000</v>
          </cell>
          <cell r="S88">
            <v>69750</v>
          </cell>
          <cell r="T88">
            <v>930000</v>
          </cell>
          <cell r="U88">
            <v>69750</v>
          </cell>
          <cell r="V88">
            <v>1860000</v>
          </cell>
          <cell r="W88">
            <v>139500</v>
          </cell>
          <cell r="X88">
            <v>3577629.74</v>
          </cell>
          <cell r="Y88">
            <v>304627.32999999996</v>
          </cell>
          <cell r="Z88">
            <v>2000000</v>
          </cell>
          <cell r="AA88">
            <v>150000</v>
          </cell>
          <cell r="AB88">
            <v>2000000</v>
          </cell>
          <cell r="AC88">
            <v>150000</v>
          </cell>
          <cell r="AD88">
            <v>4000000</v>
          </cell>
          <cell r="AE88">
            <v>300000</v>
          </cell>
          <cell r="AF88" t="e">
            <v>#N/A</v>
          </cell>
          <cell r="AG88">
            <v>40816</v>
          </cell>
          <cell r="AH88" t="e">
            <v>#N/A</v>
          </cell>
          <cell r="AI88" t="e">
            <v>#N/A</v>
          </cell>
          <cell r="AJ88">
            <v>25084</v>
          </cell>
          <cell r="AK88">
            <v>675000</v>
          </cell>
          <cell r="AL88">
            <v>8995188.9600000046</v>
          </cell>
          <cell r="AM88">
            <v>677260.04</v>
          </cell>
          <cell r="AN88">
            <v>0</v>
          </cell>
          <cell r="AO88">
            <v>0</v>
          </cell>
          <cell r="AP88">
            <v>2027629.74</v>
          </cell>
          <cell r="AQ88">
            <v>188377.33</v>
          </cell>
          <cell r="AR88">
            <v>2337629.7400000002</v>
          </cell>
          <cell r="AS88">
            <v>211627.33</v>
          </cell>
          <cell r="AT88">
            <v>2647629.7400000002</v>
          </cell>
          <cell r="AU88">
            <v>234877.33</v>
          </cell>
          <cell r="AV88">
            <v>3577629.74</v>
          </cell>
          <cell r="AW88">
            <v>304627.32999999996</v>
          </cell>
        </row>
        <row r="89">
          <cell r="B89" t="str">
            <v>036614</v>
          </cell>
          <cell r="C89" t="str">
            <v>SEWER MAINTENANCE</v>
          </cell>
          <cell r="D89">
            <v>25400000</v>
          </cell>
          <cell r="E89">
            <v>15018431.370000001</v>
          </cell>
          <cell r="F89">
            <v>0.40577849806341321</v>
          </cell>
          <cell r="G89">
            <v>2001875</v>
          </cell>
          <cell r="H89">
            <v>1114762.3899999999</v>
          </cell>
          <cell r="I89">
            <v>8.5557069209605471E-2</v>
          </cell>
          <cell r="J89">
            <v>2099605.66</v>
          </cell>
          <cell r="K89">
            <v>193974.58</v>
          </cell>
          <cell r="L89">
            <v>250000</v>
          </cell>
          <cell r="M89">
            <v>18750</v>
          </cell>
          <cell r="N89">
            <v>250000</v>
          </cell>
          <cell r="O89">
            <v>18750</v>
          </cell>
          <cell r="P89">
            <v>250000</v>
          </cell>
          <cell r="Q89">
            <v>18750</v>
          </cell>
          <cell r="R89">
            <v>750000</v>
          </cell>
          <cell r="S89">
            <v>56250</v>
          </cell>
          <cell r="T89">
            <v>750000</v>
          </cell>
          <cell r="U89">
            <v>56250</v>
          </cell>
          <cell r="V89">
            <v>1500000</v>
          </cell>
          <cell r="W89">
            <v>112500</v>
          </cell>
          <cell r="X89">
            <v>3599605.66</v>
          </cell>
          <cell r="Y89">
            <v>306474.57999999996</v>
          </cell>
          <cell r="Z89">
            <v>2100000</v>
          </cell>
          <cell r="AA89">
            <v>157500</v>
          </cell>
          <cell r="AB89">
            <v>2100000</v>
          </cell>
          <cell r="AC89">
            <v>157500</v>
          </cell>
          <cell r="AD89">
            <v>4200000</v>
          </cell>
          <cell r="AE89">
            <v>315000</v>
          </cell>
          <cell r="AF89" t="e">
            <v>#N/A</v>
          </cell>
          <cell r="AG89">
            <v>40816</v>
          </cell>
          <cell r="AH89" t="e">
            <v>#N/A</v>
          </cell>
          <cell r="AI89" t="e">
            <v>#N/A</v>
          </cell>
          <cell r="AJ89">
            <v>25454</v>
          </cell>
          <cell r="AK89">
            <v>708750</v>
          </cell>
          <cell r="AL89">
            <v>9318431.370000001</v>
          </cell>
          <cell r="AM89">
            <v>687262.3899999999</v>
          </cell>
          <cell r="AN89">
            <v>0</v>
          </cell>
          <cell r="AO89">
            <v>0</v>
          </cell>
          <cell r="AP89">
            <v>2349605.66</v>
          </cell>
          <cell r="AQ89">
            <v>212724.58</v>
          </cell>
          <cell r="AR89">
            <v>2599605.66</v>
          </cell>
          <cell r="AS89">
            <v>231474.58</v>
          </cell>
          <cell r="AT89">
            <v>2849605.66</v>
          </cell>
          <cell r="AU89">
            <v>250224.58</v>
          </cell>
          <cell r="AV89">
            <v>3599605.66</v>
          </cell>
          <cell r="AW89">
            <v>306474.57999999996</v>
          </cell>
        </row>
        <row r="90">
          <cell r="B90" t="str">
            <v>036615</v>
          </cell>
          <cell r="C90" t="str">
            <v>ETP MAINTENANCE</v>
          </cell>
          <cell r="D90">
            <v>13700000</v>
          </cell>
          <cell r="E90">
            <v>7405184.2199999997</v>
          </cell>
          <cell r="F90">
            <v>0.45080004976172561</v>
          </cell>
          <cell r="G90">
            <v>1240625</v>
          </cell>
          <cell r="H90">
            <v>562496.09</v>
          </cell>
          <cell r="I90">
            <v>9.9573614246300471E-2</v>
          </cell>
          <cell r="J90">
            <v>944760.74</v>
          </cell>
          <cell r="K90">
            <v>102062.39</v>
          </cell>
          <cell r="L90">
            <v>150000</v>
          </cell>
          <cell r="M90">
            <v>11250</v>
          </cell>
          <cell r="N90">
            <v>150000</v>
          </cell>
          <cell r="O90">
            <v>11250</v>
          </cell>
          <cell r="P90">
            <v>150000</v>
          </cell>
          <cell r="Q90">
            <v>11250</v>
          </cell>
          <cell r="R90">
            <v>450000</v>
          </cell>
          <cell r="S90">
            <v>33750</v>
          </cell>
          <cell r="T90">
            <v>450000</v>
          </cell>
          <cell r="U90">
            <v>33750</v>
          </cell>
          <cell r="V90">
            <v>900000</v>
          </cell>
          <cell r="W90">
            <v>67500</v>
          </cell>
          <cell r="X90">
            <v>1844760.74</v>
          </cell>
          <cell r="Y90">
            <v>169562.39</v>
          </cell>
          <cell r="Z90">
            <v>1000000</v>
          </cell>
          <cell r="AA90">
            <v>75000</v>
          </cell>
          <cell r="AB90">
            <v>1000000</v>
          </cell>
          <cell r="AC90">
            <v>75000</v>
          </cell>
          <cell r="AD90">
            <v>2000000</v>
          </cell>
          <cell r="AE90">
            <v>150000</v>
          </cell>
          <cell r="AF90" t="e">
            <v>#N/A</v>
          </cell>
          <cell r="AG90">
            <v>40816</v>
          </cell>
          <cell r="AH90" t="e">
            <v>#N/A</v>
          </cell>
          <cell r="AI90" t="e">
            <v>#N/A</v>
          </cell>
          <cell r="AJ90">
            <v>12778</v>
          </cell>
          <cell r="AK90">
            <v>337500</v>
          </cell>
          <cell r="AL90">
            <v>4505184.22</v>
          </cell>
          <cell r="AM90">
            <v>344996.08999999997</v>
          </cell>
          <cell r="AN90">
            <v>0</v>
          </cell>
          <cell r="AO90">
            <v>0</v>
          </cell>
          <cell r="AP90">
            <v>1094760.74</v>
          </cell>
          <cell r="AQ90">
            <v>113312.39</v>
          </cell>
          <cell r="AR90">
            <v>1244760.74</v>
          </cell>
          <cell r="AS90">
            <v>124562.39</v>
          </cell>
          <cell r="AT90">
            <v>1394760.74</v>
          </cell>
          <cell r="AU90">
            <v>135812.39000000001</v>
          </cell>
          <cell r="AV90">
            <v>1844760.74</v>
          </cell>
          <cell r="AW90">
            <v>169562.39</v>
          </cell>
        </row>
        <row r="91">
          <cell r="B91" t="str">
            <v>036616</v>
          </cell>
          <cell r="C91" t="str">
            <v>PATTERSON LAKES</v>
          </cell>
          <cell r="D91">
            <v>2250000</v>
          </cell>
          <cell r="E91">
            <v>941629.62</v>
          </cell>
          <cell r="F91">
            <v>0.57722733520424074</v>
          </cell>
          <cell r="G91">
            <v>245625</v>
          </cell>
          <cell r="H91">
            <v>94234.66</v>
          </cell>
          <cell r="I91">
            <v>0.1225444340505145</v>
          </cell>
          <cell r="J91">
            <v>124253.61</v>
          </cell>
          <cell r="K91">
            <v>17470.59</v>
          </cell>
          <cell r="L91">
            <v>23000</v>
          </cell>
          <cell r="M91">
            <v>1725</v>
          </cell>
          <cell r="N91">
            <v>23000</v>
          </cell>
          <cell r="O91">
            <v>1725</v>
          </cell>
          <cell r="P91">
            <v>23000</v>
          </cell>
          <cell r="Q91">
            <v>1725</v>
          </cell>
          <cell r="R91">
            <v>69000</v>
          </cell>
          <cell r="S91">
            <v>5175</v>
          </cell>
          <cell r="T91">
            <v>69000</v>
          </cell>
          <cell r="U91">
            <v>5175</v>
          </cell>
          <cell r="V91">
            <v>138000</v>
          </cell>
          <cell r="W91">
            <v>10350</v>
          </cell>
          <cell r="X91">
            <v>262253.61</v>
          </cell>
          <cell r="Y91">
            <v>27820.59</v>
          </cell>
          <cell r="Z91">
            <v>130000</v>
          </cell>
          <cell r="AA91">
            <v>9750</v>
          </cell>
          <cell r="AB91">
            <v>130000</v>
          </cell>
          <cell r="AC91">
            <v>9750</v>
          </cell>
          <cell r="AD91">
            <v>260000</v>
          </cell>
          <cell r="AE91">
            <v>19500</v>
          </cell>
          <cell r="AF91" t="e">
            <v>#N/A</v>
          </cell>
          <cell r="AG91">
            <v>40816</v>
          </cell>
          <cell r="AH91" t="e">
            <v>#N/A</v>
          </cell>
          <cell r="AI91" t="e">
            <v>#N/A</v>
          </cell>
          <cell r="AJ91">
            <v>2385</v>
          </cell>
          <cell r="AK91">
            <v>43875</v>
          </cell>
          <cell r="AL91">
            <v>543629.62</v>
          </cell>
          <cell r="AM91">
            <v>64384.66</v>
          </cell>
          <cell r="AN91">
            <v>0</v>
          </cell>
          <cell r="AO91">
            <v>0</v>
          </cell>
          <cell r="AP91">
            <v>147253.60999999999</v>
          </cell>
          <cell r="AQ91">
            <v>19195.59</v>
          </cell>
          <cell r="AR91">
            <v>170253.61</v>
          </cell>
          <cell r="AS91">
            <v>20920.59</v>
          </cell>
          <cell r="AT91">
            <v>193253.61</v>
          </cell>
          <cell r="AU91">
            <v>22645.59</v>
          </cell>
          <cell r="AV91">
            <v>262253.61</v>
          </cell>
          <cell r="AW91">
            <v>27820.59</v>
          </cell>
        </row>
        <row r="92">
          <cell r="B92" t="str">
            <v>036617</v>
          </cell>
          <cell r="C92" t="str">
            <v>CAPITAL WORKS - MINOR</v>
          </cell>
          <cell r="D92">
            <v>18987190.050000001</v>
          </cell>
          <cell r="E92">
            <v>3700000</v>
          </cell>
          <cell r="F92">
            <v>0.79644349658373748</v>
          </cell>
          <cell r="G92">
            <v>2456153.4900000002</v>
          </cell>
          <cell r="H92">
            <v>335000</v>
          </cell>
          <cell r="I92">
            <v>0.14857831092958396</v>
          </cell>
          <cell r="J92">
            <v>3010658.77</v>
          </cell>
          <cell r="K92">
            <v>331404.53000000003</v>
          </cell>
          <cell r="L92">
            <v>800000</v>
          </cell>
          <cell r="M92">
            <v>72000</v>
          </cell>
          <cell r="N92">
            <v>1200000</v>
          </cell>
          <cell r="O92">
            <v>110000</v>
          </cell>
          <cell r="P92">
            <v>1700000</v>
          </cell>
          <cell r="Q92">
            <v>153000</v>
          </cell>
          <cell r="R92">
            <v>3700000</v>
          </cell>
          <cell r="S92">
            <v>335000</v>
          </cell>
          <cell r="V92">
            <v>3700000</v>
          </cell>
          <cell r="W92">
            <v>335000</v>
          </cell>
          <cell r="X92">
            <v>6710658.7699999996</v>
          </cell>
          <cell r="Y92">
            <v>666404.53</v>
          </cell>
          <cell r="AD92">
            <v>0</v>
          </cell>
          <cell r="AE92">
            <v>0</v>
          </cell>
          <cell r="AF92" t="e">
            <v>#N/A</v>
          </cell>
          <cell r="AG92">
            <v>40816</v>
          </cell>
          <cell r="AH92" t="e">
            <v>#N/A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3810658.77</v>
          </cell>
          <cell r="AQ92">
            <v>403404.53</v>
          </cell>
          <cell r="AR92">
            <v>5010658.7699999996</v>
          </cell>
          <cell r="AS92">
            <v>513404.53</v>
          </cell>
          <cell r="AT92">
            <v>6710658.7699999996</v>
          </cell>
          <cell r="AU92">
            <v>666404.53</v>
          </cell>
          <cell r="AV92">
            <v>6710658.7699999996</v>
          </cell>
          <cell r="AW92">
            <v>666404.53</v>
          </cell>
        </row>
        <row r="93">
          <cell r="B93" t="str">
            <v>036618</v>
          </cell>
          <cell r="C93" t="str">
            <v>CAPITAL WORKS - MAJOR</v>
          </cell>
          <cell r="D93">
            <v>21120199.300000001</v>
          </cell>
          <cell r="E93">
            <v>2400000</v>
          </cell>
          <cell r="F93">
            <v>0.88666131974224183</v>
          </cell>
          <cell r="G93">
            <v>2612837.16</v>
          </cell>
          <cell r="H93">
            <v>302400</v>
          </cell>
          <cell r="I93">
            <v>0.1411782586970009</v>
          </cell>
          <cell r="J93">
            <v>3461060.14</v>
          </cell>
          <cell r="K93">
            <v>428325.39</v>
          </cell>
          <cell r="L93">
            <v>500000</v>
          </cell>
          <cell r="M93">
            <v>63000</v>
          </cell>
          <cell r="N93">
            <v>900000</v>
          </cell>
          <cell r="O93">
            <v>113400</v>
          </cell>
          <cell r="P93">
            <v>1000000</v>
          </cell>
          <cell r="Q93">
            <v>126000</v>
          </cell>
          <cell r="R93">
            <v>2400000</v>
          </cell>
          <cell r="S93">
            <v>302400</v>
          </cell>
          <cell r="V93">
            <v>2400000</v>
          </cell>
          <cell r="W93">
            <v>302400</v>
          </cell>
          <cell r="X93">
            <v>5861060.1400000006</v>
          </cell>
          <cell r="Y93">
            <v>730725.39</v>
          </cell>
          <cell r="AD93">
            <v>0</v>
          </cell>
          <cell r="AE93">
            <v>0</v>
          </cell>
          <cell r="AF93" t="e">
            <v>#N/A</v>
          </cell>
          <cell r="AG93">
            <v>40816</v>
          </cell>
          <cell r="AH93" t="e">
            <v>#N/A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3961060.14</v>
          </cell>
          <cell r="AQ93">
            <v>491325.39</v>
          </cell>
          <cell r="AR93">
            <v>4861060.1400000006</v>
          </cell>
          <cell r="AS93">
            <v>604725.39</v>
          </cell>
          <cell r="AT93">
            <v>5861060.1400000006</v>
          </cell>
          <cell r="AU93">
            <v>730725.39</v>
          </cell>
          <cell r="AV93">
            <v>5861060.1400000006</v>
          </cell>
          <cell r="AW93">
            <v>730725.39</v>
          </cell>
        </row>
        <row r="94">
          <cell r="B94" t="str">
            <v>036690</v>
          </cell>
          <cell r="C94" t="str">
            <v>ADMINISTRATION</v>
          </cell>
          <cell r="D94">
            <v>6418740</v>
          </cell>
          <cell r="E94">
            <v>3059043.96</v>
          </cell>
          <cell r="F94">
            <v>0.4545542601432227</v>
          </cell>
          <cell r="G94">
            <v>-3297600</v>
          </cell>
          <cell r="H94">
            <v>-2240692.2999999998</v>
          </cell>
          <cell r="I94">
            <v>-0.33938705314964279</v>
          </cell>
          <cell r="J94">
            <v>406141.76</v>
          </cell>
          <cell r="K94">
            <v>-277464.3</v>
          </cell>
          <cell r="L94">
            <v>65000</v>
          </cell>
          <cell r="M94">
            <v>-50000</v>
          </cell>
          <cell r="N94">
            <v>65000</v>
          </cell>
          <cell r="O94">
            <v>-50000</v>
          </cell>
          <cell r="P94">
            <v>65000</v>
          </cell>
          <cell r="Q94">
            <v>-50000</v>
          </cell>
          <cell r="R94">
            <v>195000</v>
          </cell>
          <cell r="S94">
            <v>-150000</v>
          </cell>
          <cell r="T94">
            <v>195000</v>
          </cell>
          <cell r="U94">
            <v>-150000</v>
          </cell>
          <cell r="V94">
            <v>390000</v>
          </cell>
          <cell r="W94">
            <v>-300000</v>
          </cell>
          <cell r="X94">
            <v>796141.76</v>
          </cell>
          <cell r="Y94">
            <v>-577464.30000000005</v>
          </cell>
          <cell r="Z94">
            <v>400000</v>
          </cell>
          <cell r="AA94">
            <v>-300000</v>
          </cell>
          <cell r="AB94">
            <v>400000</v>
          </cell>
          <cell r="AC94">
            <v>-300000</v>
          </cell>
          <cell r="AD94">
            <v>800000</v>
          </cell>
          <cell r="AE94">
            <v>-600000</v>
          </cell>
          <cell r="AF94" t="e">
            <v>#N/A</v>
          </cell>
          <cell r="AG94">
            <v>40816</v>
          </cell>
          <cell r="AH94" t="e">
            <v>#N/A</v>
          </cell>
          <cell r="AI94" t="e">
            <v>#N/A</v>
          </cell>
          <cell r="AJ94">
            <v>-49655</v>
          </cell>
          <cell r="AK94">
            <v>-1350000</v>
          </cell>
          <cell r="AL94">
            <v>1869043.96</v>
          </cell>
          <cell r="AM94">
            <v>-1340692.2999999998</v>
          </cell>
          <cell r="AN94">
            <v>0</v>
          </cell>
          <cell r="AO94">
            <v>0</v>
          </cell>
          <cell r="AP94">
            <v>471141.76</v>
          </cell>
          <cell r="AQ94">
            <v>-327464.3</v>
          </cell>
          <cell r="AR94">
            <v>536141.76</v>
          </cell>
          <cell r="AS94">
            <v>-377464.3</v>
          </cell>
          <cell r="AT94">
            <v>601141.76000000001</v>
          </cell>
          <cell r="AU94">
            <v>-427464.3</v>
          </cell>
          <cell r="AV94">
            <v>796141.76</v>
          </cell>
          <cell r="AW94">
            <v>-577464.30000000005</v>
          </cell>
        </row>
        <row r="96">
          <cell r="B96" t="str">
            <v>SUBTOTAL MELBOURNE WATER</v>
          </cell>
          <cell r="D96">
            <v>209876129.35000002</v>
          </cell>
          <cell r="E96">
            <v>93080543.820000008</v>
          </cell>
          <cell r="G96">
            <v>14808265.649999999</v>
          </cell>
          <cell r="H96">
            <v>4631956.6900000004</v>
          </cell>
          <cell r="J96">
            <v>17923358.650000002</v>
          </cell>
          <cell r="K96">
            <v>1499961.54</v>
          </cell>
          <cell r="L96">
            <v>2888000</v>
          </cell>
          <cell r="M96">
            <v>199225</v>
          </cell>
          <cell r="N96">
            <v>3888000</v>
          </cell>
          <cell r="O96">
            <v>302625</v>
          </cell>
          <cell r="P96">
            <v>4388000</v>
          </cell>
          <cell r="Q96">
            <v>350725</v>
          </cell>
          <cell r="R96">
            <v>11164000</v>
          </cell>
          <cell r="S96">
            <v>852575</v>
          </cell>
          <cell r="T96">
            <v>5064000</v>
          </cell>
          <cell r="U96">
            <v>215175</v>
          </cell>
          <cell r="V96">
            <v>16228000</v>
          </cell>
          <cell r="W96">
            <v>1067750</v>
          </cell>
          <cell r="X96">
            <v>34151358.649999999</v>
          </cell>
          <cell r="Y96">
            <v>2567711.54</v>
          </cell>
          <cell r="Z96">
            <v>11830000</v>
          </cell>
          <cell r="AA96">
            <v>557250</v>
          </cell>
          <cell r="AB96">
            <v>11830000</v>
          </cell>
          <cell r="AC96">
            <v>557250</v>
          </cell>
          <cell r="AD96">
            <v>23660000</v>
          </cell>
          <cell r="AE96">
            <v>1114500</v>
          </cell>
          <cell r="AL96">
            <v>53192543.820000008</v>
          </cell>
          <cell r="AM96">
            <v>2449706.6899999995</v>
          </cell>
          <cell r="AN96">
            <v>0</v>
          </cell>
          <cell r="AO96">
            <v>0</v>
          </cell>
          <cell r="AP96">
            <v>20811358.650000002</v>
          </cell>
          <cell r="AQ96">
            <v>1699186.5399999998</v>
          </cell>
          <cell r="AR96">
            <v>24699358.650000002</v>
          </cell>
          <cell r="AS96">
            <v>2001811.5399999998</v>
          </cell>
          <cell r="AT96">
            <v>29087358.650000002</v>
          </cell>
          <cell r="AU96">
            <v>2352536.5400000005</v>
          </cell>
          <cell r="AV96">
            <v>34151358.649999999</v>
          </cell>
          <cell r="AW96">
            <v>2567711.54</v>
          </cell>
        </row>
        <row r="97">
          <cell r="B97" t="str">
            <v>ALINTA NETWORK SERVICES (ALLIANCE)</v>
          </cell>
        </row>
        <row r="98">
          <cell r="B98" t="str">
            <v>MOORABBIN DIVISION</v>
          </cell>
        </row>
        <row r="99">
          <cell r="B99" t="str">
            <v>036401</v>
          </cell>
          <cell r="C99" t="str">
            <v>ANS NETWORK MANAGEMENT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R99">
            <v>0</v>
          </cell>
          <cell r="S99">
            <v>0</v>
          </cell>
          <cell r="V99">
            <v>0</v>
          </cell>
          <cell r="W99">
            <v>0</v>
          </cell>
          <cell r="Z99">
            <v>0</v>
          </cell>
          <cell r="AA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</row>
        <row r="100">
          <cell r="B100" t="str">
            <v>036402</v>
          </cell>
          <cell r="C100" t="str">
            <v>ANS METERING, SERVICING AND FAULTS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R100">
            <v>0</v>
          </cell>
          <cell r="S100">
            <v>0</v>
          </cell>
          <cell r="V100">
            <v>0</v>
          </cell>
          <cell r="W100">
            <v>0</v>
          </cell>
          <cell r="Z100">
            <v>0</v>
          </cell>
          <cell r="AA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</row>
        <row r="101">
          <cell r="B101" t="str">
            <v>036403</v>
          </cell>
          <cell r="C101" t="str">
            <v>ANS ASSET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R101">
            <v>0</v>
          </cell>
          <cell r="S101">
            <v>0</v>
          </cell>
          <cell r="V101">
            <v>0</v>
          </cell>
          <cell r="W101">
            <v>0</v>
          </cell>
          <cell r="Z101">
            <v>0</v>
          </cell>
          <cell r="AA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</row>
        <row r="102">
          <cell r="B102" t="str">
            <v>036406</v>
          </cell>
          <cell r="C102" t="str">
            <v>ANS POLE TO PIT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R102">
            <v>0</v>
          </cell>
          <cell r="S102">
            <v>0</v>
          </cell>
          <cell r="V102">
            <v>0</v>
          </cell>
          <cell r="W102">
            <v>0</v>
          </cell>
          <cell r="Z102">
            <v>0</v>
          </cell>
          <cell r="AA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</row>
        <row r="103">
          <cell r="B103" t="str">
            <v>036409</v>
          </cell>
          <cell r="C103" t="str">
            <v>ANS TURNKEY WORKS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R103">
            <v>0</v>
          </cell>
          <cell r="S103">
            <v>0</v>
          </cell>
          <cell r="V103">
            <v>0</v>
          </cell>
          <cell r="W103">
            <v>0</v>
          </cell>
          <cell r="Z103">
            <v>0</v>
          </cell>
          <cell r="AA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</row>
        <row r="104">
          <cell r="B104" t="str">
            <v>MOORABBIN TOTAL</v>
          </cell>
          <cell r="D104">
            <v>0</v>
          </cell>
          <cell r="E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</row>
        <row r="105">
          <cell r="B105" t="str">
            <v>MORNINGTON DIVISION</v>
          </cell>
        </row>
        <row r="106">
          <cell r="B106" t="str">
            <v>036411</v>
          </cell>
          <cell r="C106" t="str">
            <v>ANS NETWORK MANAGEMENT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R106">
            <v>0</v>
          </cell>
          <cell r="S106">
            <v>0</v>
          </cell>
          <cell r="V106">
            <v>0</v>
          </cell>
          <cell r="W106">
            <v>0</v>
          </cell>
          <cell r="Z106">
            <v>0</v>
          </cell>
          <cell r="AA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</row>
        <row r="107">
          <cell r="B107" t="str">
            <v>036412</v>
          </cell>
          <cell r="C107" t="str">
            <v>ANS METERING, SERVICING AND FAULTS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R107">
            <v>0</v>
          </cell>
          <cell r="S107">
            <v>0</v>
          </cell>
          <cell r="V107">
            <v>0</v>
          </cell>
          <cell r="W107">
            <v>0</v>
          </cell>
          <cell r="Z107">
            <v>0</v>
          </cell>
          <cell r="AA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</row>
        <row r="108">
          <cell r="B108" t="str">
            <v>036413</v>
          </cell>
          <cell r="C108" t="str">
            <v>ANS ASSET CONSTRUCTION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R108">
            <v>0</v>
          </cell>
          <cell r="S108">
            <v>0</v>
          </cell>
          <cell r="V108">
            <v>0</v>
          </cell>
          <cell r="W108">
            <v>0</v>
          </cell>
          <cell r="Z108">
            <v>0</v>
          </cell>
          <cell r="AA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</row>
        <row r="109">
          <cell r="B109" t="str">
            <v>036416</v>
          </cell>
          <cell r="C109" t="str">
            <v>ANS ASSET CONSTRUCTION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R109">
            <v>0</v>
          </cell>
          <cell r="S109">
            <v>0</v>
          </cell>
          <cell r="V109">
            <v>0</v>
          </cell>
          <cell r="W109">
            <v>0</v>
          </cell>
          <cell r="Z109">
            <v>0</v>
          </cell>
          <cell r="AA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</row>
        <row r="110">
          <cell r="B110" t="str">
            <v>036419</v>
          </cell>
          <cell r="C110" t="str">
            <v>ANS TURNKEY WORKS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R110">
            <v>0</v>
          </cell>
          <cell r="S110">
            <v>0</v>
          </cell>
          <cell r="V110">
            <v>0</v>
          </cell>
          <cell r="W110">
            <v>0</v>
          </cell>
          <cell r="Z110">
            <v>0</v>
          </cell>
          <cell r="AA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</row>
        <row r="111">
          <cell r="B111" t="str">
            <v>MORNINGTON TOTAL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</row>
        <row r="112">
          <cell r="B112" t="str">
            <v>BURWOOD DIVISION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</row>
        <row r="113">
          <cell r="B113" t="str">
            <v>036421</v>
          </cell>
          <cell r="C113" t="str">
            <v>ANS NETWORK MANAGEMENT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R113">
            <v>0</v>
          </cell>
          <cell r="S113">
            <v>0</v>
          </cell>
          <cell r="V113">
            <v>0</v>
          </cell>
          <cell r="W113">
            <v>0</v>
          </cell>
          <cell r="Z113">
            <v>0</v>
          </cell>
          <cell r="AA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</row>
        <row r="114">
          <cell r="B114" t="str">
            <v>036422</v>
          </cell>
          <cell r="C114" t="str">
            <v>ANS METERING, SERVICING AND FAULTS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Z114">
            <v>0</v>
          </cell>
          <cell r="AA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</row>
        <row r="115">
          <cell r="B115" t="str">
            <v>036423</v>
          </cell>
          <cell r="C115" t="str">
            <v>ANS ASSET CONSTRUCTION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R115">
            <v>0</v>
          </cell>
          <cell r="S115">
            <v>0</v>
          </cell>
          <cell r="V115">
            <v>0</v>
          </cell>
          <cell r="W115">
            <v>0</v>
          </cell>
          <cell r="Z115">
            <v>0</v>
          </cell>
          <cell r="AA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</row>
        <row r="116">
          <cell r="B116" t="str">
            <v>036426</v>
          </cell>
          <cell r="C116" t="str">
            <v>ANS POLE TO PIT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R116">
            <v>0</v>
          </cell>
          <cell r="S116">
            <v>0</v>
          </cell>
          <cell r="V116">
            <v>0</v>
          </cell>
          <cell r="W116">
            <v>0</v>
          </cell>
          <cell r="Z116">
            <v>0</v>
          </cell>
          <cell r="AA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</row>
        <row r="117">
          <cell r="B117" t="str">
            <v>036429</v>
          </cell>
          <cell r="C117" t="str">
            <v>ANS TURNKEY WORKS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R117">
            <v>0</v>
          </cell>
          <cell r="S117">
            <v>0</v>
          </cell>
          <cell r="V117">
            <v>0</v>
          </cell>
          <cell r="W117">
            <v>0</v>
          </cell>
          <cell r="Z117">
            <v>0</v>
          </cell>
          <cell r="AA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</row>
        <row r="118">
          <cell r="B118" t="str">
            <v>BURWOOD TOTAL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</row>
        <row r="119">
          <cell r="B119" t="str">
            <v>OVERHEADS</v>
          </cell>
        </row>
        <row r="120">
          <cell r="B120" t="str">
            <v>036508b</v>
          </cell>
          <cell r="C120" t="str">
            <v>ANS LOGISTICS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R120">
            <v>0</v>
          </cell>
          <cell r="S120">
            <v>0</v>
          </cell>
          <cell r="V120">
            <v>0</v>
          </cell>
          <cell r="W120">
            <v>0</v>
          </cell>
          <cell r="Z120">
            <v>0</v>
          </cell>
          <cell r="AA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</row>
        <row r="121">
          <cell r="B121" t="str">
            <v>036518b</v>
          </cell>
          <cell r="C121" t="str">
            <v>ANS LOGISTICS MTN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R121">
            <v>0</v>
          </cell>
          <cell r="S121">
            <v>0</v>
          </cell>
          <cell r="V121">
            <v>0</v>
          </cell>
          <cell r="W121">
            <v>0</v>
          </cell>
          <cell r="Z121">
            <v>0</v>
          </cell>
          <cell r="AA121">
            <v>0</v>
          </cell>
        </row>
        <row r="122">
          <cell r="B122" t="str">
            <v>036490</v>
          </cell>
          <cell r="C122" t="str">
            <v>ANS ADMINISTRATION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Z122">
            <v>0</v>
          </cell>
          <cell r="AA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</row>
        <row r="123">
          <cell r="B123" t="str">
            <v>OVERHEADS TOTAL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</row>
        <row r="124">
          <cell r="B124" t="str">
            <v>SUBTOTAL ALINTA (ALLIANCE)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</row>
        <row r="125">
          <cell r="B125" t="str">
            <v>ALINTA NETWORK SERVICES</v>
          </cell>
        </row>
        <row r="126">
          <cell r="B126" t="str">
            <v>MOORABBIN DIVISION</v>
          </cell>
        </row>
        <row r="127">
          <cell r="B127" t="str">
            <v>036701</v>
          </cell>
          <cell r="C127" t="str">
            <v>ANS NETWORK MANAGEMENT</v>
          </cell>
          <cell r="D127">
            <v>763183.99234999996</v>
          </cell>
          <cell r="E127">
            <v>192023.06235000002</v>
          </cell>
          <cell r="F127">
            <v>0.75819829072299139</v>
          </cell>
          <cell r="G127">
            <v>88538.037250000008</v>
          </cell>
          <cell r="H127">
            <v>28892.517250000004</v>
          </cell>
          <cell r="I127">
            <v>0.13123629746935397</v>
          </cell>
          <cell r="J127">
            <v>113479.71</v>
          </cell>
          <cell r="K127">
            <v>15397.22</v>
          </cell>
          <cell r="L127">
            <v>5896.6529685228788</v>
          </cell>
          <cell r="M127">
            <v>1230.7372420554557</v>
          </cell>
          <cell r="N127">
            <v>8356.606309156412</v>
          </cell>
          <cell r="O127">
            <v>227.93435492886749</v>
          </cell>
          <cell r="P127">
            <v>10749.740722320714</v>
          </cell>
          <cell r="Q127">
            <v>1791.7184030156775</v>
          </cell>
          <cell r="R127">
            <v>25003.000000000004</v>
          </cell>
          <cell r="S127">
            <v>3250.3900000000008</v>
          </cell>
          <cell r="T127">
            <v>51836.160000000003</v>
          </cell>
          <cell r="U127">
            <v>10309.208000000004</v>
          </cell>
          <cell r="V127">
            <v>76839.16</v>
          </cell>
          <cell r="W127">
            <v>13559.598000000005</v>
          </cell>
          <cell r="X127">
            <v>190318.87</v>
          </cell>
          <cell r="Y127">
            <v>28956.818000000007</v>
          </cell>
          <cell r="Z127">
            <v>115183.90234999999</v>
          </cell>
          <cell r="AA127">
            <v>15332.919249999999</v>
          </cell>
          <cell r="AD127">
            <v>115183.90234999999</v>
          </cell>
          <cell r="AE127">
            <v>15332.919249999999</v>
          </cell>
          <cell r="AF127" t="e">
            <v>#N/A</v>
          </cell>
          <cell r="AG127">
            <v>39813</v>
          </cell>
          <cell r="AH127" t="e">
            <v>#N/A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119376.36296852288</v>
          </cell>
          <cell r="AQ127">
            <v>16627.957242055454</v>
          </cell>
          <cell r="AR127">
            <v>127732.96927767929</v>
          </cell>
          <cell r="AS127">
            <v>16855.891596984322</v>
          </cell>
          <cell r="AT127">
            <v>138482.71000000002</v>
          </cell>
          <cell r="AU127">
            <v>18647.61</v>
          </cell>
          <cell r="AV127">
            <v>190318.87</v>
          </cell>
          <cell r="AW127">
            <v>28956.818000000007</v>
          </cell>
        </row>
        <row r="128">
          <cell r="B128" t="str">
            <v>036702</v>
          </cell>
          <cell r="C128" t="str">
            <v>ANS METERING, SERVICING AND FAULTS</v>
          </cell>
          <cell r="D128">
            <v>16851606.086736504</v>
          </cell>
          <cell r="E128">
            <v>4748621.5167365056</v>
          </cell>
          <cell r="F128">
            <v>0.73366124060809068</v>
          </cell>
          <cell r="G128">
            <v>2349017.0291748568</v>
          </cell>
          <cell r="H128">
            <v>886019.93917485699</v>
          </cell>
          <cell r="I128">
            <v>0.16197225335776028</v>
          </cell>
          <cell r="J128">
            <v>2142277.61</v>
          </cell>
          <cell r="K128">
            <v>282702.44</v>
          </cell>
          <cell r="L128">
            <v>329984.204269398</v>
          </cell>
          <cell r="M128">
            <v>61291.191017843666</v>
          </cell>
          <cell r="N128">
            <v>445253.56279843103</v>
          </cell>
          <cell r="O128">
            <v>30432.711950607823</v>
          </cell>
          <cell r="P128">
            <v>396890.24086867803</v>
          </cell>
          <cell r="Q128">
            <v>138550.59417440562</v>
          </cell>
          <cell r="R128">
            <v>1172128.007936507</v>
          </cell>
          <cell r="S128">
            <v>230274.49714285712</v>
          </cell>
          <cell r="T128">
            <v>1100824.3864</v>
          </cell>
          <cell r="U128">
            <v>210125</v>
          </cell>
          <cell r="V128">
            <v>2272952.3943365067</v>
          </cell>
          <cell r="W128">
            <v>440399.49714285712</v>
          </cell>
          <cell r="X128">
            <v>4415230.0043365061</v>
          </cell>
          <cell r="Y128">
            <v>723101.93714285712</v>
          </cell>
          <cell r="Z128">
            <v>2475669.1224000002</v>
          </cell>
          <cell r="AA128">
            <v>445620.44203200005</v>
          </cell>
          <cell r="AD128">
            <v>2475669.1224000002</v>
          </cell>
          <cell r="AE128">
            <v>445620.44203200005</v>
          </cell>
          <cell r="AF128" t="e">
            <v>#N/A</v>
          </cell>
          <cell r="AG128">
            <v>39813</v>
          </cell>
          <cell r="AH128" t="e">
            <v>#N/A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2472261.8142693979</v>
          </cell>
          <cell r="AQ128">
            <v>343993.63101784367</v>
          </cell>
          <cell r="AR128">
            <v>2917515.377067829</v>
          </cell>
          <cell r="AS128">
            <v>374426.3429684515</v>
          </cell>
          <cell r="AT128">
            <v>3314405.6179365069</v>
          </cell>
          <cell r="AU128">
            <v>512976.93714285712</v>
          </cell>
          <cell r="AV128">
            <v>4415230.0043365061</v>
          </cell>
          <cell r="AW128">
            <v>723101.93714285712</v>
          </cell>
        </row>
        <row r="129">
          <cell r="B129" t="str">
            <v>036703</v>
          </cell>
          <cell r="C129" t="str">
            <v>ANS ASSET CONSTRUCTION</v>
          </cell>
          <cell r="D129">
            <v>9910847.4017650783</v>
          </cell>
          <cell r="E129">
            <v>2722491.4317650786</v>
          </cell>
          <cell r="F129">
            <v>0.74853761436856403</v>
          </cell>
          <cell r="G129">
            <v>-453870.47088939667</v>
          </cell>
          <cell r="H129">
            <v>116154.74911060318</v>
          </cell>
          <cell r="I129">
            <v>-4.3789949371111761E-2</v>
          </cell>
          <cell r="J129">
            <v>1396233.03</v>
          </cell>
          <cell r="K129">
            <v>20971.15000000014</v>
          </cell>
          <cell r="L129">
            <v>160561.51025588304</v>
          </cell>
          <cell r="M129">
            <v>6422.4604102353214</v>
          </cell>
          <cell r="N129">
            <v>268935.93605964648</v>
          </cell>
          <cell r="O129">
            <v>10757.437442385859</v>
          </cell>
          <cell r="P129">
            <v>182983.01304954942</v>
          </cell>
          <cell r="Q129">
            <v>7319.3205219819774</v>
          </cell>
          <cell r="R129">
            <v>612480.45936507895</v>
          </cell>
          <cell r="S129">
            <v>24499.218374603159</v>
          </cell>
          <cell r="T129">
            <v>674978.31839999999</v>
          </cell>
          <cell r="U129">
            <v>30999.132736</v>
          </cell>
          <cell r="V129">
            <v>1287458.7777650789</v>
          </cell>
          <cell r="W129">
            <v>55498.351110603158</v>
          </cell>
          <cell r="X129">
            <v>2683691.8077650787</v>
          </cell>
          <cell r="Y129">
            <v>76469.501110603305</v>
          </cell>
          <cell r="Z129">
            <v>1435032.6540000001</v>
          </cell>
          <cell r="AA129">
            <v>60656.398000000008</v>
          </cell>
          <cell r="AD129">
            <v>1435032.6540000001</v>
          </cell>
          <cell r="AE129">
            <v>60656.398000000008</v>
          </cell>
          <cell r="AF129" t="e">
            <v>#N/A</v>
          </cell>
          <cell r="AG129">
            <v>39813</v>
          </cell>
          <cell r="AH129" t="e">
            <v>#N/A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1556794.540255883</v>
          </cell>
          <cell r="AQ129">
            <v>27393.610410235462</v>
          </cell>
          <cell r="AR129">
            <v>1825730.4763155296</v>
          </cell>
          <cell r="AS129">
            <v>38151.047852621319</v>
          </cell>
          <cell r="AT129">
            <v>2008713.489365079</v>
          </cell>
          <cell r="AU129">
            <v>45470.368374603298</v>
          </cell>
          <cell r="AV129">
            <v>2683691.8077650787</v>
          </cell>
          <cell r="AW129">
            <v>76469.501110603305</v>
          </cell>
        </row>
        <row r="130">
          <cell r="B130" t="str">
            <v>036706</v>
          </cell>
          <cell r="C130" t="str">
            <v>ANS POLE TO PIT</v>
          </cell>
          <cell r="D130">
            <v>7763632.3036206346</v>
          </cell>
          <cell r="E130">
            <v>1973385.3736206349</v>
          </cell>
          <cell r="F130">
            <v>0.7347311393652074</v>
          </cell>
          <cell r="G130">
            <v>905285.07969103847</v>
          </cell>
          <cell r="H130">
            <v>154079.41969103843</v>
          </cell>
          <cell r="I130">
            <v>0.13199755715668496</v>
          </cell>
          <cell r="J130">
            <v>1061642.46</v>
          </cell>
          <cell r="K130">
            <v>123962.27</v>
          </cell>
          <cell r="L130">
            <v>121520.27212488766</v>
          </cell>
          <cell r="M130">
            <v>-1406.1645589616066</v>
          </cell>
          <cell r="N130">
            <v>142839.61811171009</v>
          </cell>
          <cell r="O130">
            <v>3500</v>
          </cell>
          <cell r="P130">
            <v>187610.24468403711</v>
          </cell>
          <cell r="Q130">
            <v>3226</v>
          </cell>
          <cell r="R130">
            <v>451970.13492063491</v>
          </cell>
          <cell r="S130">
            <v>5319.8354410383936</v>
          </cell>
          <cell r="T130">
            <v>455042</v>
          </cell>
          <cell r="U130">
            <v>22200</v>
          </cell>
          <cell r="V130">
            <v>907012.13492063491</v>
          </cell>
          <cell r="W130">
            <v>27519.835441038394</v>
          </cell>
          <cell r="X130">
            <v>1968654.5949206348</v>
          </cell>
          <cell r="Y130">
            <v>151482.10544103841</v>
          </cell>
          <cell r="Z130">
            <v>1066373.2386999999</v>
          </cell>
          <cell r="AA130">
            <v>126559.58424999999</v>
          </cell>
          <cell r="AD130">
            <v>1066373.2386999999</v>
          </cell>
          <cell r="AE130">
            <v>126559.58424999999</v>
          </cell>
          <cell r="AF130" t="e">
            <v>#N/A</v>
          </cell>
          <cell r="AG130">
            <v>39813</v>
          </cell>
          <cell r="AH130" t="e">
            <v>#N/A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1183162.7321248876</v>
          </cell>
          <cell r="AQ130">
            <v>122556.10544103839</v>
          </cell>
          <cell r="AR130">
            <v>1326002.3502365977</v>
          </cell>
          <cell r="AS130">
            <v>126056.10544103839</v>
          </cell>
          <cell r="AT130">
            <v>1513612.5949206348</v>
          </cell>
          <cell r="AU130">
            <v>129282.10544103839</v>
          </cell>
          <cell r="AV130">
            <v>1968654.5949206348</v>
          </cell>
          <cell r="AW130">
            <v>151482.10544103841</v>
          </cell>
        </row>
        <row r="131">
          <cell r="B131" t="str">
            <v>036709</v>
          </cell>
          <cell r="C131" t="str">
            <v>ANS TURNKEY WORKS - EXT</v>
          </cell>
          <cell r="D131">
            <v>147937</v>
          </cell>
          <cell r="E131">
            <v>0</v>
          </cell>
          <cell r="F131">
            <v>1</v>
          </cell>
          <cell r="G131">
            <v>88910.03</v>
          </cell>
          <cell r="H131">
            <v>0</v>
          </cell>
          <cell r="I131">
            <v>1.5062611209757166</v>
          </cell>
          <cell r="J131">
            <v>19200</v>
          </cell>
          <cell r="K131">
            <v>9507.85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19200</v>
          </cell>
          <cell r="Y131">
            <v>9507.85</v>
          </cell>
          <cell r="AD131">
            <v>0</v>
          </cell>
          <cell r="AE131">
            <v>0</v>
          </cell>
          <cell r="AF131" t="e">
            <v>#N/A</v>
          </cell>
          <cell r="AG131">
            <v>39813</v>
          </cell>
          <cell r="AH131" t="e">
            <v>#N/A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19200</v>
          </cell>
          <cell r="AQ131">
            <v>9507.85</v>
          </cell>
          <cell r="AR131">
            <v>19200</v>
          </cell>
          <cell r="AS131">
            <v>9507.85</v>
          </cell>
          <cell r="AT131">
            <v>19200</v>
          </cell>
          <cell r="AU131">
            <v>9507.85</v>
          </cell>
          <cell r="AV131">
            <v>19200</v>
          </cell>
          <cell r="AW131">
            <v>9507.85</v>
          </cell>
        </row>
        <row r="132">
          <cell r="B132" t="str">
            <v>MOORABBIN TOTAL</v>
          </cell>
          <cell r="D132">
            <v>35437206.78447222</v>
          </cell>
          <cell r="E132">
            <v>9636521.3844722193</v>
          </cell>
          <cell r="G132">
            <v>2977879.7052264982</v>
          </cell>
          <cell r="H132">
            <v>1185146.6252264986</v>
          </cell>
          <cell r="J132">
            <v>4732832.8099999996</v>
          </cell>
          <cell r="K132">
            <v>452540.93</v>
          </cell>
          <cell r="L132">
            <v>617962.63961869152</v>
          </cell>
          <cell r="M132">
            <v>67538.224111172836</v>
          </cell>
          <cell r="N132">
            <v>865385.72327894391</v>
          </cell>
          <cell r="O132">
            <v>44918.083747922552</v>
          </cell>
          <cell r="P132">
            <v>778233.2393245853</v>
          </cell>
          <cell r="Q132">
            <v>150887.63309940326</v>
          </cell>
          <cell r="R132">
            <v>2261581.602222221</v>
          </cell>
          <cell r="S132">
            <v>263343.94095849869</v>
          </cell>
          <cell r="T132">
            <v>2282680.8647999996</v>
          </cell>
          <cell r="U132">
            <v>273633.34073599998</v>
          </cell>
          <cell r="V132">
            <v>4544262.4670222206</v>
          </cell>
          <cell r="W132">
            <v>536977.28169449861</v>
          </cell>
          <cell r="X132">
            <v>9277095.2770222202</v>
          </cell>
          <cell r="Y132">
            <v>989518.21169449878</v>
          </cell>
          <cell r="Z132">
            <v>5092258.9174500005</v>
          </cell>
          <cell r="AA132">
            <v>648169.34353199997</v>
          </cell>
          <cell r="AB132">
            <v>0</v>
          </cell>
          <cell r="AC132">
            <v>0</v>
          </cell>
          <cell r="AD132">
            <v>5092258.9174500005</v>
          </cell>
          <cell r="AE132">
            <v>648169.34353199997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5350795.4496186916</v>
          </cell>
          <cell r="AQ132">
            <v>520079.15411117295</v>
          </cell>
          <cell r="AR132">
            <v>6216181.172897636</v>
          </cell>
          <cell r="AS132">
            <v>564997.23785909545</v>
          </cell>
          <cell r="AT132">
            <v>6994414.4122222215</v>
          </cell>
          <cell r="AU132">
            <v>715884.8709584988</v>
          </cell>
          <cell r="AV132">
            <v>9277095.2770222202</v>
          </cell>
          <cell r="AW132">
            <v>989518.21169449878</v>
          </cell>
        </row>
        <row r="133">
          <cell r="B133" t="str">
            <v>MORNINGTON DIVISION</v>
          </cell>
        </row>
        <row r="134">
          <cell r="B134" t="str">
            <v>036711</v>
          </cell>
          <cell r="C134" t="str">
            <v>ANS NETWORK MANAGEMENT</v>
          </cell>
          <cell r="D134">
            <v>473019.73545000004</v>
          </cell>
          <cell r="E134">
            <v>148752.21545000002</v>
          </cell>
          <cell r="F134">
            <v>0.74939521468991499</v>
          </cell>
          <cell r="G134">
            <v>-84831.7584015873</v>
          </cell>
          <cell r="H134">
            <v>8951.9615984127013</v>
          </cell>
          <cell r="I134">
            <v>-0.15206871243793108</v>
          </cell>
          <cell r="J134">
            <v>95342.61</v>
          </cell>
          <cell r="K134">
            <v>-4583.84</v>
          </cell>
          <cell r="L134">
            <v>3491.7852916877969</v>
          </cell>
          <cell r="M134">
            <v>907.94665150145102</v>
          </cell>
          <cell r="N134">
            <v>10839.458341368647</v>
          </cell>
          <cell r="O134">
            <v>4154.4638398045699</v>
          </cell>
          <cell r="P134">
            <v>7509.7563669435576</v>
          </cell>
          <cell r="Q134">
            <v>2318.3222071066771</v>
          </cell>
          <cell r="R134">
            <v>21841</v>
          </cell>
          <cell r="S134">
            <v>7380.7326984126985</v>
          </cell>
          <cell r="T134">
            <v>38988.04</v>
          </cell>
          <cell r="U134">
            <v>5268</v>
          </cell>
          <cell r="V134">
            <v>60829.04</v>
          </cell>
          <cell r="W134">
            <v>12648.732698412699</v>
          </cell>
          <cell r="X134">
            <v>156171.65</v>
          </cell>
          <cell r="Y134">
            <v>8064.8926984126992</v>
          </cell>
          <cell r="Z134">
            <v>87923.175449999995</v>
          </cell>
          <cell r="AA134">
            <v>-3696.7710999999999</v>
          </cell>
          <cell r="AD134">
            <v>87923.175449999995</v>
          </cell>
          <cell r="AE134">
            <v>-3696.7710999999999</v>
          </cell>
          <cell r="AF134" t="e">
            <v>#N/A</v>
          </cell>
          <cell r="AG134">
            <v>39813</v>
          </cell>
          <cell r="AH134" t="e">
            <v>#N/A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98834.395291687804</v>
          </cell>
          <cell r="AQ134">
            <v>-3675.8933484985491</v>
          </cell>
          <cell r="AR134">
            <v>109673.85363305645</v>
          </cell>
          <cell r="AS134">
            <v>478.57049130602081</v>
          </cell>
          <cell r="AT134">
            <v>117183.61000000002</v>
          </cell>
          <cell r="AU134">
            <v>2796.8926984126979</v>
          </cell>
          <cell r="AV134">
            <v>156171.65</v>
          </cell>
          <cell r="AW134">
            <v>8064.8926984126992</v>
          </cell>
        </row>
        <row r="135">
          <cell r="B135" t="str">
            <v>036712</v>
          </cell>
          <cell r="C135" t="str">
            <v>ANS METERING, SERVICING AND FAULTS</v>
          </cell>
          <cell r="D135">
            <v>15347606.662349999</v>
          </cell>
          <cell r="E135">
            <v>4081496.5923499987</v>
          </cell>
          <cell r="F135">
            <v>0.73824936300272104</v>
          </cell>
          <cell r="G135">
            <v>1324025.9742595963</v>
          </cell>
          <cell r="H135">
            <v>410815.41425959626</v>
          </cell>
          <cell r="I135">
            <v>9.4414258648223282E-2</v>
          </cell>
          <cell r="J135">
            <v>2143016.29</v>
          </cell>
          <cell r="K135">
            <v>187673.84</v>
          </cell>
          <cell r="L135">
            <v>234258.590569475</v>
          </cell>
          <cell r="M135">
            <v>5578.5799175110005</v>
          </cell>
          <cell r="N135">
            <v>315970.85954945412</v>
          </cell>
          <cell r="O135">
            <v>30174.540475859019</v>
          </cell>
          <cell r="P135">
            <v>300477.54988107079</v>
          </cell>
          <cell r="Q135">
            <v>105950.61738440799</v>
          </cell>
          <cell r="R135">
            <v>850706.99999999988</v>
          </cell>
          <cell r="S135">
            <v>141703.73777777801</v>
          </cell>
          <cell r="T135">
            <v>970459.36800000002</v>
          </cell>
          <cell r="U135">
            <v>71997.778181818197</v>
          </cell>
          <cell r="V135">
            <v>1821166.3679999998</v>
          </cell>
          <cell r="W135">
            <v>213701.5159595962</v>
          </cell>
          <cell r="X135">
            <v>3964182.6579999998</v>
          </cell>
          <cell r="Y135">
            <v>401375.35595959623</v>
          </cell>
          <cell r="Z135">
            <v>2260330.2243499998</v>
          </cell>
          <cell r="AA135">
            <v>197113.89829999997</v>
          </cell>
          <cell r="AD135">
            <v>2260330.2243499998</v>
          </cell>
          <cell r="AE135">
            <v>197113.89829999997</v>
          </cell>
          <cell r="AF135" t="e">
            <v>#N/A</v>
          </cell>
          <cell r="AG135">
            <v>39813</v>
          </cell>
          <cell r="AH135" t="e">
            <v>#N/A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2377274.8805694752</v>
          </cell>
          <cell r="AQ135">
            <v>193252.419917511</v>
          </cell>
          <cell r="AR135">
            <v>2693245.7401189292</v>
          </cell>
          <cell r="AS135">
            <v>223426.96039337001</v>
          </cell>
          <cell r="AT135">
            <v>2993723.29</v>
          </cell>
          <cell r="AU135">
            <v>329377.57777777803</v>
          </cell>
          <cell r="AV135">
            <v>3964182.6579999998</v>
          </cell>
          <cell r="AW135">
            <v>401375.35595959623</v>
          </cell>
        </row>
        <row r="136">
          <cell r="B136" t="str">
            <v>036713</v>
          </cell>
          <cell r="C136" t="str">
            <v>ANS ASSET CONSTRUCTION</v>
          </cell>
          <cell r="D136">
            <v>14173578.768880952</v>
          </cell>
          <cell r="E136">
            <v>3739743.9188809525</v>
          </cell>
          <cell r="F136">
            <v>0.76077195538133857</v>
          </cell>
          <cell r="G136">
            <v>-280416.61333333328</v>
          </cell>
          <cell r="H136">
            <v>281942.8666666667</v>
          </cell>
          <cell r="I136">
            <v>-1.9400629785615357E-2</v>
          </cell>
          <cell r="J136">
            <v>1458247.58</v>
          </cell>
          <cell r="K136">
            <v>-39602.28</v>
          </cell>
          <cell r="L136">
            <v>303143.12947428098</v>
          </cell>
          <cell r="M136">
            <v>-11379.806170883361</v>
          </cell>
          <cell r="N136">
            <v>375513.90846708202</v>
          </cell>
          <cell r="O136">
            <v>53269.731987612497</v>
          </cell>
          <cell r="P136">
            <v>331371.15443958901</v>
          </cell>
          <cell r="Q136">
            <v>37937.940849937491</v>
          </cell>
          <cell r="R136">
            <v>1010028.1923809521</v>
          </cell>
          <cell r="S136">
            <v>79827.86666666664</v>
          </cell>
          <cell r="T136">
            <v>878211</v>
          </cell>
          <cell r="U136">
            <v>60115</v>
          </cell>
          <cell r="V136">
            <v>1888239.1923809522</v>
          </cell>
          <cell r="W136">
            <v>139942.86666666664</v>
          </cell>
          <cell r="X136">
            <v>3346486.7723809523</v>
          </cell>
          <cell r="Y136">
            <v>100340.58666666664</v>
          </cell>
          <cell r="Z136">
            <v>1851504.7264999999</v>
          </cell>
          <cell r="AA136">
            <v>142000</v>
          </cell>
          <cell r="AD136">
            <v>1851504.7264999999</v>
          </cell>
          <cell r="AE136">
            <v>142000</v>
          </cell>
          <cell r="AF136" t="e">
            <v>#N/A</v>
          </cell>
          <cell r="AG136">
            <v>39813</v>
          </cell>
          <cell r="AH136" t="e">
            <v>#N/A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1761390.7094742809</v>
          </cell>
          <cell r="AQ136">
            <v>-50982.086170883362</v>
          </cell>
          <cell r="AR136">
            <v>2136904.6179413628</v>
          </cell>
          <cell r="AS136">
            <v>2287.6458167291348</v>
          </cell>
          <cell r="AT136">
            <v>2468275.7723809518</v>
          </cell>
          <cell r="AU136">
            <v>40225.586666666626</v>
          </cell>
          <cell r="AV136">
            <v>3346486.7723809523</v>
          </cell>
          <cell r="AW136">
            <v>100340.58666666664</v>
          </cell>
        </row>
        <row r="137">
          <cell r="B137" t="str">
            <v>036716</v>
          </cell>
          <cell r="C137" t="str">
            <v>ANS POLE TO PIT</v>
          </cell>
          <cell r="D137">
            <v>5946210.5293650795</v>
          </cell>
          <cell r="E137">
            <v>1588246.1793650798</v>
          </cell>
          <cell r="F137">
            <v>0.71633358370885991</v>
          </cell>
          <cell r="G137">
            <v>794215.32219920633</v>
          </cell>
          <cell r="H137">
            <v>126798.1621992063</v>
          </cell>
          <cell r="I137">
            <v>0.15415684414739711</v>
          </cell>
          <cell r="J137">
            <v>776543.25</v>
          </cell>
          <cell r="K137">
            <v>59781.060000000056</v>
          </cell>
          <cell r="L137">
            <v>102907.38095238098</v>
          </cell>
          <cell r="M137">
            <v>8232.5904761904785</v>
          </cell>
          <cell r="N137">
            <v>118915.19576719578</v>
          </cell>
          <cell r="O137">
            <v>9513.2156613756633</v>
          </cell>
          <cell r="P137">
            <v>141783.50264550268</v>
          </cell>
          <cell r="Q137">
            <v>11342.680211640214</v>
          </cell>
          <cell r="R137">
            <v>363606.07936507941</v>
          </cell>
          <cell r="S137">
            <v>29088.486349206356</v>
          </cell>
          <cell r="T137">
            <v>413532</v>
          </cell>
          <cell r="U137">
            <v>33082.559999999998</v>
          </cell>
          <cell r="V137">
            <v>777138.07936507941</v>
          </cell>
          <cell r="W137">
            <v>62171.046349206357</v>
          </cell>
          <cell r="X137">
            <v>1553681.3293650793</v>
          </cell>
          <cell r="Y137">
            <v>121952.10634920641</v>
          </cell>
          <cell r="Z137">
            <v>811108.1</v>
          </cell>
          <cell r="AA137">
            <v>64627.115850000002</v>
          </cell>
          <cell r="AD137">
            <v>811108.1</v>
          </cell>
          <cell r="AE137">
            <v>64627.115850000002</v>
          </cell>
          <cell r="AF137" t="e">
            <v>#N/A</v>
          </cell>
          <cell r="AG137" t="str">
            <v>`</v>
          </cell>
          <cell r="AH137" t="e">
            <v>#N/A</v>
          </cell>
          <cell r="AI137">
            <v>0</v>
          </cell>
          <cell r="AJ137" t="e">
            <v>#VALUE!</v>
          </cell>
          <cell r="AK137" t="e">
            <v>#VALUE!</v>
          </cell>
          <cell r="AL137">
            <v>0</v>
          </cell>
          <cell r="AM137">
            <v>-5.8207660913467407E-11</v>
          </cell>
          <cell r="AN137">
            <v>0</v>
          </cell>
          <cell r="AO137">
            <v>0</v>
          </cell>
          <cell r="AP137">
            <v>879450.63095238095</v>
          </cell>
          <cell r="AQ137">
            <v>68013.650476190538</v>
          </cell>
          <cell r="AR137">
            <v>998365.82671957673</v>
          </cell>
          <cell r="AS137">
            <v>77526.866137566205</v>
          </cell>
          <cell r="AT137">
            <v>1140149.3293650793</v>
          </cell>
          <cell r="AU137">
            <v>88869.546349206415</v>
          </cell>
          <cell r="AV137">
            <v>1553681.3293650793</v>
          </cell>
          <cell r="AW137">
            <v>121952.10634920641</v>
          </cell>
        </row>
        <row r="138">
          <cell r="B138" t="str">
            <v>036719</v>
          </cell>
          <cell r="C138" t="str">
            <v>ANS TURNKEY WORKS - EXT</v>
          </cell>
          <cell r="D138">
            <v>405051.7</v>
          </cell>
          <cell r="E138">
            <v>0</v>
          </cell>
          <cell r="F138">
            <v>1</v>
          </cell>
          <cell r="G138">
            <v>78382.86</v>
          </cell>
          <cell r="H138">
            <v>0</v>
          </cell>
          <cell r="I138">
            <v>0.23994593423725383</v>
          </cell>
          <cell r="J138">
            <v>72497.7</v>
          </cell>
          <cell r="K138">
            <v>22723.68</v>
          </cell>
          <cell r="R138">
            <v>0</v>
          </cell>
          <cell r="S138">
            <v>0</v>
          </cell>
          <cell r="V138">
            <v>0</v>
          </cell>
          <cell r="W138">
            <v>0</v>
          </cell>
          <cell r="X138">
            <v>72497.7</v>
          </cell>
          <cell r="Y138">
            <v>22723.68</v>
          </cell>
          <cell r="AD138">
            <v>0</v>
          </cell>
          <cell r="AE138">
            <v>0</v>
          </cell>
          <cell r="AF138" t="e">
            <v>#N/A</v>
          </cell>
          <cell r="AG138">
            <v>39813</v>
          </cell>
          <cell r="AH138" t="e">
            <v>#N/A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72497.7</v>
          </cell>
          <cell r="AQ138">
            <v>22723.68</v>
          </cell>
          <cell r="AR138">
            <v>72497.7</v>
          </cell>
          <cell r="AS138">
            <v>22723.68</v>
          </cell>
          <cell r="AT138">
            <v>72497.7</v>
          </cell>
          <cell r="AU138">
            <v>22723.68</v>
          </cell>
          <cell r="AV138">
            <v>72497.7</v>
          </cell>
          <cell r="AW138">
            <v>22723.68</v>
          </cell>
        </row>
        <row r="139">
          <cell r="B139" t="str">
            <v>MORNINGTON TOTAL</v>
          </cell>
          <cell r="D139">
            <v>36345467.396046035</v>
          </cell>
          <cell r="E139">
            <v>9558238.906046031</v>
          </cell>
          <cell r="G139">
            <v>1831375.7847238821</v>
          </cell>
          <cell r="H139">
            <v>828508.40472388198</v>
          </cell>
          <cell r="J139">
            <v>4545647.43</v>
          </cell>
          <cell r="K139">
            <v>225992.46</v>
          </cell>
          <cell r="L139">
            <v>643800.88628782472</v>
          </cell>
          <cell r="M139">
            <v>3339.3108743195689</v>
          </cell>
          <cell r="N139">
            <v>821239.42212510051</v>
          </cell>
          <cell r="O139">
            <v>97111.951964651758</v>
          </cell>
          <cell r="P139">
            <v>781141.96333310602</v>
          </cell>
          <cell r="Q139">
            <v>157549.56065309237</v>
          </cell>
          <cell r="R139">
            <v>2246182.2717460315</v>
          </cell>
          <cell r="S139">
            <v>258000.8234920637</v>
          </cell>
          <cell r="T139">
            <v>2301190.4079999998</v>
          </cell>
          <cell r="U139">
            <v>170463.3381818182</v>
          </cell>
          <cell r="V139">
            <v>4547372.6797460318</v>
          </cell>
          <cell r="W139">
            <v>428464.16167388193</v>
          </cell>
          <cell r="X139">
            <v>9093020.1097460315</v>
          </cell>
          <cell r="Y139">
            <v>654456.62167388201</v>
          </cell>
          <cell r="Z139">
            <v>5010866.2262999993</v>
          </cell>
          <cell r="AA139">
            <v>400044.24304999999</v>
          </cell>
          <cell r="AB139">
            <v>0</v>
          </cell>
          <cell r="AC139">
            <v>0</v>
          </cell>
          <cell r="AD139">
            <v>5010866.2262999993</v>
          </cell>
          <cell r="AE139">
            <v>400044.24304999999</v>
          </cell>
          <cell r="AL139">
            <v>0</v>
          </cell>
          <cell r="AM139">
            <v>-5.8207660913467407E-11</v>
          </cell>
          <cell r="AN139">
            <v>0</v>
          </cell>
          <cell r="AO139">
            <v>0</v>
          </cell>
          <cell r="AP139">
            <v>5189448.3162878249</v>
          </cell>
          <cell r="AQ139">
            <v>229331.7708743196</v>
          </cell>
          <cell r="AR139">
            <v>6010687.738412925</v>
          </cell>
          <cell r="AS139">
            <v>326443.72283897136</v>
          </cell>
          <cell r="AT139">
            <v>6791829.7017460316</v>
          </cell>
          <cell r="AU139">
            <v>483993.28349206375</v>
          </cell>
          <cell r="AV139">
            <v>9093020.1097460315</v>
          </cell>
          <cell r="AW139">
            <v>654456.62167388201</v>
          </cell>
        </row>
        <row r="140">
          <cell r="B140" t="str">
            <v>BURWOOD DIVISION</v>
          </cell>
        </row>
        <row r="141">
          <cell r="B141" t="str">
            <v>036721</v>
          </cell>
          <cell r="C141" t="str">
            <v>ANS NETWORK MANAGEMENT</v>
          </cell>
          <cell r="D141">
            <v>261288.85619761905</v>
          </cell>
          <cell r="E141">
            <v>102162.83619761904</v>
          </cell>
          <cell r="F141">
            <v>0.73832203709752942</v>
          </cell>
          <cell r="G141">
            <v>-73202.324603174609</v>
          </cell>
          <cell r="H141">
            <v>14633.865396825393</v>
          </cell>
          <cell r="I141">
            <v>-0.21884680016950961</v>
          </cell>
          <cell r="J141">
            <v>26944.17</v>
          </cell>
          <cell r="K141">
            <v>-1810.25</v>
          </cell>
          <cell r="L141">
            <v>18452.671022185583</v>
          </cell>
          <cell r="M141">
            <v>-295.53489166959042</v>
          </cell>
          <cell r="N141">
            <v>13910.036388293503</v>
          </cell>
          <cell r="O141">
            <v>4479.3523451235005</v>
          </cell>
          <cell r="P141">
            <v>7639.5116371399672</v>
          </cell>
          <cell r="Q141">
            <v>389.04794337148661</v>
          </cell>
          <cell r="R141">
            <v>40002.219047619052</v>
          </cell>
          <cell r="S141">
            <v>4572.8653968253966</v>
          </cell>
          <cell r="T141">
            <v>32435.727999999999</v>
          </cell>
          <cell r="U141">
            <v>5061</v>
          </cell>
          <cell r="V141">
            <v>72437.947047619047</v>
          </cell>
          <cell r="W141">
            <v>9633.8653968253966</v>
          </cell>
          <cell r="X141">
            <v>99382.117047619045</v>
          </cell>
          <cell r="Y141">
            <v>7823.6153968253966</v>
          </cell>
          <cell r="Z141">
            <v>29724.889149999995</v>
          </cell>
          <cell r="AA141">
            <v>5000</v>
          </cell>
          <cell r="AD141">
            <v>29724.889149999995</v>
          </cell>
          <cell r="AE141">
            <v>5000</v>
          </cell>
          <cell r="AF141" t="e">
            <v>#N/A</v>
          </cell>
          <cell r="AG141">
            <v>39813</v>
          </cell>
          <cell r="AH141" t="e">
            <v>#N/A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45396.841022185581</v>
          </cell>
          <cell r="AQ141">
            <v>-2105.7848916695903</v>
          </cell>
          <cell r="AR141">
            <v>59306.877410479086</v>
          </cell>
          <cell r="AS141">
            <v>2373.5674534539103</v>
          </cell>
          <cell r="AT141">
            <v>66946.389047619057</v>
          </cell>
          <cell r="AU141">
            <v>2762.6153968253971</v>
          </cell>
          <cell r="AV141">
            <v>99382.117047619045</v>
          </cell>
          <cell r="AW141">
            <v>7823.6153968253966</v>
          </cell>
        </row>
        <row r="142">
          <cell r="B142" t="str">
            <v>036722</v>
          </cell>
          <cell r="C142" t="str">
            <v>ANS METERING, SERVICING AND FAULTS</v>
          </cell>
          <cell r="D142">
            <v>15668942.289002381</v>
          </cell>
          <cell r="E142">
            <v>4122557.219002381</v>
          </cell>
          <cell r="F142">
            <v>0.73727905144026673</v>
          </cell>
          <cell r="G142">
            <v>2947919.3714539525</v>
          </cell>
          <cell r="H142">
            <v>780478.01145395217</v>
          </cell>
          <cell r="I142">
            <v>0.23173603180820854</v>
          </cell>
          <cell r="J142">
            <v>2083574.02</v>
          </cell>
          <cell r="K142">
            <v>374084.75</v>
          </cell>
          <cell r="L142">
            <v>269449.27447588131</v>
          </cell>
          <cell r="M142">
            <v>51195.362150417452</v>
          </cell>
          <cell r="N142">
            <v>362441.57583882019</v>
          </cell>
          <cell r="O142">
            <v>68863.899409375837</v>
          </cell>
          <cell r="P142">
            <v>337603.63063767942</v>
          </cell>
          <cell r="Q142">
            <v>64144.689821159089</v>
          </cell>
          <cell r="R142">
            <v>969494.48095238092</v>
          </cell>
          <cell r="S142">
            <v>184203.95138095238</v>
          </cell>
          <cell r="T142">
            <v>972276.72240000009</v>
          </cell>
          <cell r="U142">
            <v>203732.57725600002</v>
          </cell>
          <cell r="V142">
            <v>1941771.203352381</v>
          </cell>
          <cell r="W142">
            <v>387936.5286369524</v>
          </cell>
          <cell r="X142">
            <v>4025345.223352381</v>
          </cell>
          <cell r="Y142">
            <v>762021.2786369524</v>
          </cell>
          <cell r="Z142">
            <v>2180786.01565</v>
          </cell>
          <cell r="AA142">
            <v>392541.48281699995</v>
          </cell>
          <cell r="AD142">
            <v>2180786.01565</v>
          </cell>
          <cell r="AE142">
            <v>392541.48281699995</v>
          </cell>
          <cell r="AF142" t="e">
            <v>#N/A</v>
          </cell>
          <cell r="AG142">
            <v>39813</v>
          </cell>
          <cell r="AH142" t="e">
            <v>#N/A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2353023.2944758814</v>
          </cell>
          <cell r="AQ142">
            <v>425280.11215041747</v>
          </cell>
          <cell r="AR142">
            <v>2715464.8703147015</v>
          </cell>
          <cell r="AS142">
            <v>494144.01155979332</v>
          </cell>
          <cell r="AT142">
            <v>3053068.5009523807</v>
          </cell>
          <cell r="AU142">
            <v>558288.70138095238</v>
          </cell>
          <cell r="AV142">
            <v>4025345.223352381</v>
          </cell>
          <cell r="AW142">
            <v>762021.2786369524</v>
          </cell>
        </row>
        <row r="143">
          <cell r="B143" t="str">
            <v>036723</v>
          </cell>
          <cell r="C143" t="str">
            <v>ANS ASSET CONSTRUCTION</v>
          </cell>
          <cell r="D143">
            <v>9239179.432</v>
          </cell>
          <cell r="E143">
            <v>3035114.6320000002</v>
          </cell>
          <cell r="F143">
            <v>0.68225986652075965</v>
          </cell>
          <cell r="G143">
            <v>360458.01329599984</v>
          </cell>
          <cell r="H143">
            <v>213988.50329600001</v>
          </cell>
          <cell r="I143">
            <v>4.0597964087110062E-2</v>
          </cell>
          <cell r="J143">
            <v>1438672.74</v>
          </cell>
          <cell r="K143">
            <v>139088.22</v>
          </cell>
          <cell r="L143">
            <v>250224.236139299</v>
          </cell>
          <cell r="M143">
            <v>15205.69652975092</v>
          </cell>
          <cell r="N143">
            <v>234694.471061841</v>
          </cell>
          <cell r="O143">
            <v>14118.612974328869</v>
          </cell>
          <cell r="P143">
            <v>234204.29279886</v>
          </cell>
          <cell r="Q143">
            <v>14084.300495920215</v>
          </cell>
          <cell r="R143">
            <v>719123</v>
          </cell>
          <cell r="S143">
            <v>43408.61</v>
          </cell>
          <cell r="T143">
            <v>769943.72640000004</v>
          </cell>
          <cell r="U143">
            <v>46896.060848000008</v>
          </cell>
          <cell r="V143">
            <v>1489066.7264</v>
          </cell>
          <cell r="W143">
            <v>90304.670848000009</v>
          </cell>
          <cell r="X143">
            <v>2927739.4664000003</v>
          </cell>
          <cell r="Y143">
            <v>229392.89084800001</v>
          </cell>
          <cell r="Z143">
            <v>1546047.9055999999</v>
          </cell>
          <cell r="AA143">
            <v>123683.832448</v>
          </cell>
          <cell r="AD143">
            <v>1546047.9055999999</v>
          </cell>
          <cell r="AE143">
            <v>123683.832448</v>
          </cell>
          <cell r="AF143" t="e">
            <v>#N/A</v>
          </cell>
          <cell r="AG143">
            <v>39813</v>
          </cell>
          <cell r="AH143" t="e">
            <v>#N/A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1688896.9761392991</v>
          </cell>
          <cell r="AQ143">
            <v>154293.91652975092</v>
          </cell>
          <cell r="AR143">
            <v>1923591.4472011402</v>
          </cell>
          <cell r="AS143">
            <v>168412.52950407978</v>
          </cell>
          <cell r="AT143">
            <v>2157795.7400000002</v>
          </cell>
          <cell r="AU143">
            <v>182496.83</v>
          </cell>
          <cell r="AV143">
            <v>2927739.4664000003</v>
          </cell>
          <cell r="AW143">
            <v>229392.89084800001</v>
          </cell>
        </row>
        <row r="144">
          <cell r="B144" t="str">
            <v>036726</v>
          </cell>
          <cell r="C144" t="str">
            <v>ANS POLE TO PIT</v>
          </cell>
          <cell r="D144">
            <v>6553870.3393452382</v>
          </cell>
          <cell r="E144">
            <v>1846680.5293452376</v>
          </cell>
          <cell r="F144">
            <v>0.7223377274665217</v>
          </cell>
          <cell r="G144">
            <v>685070.15239047608</v>
          </cell>
          <cell r="H144">
            <v>217136.13239047612</v>
          </cell>
          <cell r="I144">
            <v>0.11673087012116345</v>
          </cell>
          <cell r="J144">
            <v>923826.73</v>
          </cell>
          <cell r="K144">
            <v>203112.22</v>
          </cell>
          <cell r="L144">
            <v>162601.44173534797</v>
          </cell>
          <cell r="M144">
            <v>17886.158590888277</v>
          </cell>
          <cell r="N144">
            <v>158146.60771520145</v>
          </cell>
          <cell r="O144">
            <v>17396.12684867216</v>
          </cell>
          <cell r="P144">
            <v>142554.68864468863</v>
          </cell>
          <cell r="Q144">
            <v>15681.015750915751</v>
          </cell>
          <cell r="R144">
            <v>463302.73809523805</v>
          </cell>
          <cell r="S144">
            <v>50963.301190476188</v>
          </cell>
          <cell r="T144">
            <v>451440.26</v>
          </cell>
          <cell r="U144">
            <v>54172.831200000001</v>
          </cell>
          <cell r="V144">
            <v>914742.99809523812</v>
          </cell>
          <cell r="W144">
            <v>105136.13239047618</v>
          </cell>
          <cell r="X144">
            <v>1838569.7280952381</v>
          </cell>
          <cell r="Y144">
            <v>308248.35239047615</v>
          </cell>
          <cell r="Z144">
            <v>931937.53124999988</v>
          </cell>
          <cell r="AA144">
            <v>112000</v>
          </cell>
          <cell r="AD144">
            <v>931937.53124999988</v>
          </cell>
          <cell r="AE144">
            <v>112000</v>
          </cell>
          <cell r="AF144" t="e">
            <v>#N/A</v>
          </cell>
          <cell r="AG144">
            <v>39813</v>
          </cell>
          <cell r="AH144" t="e">
            <v>#N/A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1086428.1717353479</v>
          </cell>
          <cell r="AQ144">
            <v>220998.37859088829</v>
          </cell>
          <cell r="AR144">
            <v>1244574.7794505493</v>
          </cell>
          <cell r="AS144">
            <v>238394.50543956045</v>
          </cell>
          <cell r="AT144">
            <v>1387129.4680952379</v>
          </cell>
          <cell r="AU144">
            <v>254075.5211904762</v>
          </cell>
          <cell r="AV144">
            <v>1838569.7280952381</v>
          </cell>
          <cell r="AW144">
            <v>308248.35239047615</v>
          </cell>
        </row>
        <row r="145">
          <cell r="B145" t="str">
            <v>036729</v>
          </cell>
          <cell r="C145" t="str">
            <v>ANS TURNKEY WORKS - EXT</v>
          </cell>
          <cell r="D145">
            <v>157256.4</v>
          </cell>
          <cell r="E145">
            <v>0</v>
          </cell>
          <cell r="F145">
            <v>1</v>
          </cell>
          <cell r="G145">
            <v>52043.360000000001</v>
          </cell>
          <cell r="H145">
            <v>0</v>
          </cell>
          <cell r="I145">
            <v>0.49464743153510254</v>
          </cell>
          <cell r="J145">
            <v>47085.01</v>
          </cell>
          <cell r="K145">
            <v>19901.46</v>
          </cell>
          <cell r="R145">
            <v>0</v>
          </cell>
          <cell r="S145">
            <v>0</v>
          </cell>
          <cell r="V145">
            <v>0</v>
          </cell>
          <cell r="W145">
            <v>0</v>
          </cell>
          <cell r="X145">
            <v>47085.01</v>
          </cell>
          <cell r="Y145">
            <v>19901.46</v>
          </cell>
          <cell r="AD145">
            <v>0</v>
          </cell>
          <cell r="AE145">
            <v>0</v>
          </cell>
          <cell r="AF145" t="e">
            <v>#N/A</v>
          </cell>
          <cell r="AG145">
            <v>39813</v>
          </cell>
          <cell r="AH145" t="e">
            <v>#N/A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47085.01</v>
          </cell>
          <cell r="AQ145">
            <v>19901.46</v>
          </cell>
          <cell r="AR145">
            <v>47085.01</v>
          </cell>
          <cell r="AS145">
            <v>19901.46</v>
          </cell>
          <cell r="AT145">
            <v>47085.01</v>
          </cell>
          <cell r="AU145">
            <v>19901.46</v>
          </cell>
          <cell r="AV145">
            <v>47085.01</v>
          </cell>
          <cell r="AW145">
            <v>19901.46</v>
          </cell>
        </row>
        <row r="146">
          <cell r="B146" t="str">
            <v>BURWOOD TOTAL</v>
          </cell>
          <cell r="D146">
            <v>31880537.316545241</v>
          </cell>
          <cell r="E146">
            <v>9106515.2165452391</v>
          </cell>
          <cell r="G146">
            <v>3972288.5725372531</v>
          </cell>
          <cell r="H146">
            <v>1226236.5125372536</v>
          </cell>
          <cell r="J146">
            <v>4520102.67</v>
          </cell>
          <cell r="K146">
            <v>734376.4</v>
          </cell>
          <cell r="L146">
            <v>700727.6233727138</v>
          </cell>
          <cell r="M146">
            <v>83991.682379387057</v>
          </cell>
          <cell r="N146">
            <v>769192.69100415614</v>
          </cell>
          <cell r="O146">
            <v>104857.99157750036</v>
          </cell>
          <cell r="P146">
            <v>722002.12371836789</v>
          </cell>
          <cell r="Q146">
            <v>94299.054011366534</v>
          </cell>
          <cell r="R146">
            <v>2191922.4380952381</v>
          </cell>
          <cell r="S146">
            <v>283148.72796825395</v>
          </cell>
          <cell r="T146">
            <v>2226096.4368000003</v>
          </cell>
          <cell r="U146">
            <v>309862.46930400003</v>
          </cell>
          <cell r="V146">
            <v>4418018.8748952383</v>
          </cell>
          <cell r="W146">
            <v>593011.19727225404</v>
          </cell>
          <cell r="X146">
            <v>8938121.5448952373</v>
          </cell>
          <cell r="Y146">
            <v>1327387.5972722541</v>
          </cell>
          <cell r="Z146">
            <v>4688496.3416499998</v>
          </cell>
          <cell r="AA146">
            <v>633225.31526499998</v>
          </cell>
          <cell r="AB146">
            <v>0</v>
          </cell>
          <cell r="AC146">
            <v>0</v>
          </cell>
          <cell r="AD146">
            <v>4688496.3416499998</v>
          </cell>
          <cell r="AE146">
            <v>633225.31526499998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5220830.293372714</v>
          </cell>
          <cell r="AQ146">
            <v>818368.08237938699</v>
          </cell>
          <cell r="AR146">
            <v>5990022.9843768701</v>
          </cell>
          <cell r="AS146">
            <v>923226.07395688747</v>
          </cell>
          <cell r="AT146">
            <v>6712025.108095238</v>
          </cell>
          <cell r="AU146">
            <v>1017525.1279682538</v>
          </cell>
          <cell r="AV146">
            <v>8938121.5448952373</v>
          </cell>
          <cell r="AW146">
            <v>1327387.5972722541</v>
          </cell>
        </row>
        <row r="147">
          <cell r="B147" t="str">
            <v>OVERHEADS</v>
          </cell>
        </row>
        <row r="148">
          <cell r="B148" t="str">
            <v>036508</v>
          </cell>
          <cell r="C148" t="str">
            <v>ANS LOGISTICS</v>
          </cell>
          <cell r="D148">
            <v>21484691.839749999</v>
          </cell>
          <cell r="E148">
            <v>5853899.7097500004</v>
          </cell>
          <cell r="F148">
            <v>0.72508595457986702</v>
          </cell>
          <cell r="G148">
            <v>814674.35377599881</v>
          </cell>
          <cell r="H148">
            <v>171421.58377599996</v>
          </cell>
          <cell r="I148">
            <v>3.9413336458414237E-2</v>
          </cell>
          <cell r="J148">
            <v>2730300.01</v>
          </cell>
          <cell r="K148">
            <v>48635.939999999944</v>
          </cell>
          <cell r="L148">
            <v>478587.5704508652</v>
          </cell>
          <cell r="M148">
            <v>32096.242443864248</v>
          </cell>
          <cell r="N148">
            <v>640901.43009933166</v>
          </cell>
          <cell r="O148">
            <v>23560.995674009799</v>
          </cell>
          <cell r="P148">
            <v>400656.99944980326</v>
          </cell>
          <cell r="Q148">
            <v>19192.761882125971</v>
          </cell>
          <cell r="R148">
            <v>1520146</v>
          </cell>
          <cell r="S148">
            <v>74850.000000000015</v>
          </cell>
          <cell r="T148">
            <v>1316135.1008000001</v>
          </cell>
          <cell r="U148">
            <v>38385.900175999966</v>
          </cell>
          <cell r="V148">
            <v>2836281.1008000001</v>
          </cell>
          <cell r="W148">
            <v>113235.90017599998</v>
          </cell>
          <cell r="X148">
            <v>5566581.1107999999</v>
          </cell>
          <cell r="Y148">
            <v>161871.84017599991</v>
          </cell>
          <cell r="Z148">
            <v>3017618.6089499998</v>
          </cell>
          <cell r="AA148">
            <v>58185.683599999997</v>
          </cell>
          <cell r="AD148">
            <v>3017618.6089499998</v>
          </cell>
          <cell r="AE148">
            <v>58185.683599999997</v>
          </cell>
          <cell r="AF148" t="e">
            <v>#N/A</v>
          </cell>
          <cell r="AG148">
            <v>39813</v>
          </cell>
          <cell r="AH148" t="e">
            <v>#N/A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3208887.580450865</v>
          </cell>
          <cell r="AQ148">
            <v>80732.182443864192</v>
          </cell>
          <cell r="AR148">
            <v>3849789.0105501967</v>
          </cell>
          <cell r="AS148">
            <v>104293.17811787399</v>
          </cell>
          <cell r="AT148">
            <v>4250446.01</v>
          </cell>
          <cell r="AU148">
            <v>123485.93999999996</v>
          </cell>
          <cell r="AV148">
            <v>5566581.1107999999</v>
          </cell>
          <cell r="AW148">
            <v>161871.84017599991</v>
          </cell>
        </row>
        <row r="149">
          <cell r="B149" t="str">
            <v>036518</v>
          </cell>
          <cell r="C149" t="str">
            <v>ANS LOGISTICS MTN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R149">
            <v>0</v>
          </cell>
          <cell r="S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AD149">
            <v>0</v>
          </cell>
          <cell r="AE149">
            <v>0</v>
          </cell>
          <cell r="AF149" t="e">
            <v>#N/A</v>
          </cell>
          <cell r="AG149">
            <v>39813</v>
          </cell>
          <cell r="AH149" t="e">
            <v>#N/A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</row>
        <row r="150">
          <cell r="B150" t="str">
            <v>036739</v>
          </cell>
          <cell r="C150" t="str">
            <v>ANS CAPITAL WORKS</v>
          </cell>
          <cell r="D150">
            <v>22383351.560000002</v>
          </cell>
          <cell r="E150">
            <v>10290543.920000002</v>
          </cell>
          <cell r="F150">
            <v>0.54128966092165898</v>
          </cell>
          <cell r="G150">
            <v>2172658.3770328006</v>
          </cell>
          <cell r="H150">
            <v>1019689.9970328002</v>
          </cell>
          <cell r="I150">
            <v>0.10750043837505949</v>
          </cell>
          <cell r="J150">
            <v>3248707.25</v>
          </cell>
          <cell r="K150">
            <v>321943.95</v>
          </cell>
          <cell r="L150">
            <v>769901.73684210528</v>
          </cell>
          <cell r="M150">
            <v>76289.56310368421</v>
          </cell>
          <cell r="N150">
            <v>769901.73684210528</v>
          </cell>
          <cell r="O150">
            <v>76289.56310368421</v>
          </cell>
          <cell r="P150">
            <v>710678.52631578944</v>
          </cell>
          <cell r="Q150">
            <v>70421.135172631577</v>
          </cell>
          <cell r="R150">
            <v>2250482</v>
          </cell>
          <cell r="S150">
            <v>223000.26137999998</v>
          </cell>
          <cell r="T150">
            <v>2750000</v>
          </cell>
          <cell r="U150">
            <v>272497.5</v>
          </cell>
          <cell r="V150">
            <v>5000482</v>
          </cell>
          <cell r="W150">
            <v>495497.76137999998</v>
          </cell>
          <cell r="X150">
            <v>8249189.25</v>
          </cell>
          <cell r="Y150">
            <v>817441.71137999999</v>
          </cell>
          <cell r="Z150">
            <v>5290061.92</v>
          </cell>
          <cell r="AA150">
            <v>524192.23565280007</v>
          </cell>
          <cell r="AD150">
            <v>5290061.92</v>
          </cell>
          <cell r="AE150">
            <v>524192.23565280007</v>
          </cell>
          <cell r="AF150" t="e">
            <v>#N/A</v>
          </cell>
          <cell r="AG150">
            <v>39813</v>
          </cell>
          <cell r="AH150" t="e">
            <v>#N/A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4018608.9868421052</v>
          </cell>
          <cell r="AQ150">
            <v>398233.51310368424</v>
          </cell>
          <cell r="AR150">
            <v>4788510.7236842103</v>
          </cell>
          <cell r="AS150">
            <v>474523.07620736846</v>
          </cell>
          <cell r="AT150">
            <v>5499189.25</v>
          </cell>
          <cell r="AU150">
            <v>544944.21137999999</v>
          </cell>
          <cell r="AV150">
            <v>8249189.25</v>
          </cell>
          <cell r="AW150">
            <v>817441.71137999999</v>
          </cell>
        </row>
        <row r="151">
          <cell r="B151" t="str">
            <v>036749</v>
          </cell>
          <cell r="C151" t="str">
            <v>SP AUSNET MAINTENANCE WORKS</v>
          </cell>
          <cell r="D151">
            <v>2439285.0299999998</v>
          </cell>
          <cell r="E151">
            <v>1145000</v>
          </cell>
          <cell r="F151">
            <v>0.52341576692663905</v>
          </cell>
          <cell r="G151">
            <v>826348.75</v>
          </cell>
          <cell r="H151">
            <v>376300</v>
          </cell>
          <cell r="I151">
            <v>0.51232572560150991</v>
          </cell>
          <cell r="J151">
            <v>1294285.03</v>
          </cell>
          <cell r="K151">
            <v>450048.75</v>
          </cell>
          <cell r="L151">
            <v>120000</v>
          </cell>
          <cell r="M151">
            <v>40800</v>
          </cell>
          <cell r="N151">
            <v>320000</v>
          </cell>
          <cell r="O151">
            <v>102400</v>
          </cell>
          <cell r="P151">
            <v>330000</v>
          </cell>
          <cell r="Q151">
            <v>105600</v>
          </cell>
          <cell r="R151">
            <v>770000</v>
          </cell>
          <cell r="S151">
            <v>248800</v>
          </cell>
          <cell r="T151">
            <v>375000</v>
          </cell>
          <cell r="U151">
            <v>127500</v>
          </cell>
          <cell r="V151">
            <v>1145000</v>
          </cell>
          <cell r="W151">
            <v>376300</v>
          </cell>
          <cell r="X151">
            <v>2439285.0300000003</v>
          </cell>
          <cell r="Y151">
            <v>826348.75</v>
          </cell>
          <cell r="AD151">
            <v>0</v>
          </cell>
          <cell r="AE151">
            <v>0</v>
          </cell>
          <cell r="AF151" t="e">
            <v>#N/A</v>
          </cell>
          <cell r="AG151">
            <v>39813</v>
          </cell>
          <cell r="AH151" t="e">
            <v>#N/A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1414285.03</v>
          </cell>
          <cell r="AQ151">
            <v>490848.75</v>
          </cell>
          <cell r="AR151">
            <v>1734285.03</v>
          </cell>
          <cell r="AS151">
            <v>593248.75</v>
          </cell>
          <cell r="AT151">
            <v>2064285.03</v>
          </cell>
          <cell r="AU151">
            <v>698848.75</v>
          </cell>
          <cell r="AV151">
            <v>2439285.0300000003</v>
          </cell>
          <cell r="AW151">
            <v>826348.75</v>
          </cell>
        </row>
        <row r="152">
          <cell r="B152" t="str">
            <v>036790</v>
          </cell>
          <cell r="C152" t="str">
            <v>ANS ADMINISTRATION</v>
          </cell>
          <cell r="D152">
            <v>0</v>
          </cell>
          <cell r="E152">
            <v>0</v>
          </cell>
          <cell r="F152">
            <v>0.33931239736913149</v>
          </cell>
          <cell r="G152">
            <v>-4149657.1623</v>
          </cell>
          <cell r="H152">
            <v>-2741627.0422999999</v>
          </cell>
          <cell r="I152">
            <v>-1</v>
          </cell>
          <cell r="J152">
            <v>0</v>
          </cell>
          <cell r="K152">
            <v>-1408030.12</v>
          </cell>
          <cell r="M152">
            <v>-275000</v>
          </cell>
          <cell r="O152">
            <v>-240000</v>
          </cell>
          <cell r="Q152">
            <v>-240000</v>
          </cell>
          <cell r="R152">
            <v>0</v>
          </cell>
          <cell r="S152">
            <v>-755000</v>
          </cell>
          <cell r="T152">
            <v>0</v>
          </cell>
          <cell r="U152">
            <v>-700000</v>
          </cell>
          <cell r="V152">
            <v>0</v>
          </cell>
          <cell r="W152">
            <v>-1455000</v>
          </cell>
          <cell r="X152">
            <v>0</v>
          </cell>
          <cell r="Y152">
            <v>-2863030.12</v>
          </cell>
          <cell r="Z152">
            <v>0</v>
          </cell>
          <cell r="AA152">
            <v>-1286627.0422999999</v>
          </cell>
          <cell r="AD152">
            <v>0</v>
          </cell>
          <cell r="AE152">
            <v>-1286627.0422999999</v>
          </cell>
          <cell r="AF152" t="e">
            <v>#N/A</v>
          </cell>
          <cell r="AG152">
            <v>39813</v>
          </cell>
          <cell r="AH152" t="e">
            <v>#N/A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-1683030.12</v>
          </cell>
          <cell r="AR152">
            <v>0</v>
          </cell>
          <cell r="AS152">
            <v>-1923030.12</v>
          </cell>
          <cell r="AT152">
            <v>0</v>
          </cell>
          <cell r="AU152">
            <v>-2163030.12</v>
          </cell>
          <cell r="AV152">
            <v>0</v>
          </cell>
          <cell r="AW152">
            <v>-2863030.12</v>
          </cell>
        </row>
        <row r="153">
          <cell r="B153" t="str">
            <v>036791</v>
          </cell>
          <cell r="C153" t="str">
            <v>ANS OVERSEAS RECRUITMENT</v>
          </cell>
          <cell r="D153">
            <v>0</v>
          </cell>
          <cell r="E153">
            <v>0</v>
          </cell>
          <cell r="F153">
            <v>0.32666316289872205</v>
          </cell>
          <cell r="G153">
            <v>-717323</v>
          </cell>
          <cell r="H153">
            <v>-483000</v>
          </cell>
          <cell r="I153">
            <v>-1</v>
          </cell>
          <cell r="J153">
            <v>0</v>
          </cell>
          <cell r="K153">
            <v>-234323</v>
          </cell>
          <cell r="M153">
            <v>-115000</v>
          </cell>
          <cell r="O153">
            <v>-15000</v>
          </cell>
          <cell r="Q153">
            <v>-105000</v>
          </cell>
          <cell r="R153">
            <v>0</v>
          </cell>
          <cell r="S153">
            <v>-235000</v>
          </cell>
          <cell r="T153">
            <v>0</v>
          </cell>
          <cell r="U153">
            <v>-90000</v>
          </cell>
          <cell r="V153">
            <v>0</v>
          </cell>
          <cell r="W153">
            <v>-325000</v>
          </cell>
          <cell r="X153">
            <v>0</v>
          </cell>
          <cell r="Y153">
            <v>-559323</v>
          </cell>
          <cell r="Z153">
            <v>0</v>
          </cell>
          <cell r="AA153">
            <v>-158000</v>
          </cell>
          <cell r="AD153">
            <v>0</v>
          </cell>
          <cell r="AE153">
            <v>-158000</v>
          </cell>
          <cell r="AF153" t="e">
            <v>#N/A</v>
          </cell>
          <cell r="AG153">
            <v>39813</v>
          </cell>
          <cell r="AH153" t="e">
            <v>#N/A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-349323</v>
          </cell>
          <cell r="AR153">
            <v>0</v>
          </cell>
          <cell r="AS153">
            <v>-364323</v>
          </cell>
          <cell r="AT153">
            <v>0</v>
          </cell>
          <cell r="AU153">
            <v>-469323</v>
          </cell>
          <cell r="AV153">
            <v>0</v>
          </cell>
          <cell r="AW153">
            <v>-559323</v>
          </cell>
        </row>
        <row r="154">
          <cell r="B154" t="str">
            <v>OVERHEADS TOTAL</v>
          </cell>
          <cell r="D154">
            <v>46307328.429750003</v>
          </cell>
          <cell r="E154">
            <v>17289443.629750002</v>
          </cell>
          <cell r="G154">
            <v>-1053298.6814912008</v>
          </cell>
          <cell r="H154">
            <v>-1657215.4614911997</v>
          </cell>
          <cell r="J154">
            <v>7273292.29</v>
          </cell>
          <cell r="K154">
            <v>-821724.48</v>
          </cell>
          <cell r="L154">
            <v>1368489.3072929704</v>
          </cell>
          <cell r="M154">
            <v>-240814.19445245154</v>
          </cell>
          <cell r="N154">
            <v>1730803.1669414369</v>
          </cell>
          <cell r="O154">
            <v>-52749.441222305992</v>
          </cell>
          <cell r="P154">
            <v>1441335.5257655927</v>
          </cell>
          <cell r="Q154">
            <v>-149786.10294524246</v>
          </cell>
          <cell r="R154">
            <v>4540628</v>
          </cell>
          <cell r="S154">
            <v>-443349.73861999996</v>
          </cell>
          <cell r="T154">
            <v>4441135.1008000001</v>
          </cell>
          <cell r="U154">
            <v>-351616.59982400003</v>
          </cell>
          <cell r="V154">
            <v>8981763.1008000001</v>
          </cell>
          <cell r="W154">
            <v>-794966.33844399999</v>
          </cell>
          <cell r="X154">
            <v>16255055.390799999</v>
          </cell>
          <cell r="Y154">
            <v>-1616690.8184440001</v>
          </cell>
          <cell r="Z154">
            <v>8307680.5289500002</v>
          </cell>
          <cell r="AA154">
            <v>-862249.1230471998</v>
          </cell>
          <cell r="AB154">
            <v>0</v>
          </cell>
          <cell r="AC154">
            <v>0</v>
          </cell>
          <cell r="AD154">
            <v>8307680.5289500002</v>
          </cell>
          <cell r="AE154">
            <v>-862249.1230471998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8641781.597292969</v>
          </cell>
          <cell r="AQ154">
            <v>-1062538.6744524518</v>
          </cell>
          <cell r="AR154">
            <v>10372584.764234407</v>
          </cell>
          <cell r="AS154">
            <v>-1115288.1156747576</v>
          </cell>
          <cell r="AT154">
            <v>11813920.289999999</v>
          </cell>
          <cell r="AU154">
            <v>-1265074.2186200002</v>
          </cell>
          <cell r="AV154">
            <v>16255055.390799999</v>
          </cell>
          <cell r="AW154">
            <v>-1616690.8184440001</v>
          </cell>
        </row>
        <row r="155">
          <cell r="B155" t="str">
            <v xml:space="preserve">TOTAL ALINTA </v>
          </cell>
          <cell r="D155">
            <v>149970539.92681348</v>
          </cell>
          <cell r="E155">
            <v>45590719.136813492</v>
          </cell>
          <cell r="G155">
            <v>7728245.3809964331</v>
          </cell>
          <cell r="H155">
            <v>1582676.0809964347</v>
          </cell>
          <cell r="J155">
            <v>21071875.199999999</v>
          </cell>
          <cell r="K155">
            <v>591185.31000000006</v>
          </cell>
          <cell r="L155">
            <v>3330980.4565722002</v>
          </cell>
          <cell r="M155">
            <v>-85944.977087572101</v>
          </cell>
          <cell r="N155">
            <v>4186621.0033496376</v>
          </cell>
          <cell r="O155">
            <v>194138.58606776869</v>
          </cell>
          <cell r="P155">
            <v>3722712.8521416518</v>
          </cell>
          <cell r="Q155">
            <v>252950.14481861968</v>
          </cell>
          <cell r="R155">
            <v>11240314.312063491</v>
          </cell>
          <cell r="S155">
            <v>361143.75379881635</v>
          </cell>
          <cell r="T155">
            <v>11251102.8104</v>
          </cell>
          <cell r="U155">
            <v>402342.54839781823</v>
          </cell>
          <cell r="V155">
            <v>22491417.122463491</v>
          </cell>
          <cell r="W155">
            <v>763486.30219663458</v>
          </cell>
          <cell r="X155">
            <v>43563292.32246349</v>
          </cell>
          <cell r="Y155">
            <v>1354671.612196635</v>
          </cell>
          <cell r="Z155">
            <v>23099302.014350001</v>
          </cell>
          <cell r="AA155">
            <v>819189.77879979997</v>
          </cell>
          <cell r="AB155">
            <v>0</v>
          </cell>
          <cell r="AC155">
            <v>0</v>
          </cell>
          <cell r="AD155">
            <v>23099302.014350001</v>
          </cell>
          <cell r="AE155">
            <v>819189.77879979997</v>
          </cell>
          <cell r="AL155">
            <v>0</v>
          </cell>
          <cell r="AM155">
            <v>-5.8207660913467407E-11</v>
          </cell>
          <cell r="AN155">
            <v>0</v>
          </cell>
          <cell r="AO155">
            <v>0</v>
          </cell>
          <cell r="AP155">
            <v>24402855.6565722</v>
          </cell>
          <cell r="AQ155">
            <v>505240.33291242784</v>
          </cell>
          <cell r="AR155">
            <v>28589476.65992184</v>
          </cell>
          <cell r="AS155">
            <v>699378.91898019658</v>
          </cell>
          <cell r="AT155">
            <v>32312189.512063488</v>
          </cell>
          <cell r="AU155">
            <v>952329.06379881618</v>
          </cell>
          <cell r="AV155">
            <v>43563292.32246349</v>
          </cell>
          <cell r="AW155">
            <v>1354671.612196635</v>
          </cell>
        </row>
        <row r="156">
          <cell r="B156" t="str">
            <v>CHAMP</v>
          </cell>
        </row>
        <row r="157">
          <cell r="B157" t="str">
            <v>037001</v>
          </cell>
          <cell r="C157" t="str">
            <v>SOUTH GIPPSLAND GAS EXTENTION</v>
          </cell>
          <cell r="D157">
            <v>6143986.8499999996</v>
          </cell>
          <cell r="E157">
            <v>5404000</v>
          </cell>
          <cell r="F157">
            <v>9.5296825656052131E-2</v>
          </cell>
          <cell r="G157">
            <v>1108744.21</v>
          </cell>
          <cell r="H157">
            <v>848600</v>
          </cell>
          <cell r="I157">
            <v>0.22019677883884461</v>
          </cell>
          <cell r="J157">
            <v>739986.85</v>
          </cell>
          <cell r="K157">
            <v>260144.21</v>
          </cell>
          <cell r="L157">
            <v>141000</v>
          </cell>
          <cell r="M157">
            <v>19150</v>
          </cell>
          <cell r="N157">
            <v>213000</v>
          </cell>
          <cell r="O157">
            <v>51950</v>
          </cell>
          <cell r="P157">
            <v>250000</v>
          </cell>
          <cell r="Q157">
            <v>57500</v>
          </cell>
          <cell r="R157">
            <v>604000</v>
          </cell>
          <cell r="S157">
            <v>128600</v>
          </cell>
          <cell r="T157">
            <v>960000</v>
          </cell>
          <cell r="U157">
            <v>144000</v>
          </cell>
          <cell r="V157">
            <v>1564000</v>
          </cell>
          <cell r="W157">
            <v>272600</v>
          </cell>
          <cell r="X157">
            <v>2303986.85</v>
          </cell>
          <cell r="Y157">
            <v>532744.21</v>
          </cell>
          <cell r="Z157">
            <v>1920000</v>
          </cell>
          <cell r="AA157">
            <v>288000</v>
          </cell>
          <cell r="AB157">
            <v>1920000</v>
          </cell>
          <cell r="AC157">
            <v>288000</v>
          </cell>
          <cell r="AD157">
            <v>3840000</v>
          </cell>
          <cell r="AE157">
            <v>576000</v>
          </cell>
          <cell r="AF157" t="e">
            <v>#N/A</v>
          </cell>
          <cell r="AG157">
            <v>0</v>
          </cell>
          <cell r="AH157" t="e">
            <v>#N/A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880986.85</v>
          </cell>
          <cell r="AQ157">
            <v>279294.20999999996</v>
          </cell>
          <cell r="AR157">
            <v>1093986.8500000001</v>
          </cell>
          <cell r="AS157">
            <v>331244.20999999996</v>
          </cell>
          <cell r="AT157">
            <v>1343986.85</v>
          </cell>
          <cell r="AU157">
            <v>388744.20999999996</v>
          </cell>
          <cell r="AV157">
            <v>2303986.85</v>
          </cell>
          <cell r="AW157">
            <v>532744.21</v>
          </cell>
        </row>
        <row r="158">
          <cell r="B158" t="str">
            <v>037070</v>
          </cell>
          <cell r="C158" t="str">
            <v>SUNDRY CAPITAL WORKS - GAS</v>
          </cell>
          <cell r="D158">
            <v>3224018.52</v>
          </cell>
          <cell r="E158">
            <v>1492000</v>
          </cell>
          <cell r="F158">
            <v>0.54077628269470512</v>
          </cell>
          <cell r="G158">
            <v>565401.48</v>
          </cell>
          <cell r="H158">
            <v>271100</v>
          </cell>
          <cell r="I158">
            <v>0.21266751528832448</v>
          </cell>
          <cell r="J158">
            <v>1732018.52</v>
          </cell>
          <cell r="K158">
            <v>294301.48</v>
          </cell>
          <cell r="L158">
            <v>342000</v>
          </cell>
          <cell r="M158">
            <v>49850</v>
          </cell>
          <cell r="N158">
            <v>575000</v>
          </cell>
          <cell r="O158">
            <v>110625</v>
          </cell>
          <cell r="P158">
            <v>575000</v>
          </cell>
          <cell r="Q158">
            <v>110625</v>
          </cell>
          <cell r="R158">
            <v>1492000</v>
          </cell>
          <cell r="S158">
            <v>271100</v>
          </cell>
          <cell r="V158">
            <v>1492000</v>
          </cell>
          <cell r="W158">
            <v>271100</v>
          </cell>
          <cell r="X158">
            <v>3224018.52</v>
          </cell>
          <cell r="Y158">
            <v>565401.48</v>
          </cell>
          <cell r="AD158">
            <v>0</v>
          </cell>
          <cell r="AE158">
            <v>0</v>
          </cell>
          <cell r="AF158" t="e">
            <v>#N/A</v>
          </cell>
          <cell r="AG158">
            <v>0</v>
          </cell>
          <cell r="AH158" t="e">
            <v>#N/A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2074018.52</v>
          </cell>
          <cell r="AQ158">
            <v>344151.48</v>
          </cell>
          <cell r="AR158">
            <v>2649018.52</v>
          </cell>
          <cell r="AS158">
            <v>454776.48</v>
          </cell>
          <cell r="AT158">
            <v>3224018.52</v>
          </cell>
          <cell r="AU158">
            <v>565401.48</v>
          </cell>
          <cell r="AV158">
            <v>3224018.52</v>
          </cell>
          <cell r="AW158">
            <v>565401.48</v>
          </cell>
        </row>
        <row r="159">
          <cell r="B159" t="str">
            <v>037071</v>
          </cell>
          <cell r="C159" t="str">
            <v>SUNDRY CAPITAL WORKS - POWER</v>
          </cell>
          <cell r="D159">
            <v>513770</v>
          </cell>
          <cell r="E159">
            <v>280000</v>
          </cell>
          <cell r="F159">
            <v>0.45353836053606367</v>
          </cell>
          <cell r="G159">
            <v>93612.42</v>
          </cell>
          <cell r="H159">
            <v>50400</v>
          </cell>
          <cell r="I159">
            <v>0.22280312067677083</v>
          </cell>
          <cell r="J159">
            <v>233770</v>
          </cell>
          <cell r="K159">
            <v>43212.42</v>
          </cell>
          <cell r="L159">
            <v>80000</v>
          </cell>
          <cell r="M159">
            <v>14400</v>
          </cell>
          <cell r="N159">
            <v>100000</v>
          </cell>
          <cell r="O159">
            <v>18000</v>
          </cell>
          <cell r="P159">
            <v>100000</v>
          </cell>
          <cell r="Q159">
            <v>18000</v>
          </cell>
          <cell r="R159">
            <v>280000</v>
          </cell>
          <cell r="S159">
            <v>50400</v>
          </cell>
          <cell r="V159">
            <v>280000</v>
          </cell>
          <cell r="W159">
            <v>50400</v>
          </cell>
          <cell r="X159">
            <v>513770</v>
          </cell>
          <cell r="Y159">
            <v>93612.42</v>
          </cell>
          <cell r="AD159">
            <v>0</v>
          </cell>
          <cell r="AE159">
            <v>0</v>
          </cell>
          <cell r="AF159" t="e">
            <v>#N/A</v>
          </cell>
          <cell r="AG159">
            <v>0</v>
          </cell>
          <cell r="AH159" t="e">
            <v>#N/A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313770</v>
          </cell>
          <cell r="AQ159">
            <v>57612.42</v>
          </cell>
          <cell r="AR159">
            <v>413770</v>
          </cell>
          <cell r="AS159">
            <v>75612.42</v>
          </cell>
          <cell r="AT159">
            <v>513770</v>
          </cell>
          <cell r="AU159">
            <v>93612.42</v>
          </cell>
          <cell r="AV159">
            <v>513770</v>
          </cell>
          <cell r="AW159">
            <v>93612.42</v>
          </cell>
        </row>
        <row r="160">
          <cell r="B160" t="str">
            <v>037072</v>
          </cell>
          <cell r="C160" t="str">
            <v>SUNDRY CAPITAL WORKS - COMMS</v>
          </cell>
          <cell r="D160">
            <v>3300</v>
          </cell>
          <cell r="E160">
            <v>0</v>
          </cell>
          <cell r="F160">
            <v>1</v>
          </cell>
          <cell r="G160">
            <v>701.36</v>
          </cell>
          <cell r="H160">
            <v>0</v>
          </cell>
          <cell r="I160">
            <v>0.26989502201151372</v>
          </cell>
          <cell r="J160">
            <v>3300</v>
          </cell>
          <cell r="K160">
            <v>701.36</v>
          </cell>
          <cell r="R160">
            <v>0</v>
          </cell>
          <cell r="S160">
            <v>0</v>
          </cell>
          <cell r="V160">
            <v>0</v>
          </cell>
          <cell r="W160">
            <v>0</v>
          </cell>
          <cell r="X160">
            <v>3300</v>
          </cell>
          <cell r="Y160">
            <v>701.36</v>
          </cell>
          <cell r="AD160">
            <v>0</v>
          </cell>
          <cell r="AE160">
            <v>0</v>
          </cell>
          <cell r="AF160" t="e">
            <v>#N/A</v>
          </cell>
          <cell r="AG160">
            <v>0</v>
          </cell>
          <cell r="AH160" t="e">
            <v>#N/A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3300</v>
          </cell>
          <cell r="AQ160">
            <v>701.36</v>
          </cell>
          <cell r="AR160">
            <v>3300</v>
          </cell>
          <cell r="AS160">
            <v>701.36</v>
          </cell>
          <cell r="AT160">
            <v>3300</v>
          </cell>
          <cell r="AU160">
            <v>701.36</v>
          </cell>
          <cell r="AV160">
            <v>3300</v>
          </cell>
          <cell r="AW160">
            <v>701.36</v>
          </cell>
        </row>
        <row r="161">
          <cell r="B161" t="str">
            <v>037073</v>
          </cell>
          <cell r="C161" t="str">
            <v>SUNDRY CAPITAL WORKS - POLE TO PIT</v>
          </cell>
          <cell r="D161">
            <v>45915</v>
          </cell>
          <cell r="E161">
            <v>20000</v>
          </cell>
          <cell r="F161">
            <v>0.58022466375995574</v>
          </cell>
          <cell r="G161">
            <v>17328.28</v>
          </cell>
          <cell r="H161">
            <v>8000</v>
          </cell>
          <cell r="I161">
            <v>0.60616538028846956</v>
          </cell>
          <cell r="J161">
            <v>25915</v>
          </cell>
          <cell r="K161">
            <v>9328.2800000000007</v>
          </cell>
          <cell r="L161">
            <v>5000</v>
          </cell>
          <cell r="M161">
            <v>2000</v>
          </cell>
          <cell r="N161">
            <v>7000</v>
          </cell>
          <cell r="O161">
            <v>2800</v>
          </cell>
          <cell r="P161">
            <v>8000</v>
          </cell>
          <cell r="Q161">
            <v>3200</v>
          </cell>
          <cell r="R161">
            <v>20000</v>
          </cell>
          <cell r="S161">
            <v>8000</v>
          </cell>
          <cell r="V161">
            <v>20000</v>
          </cell>
          <cell r="W161">
            <v>8000</v>
          </cell>
          <cell r="X161">
            <v>45915</v>
          </cell>
          <cell r="Y161">
            <v>17328.28</v>
          </cell>
          <cell r="AD161">
            <v>0</v>
          </cell>
          <cell r="AE161">
            <v>0</v>
          </cell>
          <cell r="AF161" t="e">
            <v>#N/A</v>
          </cell>
          <cell r="AG161">
            <v>0</v>
          </cell>
          <cell r="AH161" t="e">
            <v>#N/A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30915</v>
          </cell>
          <cell r="AQ161">
            <v>11328.28</v>
          </cell>
          <cell r="AR161">
            <v>37915</v>
          </cell>
          <cell r="AS161">
            <v>14128.28</v>
          </cell>
          <cell r="AT161">
            <v>45915</v>
          </cell>
          <cell r="AU161">
            <v>17328.28</v>
          </cell>
          <cell r="AV161">
            <v>45915</v>
          </cell>
          <cell r="AW161">
            <v>17328.28</v>
          </cell>
        </row>
        <row r="162">
          <cell r="B162" t="str">
            <v>037090</v>
          </cell>
          <cell r="C162" t="str">
            <v>ADMINISTRATION</v>
          </cell>
          <cell r="D162">
            <v>0</v>
          </cell>
          <cell r="E162">
            <v>0</v>
          </cell>
          <cell r="F162">
            <v>0.35050057059215833</v>
          </cell>
          <cell r="G162">
            <v>-1447268.4</v>
          </cell>
          <cell r="H162">
            <v>-940000</v>
          </cell>
          <cell r="I162">
            <v>-1</v>
          </cell>
          <cell r="J162">
            <v>0</v>
          </cell>
          <cell r="K162">
            <v>-507268.4</v>
          </cell>
          <cell r="M162">
            <v>-140000</v>
          </cell>
          <cell r="O162">
            <v>-140000</v>
          </cell>
          <cell r="Q162">
            <v>-140000</v>
          </cell>
          <cell r="R162">
            <v>0</v>
          </cell>
          <cell r="S162">
            <v>-420000</v>
          </cell>
          <cell r="U162">
            <v>-100000</v>
          </cell>
          <cell r="V162">
            <v>0</v>
          </cell>
          <cell r="W162">
            <v>-520000</v>
          </cell>
          <cell r="X162">
            <v>0</v>
          </cell>
          <cell r="Y162">
            <v>-1027268.4</v>
          </cell>
          <cell r="AA162">
            <v>-210000</v>
          </cell>
          <cell r="AC162">
            <v>-210000</v>
          </cell>
          <cell r="AD162">
            <v>0</v>
          </cell>
          <cell r="AE162">
            <v>-420000</v>
          </cell>
          <cell r="AF162" t="e">
            <v>#N/A</v>
          </cell>
          <cell r="AG162">
            <v>0</v>
          </cell>
          <cell r="AH162" t="e">
            <v>#N/A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-647268.4</v>
          </cell>
          <cell r="AR162">
            <v>0</v>
          </cell>
          <cell r="AS162">
            <v>-787268.4</v>
          </cell>
          <cell r="AT162">
            <v>0</v>
          </cell>
          <cell r="AU162">
            <v>-927268.4</v>
          </cell>
          <cell r="AV162">
            <v>0</v>
          </cell>
          <cell r="AW162">
            <v>-1027268.4</v>
          </cell>
        </row>
        <row r="163">
          <cell r="B163" t="str">
            <v>TOTAL CHAMP</v>
          </cell>
          <cell r="D163">
            <v>9930990.3699999992</v>
          </cell>
          <cell r="E163">
            <v>7196000</v>
          </cell>
          <cell r="G163">
            <v>338519.35</v>
          </cell>
          <cell r="H163">
            <v>238100</v>
          </cell>
          <cell r="J163">
            <v>2734990.37</v>
          </cell>
          <cell r="K163">
            <v>100419.35</v>
          </cell>
          <cell r="L163">
            <v>568000</v>
          </cell>
          <cell r="M163">
            <v>-54600</v>
          </cell>
          <cell r="N163">
            <v>895000</v>
          </cell>
          <cell r="O163">
            <v>43375</v>
          </cell>
          <cell r="P163">
            <v>933000</v>
          </cell>
          <cell r="Q163">
            <v>49325</v>
          </cell>
          <cell r="R163">
            <v>2396000</v>
          </cell>
          <cell r="S163">
            <v>38100</v>
          </cell>
          <cell r="T163">
            <v>960000</v>
          </cell>
          <cell r="U163">
            <v>44000</v>
          </cell>
          <cell r="V163">
            <v>3356000</v>
          </cell>
          <cell r="W163">
            <v>82100</v>
          </cell>
          <cell r="X163">
            <v>6090990.3700000001</v>
          </cell>
          <cell r="Y163">
            <v>182519.34999999998</v>
          </cell>
          <cell r="Z163">
            <v>1920000</v>
          </cell>
          <cell r="AA163">
            <v>78000</v>
          </cell>
          <cell r="AB163">
            <v>1920000</v>
          </cell>
          <cell r="AC163">
            <v>78000</v>
          </cell>
          <cell r="AD163">
            <v>3840000</v>
          </cell>
          <cell r="AE163">
            <v>156000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3302990.37</v>
          </cell>
          <cell r="AQ163">
            <v>45819.349999999977</v>
          </cell>
          <cell r="AR163">
            <v>4197990.37</v>
          </cell>
          <cell r="AS163">
            <v>89194.349999999977</v>
          </cell>
          <cell r="AT163">
            <v>5130990.37</v>
          </cell>
          <cell r="AU163">
            <v>138519.34999999998</v>
          </cell>
          <cell r="AV163">
            <v>6090990.3700000001</v>
          </cell>
          <cell r="AW163">
            <v>182519.34999999998</v>
          </cell>
        </row>
        <row r="164">
          <cell r="B164" t="str">
            <v>SEWL ALLIANCE CONTRACT</v>
          </cell>
        </row>
        <row r="165">
          <cell r="B165" t="str">
            <v>036801</v>
          </cell>
          <cell r="C165" t="str">
            <v>COMMERCIAL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Z165">
            <v>0</v>
          </cell>
          <cell r="AA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</row>
        <row r="166">
          <cell r="B166" t="str">
            <v>036802</v>
          </cell>
          <cell r="C166" t="str">
            <v>ASSET SERVICES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R166">
            <v>0</v>
          </cell>
          <cell r="S166">
            <v>0</v>
          </cell>
          <cell r="V166">
            <v>0</v>
          </cell>
          <cell r="W166">
            <v>0</v>
          </cell>
          <cell r="Z166">
            <v>0</v>
          </cell>
          <cell r="AA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</row>
        <row r="167">
          <cell r="B167" t="str">
            <v>036803</v>
          </cell>
          <cell r="C167" t="str">
            <v>TREATMENT PLANTS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R167">
            <v>0</v>
          </cell>
          <cell r="S167">
            <v>0</v>
          </cell>
          <cell r="V167">
            <v>0</v>
          </cell>
          <cell r="W167">
            <v>0</v>
          </cell>
          <cell r="Z167">
            <v>0</v>
          </cell>
          <cell r="AA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</row>
        <row r="168">
          <cell r="B168" t="str">
            <v>036804</v>
          </cell>
          <cell r="C168" t="str">
            <v>CONSTRUCTION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R168">
            <v>0</v>
          </cell>
          <cell r="S168">
            <v>0</v>
          </cell>
          <cell r="V168">
            <v>0</v>
          </cell>
          <cell r="W168">
            <v>0</v>
          </cell>
          <cell r="Z168">
            <v>0</v>
          </cell>
          <cell r="AA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</row>
        <row r="169">
          <cell r="B169" t="str">
            <v>036805</v>
          </cell>
          <cell r="C169" t="str">
            <v>SYSTEMS ENGINEERING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R169">
            <v>0</v>
          </cell>
          <cell r="S169">
            <v>0</v>
          </cell>
          <cell r="V169">
            <v>0</v>
          </cell>
          <cell r="W169">
            <v>0</v>
          </cell>
          <cell r="Z169">
            <v>0</v>
          </cell>
          <cell r="AA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</row>
        <row r="170">
          <cell r="B170" t="str">
            <v>036806</v>
          </cell>
          <cell r="C170" t="str">
            <v>CIVIL REACTIVE WATER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R170">
            <v>0</v>
          </cell>
          <cell r="S170">
            <v>0</v>
          </cell>
          <cell r="V170">
            <v>0</v>
          </cell>
          <cell r="W170">
            <v>0</v>
          </cell>
          <cell r="Z170">
            <v>0</v>
          </cell>
          <cell r="AA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</row>
        <row r="171">
          <cell r="B171" t="str">
            <v>036807</v>
          </cell>
          <cell r="C171" t="str">
            <v>TRAFFIC MANAGEMENT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R171">
            <v>0</v>
          </cell>
          <cell r="S171">
            <v>0</v>
          </cell>
          <cell r="V171">
            <v>0</v>
          </cell>
          <cell r="W171">
            <v>0</v>
          </cell>
          <cell r="Z171">
            <v>0</v>
          </cell>
          <cell r="AA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</row>
        <row r="172">
          <cell r="B172" t="str">
            <v>036808</v>
          </cell>
          <cell r="C172" t="str">
            <v>CIVIL WASTE WATER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R172">
            <v>0</v>
          </cell>
          <cell r="S172">
            <v>0</v>
          </cell>
          <cell r="V172">
            <v>0</v>
          </cell>
          <cell r="W172">
            <v>0</v>
          </cell>
          <cell r="Z172">
            <v>0</v>
          </cell>
          <cell r="AA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</row>
        <row r="173">
          <cell r="B173" t="str">
            <v>036809</v>
          </cell>
          <cell r="C173" t="str">
            <v>PROGRAMMED WORKS WATERMAINS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R173">
            <v>0</v>
          </cell>
          <cell r="S173">
            <v>0</v>
          </cell>
          <cell r="V173">
            <v>0</v>
          </cell>
          <cell r="W173">
            <v>0</v>
          </cell>
          <cell r="Z173">
            <v>0</v>
          </cell>
          <cell r="AA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</row>
        <row r="174">
          <cell r="B174" t="str">
            <v>036810</v>
          </cell>
          <cell r="C174" t="str">
            <v>ROADWORKS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R174">
            <v>0</v>
          </cell>
          <cell r="S174">
            <v>0</v>
          </cell>
          <cell r="V174">
            <v>0</v>
          </cell>
          <cell r="W174">
            <v>0</v>
          </cell>
          <cell r="Z174">
            <v>0</v>
          </cell>
          <cell r="AA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</row>
        <row r="175">
          <cell r="B175" t="str">
            <v>036811</v>
          </cell>
          <cell r="C175" t="str">
            <v>MINOR CONSTRUCTION/GROUNDS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R175">
            <v>0</v>
          </cell>
          <cell r="S175">
            <v>0</v>
          </cell>
          <cell r="V175">
            <v>0</v>
          </cell>
          <cell r="W175">
            <v>0</v>
          </cell>
          <cell r="Z175">
            <v>0</v>
          </cell>
          <cell r="AA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</row>
        <row r="176">
          <cell r="B176" t="str">
            <v>036812</v>
          </cell>
          <cell r="C176" t="str">
            <v>EXT. CAPITAL WORKS PROGRAMS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Z176">
            <v>0</v>
          </cell>
          <cell r="AA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</row>
        <row r="177">
          <cell r="B177" t="str">
            <v>036018</v>
          </cell>
          <cell r="C177" t="str">
            <v>LOGISTICS</v>
          </cell>
          <cell r="D177">
            <v>778875</v>
          </cell>
          <cell r="E177">
            <v>471573.82</v>
          </cell>
          <cell r="F177">
            <v>0.38679533037437697</v>
          </cell>
          <cell r="G177">
            <v>45283</v>
          </cell>
          <cell r="H177">
            <v>21731.78</v>
          </cell>
          <cell r="I177">
            <v>6.1727772385740301E-2</v>
          </cell>
          <cell r="J177">
            <v>29132.81</v>
          </cell>
          <cell r="K177">
            <v>2157.9899999999998</v>
          </cell>
          <cell r="L177">
            <v>5998.2692307692305</v>
          </cell>
          <cell r="M177">
            <v>443.87192307692305</v>
          </cell>
          <cell r="N177">
            <v>4798.6153846153848</v>
          </cell>
          <cell r="O177">
            <v>355.09753846153848</v>
          </cell>
          <cell r="P177">
            <v>4798.6153846153848</v>
          </cell>
          <cell r="Q177">
            <v>355.09753846153848</v>
          </cell>
          <cell r="R177">
            <v>15595.5</v>
          </cell>
          <cell r="S177">
            <v>1154.067</v>
          </cell>
          <cell r="T177">
            <v>20595.5</v>
          </cell>
          <cell r="U177">
            <v>1441.6849999999999</v>
          </cell>
          <cell r="V177">
            <v>36191</v>
          </cell>
          <cell r="W177">
            <v>2595.752</v>
          </cell>
          <cell r="X177">
            <v>65323.81</v>
          </cell>
          <cell r="Y177">
            <v>4753.7420000000002</v>
          </cell>
          <cell r="Z177">
            <v>37060.311928994088</v>
          </cell>
          <cell r="AA177">
            <v>2742.4630827455626</v>
          </cell>
          <cell r="AB177">
            <v>37060.311928994088</v>
          </cell>
          <cell r="AC177">
            <v>2742.4630827455626</v>
          </cell>
          <cell r="AD177">
            <v>74120.623857988176</v>
          </cell>
          <cell r="AE177">
            <v>5484.9261654911252</v>
          </cell>
          <cell r="AF177" t="e">
            <v>#N/A</v>
          </cell>
          <cell r="AG177">
            <v>40999</v>
          </cell>
          <cell r="AH177" t="e">
            <v>#N/A</v>
          </cell>
          <cell r="AI177" t="e">
            <v>#N/A</v>
          </cell>
          <cell r="AJ177">
            <v>414</v>
          </cell>
          <cell r="AK177">
            <v>15084</v>
          </cell>
          <cell r="AL177">
            <v>361262.19614201185</v>
          </cell>
          <cell r="AM177">
            <v>13651.101834508874</v>
          </cell>
          <cell r="AN177">
            <v>0</v>
          </cell>
          <cell r="AO177">
            <v>0</v>
          </cell>
          <cell r="AP177">
            <v>35131.079230769232</v>
          </cell>
          <cell r="AQ177">
            <v>2601.8619230769227</v>
          </cell>
          <cell r="AR177">
            <v>39929.694615384615</v>
          </cell>
          <cell r="AS177">
            <v>2956.9594615384613</v>
          </cell>
          <cell r="AT177">
            <v>44728.31</v>
          </cell>
          <cell r="AU177">
            <v>3312.0569999999998</v>
          </cell>
          <cell r="AV177">
            <v>65323.81</v>
          </cell>
          <cell r="AW177">
            <v>4753.7420000000002</v>
          </cell>
        </row>
        <row r="178">
          <cell r="B178" t="str">
            <v>036813</v>
          </cell>
          <cell r="C178" t="str">
            <v>EXT WORKS</v>
          </cell>
          <cell r="D178">
            <v>26530015.940000001</v>
          </cell>
          <cell r="E178">
            <v>1860000</v>
          </cell>
          <cell r="F178">
            <v>0.92661745562086806</v>
          </cell>
          <cell r="G178">
            <v>2450720.04</v>
          </cell>
          <cell r="H178">
            <v>93000.000000000466</v>
          </cell>
          <cell r="I178">
            <v>0.10177706400459989</v>
          </cell>
          <cell r="J178">
            <v>4534542.88</v>
          </cell>
          <cell r="K178">
            <v>306362.73</v>
          </cell>
          <cell r="L178">
            <v>450000</v>
          </cell>
          <cell r="M178">
            <v>22500</v>
          </cell>
          <cell r="N178">
            <v>705000</v>
          </cell>
          <cell r="O178">
            <v>35250</v>
          </cell>
          <cell r="P178">
            <v>705000</v>
          </cell>
          <cell r="Q178">
            <v>35250</v>
          </cell>
          <cell r="R178">
            <v>1860000</v>
          </cell>
          <cell r="S178">
            <v>93000</v>
          </cell>
          <cell r="V178">
            <v>1860000</v>
          </cell>
          <cell r="W178">
            <v>93000</v>
          </cell>
          <cell r="X178">
            <v>6394542.8799999999</v>
          </cell>
          <cell r="Y178">
            <v>399362.73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 t="e">
            <v>#N/A</v>
          </cell>
          <cell r="AG178">
            <v>40999</v>
          </cell>
          <cell r="AH178" t="e">
            <v>#N/A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4.6566128730773926E-10</v>
          </cell>
          <cell r="AN178">
            <v>0</v>
          </cell>
          <cell r="AO178">
            <v>0</v>
          </cell>
          <cell r="AP178">
            <v>4984542.88</v>
          </cell>
          <cell r="AQ178">
            <v>328862.73</v>
          </cell>
          <cell r="AR178">
            <v>5689542.8799999999</v>
          </cell>
          <cell r="AS178">
            <v>364112.73</v>
          </cell>
          <cell r="AT178">
            <v>6394542.8799999999</v>
          </cell>
          <cell r="AU178">
            <v>399362.73</v>
          </cell>
          <cell r="AV178">
            <v>6394542.8799999999</v>
          </cell>
          <cell r="AW178">
            <v>399362.73</v>
          </cell>
        </row>
        <row r="179">
          <cell r="B179" t="str">
            <v>036850</v>
          </cell>
          <cell r="C179" t="str">
            <v>COMMERCIAL</v>
          </cell>
          <cell r="D179">
            <v>14818725</v>
          </cell>
          <cell r="E179">
            <v>12205643.109999999</v>
          </cell>
          <cell r="F179">
            <v>0.17261982370118126</v>
          </cell>
          <cell r="G179">
            <v>266387</v>
          </cell>
          <cell r="H179">
            <v>165327.13</v>
          </cell>
          <cell r="I179">
            <v>1.8305443427715878E-2</v>
          </cell>
          <cell r="J179">
            <v>1098089.74</v>
          </cell>
          <cell r="K179">
            <v>-14169.01</v>
          </cell>
          <cell r="L179">
            <v>295000</v>
          </cell>
          <cell r="M179">
            <v>8850</v>
          </cell>
          <cell r="N179">
            <v>236000</v>
          </cell>
          <cell r="O179">
            <v>7080</v>
          </cell>
          <cell r="P179">
            <v>236000</v>
          </cell>
          <cell r="Q179">
            <v>7080</v>
          </cell>
          <cell r="R179">
            <v>767000</v>
          </cell>
          <cell r="S179">
            <v>23010</v>
          </cell>
          <cell r="T179">
            <v>767000</v>
          </cell>
          <cell r="U179">
            <v>23010</v>
          </cell>
          <cell r="V179">
            <v>1534000</v>
          </cell>
          <cell r="W179">
            <v>46020</v>
          </cell>
          <cell r="X179">
            <v>2632089.7400000002</v>
          </cell>
          <cell r="Y179">
            <v>31850.989999999998</v>
          </cell>
          <cell r="Z179">
            <v>1407449.2372573966</v>
          </cell>
          <cell r="AA179">
            <v>14074.492372573966</v>
          </cell>
          <cell r="AB179">
            <v>1407449.2372573966</v>
          </cell>
          <cell r="AC179">
            <v>14074.492372573966</v>
          </cell>
          <cell r="AD179">
            <v>2814898.4745147931</v>
          </cell>
          <cell r="AE179">
            <v>28148.984745147933</v>
          </cell>
          <cell r="AF179" t="e">
            <v>#N/A</v>
          </cell>
          <cell r="AG179">
            <v>40999</v>
          </cell>
          <cell r="AH179" t="e">
            <v>#N/A</v>
          </cell>
          <cell r="AI179" t="e">
            <v>#N/A</v>
          </cell>
          <cell r="AJ179">
            <v>2762</v>
          </cell>
          <cell r="AK179">
            <v>77410</v>
          </cell>
          <cell r="AL179">
            <v>7856744.6354852058</v>
          </cell>
          <cell r="AM179">
            <v>91158.145254852076</v>
          </cell>
          <cell r="AN179">
            <v>0</v>
          </cell>
          <cell r="AO179">
            <v>0</v>
          </cell>
          <cell r="AP179">
            <v>1393089.74</v>
          </cell>
          <cell r="AQ179">
            <v>-5319.01</v>
          </cell>
          <cell r="AR179">
            <v>1629089.74</v>
          </cell>
          <cell r="AS179">
            <v>1760.9899999999998</v>
          </cell>
          <cell r="AT179">
            <v>1865089.74</v>
          </cell>
          <cell r="AU179">
            <v>8840.99</v>
          </cell>
          <cell r="AV179">
            <v>2632089.7400000002</v>
          </cell>
          <cell r="AW179">
            <v>31850.989999999998</v>
          </cell>
        </row>
        <row r="180">
          <cell r="B180" t="str">
            <v>036851</v>
          </cell>
          <cell r="C180" t="str">
            <v>ALLIANCE GM</v>
          </cell>
          <cell r="D180">
            <v>390000</v>
          </cell>
          <cell r="E180">
            <v>198490.01</v>
          </cell>
          <cell r="F180">
            <v>0.50333258586432017</v>
          </cell>
          <cell r="G180">
            <v>37700</v>
          </cell>
          <cell r="H180">
            <v>23514.080000000002</v>
          </cell>
          <cell r="I180">
            <v>0.1070110701107011</v>
          </cell>
          <cell r="J180">
            <v>14669.56</v>
          </cell>
          <cell r="K180">
            <v>1086.6300000000001</v>
          </cell>
          <cell r="L180">
            <v>3076.9230769230767</v>
          </cell>
          <cell r="M180">
            <v>227.69230769230765</v>
          </cell>
          <cell r="N180">
            <v>2461.5384615384614</v>
          </cell>
          <cell r="O180">
            <v>182.15384615384613</v>
          </cell>
          <cell r="P180">
            <v>2461.5384615384614</v>
          </cell>
          <cell r="Q180">
            <v>182.15384615384613</v>
          </cell>
          <cell r="R180">
            <v>8000</v>
          </cell>
          <cell r="S180">
            <v>591.99999999999989</v>
          </cell>
          <cell r="T180">
            <v>9000</v>
          </cell>
          <cell r="U180">
            <v>630</v>
          </cell>
          <cell r="V180">
            <v>17000</v>
          </cell>
          <cell r="W180">
            <v>1222</v>
          </cell>
          <cell r="X180">
            <v>31669.559999999998</v>
          </cell>
          <cell r="Y180">
            <v>2308.63</v>
          </cell>
          <cell r="Z180">
            <v>19047.868263313612</v>
          </cell>
          <cell r="AA180">
            <v>1409.5422514852073</v>
          </cell>
          <cell r="AB180">
            <v>19047.868263313612</v>
          </cell>
          <cell r="AC180">
            <v>1409.5422514852073</v>
          </cell>
          <cell r="AD180">
            <v>38095.736526627225</v>
          </cell>
          <cell r="AE180">
            <v>2819.0845029704146</v>
          </cell>
          <cell r="AF180" t="e">
            <v>#N/A</v>
          </cell>
          <cell r="AG180">
            <v>40999</v>
          </cell>
          <cell r="AH180" t="e">
            <v>#N/A</v>
          </cell>
          <cell r="AI180" t="e">
            <v>#N/A</v>
          </cell>
          <cell r="AJ180">
            <v>590</v>
          </cell>
          <cell r="AK180">
            <v>7752</v>
          </cell>
          <cell r="AL180">
            <v>143394.2734733728</v>
          </cell>
          <cell r="AM180">
            <v>19472.995497029588</v>
          </cell>
          <cell r="AN180">
            <v>0</v>
          </cell>
          <cell r="AO180">
            <v>0</v>
          </cell>
          <cell r="AP180">
            <v>17746.483076923076</v>
          </cell>
          <cell r="AQ180">
            <v>1314.3223076923077</v>
          </cell>
          <cell r="AR180">
            <v>20208.021538461537</v>
          </cell>
          <cell r="AS180">
            <v>1496.4761538461539</v>
          </cell>
          <cell r="AT180">
            <v>22669.559999999998</v>
          </cell>
          <cell r="AU180">
            <v>1678.63</v>
          </cell>
          <cell r="AV180">
            <v>31669.559999999998</v>
          </cell>
          <cell r="AW180">
            <v>2308.63</v>
          </cell>
        </row>
        <row r="181">
          <cell r="B181" t="str">
            <v>036852</v>
          </cell>
          <cell r="C181" t="str">
            <v>ASSET SERVICES</v>
          </cell>
          <cell r="D181">
            <v>4300000</v>
          </cell>
          <cell r="E181">
            <v>2629583.73</v>
          </cell>
          <cell r="F181">
            <v>0.38528249931890834</v>
          </cell>
          <cell r="G181">
            <v>299070</v>
          </cell>
          <cell r="H181">
            <v>170142.04</v>
          </cell>
          <cell r="I181">
            <v>7.4750120596961206E-2</v>
          </cell>
          <cell r="J181">
            <v>234424.42</v>
          </cell>
          <cell r="K181">
            <v>17364.77</v>
          </cell>
          <cell r="L181">
            <v>57692.307692307695</v>
          </cell>
          <cell r="M181">
            <v>4269.2307692307695</v>
          </cell>
          <cell r="N181">
            <v>46153.846153846156</v>
          </cell>
          <cell r="O181">
            <v>3415.3846153846152</v>
          </cell>
          <cell r="P181">
            <v>46153.846153846156</v>
          </cell>
          <cell r="Q181">
            <v>3415.3846153846152</v>
          </cell>
          <cell r="R181">
            <v>150000</v>
          </cell>
          <cell r="S181">
            <v>11100</v>
          </cell>
          <cell r="T181">
            <v>155000</v>
          </cell>
          <cell r="U181">
            <v>10850</v>
          </cell>
          <cell r="V181">
            <v>305000</v>
          </cell>
          <cell r="W181">
            <v>21950</v>
          </cell>
          <cell r="X181">
            <v>539424.42000000004</v>
          </cell>
          <cell r="Y181">
            <v>39314.770000000004</v>
          </cell>
          <cell r="Z181">
            <v>308272.09870118345</v>
          </cell>
          <cell r="AA181">
            <v>22812.135303887575</v>
          </cell>
          <cell r="AB181">
            <v>308272.09870118345</v>
          </cell>
          <cell r="AC181">
            <v>22812.135303887575</v>
          </cell>
          <cell r="AD181">
            <v>616544.1974023669</v>
          </cell>
          <cell r="AE181">
            <v>45624.27060777515</v>
          </cell>
          <cell r="AF181" t="e">
            <v>#N/A</v>
          </cell>
          <cell r="AG181">
            <v>40999</v>
          </cell>
          <cell r="AH181" t="e">
            <v>#N/A</v>
          </cell>
          <cell r="AI181" t="e">
            <v>#N/A</v>
          </cell>
          <cell r="AJ181">
            <v>3108</v>
          </cell>
          <cell r="AK181">
            <v>125467</v>
          </cell>
          <cell r="AL181">
            <v>1708039.5325976331</v>
          </cell>
          <cell r="AM181">
            <v>102567.76939222486</v>
          </cell>
          <cell r="AN181">
            <v>0</v>
          </cell>
          <cell r="AO181">
            <v>0</v>
          </cell>
          <cell r="AP181">
            <v>292116.72769230773</v>
          </cell>
          <cell r="AQ181">
            <v>21634.00076923077</v>
          </cell>
          <cell r="AR181">
            <v>338270.57384615391</v>
          </cell>
          <cell r="AS181">
            <v>25049.385384615387</v>
          </cell>
          <cell r="AT181">
            <v>384424.42000000004</v>
          </cell>
          <cell r="AU181">
            <v>28464.770000000004</v>
          </cell>
          <cell r="AV181">
            <v>539424.42000000004</v>
          </cell>
          <cell r="AW181">
            <v>39314.770000000004</v>
          </cell>
        </row>
        <row r="182">
          <cell r="B182" t="str">
            <v>036853</v>
          </cell>
          <cell r="C182" t="str">
            <v>SYSTEMS ENGINEERING</v>
          </cell>
          <cell r="D182">
            <v>1900000</v>
          </cell>
          <cell r="E182">
            <v>1227351.48</v>
          </cell>
          <cell r="F182">
            <v>0.35692606896551721</v>
          </cell>
          <cell r="G182">
            <v>160000</v>
          </cell>
          <cell r="H182">
            <v>108402.84</v>
          </cell>
          <cell r="I182">
            <v>9.1954022988505746E-2</v>
          </cell>
          <cell r="J182">
            <v>90819.95</v>
          </cell>
          <cell r="K182">
            <v>6727.3999999999942</v>
          </cell>
          <cell r="L182">
            <v>23076.923076923078</v>
          </cell>
          <cell r="M182">
            <v>1707.6923076923076</v>
          </cell>
          <cell r="N182">
            <v>18461.538461538461</v>
          </cell>
          <cell r="O182">
            <v>1366.153846153846</v>
          </cell>
          <cell r="P182">
            <v>18461.538461538461</v>
          </cell>
          <cell r="Q182">
            <v>1366.153846153846</v>
          </cell>
          <cell r="R182">
            <v>60000</v>
          </cell>
          <cell r="S182">
            <v>4440</v>
          </cell>
          <cell r="T182">
            <v>70000</v>
          </cell>
          <cell r="U182">
            <v>4900</v>
          </cell>
          <cell r="V182">
            <v>130000</v>
          </cell>
          <cell r="W182">
            <v>9340</v>
          </cell>
          <cell r="X182">
            <v>220819.95</v>
          </cell>
          <cell r="Y182">
            <v>16067.399999999994</v>
          </cell>
          <cell r="Z182">
            <v>136105.43217159764</v>
          </cell>
          <cell r="AA182">
            <v>10071.801980698225</v>
          </cell>
          <cell r="AB182">
            <v>136105.43217159764</v>
          </cell>
          <cell r="AC182">
            <v>10071.801980698225</v>
          </cell>
          <cell r="AD182">
            <v>272210.86434319528</v>
          </cell>
          <cell r="AE182">
            <v>20143.603961396449</v>
          </cell>
          <cell r="AF182" t="e">
            <v>#N/A</v>
          </cell>
          <cell r="AG182">
            <v>40999</v>
          </cell>
          <cell r="AH182" t="e">
            <v>#N/A</v>
          </cell>
          <cell r="AI182" t="e">
            <v>#N/A</v>
          </cell>
          <cell r="AJ182">
            <v>2391</v>
          </cell>
          <cell r="AK182">
            <v>55395</v>
          </cell>
          <cell r="AL182">
            <v>825140.61565680476</v>
          </cell>
          <cell r="AM182">
            <v>78919.236038603543</v>
          </cell>
          <cell r="AN182">
            <v>0</v>
          </cell>
          <cell r="AO182">
            <v>0</v>
          </cell>
          <cell r="AP182">
            <v>113896.87307692308</v>
          </cell>
          <cell r="AQ182">
            <v>8435.0923076923027</v>
          </cell>
          <cell r="AR182">
            <v>132358.41153846154</v>
          </cell>
          <cell r="AS182">
            <v>9801.2461538461484</v>
          </cell>
          <cell r="AT182">
            <v>150819.95000000001</v>
          </cell>
          <cell r="AU182">
            <v>11167.399999999994</v>
          </cell>
          <cell r="AV182">
            <v>220819.95</v>
          </cell>
          <cell r="AW182">
            <v>16067.399999999994</v>
          </cell>
        </row>
        <row r="183">
          <cell r="B183" t="str">
            <v>036860</v>
          </cell>
          <cell r="C183" t="str">
            <v>WATER O &amp; M</v>
          </cell>
          <cell r="D183">
            <v>93194619.797499999</v>
          </cell>
          <cell r="E183">
            <v>56758198.083999999</v>
          </cell>
          <cell r="F183">
            <v>0.38893088379535268</v>
          </cell>
          <cell r="G183">
            <v>7195599.6859999998</v>
          </cell>
          <cell r="H183">
            <v>4206852.87</v>
          </cell>
          <cell r="I183">
            <v>8.3670717139226886E-2</v>
          </cell>
          <cell r="J183">
            <v>5589281.8700000001</v>
          </cell>
          <cell r="K183">
            <v>429226.95</v>
          </cell>
          <cell r="L183">
            <v>1302846.15384615</v>
          </cell>
          <cell r="M183">
            <v>234384.6153846154</v>
          </cell>
          <cell r="N183">
            <v>923076.92307692312</v>
          </cell>
          <cell r="O183">
            <v>68307.692307692312</v>
          </cell>
          <cell r="P183">
            <v>923076.92307692312</v>
          </cell>
          <cell r="Q183">
            <v>68307.692307692312</v>
          </cell>
          <cell r="R183">
            <v>3148999.9999999963</v>
          </cell>
          <cell r="S183">
            <v>371000</v>
          </cell>
          <cell r="T183">
            <v>3500000</v>
          </cell>
          <cell r="U183">
            <v>245000</v>
          </cell>
          <cell r="V183">
            <v>6648999.9999999963</v>
          </cell>
          <cell r="W183">
            <v>616000</v>
          </cell>
          <cell r="X183">
            <v>12238281.869999997</v>
          </cell>
          <cell r="Y183">
            <v>1045226.95</v>
          </cell>
          <cell r="Z183">
            <v>6638188.584825445</v>
          </cell>
          <cell r="AA183">
            <v>491225.95527708292</v>
          </cell>
          <cell r="AB183">
            <v>6638188.584825445</v>
          </cell>
          <cell r="AC183">
            <v>491225.95527708292</v>
          </cell>
          <cell r="AD183">
            <v>13276377.16965089</v>
          </cell>
          <cell r="AE183">
            <v>982451.91055416584</v>
          </cell>
          <cell r="AF183" t="e">
            <v>#N/A</v>
          </cell>
          <cell r="AG183">
            <v>40999</v>
          </cell>
          <cell r="AH183" t="e">
            <v>#N/A</v>
          </cell>
          <cell r="AI183" t="e">
            <v>#N/A</v>
          </cell>
          <cell r="AJ183">
            <v>79042</v>
          </cell>
          <cell r="AK183">
            <v>2701743</v>
          </cell>
          <cell r="AL183">
            <v>36832820.914349116</v>
          </cell>
          <cell r="AM183">
            <v>2608400.9594458342</v>
          </cell>
          <cell r="AN183">
            <v>0</v>
          </cell>
          <cell r="AO183">
            <v>0</v>
          </cell>
          <cell r="AP183">
            <v>6892128.0238461504</v>
          </cell>
          <cell r="AQ183">
            <v>663611.56538461545</v>
          </cell>
          <cell r="AR183">
            <v>7815204.9469230734</v>
          </cell>
          <cell r="AS183">
            <v>731919.2576923077</v>
          </cell>
          <cell r="AT183">
            <v>8738281.8699999973</v>
          </cell>
          <cell r="AU183">
            <v>800226.95</v>
          </cell>
          <cell r="AV183">
            <v>12238281.869999997</v>
          </cell>
          <cell r="AW183">
            <v>1045226.95</v>
          </cell>
        </row>
        <row r="184">
          <cell r="B184" t="str">
            <v>036861</v>
          </cell>
          <cell r="C184" t="str">
            <v>WATER CHARGEABLE</v>
          </cell>
          <cell r="D184">
            <v>10947085.252499999</v>
          </cell>
          <cell r="E184">
            <v>7476387.845999999</v>
          </cell>
          <cell r="F184">
            <v>0.31040132689580907</v>
          </cell>
          <cell r="G184">
            <v>996084.1939999999</v>
          </cell>
          <cell r="H184">
            <v>614190.72</v>
          </cell>
          <cell r="I184">
            <v>0.10009889338210444</v>
          </cell>
          <cell r="J184">
            <v>843438.95</v>
          </cell>
          <cell r="K184">
            <v>93715.439999999944</v>
          </cell>
          <cell r="L184">
            <v>153846.15384615384</v>
          </cell>
          <cell r="M184">
            <v>17092.307692307691</v>
          </cell>
          <cell r="N184">
            <v>123076.92307692308</v>
          </cell>
          <cell r="O184">
            <v>13673.846153846154</v>
          </cell>
          <cell r="P184">
            <v>123076.92307692308</v>
          </cell>
          <cell r="Q184">
            <v>13673.846153846154</v>
          </cell>
          <cell r="R184">
            <v>400000</v>
          </cell>
          <cell r="S184">
            <v>44440</v>
          </cell>
          <cell r="T184">
            <v>400000</v>
          </cell>
          <cell r="U184">
            <v>44440</v>
          </cell>
          <cell r="V184">
            <v>800000</v>
          </cell>
          <cell r="W184">
            <v>88880</v>
          </cell>
          <cell r="X184">
            <v>1643438.95</v>
          </cell>
          <cell r="Y184">
            <v>182595.43999999994</v>
          </cell>
          <cell r="Z184">
            <v>899859.2471390533</v>
          </cell>
          <cell r="AA184">
            <v>99974.362357148828</v>
          </cell>
          <cell r="AB184">
            <v>899859.2471390533</v>
          </cell>
          <cell r="AC184">
            <v>99974.362357148828</v>
          </cell>
          <cell r="AD184">
            <v>1799718.4942781066</v>
          </cell>
          <cell r="AE184">
            <v>199948.72471429766</v>
          </cell>
          <cell r="AF184" t="e">
            <v>#N/A</v>
          </cell>
          <cell r="AG184">
            <v>40999</v>
          </cell>
          <cell r="AH184" t="e">
            <v>#N/A</v>
          </cell>
          <cell r="AI184" t="e">
            <v>#N/A</v>
          </cell>
          <cell r="AJ184">
            <v>9859</v>
          </cell>
          <cell r="AK184">
            <v>549859</v>
          </cell>
          <cell r="AL184">
            <v>4876669.3517218921</v>
          </cell>
          <cell r="AM184">
            <v>325361.99528570229</v>
          </cell>
          <cell r="AN184">
            <v>0</v>
          </cell>
          <cell r="AO184">
            <v>0</v>
          </cell>
          <cell r="AP184">
            <v>997285.10384615383</v>
          </cell>
          <cell r="AQ184">
            <v>110807.74769230763</v>
          </cell>
          <cell r="AR184">
            <v>1120362.0269230769</v>
          </cell>
          <cell r="AS184">
            <v>124481.59384615379</v>
          </cell>
          <cell r="AT184">
            <v>1243438.95</v>
          </cell>
          <cell r="AU184">
            <v>138155.43999999994</v>
          </cell>
          <cell r="AV184">
            <v>1643438.95</v>
          </cell>
          <cell r="AW184">
            <v>182595.43999999994</v>
          </cell>
        </row>
        <row r="185">
          <cell r="B185" t="str">
            <v>036862</v>
          </cell>
          <cell r="C185" t="str">
            <v>WASTEWATER O &amp; M</v>
          </cell>
          <cell r="D185">
            <v>58174546.336000003</v>
          </cell>
          <cell r="E185">
            <v>38028628.324000001</v>
          </cell>
          <cell r="F185">
            <v>0.34567840476431128</v>
          </cell>
          <cell r="G185">
            <v>4360344.8104999997</v>
          </cell>
          <cell r="H185">
            <v>2816834.1355000008</v>
          </cell>
          <cell r="I185">
            <v>8.1025912991273111E-2</v>
          </cell>
          <cell r="J185">
            <v>4014599.86</v>
          </cell>
          <cell r="K185">
            <v>297377.78000000003</v>
          </cell>
          <cell r="L185">
            <v>769230.76923076925</v>
          </cell>
          <cell r="M185">
            <v>56923.076923076922</v>
          </cell>
          <cell r="N185">
            <v>615384.61538461538</v>
          </cell>
          <cell r="O185">
            <v>45538.461538461539</v>
          </cell>
          <cell r="P185">
            <v>615384.61538461538</v>
          </cell>
          <cell r="Q185">
            <v>45538.461538461539</v>
          </cell>
          <cell r="R185">
            <v>2000000</v>
          </cell>
          <cell r="S185">
            <v>148000</v>
          </cell>
          <cell r="T185">
            <v>2200000</v>
          </cell>
          <cell r="U185">
            <v>154000</v>
          </cell>
          <cell r="V185">
            <v>4200000</v>
          </cell>
          <cell r="W185">
            <v>302000</v>
          </cell>
          <cell r="X185">
            <v>8214599.8599999994</v>
          </cell>
          <cell r="Y185">
            <v>599377.78</v>
          </cell>
          <cell r="Z185">
            <v>4540726.246073965</v>
          </cell>
          <cell r="AA185">
            <v>336013.74220947339</v>
          </cell>
          <cell r="AB185">
            <v>4540726.246073965</v>
          </cell>
          <cell r="AC185">
            <v>336013.74220947339</v>
          </cell>
          <cell r="AD185">
            <v>9081452.49214793</v>
          </cell>
          <cell r="AE185">
            <v>672027.48441894678</v>
          </cell>
          <cell r="AF185" t="e">
            <v>#N/A</v>
          </cell>
          <cell r="AG185">
            <v>40999</v>
          </cell>
          <cell r="AH185" t="e">
            <v>#N/A</v>
          </cell>
          <cell r="AI185" t="e">
            <v>#N/A</v>
          </cell>
          <cell r="AJ185">
            <v>55843</v>
          </cell>
          <cell r="AK185">
            <v>1848076</v>
          </cell>
          <cell r="AL185">
            <v>24747175.831852071</v>
          </cell>
          <cell r="AM185">
            <v>1842806.651081054</v>
          </cell>
          <cell r="AN185">
            <v>0</v>
          </cell>
          <cell r="AO185">
            <v>0</v>
          </cell>
          <cell r="AP185">
            <v>4783830.6292307694</v>
          </cell>
          <cell r="AQ185">
            <v>354300.85692307696</v>
          </cell>
          <cell r="AR185">
            <v>5399215.2446153844</v>
          </cell>
          <cell r="AS185">
            <v>399839.31846153853</v>
          </cell>
          <cell r="AT185">
            <v>6014599.8599999994</v>
          </cell>
          <cell r="AU185">
            <v>445377.78000000009</v>
          </cell>
          <cell r="AV185">
            <v>8214599.8599999994</v>
          </cell>
          <cell r="AW185">
            <v>599377.78</v>
          </cell>
        </row>
        <row r="186">
          <cell r="B186" t="str">
            <v>036863</v>
          </cell>
          <cell r="C186" t="str">
            <v>WASTEWATER CHARGEABLE</v>
          </cell>
          <cell r="D186">
            <v>1922344.544</v>
          </cell>
          <cell r="E186">
            <v>1125200.926</v>
          </cell>
          <cell r="F186">
            <v>0.4241418557167006</v>
          </cell>
          <cell r="G186">
            <v>231070.7795</v>
          </cell>
          <cell r="H186">
            <v>151267.15450000006</v>
          </cell>
          <cell r="I186">
            <v>0.13662529647783703</v>
          </cell>
          <cell r="J186">
            <v>136450.66</v>
          </cell>
          <cell r="K186">
            <v>15161.19</v>
          </cell>
          <cell r="L186">
            <v>23076.923076923078</v>
          </cell>
          <cell r="M186">
            <v>2563.8461538461543</v>
          </cell>
          <cell r="N186">
            <v>18461.538461538461</v>
          </cell>
          <cell r="O186">
            <v>2051.0769230769229</v>
          </cell>
          <cell r="P186">
            <v>18461.538461538461</v>
          </cell>
          <cell r="Q186">
            <v>2051.0769230769229</v>
          </cell>
          <cell r="R186">
            <v>60000</v>
          </cell>
          <cell r="S186">
            <v>6666</v>
          </cell>
          <cell r="T186">
            <v>80000</v>
          </cell>
          <cell r="U186">
            <v>8888</v>
          </cell>
          <cell r="V186">
            <v>140000</v>
          </cell>
          <cell r="W186">
            <v>15554</v>
          </cell>
          <cell r="X186">
            <v>276450.66000000003</v>
          </cell>
          <cell r="Y186">
            <v>30715.190000000002</v>
          </cell>
          <cell r="Z186">
            <v>139760.20635207102</v>
          </cell>
          <cell r="AA186">
            <v>15527.358925715091</v>
          </cell>
          <cell r="AB186">
            <v>139760.20635207102</v>
          </cell>
          <cell r="AC186">
            <v>15527.358925715091</v>
          </cell>
          <cell r="AD186">
            <v>279520.41270414204</v>
          </cell>
          <cell r="AE186">
            <v>31054.717851430181</v>
          </cell>
          <cell r="AF186" t="e">
            <v>#N/A</v>
          </cell>
          <cell r="AG186">
            <v>40999</v>
          </cell>
          <cell r="AH186" t="e">
            <v>#N/A</v>
          </cell>
          <cell r="AI186" t="e">
            <v>#N/A</v>
          </cell>
          <cell r="AJ186">
            <v>3171</v>
          </cell>
          <cell r="AK186">
            <v>85400</v>
          </cell>
          <cell r="AL186">
            <v>705680.51329585793</v>
          </cell>
          <cell r="AM186">
            <v>104658.43664856988</v>
          </cell>
          <cell r="AN186">
            <v>0</v>
          </cell>
          <cell r="AO186">
            <v>0</v>
          </cell>
          <cell r="AP186">
            <v>159527.5830769231</v>
          </cell>
          <cell r="AQ186">
            <v>17725.036153846155</v>
          </cell>
          <cell r="AR186">
            <v>177989.12153846156</v>
          </cell>
          <cell r="AS186">
            <v>19776.113076923077</v>
          </cell>
          <cell r="AT186">
            <v>196450.66000000003</v>
          </cell>
          <cell r="AU186">
            <v>21827.19</v>
          </cell>
          <cell r="AV186">
            <v>276450.66000000003</v>
          </cell>
          <cell r="AW186">
            <v>30715.190000000002</v>
          </cell>
        </row>
        <row r="187">
          <cell r="B187" t="str">
            <v>036864</v>
          </cell>
          <cell r="C187" t="str">
            <v>TREATMENT PLANTS O &amp; M</v>
          </cell>
          <cell r="D187">
            <v>5397244</v>
          </cell>
          <cell r="E187">
            <v>2771571.5</v>
          </cell>
          <cell r="F187">
            <v>0.48505646725548746</v>
          </cell>
          <cell r="G187">
            <v>409309</v>
          </cell>
          <cell r="H187">
            <v>203066.63</v>
          </cell>
          <cell r="I187">
            <v>8.2059810322307733E-2</v>
          </cell>
          <cell r="J187">
            <v>215145.68</v>
          </cell>
          <cell r="K187">
            <v>15936.73</v>
          </cell>
          <cell r="L187">
            <v>71153.846153846156</v>
          </cell>
          <cell r="M187">
            <v>5265.3846153846152</v>
          </cell>
          <cell r="N187">
            <v>56923.076923076922</v>
          </cell>
          <cell r="O187">
            <v>4212.3076923076924</v>
          </cell>
          <cell r="P187">
            <v>56923.076923076922</v>
          </cell>
          <cell r="Q187">
            <v>4212.3076923076924</v>
          </cell>
          <cell r="R187">
            <v>185000</v>
          </cell>
          <cell r="S187">
            <v>13690</v>
          </cell>
          <cell r="T187">
            <v>195000</v>
          </cell>
          <cell r="U187">
            <v>13650</v>
          </cell>
          <cell r="V187">
            <v>380000</v>
          </cell>
          <cell r="W187">
            <v>27340</v>
          </cell>
          <cell r="X187">
            <v>595145.67999999993</v>
          </cell>
          <cell r="Y187">
            <v>43276.729999999996</v>
          </cell>
          <cell r="Z187">
            <v>340577.31696153845</v>
          </cell>
          <cell r="AA187">
            <v>25202.721455153845</v>
          </cell>
          <cell r="AB187">
            <v>340577.31696153845</v>
          </cell>
          <cell r="AC187">
            <v>25202.721455153845</v>
          </cell>
          <cell r="AD187">
            <v>681154.63392307691</v>
          </cell>
          <cell r="AE187">
            <v>50405.442910307691</v>
          </cell>
          <cell r="AF187" t="e">
            <v>#N/A</v>
          </cell>
          <cell r="AG187">
            <v>40999</v>
          </cell>
          <cell r="AH187" t="e">
            <v>#N/A</v>
          </cell>
          <cell r="AI187" t="e">
            <v>#N/A</v>
          </cell>
          <cell r="AJ187">
            <v>3798</v>
          </cell>
          <cell r="AK187">
            <v>138615</v>
          </cell>
          <cell r="AL187">
            <v>1710416.866076923</v>
          </cell>
          <cell r="AM187">
            <v>125321.18708969231</v>
          </cell>
          <cell r="AN187">
            <v>0</v>
          </cell>
          <cell r="AO187">
            <v>0</v>
          </cell>
          <cell r="AP187">
            <v>286299.52615384618</v>
          </cell>
          <cell r="AQ187">
            <v>21202.114615384613</v>
          </cell>
          <cell r="AR187">
            <v>343222.60307692311</v>
          </cell>
          <cell r="AS187">
            <v>25414.422307692304</v>
          </cell>
          <cell r="AT187">
            <v>400145.68000000005</v>
          </cell>
          <cell r="AU187">
            <v>29626.729999999996</v>
          </cell>
          <cell r="AV187">
            <v>595145.67999999993</v>
          </cell>
          <cell r="AW187">
            <v>43276.729999999996</v>
          </cell>
        </row>
        <row r="188">
          <cell r="B188" t="str">
            <v>036865</v>
          </cell>
          <cell r="C188" t="str">
            <v>DESIGN &amp; CONSTRUCT</v>
          </cell>
          <cell r="D188">
            <v>102500000</v>
          </cell>
          <cell r="E188">
            <v>71663866.900000006</v>
          </cell>
          <cell r="F188">
            <v>0.29657111891610211</v>
          </cell>
          <cell r="G188">
            <v>6550000</v>
          </cell>
          <cell r="H188">
            <v>4169865.76</v>
          </cell>
          <cell r="I188">
            <v>6.8264721208963E-2</v>
          </cell>
          <cell r="J188">
            <v>9827916.7899999991</v>
          </cell>
          <cell r="K188">
            <v>729493.38999999873</v>
          </cell>
          <cell r="L188">
            <v>1346153.8461538462</v>
          </cell>
          <cell r="M188">
            <v>99615.384615384624</v>
          </cell>
          <cell r="N188">
            <v>1076923.076923077</v>
          </cell>
          <cell r="O188">
            <v>79692.307692307688</v>
          </cell>
          <cell r="P188">
            <v>1076923.076923077</v>
          </cell>
          <cell r="Q188">
            <v>79692.307692307688</v>
          </cell>
          <cell r="R188">
            <v>3500000</v>
          </cell>
          <cell r="S188">
            <v>259000</v>
          </cell>
          <cell r="T188">
            <v>4000000</v>
          </cell>
          <cell r="U188">
            <v>240000</v>
          </cell>
          <cell r="V188">
            <v>7500000</v>
          </cell>
          <cell r="W188">
            <v>499000</v>
          </cell>
          <cell r="X188">
            <v>17327916.789999999</v>
          </cell>
          <cell r="Y188">
            <v>1228493.3899999987</v>
          </cell>
          <cell r="Z188">
            <v>8615668.9344923086</v>
          </cell>
          <cell r="AA188">
            <v>508324.4671350462</v>
          </cell>
          <cell r="AB188">
            <v>8615668.9344923086</v>
          </cell>
          <cell r="AC188">
            <v>508324.4671350462</v>
          </cell>
          <cell r="AD188">
            <v>17231337.868984617</v>
          </cell>
          <cell r="AE188">
            <v>1016648.9342700924</v>
          </cell>
          <cell r="AF188" t="e">
            <v>#N/A</v>
          </cell>
          <cell r="AG188">
            <v>40999</v>
          </cell>
          <cell r="AH188" t="e">
            <v>#N/A</v>
          </cell>
          <cell r="AI188" t="e">
            <v>#N/A</v>
          </cell>
          <cell r="AJ188">
            <v>80431</v>
          </cell>
          <cell r="AK188">
            <v>2795785</v>
          </cell>
          <cell r="AL188">
            <v>46932529.031015389</v>
          </cell>
          <cell r="AM188">
            <v>2654216.8257299075</v>
          </cell>
          <cell r="AN188">
            <v>0</v>
          </cell>
          <cell r="AO188">
            <v>0</v>
          </cell>
          <cell r="AP188">
            <v>11174070.636153845</v>
          </cell>
          <cell r="AQ188">
            <v>829108.77461538336</v>
          </cell>
          <cell r="AR188">
            <v>12250993.713076923</v>
          </cell>
          <cell r="AS188">
            <v>908801.08230769099</v>
          </cell>
          <cell r="AT188">
            <v>13327916.789999999</v>
          </cell>
          <cell r="AU188">
            <v>988493.38999999873</v>
          </cell>
          <cell r="AV188">
            <v>17327916.789999999</v>
          </cell>
          <cell r="AW188">
            <v>1228493.3899999987</v>
          </cell>
        </row>
        <row r="189">
          <cell r="B189" t="str">
            <v>036866</v>
          </cell>
          <cell r="C189" t="str">
            <v>SEWL SUNDRY WORKS</v>
          </cell>
          <cell r="D189">
            <v>7100000</v>
          </cell>
          <cell r="E189">
            <v>5839817.2300000004</v>
          </cell>
          <cell r="F189">
            <v>0.17733068389057743</v>
          </cell>
          <cell r="G189">
            <v>520000</v>
          </cell>
          <cell r="H189">
            <v>426653.13</v>
          </cell>
          <cell r="I189">
            <v>7.9027355623100301E-2</v>
          </cell>
          <cell r="J189">
            <v>638944.28</v>
          </cell>
          <cell r="K189">
            <v>47329.210000000079</v>
          </cell>
          <cell r="L189">
            <v>123076.92307692309</v>
          </cell>
          <cell r="M189">
            <v>9107.6923076923085</v>
          </cell>
          <cell r="N189">
            <v>98461.538461538468</v>
          </cell>
          <cell r="O189">
            <v>7286.1538461538466</v>
          </cell>
          <cell r="P189">
            <v>98461.538461538468</v>
          </cell>
          <cell r="Q189">
            <v>7286.1538461538466</v>
          </cell>
          <cell r="R189">
            <v>320000</v>
          </cell>
          <cell r="S189">
            <v>23680</v>
          </cell>
          <cell r="T189">
            <v>350000</v>
          </cell>
          <cell r="U189">
            <v>24500</v>
          </cell>
          <cell r="V189">
            <v>670000</v>
          </cell>
          <cell r="W189">
            <v>48180</v>
          </cell>
          <cell r="X189">
            <v>1308944.28</v>
          </cell>
          <cell r="Y189">
            <v>95509.210000000079</v>
          </cell>
          <cell r="Z189">
            <v>719869.45773964503</v>
          </cell>
          <cell r="AA189">
            <v>53270.339872733726</v>
          </cell>
          <cell r="AB189">
            <v>719869.45773964503</v>
          </cell>
          <cell r="AC189">
            <v>53270.339872733726</v>
          </cell>
          <cell r="AD189">
            <v>1439738.9154792901</v>
          </cell>
          <cell r="AE189">
            <v>106540.67974546745</v>
          </cell>
          <cell r="AF189" t="e">
            <v>#N/A</v>
          </cell>
          <cell r="AG189">
            <v>40999</v>
          </cell>
          <cell r="AH189" t="e">
            <v>#N/A</v>
          </cell>
          <cell r="AI189" t="e">
            <v>#N/A</v>
          </cell>
          <cell r="AJ189">
            <v>8240</v>
          </cell>
          <cell r="AK189">
            <v>292987</v>
          </cell>
          <cell r="AL189">
            <v>3730078.3145207101</v>
          </cell>
          <cell r="AM189">
            <v>271932.45025453257</v>
          </cell>
          <cell r="AN189">
            <v>0</v>
          </cell>
          <cell r="AO189">
            <v>0</v>
          </cell>
          <cell r="AP189">
            <v>762021.20307692315</v>
          </cell>
          <cell r="AQ189">
            <v>56436.902307692391</v>
          </cell>
          <cell r="AR189">
            <v>860482.74153846165</v>
          </cell>
          <cell r="AS189">
            <v>63723.056153846235</v>
          </cell>
          <cell r="AT189">
            <v>958944.28000000014</v>
          </cell>
          <cell r="AU189">
            <v>71009.210000000079</v>
          </cell>
          <cell r="AV189">
            <v>1308944.28</v>
          </cell>
          <cell r="AW189">
            <v>95509.210000000079</v>
          </cell>
        </row>
        <row r="190">
          <cell r="B190" t="str">
            <v>036867</v>
          </cell>
          <cell r="C190" t="str">
            <v>ASSET SERVICES ADMINISTRATION</v>
          </cell>
          <cell r="D190">
            <v>850000</v>
          </cell>
          <cell r="E190">
            <v>747818.59</v>
          </cell>
          <cell r="F190">
            <v>0.12129797435897439</v>
          </cell>
          <cell r="G190">
            <v>70000</v>
          </cell>
          <cell r="H190">
            <v>62431.01</v>
          </cell>
          <cell r="I190">
            <v>8.9743589743589744E-2</v>
          </cell>
          <cell r="J190">
            <v>102181.41</v>
          </cell>
          <cell r="K190">
            <v>7568.99</v>
          </cell>
          <cell r="L190">
            <v>15384.615384615387</v>
          </cell>
          <cell r="M190">
            <v>1138.4615384615386</v>
          </cell>
          <cell r="N190">
            <v>12307.692307692309</v>
          </cell>
          <cell r="O190">
            <v>910.76923076923083</v>
          </cell>
          <cell r="P190">
            <v>12307.692307692309</v>
          </cell>
          <cell r="Q190">
            <v>910.76923076923083</v>
          </cell>
          <cell r="R190">
            <v>40000</v>
          </cell>
          <cell r="S190">
            <v>2960</v>
          </cell>
          <cell r="T190">
            <v>40000</v>
          </cell>
          <cell r="U190">
            <v>2800</v>
          </cell>
          <cell r="V190">
            <v>80000</v>
          </cell>
          <cell r="W190">
            <v>5760</v>
          </cell>
          <cell r="X190">
            <v>182181.41</v>
          </cell>
          <cell r="Y190">
            <v>13328.99</v>
          </cell>
          <cell r="Z190">
            <v>90554.689988165672</v>
          </cell>
          <cell r="AA190">
            <v>6701.0470591242592</v>
          </cell>
          <cell r="AB190">
            <v>90554.689988165672</v>
          </cell>
          <cell r="AC190">
            <v>6701.0470591242592</v>
          </cell>
          <cell r="AD190">
            <v>181109.37997633134</v>
          </cell>
          <cell r="AE190">
            <v>13402.094118248518</v>
          </cell>
          <cell r="AF190" t="e">
            <v>#N/A</v>
          </cell>
          <cell r="AG190">
            <v>40999</v>
          </cell>
          <cell r="AH190" t="e">
            <v>#N/A</v>
          </cell>
          <cell r="AI190" t="e">
            <v>#N/A</v>
          </cell>
          <cell r="AJ190">
            <v>1311</v>
          </cell>
          <cell r="AK190">
            <v>36856</v>
          </cell>
          <cell r="AL190">
            <v>486709.21002366859</v>
          </cell>
          <cell r="AM190">
            <v>43268.915881751484</v>
          </cell>
          <cell r="AN190">
            <v>0</v>
          </cell>
          <cell r="AO190">
            <v>0</v>
          </cell>
          <cell r="AP190">
            <v>117566.02538461539</v>
          </cell>
          <cell r="AQ190">
            <v>8707.4515384615388</v>
          </cell>
          <cell r="AR190">
            <v>129873.71769230771</v>
          </cell>
          <cell r="AS190">
            <v>9618.2207692307693</v>
          </cell>
          <cell r="AT190">
            <v>142181.41</v>
          </cell>
          <cell r="AU190">
            <v>10528.99</v>
          </cell>
          <cell r="AV190">
            <v>182181.41</v>
          </cell>
          <cell r="AW190">
            <v>13328.99</v>
          </cell>
        </row>
        <row r="191">
          <cell r="B191" t="str">
            <v>036868</v>
          </cell>
          <cell r="C191" t="str">
            <v>WATER O &amp; M ADMINISTRATION</v>
          </cell>
          <cell r="D191">
            <v>7000000</v>
          </cell>
          <cell r="E191">
            <v>6401398.2199999997</v>
          </cell>
          <cell r="F191">
            <v>0.10777107851851855</v>
          </cell>
          <cell r="G191">
            <v>250000</v>
          </cell>
          <cell r="H191">
            <v>378853</v>
          </cell>
          <cell r="I191">
            <v>3.7037037037037035E-2</v>
          </cell>
          <cell r="J191">
            <v>598601.78</v>
          </cell>
          <cell r="K191">
            <v>-128853</v>
          </cell>
          <cell r="L191">
            <v>128846.15384615384</v>
          </cell>
          <cell r="M191">
            <v>9534.6153846153848</v>
          </cell>
          <cell r="N191">
            <v>103076.92307692308</v>
          </cell>
          <cell r="O191">
            <v>7627.6923076923076</v>
          </cell>
          <cell r="P191">
            <v>103076.92307692308</v>
          </cell>
          <cell r="Q191">
            <v>7627.6923076923076</v>
          </cell>
          <cell r="R191">
            <v>335000</v>
          </cell>
          <cell r="S191">
            <v>24790</v>
          </cell>
          <cell r="T191">
            <v>335000</v>
          </cell>
          <cell r="U191">
            <v>23450</v>
          </cell>
          <cell r="V191">
            <v>670000</v>
          </cell>
          <cell r="W191">
            <v>48240</v>
          </cell>
          <cell r="X191">
            <v>1268601.78</v>
          </cell>
          <cell r="Y191">
            <v>-80613</v>
          </cell>
          <cell r="Z191">
            <v>737255.10122781084</v>
          </cell>
          <cell r="AA191">
            <v>54556.877490858002</v>
          </cell>
          <cell r="AB191">
            <v>737255.10122781084</v>
          </cell>
          <cell r="AC191">
            <v>54556.877490858002</v>
          </cell>
          <cell r="AD191">
            <v>1474510.2024556217</v>
          </cell>
          <cell r="AE191">
            <v>109113.754981716</v>
          </cell>
          <cell r="AF191" t="e">
            <v>#N/A</v>
          </cell>
          <cell r="AG191">
            <v>40999</v>
          </cell>
          <cell r="AH191" t="e">
            <v>#N/A</v>
          </cell>
          <cell r="AI191" t="e">
            <v>#N/A</v>
          </cell>
          <cell r="AJ191">
            <v>6712</v>
          </cell>
          <cell r="AK191">
            <v>300063</v>
          </cell>
          <cell r="AL191">
            <v>4256888.0175443776</v>
          </cell>
          <cell r="AM191">
            <v>221499.24501828401</v>
          </cell>
          <cell r="AN191">
            <v>0</v>
          </cell>
          <cell r="AO191">
            <v>0</v>
          </cell>
          <cell r="AP191">
            <v>727447.9338461539</v>
          </cell>
          <cell r="AQ191">
            <v>-119318.38461538461</v>
          </cell>
          <cell r="AR191">
            <v>830524.85692307702</v>
          </cell>
          <cell r="AS191">
            <v>-111690.6923076923</v>
          </cell>
          <cell r="AT191">
            <v>933601.78000000014</v>
          </cell>
          <cell r="AU191">
            <v>-104062.99999999999</v>
          </cell>
          <cell r="AV191">
            <v>1268601.78</v>
          </cell>
          <cell r="AW191">
            <v>-80613</v>
          </cell>
        </row>
        <row r="192">
          <cell r="B192" t="str">
            <v>036869</v>
          </cell>
          <cell r="C192" t="str">
            <v>WASTEWATER O &amp; M ADMINISTRATION</v>
          </cell>
          <cell r="D192">
            <v>5000000</v>
          </cell>
          <cell r="E192">
            <v>4513084.83</v>
          </cell>
          <cell r="F192">
            <v>0.10533817523364483</v>
          </cell>
          <cell r="G192">
            <v>720000</v>
          </cell>
          <cell r="H192">
            <v>683932.22</v>
          </cell>
          <cell r="I192">
            <v>0.16822429906542055</v>
          </cell>
          <cell r="J192">
            <v>486915.17</v>
          </cell>
          <cell r="K192">
            <v>36067.78</v>
          </cell>
          <cell r="L192">
            <v>96153.846153846156</v>
          </cell>
          <cell r="M192">
            <v>7115.3846153846152</v>
          </cell>
          <cell r="N192">
            <v>76923.076923076922</v>
          </cell>
          <cell r="O192">
            <v>5692.3076923076924</v>
          </cell>
          <cell r="P192">
            <v>76923.076923076922</v>
          </cell>
          <cell r="Q192">
            <v>5692.3076923076924</v>
          </cell>
          <cell r="R192">
            <v>250000</v>
          </cell>
          <cell r="S192">
            <v>18500</v>
          </cell>
          <cell r="T192">
            <v>258000</v>
          </cell>
          <cell r="U192">
            <v>18060</v>
          </cell>
          <cell r="V192">
            <v>508000</v>
          </cell>
          <cell r="W192">
            <v>36560</v>
          </cell>
          <cell r="X192">
            <v>994915.16999999993</v>
          </cell>
          <cell r="Y192">
            <v>72627.78</v>
          </cell>
          <cell r="Z192">
            <v>550120.58154437877</v>
          </cell>
          <cell r="AA192">
            <v>40708.923034284024</v>
          </cell>
          <cell r="AB192">
            <v>550120.58154437877</v>
          </cell>
          <cell r="AC192">
            <v>40708.923034284024</v>
          </cell>
          <cell r="AD192">
            <v>1100241.1630887575</v>
          </cell>
          <cell r="AE192">
            <v>81417.846068568047</v>
          </cell>
          <cell r="AF192" t="e">
            <v>#N/A</v>
          </cell>
          <cell r="AG192">
            <v>40999</v>
          </cell>
          <cell r="AH192" t="e">
            <v>#N/A</v>
          </cell>
          <cell r="AI192" t="e">
            <v>#N/A</v>
          </cell>
          <cell r="AJ192">
            <v>17150</v>
          </cell>
          <cell r="AK192">
            <v>223899</v>
          </cell>
          <cell r="AL192">
            <v>2904843.6669112425</v>
          </cell>
          <cell r="AM192">
            <v>565954.37393143191</v>
          </cell>
          <cell r="AN192">
            <v>0</v>
          </cell>
          <cell r="AO192">
            <v>0</v>
          </cell>
          <cell r="AP192">
            <v>583069.01615384617</v>
          </cell>
          <cell r="AQ192">
            <v>43183.164615384616</v>
          </cell>
          <cell r="AR192">
            <v>659992.09307692305</v>
          </cell>
          <cell r="AS192">
            <v>48875.472307692311</v>
          </cell>
          <cell r="AT192">
            <v>736915.16999999993</v>
          </cell>
          <cell r="AU192">
            <v>54567.780000000006</v>
          </cell>
          <cell r="AV192">
            <v>994915.16999999993</v>
          </cell>
          <cell r="AW192">
            <v>72627.78</v>
          </cell>
        </row>
        <row r="193">
          <cell r="B193" t="str">
            <v>036870</v>
          </cell>
          <cell r="C193" t="str">
            <v>DESIGN &amp; CONST.  ADMINISTRATION</v>
          </cell>
          <cell r="D193">
            <v>323847.09999999998</v>
          </cell>
          <cell r="E193">
            <v>0</v>
          </cell>
          <cell r="F193">
            <v>1</v>
          </cell>
          <cell r="G193">
            <v>23988.66</v>
          </cell>
          <cell r="H193">
            <v>0</v>
          </cell>
          <cell r="I193">
            <v>7.9999949309414134E-2</v>
          </cell>
          <cell r="J193">
            <v>323847.09999999998</v>
          </cell>
          <cell r="K193">
            <v>23988.66</v>
          </cell>
          <cell r="R193">
            <v>0</v>
          </cell>
          <cell r="S193">
            <v>0</v>
          </cell>
          <cell r="V193">
            <v>0</v>
          </cell>
          <cell r="W193">
            <v>0</v>
          </cell>
          <cell r="X193">
            <v>323847.09999999998</v>
          </cell>
          <cell r="Y193">
            <v>23988.66</v>
          </cell>
          <cell r="AD193">
            <v>0</v>
          </cell>
          <cell r="AE193">
            <v>0</v>
          </cell>
          <cell r="AF193" t="e">
            <v>#N/A</v>
          </cell>
          <cell r="AG193">
            <v>40999</v>
          </cell>
          <cell r="AH193" t="e">
            <v>#N/A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323847.09999999998</v>
          </cell>
          <cell r="AQ193">
            <v>23988.66</v>
          </cell>
          <cell r="AR193">
            <v>323847.09999999998</v>
          </cell>
          <cell r="AS193">
            <v>23988.66</v>
          </cell>
          <cell r="AT193">
            <v>323847.09999999998</v>
          </cell>
          <cell r="AU193">
            <v>23988.66</v>
          </cell>
          <cell r="AV193">
            <v>323847.09999999998</v>
          </cell>
          <cell r="AW193">
            <v>23988.66</v>
          </cell>
        </row>
        <row r="194">
          <cell r="B194" t="str">
            <v>SUBTOTAL SEWL ALLIANCE</v>
          </cell>
          <cell r="D194">
            <v>360318033.13000005</v>
          </cell>
          <cell r="E194">
            <v>215076153.10000002</v>
          </cell>
          <cell r="G194">
            <v>26304164.678999998</v>
          </cell>
          <cell r="H194">
            <v>14678880.169000003</v>
          </cell>
          <cell r="J194">
            <v>33593770.130000003</v>
          </cell>
          <cell r="K194">
            <v>2243193.04</v>
          </cell>
          <cell r="L194">
            <v>4864613.6538461493</v>
          </cell>
          <cell r="M194">
            <v>480739.2565384616</v>
          </cell>
          <cell r="N194">
            <v>4117490.9230769235</v>
          </cell>
          <cell r="O194">
            <v>282641.40523076925</v>
          </cell>
          <cell r="P194">
            <v>4117490.9230769235</v>
          </cell>
          <cell r="Q194">
            <v>282641.40523076925</v>
          </cell>
          <cell r="R194">
            <v>13099595.499999996</v>
          </cell>
          <cell r="S194">
            <v>1046022.067</v>
          </cell>
          <cell r="T194">
            <v>12379595.5</v>
          </cell>
          <cell r="U194">
            <v>815619.68500000006</v>
          </cell>
          <cell r="V194">
            <v>25479190.999999996</v>
          </cell>
          <cell r="W194">
            <v>1861641.7519999999</v>
          </cell>
          <cell r="X194">
            <v>54258193.909999996</v>
          </cell>
          <cell r="Y194">
            <v>3748185.3819999988</v>
          </cell>
          <cell r="Z194">
            <v>25180515.314666867</v>
          </cell>
          <cell r="AA194">
            <v>1682616.2298080109</v>
          </cell>
          <cell r="AB194">
            <v>25180515.314666867</v>
          </cell>
          <cell r="AC194">
            <v>1682616.2298080109</v>
          </cell>
          <cell r="AD194">
            <v>50361030.629333735</v>
          </cell>
          <cell r="AE194">
            <v>3365232.4596160217</v>
          </cell>
          <cell r="AL194">
            <v>138078392.97066629</v>
          </cell>
          <cell r="AM194">
            <v>9069190.2883839794</v>
          </cell>
          <cell r="AN194">
            <v>0</v>
          </cell>
          <cell r="AO194">
            <v>0</v>
          </cell>
          <cell r="AP194">
            <v>33643616.563846156</v>
          </cell>
          <cell r="AQ194">
            <v>2367282.8865384613</v>
          </cell>
          <cell r="AR194">
            <v>37761107.486923076</v>
          </cell>
          <cell r="AS194">
            <v>2649924.2917692293</v>
          </cell>
          <cell r="AT194">
            <v>41878598.409999996</v>
          </cell>
          <cell r="AU194">
            <v>2932565.6969999983</v>
          </cell>
          <cell r="AV194">
            <v>54258193.909999996</v>
          </cell>
          <cell r="AW194">
            <v>3748185.3819999988</v>
          </cell>
        </row>
        <row r="195">
          <cell r="B195" t="str">
            <v>METROWATER CONTRACT</v>
          </cell>
        </row>
        <row r="196">
          <cell r="B196" t="str">
            <v>121500</v>
          </cell>
          <cell r="C196" t="str">
            <v>METROWATER NETWORK SERVICES - NZ</v>
          </cell>
          <cell r="D196">
            <v>72924424.778761089</v>
          </cell>
          <cell r="E196">
            <v>66161833.631762169</v>
          </cell>
          <cell r="F196">
            <v>9.513638305123287E-2</v>
          </cell>
          <cell r="G196">
            <v>4311616.8141592899</v>
          </cell>
          <cell r="H196">
            <v>4076600.0479014087</v>
          </cell>
          <cell r="I196">
            <v>6.2839824546806283E-2</v>
          </cell>
          <cell r="J196">
            <v>6762591.1469989205</v>
          </cell>
          <cell r="K196">
            <v>235016.76625788119</v>
          </cell>
          <cell r="L196">
            <v>900000</v>
          </cell>
          <cell r="M196">
            <v>33500</v>
          </cell>
          <cell r="N196">
            <v>1000000</v>
          </cell>
          <cell r="O196">
            <v>39500</v>
          </cell>
          <cell r="P196">
            <v>1100000</v>
          </cell>
          <cell r="Q196">
            <v>45500</v>
          </cell>
          <cell r="R196">
            <v>3000000</v>
          </cell>
          <cell r="S196">
            <v>118500</v>
          </cell>
          <cell r="T196">
            <v>2972000</v>
          </cell>
          <cell r="U196">
            <v>365500</v>
          </cell>
          <cell r="V196">
            <v>5972000</v>
          </cell>
          <cell r="W196">
            <v>484000</v>
          </cell>
          <cell r="X196">
            <v>12734591.14699892</v>
          </cell>
          <cell r="Y196">
            <v>719016.76625788119</v>
          </cell>
          <cell r="Z196">
            <v>7500000</v>
          </cell>
          <cell r="AA196">
            <v>438498</v>
          </cell>
          <cell r="AB196">
            <v>7500000</v>
          </cell>
          <cell r="AC196">
            <v>438498</v>
          </cell>
          <cell r="AD196">
            <v>15000000</v>
          </cell>
          <cell r="AE196">
            <v>876996</v>
          </cell>
          <cell r="AF196" t="e">
            <v>#N/A</v>
          </cell>
          <cell r="AG196">
            <v>41090</v>
          </cell>
          <cell r="AH196" t="e">
            <v>#N/A</v>
          </cell>
          <cell r="AI196" t="e">
            <v>#N/A</v>
          </cell>
          <cell r="AJ196">
            <v>75433</v>
          </cell>
          <cell r="AK196">
            <v>2630988</v>
          </cell>
          <cell r="AL196">
            <v>45189833.631762169</v>
          </cell>
          <cell r="AM196">
            <v>2715604.0479014087</v>
          </cell>
          <cell r="AN196">
            <v>0</v>
          </cell>
          <cell r="AO196">
            <v>0</v>
          </cell>
          <cell r="AP196">
            <v>7662591.1469989205</v>
          </cell>
          <cell r="AQ196">
            <v>268516.76625788119</v>
          </cell>
          <cell r="AR196">
            <v>8662591.1469989195</v>
          </cell>
          <cell r="AS196">
            <v>308016.76625788119</v>
          </cell>
          <cell r="AT196">
            <v>9762591.1469989195</v>
          </cell>
          <cell r="AU196">
            <v>353516.76625788119</v>
          </cell>
          <cell r="AV196">
            <v>12734591.14699892</v>
          </cell>
          <cell r="AW196">
            <v>719016.76625788119</v>
          </cell>
        </row>
        <row r="197">
          <cell r="B197" t="str">
            <v>FXINTERCO</v>
          </cell>
          <cell r="C197" t="str">
            <v>UNREALISED FX</v>
          </cell>
          <cell r="D197">
            <v>0</v>
          </cell>
          <cell r="E197">
            <v>0</v>
          </cell>
          <cell r="F197">
            <v>1</v>
          </cell>
          <cell r="G197">
            <v>-36875.425289312996</v>
          </cell>
          <cell r="H197">
            <v>0</v>
          </cell>
          <cell r="I197">
            <v>-1</v>
          </cell>
          <cell r="J197">
            <v>0</v>
          </cell>
          <cell r="K197">
            <v>-36875.425289312996</v>
          </cell>
          <cell r="R197">
            <v>0</v>
          </cell>
          <cell r="S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-36875.425289312996</v>
          </cell>
          <cell r="AD197">
            <v>0</v>
          </cell>
          <cell r="AE197">
            <v>0</v>
          </cell>
          <cell r="AF197" t="e">
            <v>#N/A</v>
          </cell>
          <cell r="AG197">
            <v>41090</v>
          </cell>
          <cell r="AH197" t="e">
            <v>#N/A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-36875.425289312996</v>
          </cell>
          <cell r="AR197">
            <v>0</v>
          </cell>
          <cell r="AS197">
            <v>-36875.425289312996</v>
          </cell>
          <cell r="AT197">
            <v>0</v>
          </cell>
          <cell r="AU197">
            <v>-36875.425289312996</v>
          </cell>
          <cell r="AV197">
            <v>0</v>
          </cell>
          <cell r="AW197">
            <v>-36875.425289312996</v>
          </cell>
        </row>
        <row r="198">
          <cell r="B198" t="str">
            <v>SUBTOTAL METROWATER</v>
          </cell>
          <cell r="D198">
            <v>72924424.778761089</v>
          </cell>
          <cell r="E198">
            <v>66161833.631762169</v>
          </cell>
          <cell r="G198">
            <v>4274741.3888699766</v>
          </cell>
          <cell r="H198">
            <v>4076600.0479014087</v>
          </cell>
          <cell r="J198">
            <v>6762591.1469989205</v>
          </cell>
          <cell r="K198">
            <v>198141.3409685682</v>
          </cell>
          <cell r="L198">
            <v>900000</v>
          </cell>
          <cell r="M198">
            <v>33500</v>
          </cell>
          <cell r="N198">
            <v>1000000</v>
          </cell>
          <cell r="O198">
            <v>39500</v>
          </cell>
          <cell r="P198">
            <v>1100000</v>
          </cell>
          <cell r="Q198">
            <v>45500</v>
          </cell>
          <cell r="R198">
            <v>3000000</v>
          </cell>
          <cell r="S198">
            <v>118500</v>
          </cell>
          <cell r="T198">
            <v>2972000</v>
          </cell>
          <cell r="U198">
            <v>365500</v>
          </cell>
          <cell r="V198">
            <v>5972000</v>
          </cell>
          <cell r="W198">
            <v>484000</v>
          </cell>
          <cell r="X198">
            <v>12734591.14699892</v>
          </cell>
          <cell r="Y198">
            <v>682141.34096856823</v>
          </cell>
          <cell r="Z198">
            <v>7500000</v>
          </cell>
          <cell r="AA198">
            <v>438498</v>
          </cell>
          <cell r="AB198">
            <v>7500000</v>
          </cell>
          <cell r="AC198">
            <v>438498</v>
          </cell>
          <cell r="AD198">
            <v>15000000</v>
          </cell>
          <cell r="AE198">
            <v>876996</v>
          </cell>
          <cell r="AL198">
            <v>45189833.631762169</v>
          </cell>
          <cell r="AM198">
            <v>2715604.0479014087</v>
          </cell>
          <cell r="AN198">
            <v>0</v>
          </cell>
          <cell r="AO198">
            <v>0</v>
          </cell>
          <cell r="AP198">
            <v>7662591.1469989205</v>
          </cell>
          <cell r="AQ198">
            <v>231641.3409685682</v>
          </cell>
          <cell r="AR198">
            <v>8662591.1469989195</v>
          </cell>
          <cell r="AS198">
            <v>271141.34096856817</v>
          </cell>
          <cell r="AT198">
            <v>9762591.1469989195</v>
          </cell>
          <cell r="AU198">
            <v>316641.34096856817</v>
          </cell>
          <cell r="AV198">
            <v>12734591.14699892</v>
          </cell>
          <cell r="AW198">
            <v>682141.34096856823</v>
          </cell>
        </row>
        <row r="199">
          <cell r="B199" t="str">
            <v>HYDROGRAPHIC SERVICES ALLIANCE (NEW)</v>
          </cell>
        </row>
        <row r="200">
          <cell r="B200" t="str">
            <v>036901</v>
          </cell>
          <cell r="C200" t="str">
            <v>WOORI YALLOCK/MAFFRA</v>
          </cell>
          <cell r="D200">
            <v>5789806.2400000002</v>
          </cell>
          <cell r="E200">
            <v>2019000</v>
          </cell>
          <cell r="F200">
            <v>0.64295346642726292</v>
          </cell>
          <cell r="G200">
            <v>633895.66</v>
          </cell>
          <cell r="H200">
            <v>178100</v>
          </cell>
          <cell r="I200">
            <v>0.12294543323906909</v>
          </cell>
          <cell r="J200">
            <v>838002.09</v>
          </cell>
          <cell r="K200">
            <v>85483.520000000004</v>
          </cell>
          <cell r="L200">
            <v>121000</v>
          </cell>
          <cell r="M200">
            <v>10000</v>
          </cell>
          <cell r="N200">
            <v>121500</v>
          </cell>
          <cell r="O200">
            <v>10000</v>
          </cell>
          <cell r="P200">
            <v>124000</v>
          </cell>
          <cell r="Q200">
            <v>11000</v>
          </cell>
          <cell r="R200">
            <v>366500</v>
          </cell>
          <cell r="S200">
            <v>31000</v>
          </cell>
          <cell r="T200">
            <v>370000</v>
          </cell>
          <cell r="U200">
            <v>32000</v>
          </cell>
          <cell r="V200">
            <v>736500</v>
          </cell>
          <cell r="W200">
            <v>63000</v>
          </cell>
          <cell r="X200">
            <v>1574502.0899999999</v>
          </cell>
          <cell r="Y200">
            <v>148483.52000000002</v>
          </cell>
          <cell r="Z200">
            <v>765000</v>
          </cell>
          <cell r="AA200">
            <v>65500</v>
          </cell>
          <cell r="AB200">
            <v>517500</v>
          </cell>
          <cell r="AC200">
            <v>49600</v>
          </cell>
          <cell r="AD200">
            <v>1282500</v>
          </cell>
          <cell r="AE200">
            <v>115100</v>
          </cell>
          <cell r="AF200" t="e">
            <v>#N/A</v>
          </cell>
          <cell r="AH200" t="e">
            <v>#N/A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959002.09</v>
          </cell>
          <cell r="AQ200">
            <v>95483.520000000004</v>
          </cell>
          <cell r="AR200">
            <v>1080502.0899999999</v>
          </cell>
          <cell r="AS200">
            <v>105483.52</v>
          </cell>
          <cell r="AT200">
            <v>1204502.0899999999</v>
          </cell>
          <cell r="AU200">
            <v>116483.52</v>
          </cell>
          <cell r="AV200">
            <v>1574502.0899999999</v>
          </cell>
          <cell r="AW200">
            <v>148483.52000000002</v>
          </cell>
        </row>
        <row r="201">
          <cell r="B201" t="str">
            <v>036902</v>
          </cell>
          <cell r="C201" t="str">
            <v>GISBOURNE/HAMILTON</v>
          </cell>
          <cell r="D201">
            <v>8625014.6400000006</v>
          </cell>
          <cell r="E201">
            <v>3375000</v>
          </cell>
          <cell r="F201">
            <v>0.60283681561247349</v>
          </cell>
          <cell r="G201">
            <v>677148.06</v>
          </cell>
          <cell r="H201">
            <v>218400</v>
          </cell>
          <cell r="I201">
            <v>8.5198720082188401E-2</v>
          </cell>
          <cell r="J201">
            <v>1294905.0900000001</v>
          </cell>
          <cell r="K201">
            <v>75086.009999999995</v>
          </cell>
          <cell r="L201">
            <v>200000</v>
          </cell>
          <cell r="M201">
            <v>11000</v>
          </cell>
          <cell r="N201">
            <v>205000</v>
          </cell>
          <cell r="O201">
            <v>13500</v>
          </cell>
          <cell r="P201">
            <v>210000</v>
          </cell>
          <cell r="Q201">
            <v>14500</v>
          </cell>
          <cell r="R201">
            <v>615000</v>
          </cell>
          <cell r="S201">
            <v>39000</v>
          </cell>
          <cell r="T201">
            <v>565000</v>
          </cell>
          <cell r="U201">
            <v>37000</v>
          </cell>
          <cell r="V201">
            <v>1180000</v>
          </cell>
          <cell r="W201">
            <v>76000</v>
          </cell>
          <cell r="X201">
            <v>2474905.09</v>
          </cell>
          <cell r="Y201">
            <v>151086.01</v>
          </cell>
          <cell r="Z201">
            <v>1210000</v>
          </cell>
          <cell r="AA201">
            <v>77000</v>
          </cell>
          <cell r="AB201">
            <v>985000</v>
          </cell>
          <cell r="AC201">
            <v>65400</v>
          </cell>
          <cell r="AD201">
            <v>2195000</v>
          </cell>
          <cell r="AE201">
            <v>142400</v>
          </cell>
          <cell r="AF201" t="e">
            <v>#N/A</v>
          </cell>
          <cell r="AH201" t="e">
            <v>#N/A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1494905.09</v>
          </cell>
          <cell r="AQ201">
            <v>86086.01</v>
          </cell>
          <cell r="AR201">
            <v>1699905.09</v>
          </cell>
          <cell r="AS201">
            <v>99586.01</v>
          </cell>
          <cell r="AT201">
            <v>1909905.09</v>
          </cell>
          <cell r="AU201">
            <v>114086.01</v>
          </cell>
          <cell r="AV201">
            <v>2474905.09</v>
          </cell>
          <cell r="AW201">
            <v>151086.01</v>
          </cell>
        </row>
        <row r="202">
          <cell r="B202" t="str">
            <v>036903</v>
          </cell>
          <cell r="C202" t="str">
            <v>KERANG/HORSHAM</v>
          </cell>
          <cell r="D202">
            <v>4719205.13</v>
          </cell>
          <cell r="E202">
            <v>1600500</v>
          </cell>
          <cell r="F202">
            <v>0.65606931244020295</v>
          </cell>
          <cell r="G202">
            <v>256678.07</v>
          </cell>
          <cell r="H202">
            <v>65699.999999999942</v>
          </cell>
          <cell r="I202">
            <v>5.7518546453363135E-2</v>
          </cell>
          <cell r="J202">
            <v>657797.26</v>
          </cell>
          <cell r="K202">
            <v>22448.180000000051</v>
          </cell>
          <cell r="L202">
            <v>100000</v>
          </cell>
          <cell r="M202">
            <v>4500</v>
          </cell>
          <cell r="N202">
            <v>100000</v>
          </cell>
          <cell r="O202">
            <v>4200</v>
          </cell>
          <cell r="P202">
            <v>110000</v>
          </cell>
          <cell r="Q202">
            <v>5100</v>
          </cell>
          <cell r="R202">
            <v>310000</v>
          </cell>
          <cell r="S202">
            <v>13800</v>
          </cell>
          <cell r="T202">
            <v>296500</v>
          </cell>
          <cell r="U202">
            <v>12400</v>
          </cell>
          <cell r="V202">
            <v>606500</v>
          </cell>
          <cell r="W202">
            <v>26200</v>
          </cell>
          <cell r="X202">
            <v>1264297.26</v>
          </cell>
          <cell r="Y202">
            <v>48648.180000000051</v>
          </cell>
          <cell r="Z202">
            <v>609000</v>
          </cell>
          <cell r="AA202">
            <v>25000</v>
          </cell>
          <cell r="AB202">
            <v>385000</v>
          </cell>
          <cell r="AC202">
            <v>14500</v>
          </cell>
          <cell r="AD202">
            <v>994000</v>
          </cell>
          <cell r="AE202">
            <v>39500</v>
          </cell>
          <cell r="AF202" t="e">
            <v>#N/A</v>
          </cell>
          <cell r="AH202" t="e">
            <v>#N/A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-5.8207660913467407E-11</v>
          </cell>
          <cell r="AN202">
            <v>0</v>
          </cell>
          <cell r="AO202">
            <v>0</v>
          </cell>
          <cell r="AP202">
            <v>757797.26</v>
          </cell>
          <cell r="AQ202">
            <v>26948.180000000051</v>
          </cell>
          <cell r="AR202">
            <v>857797.26</v>
          </cell>
          <cell r="AS202">
            <v>31148.180000000051</v>
          </cell>
          <cell r="AT202">
            <v>967797.26</v>
          </cell>
          <cell r="AU202">
            <v>36248.180000000051</v>
          </cell>
          <cell r="AV202">
            <v>1264297.26</v>
          </cell>
          <cell r="AW202">
            <v>48648.180000000051</v>
          </cell>
        </row>
        <row r="203">
          <cell r="B203" t="str">
            <v>036904</v>
          </cell>
          <cell r="C203" t="str">
            <v>TATURA/WANGARATTA</v>
          </cell>
          <cell r="D203">
            <v>6760389.2200000007</v>
          </cell>
          <cell r="E203">
            <v>2269000</v>
          </cell>
          <cell r="F203">
            <v>0.6588564246744516</v>
          </cell>
          <cell r="G203">
            <v>518149.43</v>
          </cell>
          <cell r="H203">
            <v>139500</v>
          </cell>
          <cell r="I203">
            <v>8.3006973046769156E-2</v>
          </cell>
          <cell r="J203">
            <v>840332</v>
          </cell>
          <cell r="K203">
            <v>31260.7</v>
          </cell>
          <cell r="L203">
            <v>133000</v>
          </cell>
          <cell r="M203">
            <v>7500</v>
          </cell>
          <cell r="N203">
            <v>137500</v>
          </cell>
          <cell r="O203">
            <v>7900</v>
          </cell>
          <cell r="P203">
            <v>149000</v>
          </cell>
          <cell r="Q203">
            <v>9800</v>
          </cell>
          <cell r="R203">
            <v>419500</v>
          </cell>
          <cell r="S203">
            <v>25200</v>
          </cell>
          <cell r="T203">
            <v>422500</v>
          </cell>
          <cell r="U203">
            <v>25600</v>
          </cell>
          <cell r="V203">
            <v>842000</v>
          </cell>
          <cell r="W203">
            <v>50800</v>
          </cell>
          <cell r="X203">
            <v>1682332</v>
          </cell>
          <cell r="Y203">
            <v>82060.7</v>
          </cell>
          <cell r="Z203">
            <v>868000</v>
          </cell>
          <cell r="AA203">
            <v>51800</v>
          </cell>
          <cell r="AB203">
            <v>559000</v>
          </cell>
          <cell r="AC203">
            <v>36900</v>
          </cell>
          <cell r="AD203">
            <v>1427000</v>
          </cell>
          <cell r="AE203">
            <v>88700</v>
          </cell>
          <cell r="AF203" t="e">
            <v>#N/A</v>
          </cell>
          <cell r="AH203" t="e">
            <v>#N/A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973332</v>
          </cell>
          <cell r="AQ203">
            <v>38760.699999999997</v>
          </cell>
          <cell r="AR203">
            <v>1110832</v>
          </cell>
          <cell r="AS203">
            <v>46660.7</v>
          </cell>
          <cell r="AT203">
            <v>1259832</v>
          </cell>
          <cell r="AU203">
            <v>56460.7</v>
          </cell>
          <cell r="AV203">
            <v>1682332</v>
          </cell>
          <cell r="AW203">
            <v>82060.7</v>
          </cell>
        </row>
        <row r="204">
          <cell r="B204" t="str">
            <v>036905</v>
          </cell>
          <cell r="C204" t="str">
            <v>DATA MANAGEMENT</v>
          </cell>
          <cell r="D204">
            <v>2013754.4</v>
          </cell>
          <cell r="E204">
            <v>1026500</v>
          </cell>
          <cell r="F204">
            <v>0.58006402166869664</v>
          </cell>
          <cell r="G204">
            <v>-258972.99</v>
          </cell>
          <cell r="H204">
            <v>72100</v>
          </cell>
          <cell r="I204">
            <v>-0.11394810972027755</v>
          </cell>
          <cell r="J204">
            <v>429706.02</v>
          </cell>
          <cell r="K204">
            <v>32572.06</v>
          </cell>
          <cell r="L204">
            <v>50000</v>
          </cell>
          <cell r="M204">
            <v>2500</v>
          </cell>
          <cell r="N204">
            <v>50000</v>
          </cell>
          <cell r="O204">
            <v>2500</v>
          </cell>
          <cell r="P204">
            <v>91000</v>
          </cell>
          <cell r="Q204">
            <v>6700</v>
          </cell>
          <cell r="R204">
            <v>191000</v>
          </cell>
          <cell r="S204">
            <v>11700</v>
          </cell>
          <cell r="T204">
            <v>187000</v>
          </cell>
          <cell r="U204">
            <v>12100</v>
          </cell>
          <cell r="V204">
            <v>378000</v>
          </cell>
          <cell r="W204">
            <v>23800</v>
          </cell>
          <cell r="X204">
            <v>807706.02</v>
          </cell>
          <cell r="Y204">
            <v>56372.06</v>
          </cell>
          <cell r="Z204">
            <v>379000</v>
          </cell>
          <cell r="AA204">
            <v>27100</v>
          </cell>
          <cell r="AB204">
            <v>269500</v>
          </cell>
          <cell r="AC204">
            <v>21200</v>
          </cell>
          <cell r="AD204">
            <v>648500</v>
          </cell>
          <cell r="AE204">
            <v>48300</v>
          </cell>
          <cell r="AF204" t="e">
            <v>#N/A</v>
          </cell>
          <cell r="AH204" t="e">
            <v>#N/A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479706.02</v>
          </cell>
          <cell r="AQ204">
            <v>35072.06</v>
          </cell>
          <cell r="AR204">
            <v>529706.02</v>
          </cell>
          <cell r="AS204">
            <v>37572.06</v>
          </cell>
          <cell r="AT204">
            <v>620706.02</v>
          </cell>
          <cell r="AU204">
            <v>44272.06</v>
          </cell>
          <cell r="AV204">
            <v>807706.02</v>
          </cell>
          <cell r="AW204">
            <v>56372.06</v>
          </cell>
        </row>
        <row r="205">
          <cell r="B205" t="str">
            <v>036906</v>
          </cell>
          <cell r="C205" t="str">
            <v>BLACKTOWN NSW</v>
          </cell>
          <cell r="D205">
            <v>3658486.11</v>
          </cell>
          <cell r="E205">
            <v>1447000</v>
          </cell>
          <cell r="F205">
            <v>0.60245248155095876</v>
          </cell>
          <cell r="G205">
            <v>221161.17</v>
          </cell>
          <cell r="H205">
            <v>80500.000000000058</v>
          </cell>
          <cell r="I205">
            <v>6.4341071577597206E-2</v>
          </cell>
          <cell r="J205">
            <v>552478.99</v>
          </cell>
          <cell r="K205">
            <v>23759.819999999949</v>
          </cell>
          <cell r="L205">
            <v>75000</v>
          </cell>
          <cell r="M205">
            <v>4000</v>
          </cell>
          <cell r="N205">
            <v>76000</v>
          </cell>
          <cell r="O205">
            <v>4200</v>
          </cell>
          <cell r="P205">
            <v>77000</v>
          </cell>
          <cell r="Q205">
            <v>4300</v>
          </cell>
          <cell r="R205">
            <v>228000</v>
          </cell>
          <cell r="S205">
            <v>12500</v>
          </cell>
          <cell r="T205">
            <v>229000</v>
          </cell>
          <cell r="U205">
            <v>12600</v>
          </cell>
          <cell r="V205">
            <v>457000</v>
          </cell>
          <cell r="W205">
            <v>25100</v>
          </cell>
          <cell r="X205">
            <v>1009478.99</v>
          </cell>
          <cell r="Y205">
            <v>48859.819999999949</v>
          </cell>
          <cell r="Z205">
            <v>492000</v>
          </cell>
          <cell r="AA205">
            <v>27000</v>
          </cell>
          <cell r="AB205">
            <v>498000</v>
          </cell>
          <cell r="AC205">
            <v>28400</v>
          </cell>
          <cell r="AD205">
            <v>990000</v>
          </cell>
          <cell r="AE205">
            <v>55400</v>
          </cell>
          <cell r="AF205" t="e">
            <v>#N/A</v>
          </cell>
          <cell r="AH205" t="e">
            <v>#N/A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5.8207660913467407E-11</v>
          </cell>
          <cell r="AN205">
            <v>0</v>
          </cell>
          <cell r="AO205">
            <v>0</v>
          </cell>
          <cell r="AP205">
            <v>627478.99</v>
          </cell>
          <cell r="AQ205">
            <v>27759.819999999949</v>
          </cell>
          <cell r="AR205">
            <v>703478.99</v>
          </cell>
          <cell r="AS205">
            <v>31959.819999999949</v>
          </cell>
          <cell r="AT205">
            <v>780478.99</v>
          </cell>
          <cell r="AU205">
            <v>36259.819999999949</v>
          </cell>
          <cell r="AV205">
            <v>1009478.99</v>
          </cell>
          <cell r="AW205">
            <v>48859.819999999949</v>
          </cell>
        </row>
        <row r="206">
          <cell r="B206" t="str">
            <v>036907</v>
          </cell>
          <cell r="C206" t="str">
            <v>ROCKLEA</v>
          </cell>
          <cell r="D206">
            <v>334468.03999999998</v>
          </cell>
          <cell r="E206">
            <v>112900</v>
          </cell>
          <cell r="F206">
            <v>0.71121652484254017</v>
          </cell>
          <cell r="G206">
            <v>76835.570000000007</v>
          </cell>
          <cell r="H206">
            <v>38500</v>
          </cell>
          <cell r="I206">
            <v>0.29823713602559498</v>
          </cell>
          <cell r="J206">
            <v>67472.02</v>
          </cell>
          <cell r="K206">
            <v>12292.68</v>
          </cell>
          <cell r="L206">
            <v>6000</v>
          </cell>
          <cell r="M206">
            <v>1800</v>
          </cell>
          <cell r="N206">
            <v>6000</v>
          </cell>
          <cell r="O206">
            <v>2100</v>
          </cell>
          <cell r="P206">
            <v>6000</v>
          </cell>
          <cell r="Q206">
            <v>2100</v>
          </cell>
          <cell r="R206">
            <v>18000</v>
          </cell>
          <cell r="S206">
            <v>6000</v>
          </cell>
          <cell r="T206">
            <v>18900</v>
          </cell>
          <cell r="U206">
            <v>6300</v>
          </cell>
          <cell r="V206">
            <v>36900</v>
          </cell>
          <cell r="W206">
            <v>12300</v>
          </cell>
          <cell r="X206">
            <v>104372.02</v>
          </cell>
          <cell r="Y206">
            <v>24592.68</v>
          </cell>
          <cell r="Z206">
            <v>38000</v>
          </cell>
          <cell r="AA206">
            <v>12900</v>
          </cell>
          <cell r="AB206">
            <v>38000</v>
          </cell>
          <cell r="AC206">
            <v>13300</v>
          </cell>
          <cell r="AD206">
            <v>76000</v>
          </cell>
          <cell r="AE206">
            <v>26200</v>
          </cell>
          <cell r="AF206" t="e">
            <v>#N/A</v>
          </cell>
          <cell r="AH206" t="e">
            <v>#N/A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73472.02</v>
          </cell>
          <cell r="AQ206">
            <v>14092.68</v>
          </cell>
          <cell r="AR206">
            <v>79472.02</v>
          </cell>
          <cell r="AS206">
            <v>16192.68</v>
          </cell>
          <cell r="AT206">
            <v>85472.02</v>
          </cell>
          <cell r="AU206">
            <v>18292.68</v>
          </cell>
          <cell r="AV206">
            <v>104372.02</v>
          </cell>
          <cell r="AW206">
            <v>24592.68</v>
          </cell>
        </row>
        <row r="207">
          <cell r="B207" t="str">
            <v>036908</v>
          </cell>
          <cell r="C207" t="str">
            <v>HYDROLOGY MANAGEMENT</v>
          </cell>
          <cell r="D207">
            <v>517225.76</v>
          </cell>
          <cell r="E207">
            <v>353500</v>
          </cell>
          <cell r="F207">
            <v>0.317257100652721</v>
          </cell>
          <cell r="G207">
            <v>102428.33</v>
          </cell>
          <cell r="H207">
            <v>70300</v>
          </cell>
          <cell r="I207">
            <v>0.24693578742761257</v>
          </cell>
          <cell r="J207">
            <v>163725.76000000001</v>
          </cell>
          <cell r="K207">
            <v>32128.33</v>
          </cell>
          <cell r="L207">
            <v>22000</v>
          </cell>
          <cell r="M207">
            <v>3800</v>
          </cell>
          <cell r="N207">
            <v>23000</v>
          </cell>
          <cell r="O207">
            <v>4000</v>
          </cell>
          <cell r="P207">
            <v>23000</v>
          </cell>
          <cell r="Q207">
            <v>4000</v>
          </cell>
          <cell r="R207">
            <v>68000</v>
          </cell>
          <cell r="S207">
            <v>11800</v>
          </cell>
          <cell r="T207">
            <v>69000</v>
          </cell>
          <cell r="U207">
            <v>12000</v>
          </cell>
          <cell r="V207">
            <v>137000</v>
          </cell>
          <cell r="W207">
            <v>23800</v>
          </cell>
          <cell r="X207">
            <v>300725.76000000001</v>
          </cell>
          <cell r="Y207">
            <v>55928.33</v>
          </cell>
          <cell r="Z207">
            <v>138000</v>
          </cell>
          <cell r="AA207">
            <v>25000</v>
          </cell>
          <cell r="AB207">
            <v>78500</v>
          </cell>
          <cell r="AC207">
            <v>21500</v>
          </cell>
          <cell r="AD207">
            <v>216500</v>
          </cell>
          <cell r="AE207">
            <v>46500</v>
          </cell>
          <cell r="AF207" t="e">
            <v>#N/A</v>
          </cell>
          <cell r="AH207" t="e">
            <v>#N/A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185725.76</v>
          </cell>
          <cell r="AQ207">
            <v>35928.33</v>
          </cell>
          <cell r="AR207">
            <v>208725.76000000001</v>
          </cell>
          <cell r="AS207">
            <v>39928.33</v>
          </cell>
          <cell r="AT207">
            <v>231725.76</v>
          </cell>
          <cell r="AU207">
            <v>43928.33</v>
          </cell>
          <cell r="AV207">
            <v>300725.76000000001</v>
          </cell>
          <cell r="AW207">
            <v>55928.33</v>
          </cell>
        </row>
        <row r="208">
          <cell r="B208" t="str">
            <v>036990</v>
          </cell>
          <cell r="C208" t="str">
            <v>ADMINISTRATION</v>
          </cell>
          <cell r="D208">
            <v>19095</v>
          </cell>
          <cell r="E208">
            <v>0</v>
          </cell>
          <cell r="F208">
            <v>0.25587942118222085</v>
          </cell>
          <cell r="G208">
            <v>-691811.29</v>
          </cell>
          <cell r="H208">
            <v>-529000</v>
          </cell>
          <cell r="I208">
            <v>-0.97313991974947922</v>
          </cell>
          <cell r="J208">
            <v>19095</v>
          </cell>
          <cell r="K208">
            <v>-162811.29</v>
          </cell>
          <cell r="M208">
            <v>-29000</v>
          </cell>
          <cell r="O208">
            <v>-29000</v>
          </cell>
          <cell r="Q208">
            <v>-29000</v>
          </cell>
          <cell r="R208">
            <v>0</v>
          </cell>
          <cell r="S208">
            <v>-87000</v>
          </cell>
          <cell r="U208">
            <v>-87000</v>
          </cell>
          <cell r="V208">
            <v>0</v>
          </cell>
          <cell r="W208">
            <v>-174000</v>
          </cell>
          <cell r="X208">
            <v>19095</v>
          </cell>
          <cell r="Y208">
            <v>-336811.29000000004</v>
          </cell>
          <cell r="AA208">
            <v>-175000</v>
          </cell>
          <cell r="AC208">
            <v>-180000</v>
          </cell>
          <cell r="AD208">
            <v>0</v>
          </cell>
          <cell r="AE208">
            <v>-355000</v>
          </cell>
          <cell r="AF208" t="e">
            <v>#N/A</v>
          </cell>
          <cell r="AH208" t="e">
            <v>#N/A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19095</v>
          </cell>
          <cell r="AQ208">
            <v>-191811.29</v>
          </cell>
          <cell r="AR208">
            <v>19095</v>
          </cell>
          <cell r="AS208">
            <v>-220811.29</v>
          </cell>
          <cell r="AT208">
            <v>19095</v>
          </cell>
          <cell r="AU208">
            <v>-249811.29</v>
          </cell>
          <cell r="AV208">
            <v>19095</v>
          </cell>
          <cell r="AW208">
            <v>-336811.29000000004</v>
          </cell>
        </row>
        <row r="209">
          <cell r="B209" t="str">
            <v>SUBTOTAL HYDRO SERVICES ALLIANCE</v>
          </cell>
          <cell r="D209">
            <v>32437444.540000003</v>
          </cell>
          <cell r="E209">
            <v>12203400.000000002</v>
          </cell>
          <cell r="G209">
            <v>1535512.01</v>
          </cell>
          <cell r="H209">
            <v>334100</v>
          </cell>
          <cell r="J209">
            <v>4863514.2300000004</v>
          </cell>
          <cell r="K209">
            <v>152220.01</v>
          </cell>
          <cell r="L209">
            <v>707000</v>
          </cell>
          <cell r="M209">
            <v>16100</v>
          </cell>
          <cell r="N209">
            <v>719000</v>
          </cell>
          <cell r="O209">
            <v>19400</v>
          </cell>
          <cell r="P209">
            <v>790000</v>
          </cell>
          <cell r="Q209">
            <v>28500</v>
          </cell>
          <cell r="R209">
            <v>2216000</v>
          </cell>
          <cell r="S209">
            <v>64000</v>
          </cell>
          <cell r="T209">
            <v>2157900</v>
          </cell>
          <cell r="U209">
            <v>63000</v>
          </cell>
          <cell r="V209">
            <v>4373900</v>
          </cell>
          <cell r="W209">
            <v>127000</v>
          </cell>
          <cell r="X209">
            <v>9237414.2299999986</v>
          </cell>
          <cell r="Y209">
            <v>279220.01</v>
          </cell>
          <cell r="Z209">
            <v>4499000</v>
          </cell>
          <cell r="AA209">
            <v>136300</v>
          </cell>
          <cell r="AB209">
            <v>3330500</v>
          </cell>
          <cell r="AC209">
            <v>70800</v>
          </cell>
          <cell r="AD209">
            <v>7829500</v>
          </cell>
          <cell r="AE209">
            <v>207100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5570514.2300000004</v>
          </cell>
          <cell r="AQ209">
            <v>168320.00999999998</v>
          </cell>
          <cell r="AR209">
            <v>6289514.2299999986</v>
          </cell>
          <cell r="AS209">
            <v>187720.00999999998</v>
          </cell>
          <cell r="AT209">
            <v>7079514.2299999986</v>
          </cell>
          <cell r="AU209">
            <v>216220.01000000004</v>
          </cell>
          <cell r="AV209">
            <v>9237414.2299999986</v>
          </cell>
          <cell r="AW209">
            <v>279220.01</v>
          </cell>
        </row>
        <row r="210">
          <cell r="B210" t="str">
            <v>TOTAL UTILITIES</v>
          </cell>
          <cell r="D210">
            <v>835457562.09557462</v>
          </cell>
          <cell r="E210">
            <v>439308649.68857569</v>
          </cell>
          <cell r="G210">
            <v>54989448.458866403</v>
          </cell>
          <cell r="H210">
            <v>25542312.987897843</v>
          </cell>
          <cell r="J210">
            <v>86950099.726998925</v>
          </cell>
          <cell r="K210">
            <v>4785120.590968566</v>
          </cell>
          <cell r="L210">
            <v>13258594.11041835</v>
          </cell>
          <cell r="M210">
            <v>589019.27945088944</v>
          </cell>
          <cell r="N210">
            <v>14806111.926426562</v>
          </cell>
          <cell r="O210">
            <v>881679.99129853793</v>
          </cell>
          <cell r="P210">
            <v>15051203.775218576</v>
          </cell>
          <cell r="Q210">
            <v>1009641.550049389</v>
          </cell>
          <cell r="R210">
            <v>43115909.812063485</v>
          </cell>
          <cell r="S210">
            <v>2480340.8207988162</v>
          </cell>
          <cell r="T210">
            <v>34784598.310400002</v>
          </cell>
          <cell r="U210">
            <v>1905637.2333978182</v>
          </cell>
          <cell r="V210">
            <v>77900508.122463495</v>
          </cell>
          <cell r="W210">
            <v>4385978.0541966343</v>
          </cell>
          <cell r="X210">
            <v>160035840.62946239</v>
          </cell>
          <cell r="Y210">
            <v>8814449.2351652011</v>
          </cell>
          <cell r="Z210">
            <v>74028817.329016864</v>
          </cell>
          <cell r="AA210">
            <v>3711854.0086078108</v>
          </cell>
          <cell r="AB210">
            <v>49761015.314666867</v>
          </cell>
          <cell r="AC210">
            <v>2827164.2298080111</v>
          </cell>
          <cell r="AD210">
            <v>123789832.64368373</v>
          </cell>
          <cell r="AE210">
            <v>6539018.2384158215</v>
          </cell>
          <cell r="AL210">
            <v>236460770.42242846</v>
          </cell>
          <cell r="AM210">
            <v>14234501.026285388</v>
          </cell>
          <cell r="AN210">
            <v>0</v>
          </cell>
          <cell r="AO210">
            <v>0</v>
          </cell>
          <cell r="AP210">
            <v>95393926.617417276</v>
          </cell>
          <cell r="AQ210">
            <v>5017490.4604194565</v>
          </cell>
          <cell r="AR210">
            <v>110200038.54384385</v>
          </cell>
          <cell r="AS210">
            <v>5899170.4517179932</v>
          </cell>
          <cell r="AT210">
            <v>125251242.3190624</v>
          </cell>
          <cell r="AU210">
            <v>6908812.001767383</v>
          </cell>
          <cell r="AV210">
            <v>160035840.62946239</v>
          </cell>
          <cell r="AW210">
            <v>8814449.2351652011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1">
          <cell r="B1" t="str">
            <v>31/10/2008</v>
          </cell>
        </row>
        <row r="5">
          <cell r="B5">
            <v>2</v>
          </cell>
        </row>
      </sheetData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 curve percentages"/>
      <sheetName val="Tender Summary"/>
      <sheetName val="Sheet1"/>
      <sheetName val="TOC Summary"/>
      <sheetName val="Fee calculation summary"/>
      <sheetName val="markup adjustment"/>
      <sheetName val="Staff Summary"/>
      <sheetName val="PM-R Program mgmt Resource"/>
      <sheetName val="PM-D Design Resource"/>
      <sheetName val="PM127 Specialist Consultant Res"/>
      <sheetName val="PM RESOURCE AND EXPENSES TOTAL"/>
      <sheetName val="PM120 Financial"/>
      <sheetName val="PM121 Office Establishment"/>
      <sheetName val="PM122 Communication"/>
      <sheetName val="PM123 Travel"/>
      <sheetName val="PM124 General Expenses"/>
      <sheetName val="PM125 Office Expenses"/>
      <sheetName val="X-Project Details"/>
      <sheetName val="X-Commissioning"/>
      <sheetName val="X-Design Cost Estimate"/>
      <sheetName val="X-Tunneling Budget"/>
      <sheetName val="X-Trench Summary"/>
      <sheetName val="X-Pump Station Summary"/>
      <sheetName val="X-PS Everest Export"/>
      <sheetName val="X-Office fitout budget 1 &amp; 2"/>
      <sheetName val="X-TOC 4 Summary"/>
      <sheetName val="Direct Labour"/>
      <sheetName val="SWC Staff"/>
      <sheetName val="Design Staff"/>
      <sheetName val="Design Consultant Staff"/>
      <sheetName val="Construction Staff"/>
      <sheetName val="Special Preliminary Items"/>
      <sheetName val="Bmark Drop Down List Sources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B5" t="str">
            <v>ALT</v>
          </cell>
        </row>
        <row r="6">
          <cell r="B6" t="str">
            <v>Program Management</v>
          </cell>
        </row>
        <row r="7">
          <cell r="B7" t="str">
            <v>Project Controls &amp; Finance</v>
          </cell>
        </row>
        <row r="8">
          <cell r="B8" t="str">
            <v>Safety</v>
          </cell>
        </row>
        <row r="9">
          <cell r="B9" t="str">
            <v>Environmental</v>
          </cell>
        </row>
        <row r="10">
          <cell r="B10" t="str">
            <v>Community</v>
          </cell>
        </row>
        <row r="11">
          <cell r="B11" t="str">
            <v>Commissioning</v>
          </cell>
        </row>
        <row r="12">
          <cell r="B12" t="str">
            <v>Design</v>
          </cell>
        </row>
        <row r="13">
          <cell r="B13" t="str">
            <v>Procurement and Quality Assurance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 Rev Change Report"/>
      <sheetName val="Program Financial Summary (May)"/>
      <sheetName val="Program Financial Summary (Jan)"/>
      <sheetName val="Variance Summary"/>
      <sheetName val="Design Change Report"/>
      <sheetName val="Construction Change Report"/>
      <sheetName val="Accrual Corections"/>
      <sheetName val="FreeForm"/>
      <sheetName val="Export File"/>
      <sheetName val="Instructions"/>
      <sheetName val="TimeProData"/>
      <sheetName val="Design EV"/>
      <sheetName val="Construction EV"/>
      <sheetName val="Budget &amp; Actuals Import"/>
      <sheetName val="Import Last Months Export File"/>
      <sheetName val="Refresh Last Month Pivot"/>
      <sheetName val="Import FSAM Diary Quants"/>
      <sheetName val="Bgt and Act Pivot"/>
      <sheetName val="Project Info"/>
      <sheetName val="Variance &amp; Risk Codes"/>
      <sheetName val="Risk"/>
      <sheetName val="Risk Pivot"/>
      <sheetName val="BudgetVarianceExport"/>
      <sheetName val="Budget Variance Report"/>
      <sheetName val="MonthlyVarianceExport"/>
      <sheetName val="Monthly Variance Report"/>
      <sheetName val="FreeForm Construction EV"/>
      <sheetName val="FreeForm Design EV"/>
      <sheetName val="FSAM Summary"/>
      <sheetName val="CV Data List"/>
      <sheetName val="CV Data Report"/>
      <sheetName val="Forecast Report"/>
      <sheetName val="Design List"/>
      <sheetName val="Design Pivot"/>
      <sheetName val="Revenue Summary"/>
      <sheetName val="BLC1"/>
      <sheetName val="BLC2"/>
      <sheetName val="COR4"/>
      <sheetName val="COR5"/>
      <sheetName val="COR6"/>
      <sheetName val="COR7"/>
      <sheetName val="COR8"/>
      <sheetName val="COR11"/>
      <sheetName val="CRC1"/>
      <sheetName val="CRC2"/>
      <sheetName val="CRC3"/>
      <sheetName val="CRC4"/>
      <sheetName val="CRC5"/>
      <sheetName val="CRC6"/>
      <sheetName val="KIA2"/>
      <sheetName val="KIA3"/>
      <sheetName val="CVI1"/>
      <sheetName val="CVI2"/>
      <sheetName val="CVI3"/>
      <sheetName val="CVI4"/>
      <sheetName val="CVI5"/>
      <sheetName val="CVI6"/>
      <sheetName val="DAP1"/>
      <sheetName val="DAP2"/>
      <sheetName val="DAP3"/>
      <sheetName val="DAP4"/>
      <sheetName val="DAP5"/>
      <sheetName val="DAP6"/>
      <sheetName val="QBN3"/>
      <sheetName val="QBN4"/>
      <sheetName val="QBN6"/>
      <sheetName val="TRK1"/>
      <sheetName val="WAG1"/>
      <sheetName val="WAG2"/>
      <sheetName val="WAG3"/>
      <sheetName val="WAG4"/>
      <sheetName val="WLG1"/>
      <sheetName val="WLG2"/>
      <sheetName val="WLG3"/>
      <sheetName val="WLG4"/>
      <sheetName val="WLG5"/>
      <sheetName val="WLG6"/>
      <sheetName val="GOS1"/>
      <sheetName val="GOS2"/>
      <sheetName val="GOS3"/>
      <sheetName val="GOS4"/>
      <sheetName val="GOS5"/>
      <sheetName val="GOS6"/>
      <sheetName val="GOS7"/>
      <sheetName val="GOS8"/>
      <sheetName val="HOM1"/>
      <sheetName val="HOM2"/>
      <sheetName val="HOM3"/>
      <sheetName val="HOM4"/>
      <sheetName val="LID1"/>
      <sheetName val="LID2"/>
      <sheetName val="LID3"/>
      <sheetName val="LID4"/>
      <sheetName val="LID5"/>
      <sheetName val="LID6"/>
      <sheetName val="LID7"/>
      <sheetName val="LID8"/>
      <sheetName val="LJT1"/>
      <sheetName val="LJT2"/>
      <sheetName val="LJT3"/>
      <sheetName val="LJT4"/>
      <sheetName val="LJT5"/>
      <sheetName val="LJT6"/>
      <sheetName val="LJT7"/>
      <sheetName val="LJT8"/>
      <sheetName val="LJT9"/>
      <sheetName val="CBT1"/>
      <sheetName val="CBT4"/>
      <sheetName val="BLK1"/>
      <sheetName val="BLK2"/>
      <sheetName val="BLK3"/>
      <sheetName val="BLK4"/>
      <sheetName val="BLK5"/>
      <sheetName val="BLK6"/>
      <sheetName val="BLK7"/>
      <sheetName val="BLK9"/>
      <sheetName val="BLK10"/>
      <sheetName val="LIV2"/>
      <sheetName val="LIV3"/>
      <sheetName val="LIV4"/>
      <sheetName val="PTH1"/>
      <sheetName val="PTH2"/>
      <sheetName val="PTH3"/>
      <sheetName val="PTH4"/>
      <sheetName val="PTH5"/>
      <sheetName val="PTH6"/>
      <sheetName val="PTH7"/>
      <sheetName val="PTH8"/>
      <sheetName val="RCH1"/>
      <sheetName val="RCH2"/>
      <sheetName val="RCH3"/>
      <sheetName val="RCH4"/>
      <sheetName val="RCH5"/>
      <sheetName val="RCH6"/>
      <sheetName val="RCH7"/>
      <sheetName val="RIV1"/>
      <sheetName val="RIV2"/>
      <sheetName val="RIV3"/>
      <sheetName val="RIV4"/>
      <sheetName val="ARM4"/>
      <sheetName val="ARM5"/>
      <sheetName val="ARM6"/>
      <sheetName val="CFS1"/>
      <sheetName val="CFS2"/>
      <sheetName val="CFS3"/>
      <sheetName val="CFS4"/>
      <sheetName val="CFS5"/>
      <sheetName val="CFS6"/>
      <sheetName val="CFS7"/>
      <sheetName val="GRN2"/>
      <sheetName val="MAI3"/>
      <sheetName val="MAI7"/>
      <sheetName val="MAI11"/>
      <sheetName val="MDG1"/>
      <sheetName val="MDG2"/>
      <sheetName val="MDG3"/>
      <sheetName val="SAW1"/>
      <sheetName val="SAW2"/>
      <sheetName val="SAW3"/>
      <sheetName val="SAW4"/>
      <sheetName val="TEE2"/>
      <sheetName val="TEE3"/>
      <sheetName val="TEE4"/>
      <sheetName val="TEE5"/>
      <sheetName val="CAI1"/>
      <sheetName val="CAI2"/>
      <sheetName val="CAI3"/>
      <sheetName val="CAI4"/>
      <sheetName val="CAI5"/>
      <sheetName val="CAI6"/>
      <sheetName val="GUL2"/>
      <sheetName val="GUL3"/>
      <sheetName val="GUL4"/>
      <sheetName val="GUL5"/>
      <sheetName val="GUL6"/>
      <sheetName val="GUL7"/>
      <sheetName val="MKY1"/>
      <sheetName val="MKY2"/>
      <sheetName val="MKY3"/>
      <sheetName val="MKY4"/>
      <sheetName val="MKY5"/>
      <sheetName val="MKY6"/>
      <sheetName val="TNS1"/>
      <sheetName val="TNS2"/>
      <sheetName val="TNS3"/>
      <sheetName val="TNS4"/>
      <sheetName val="TNS5"/>
      <sheetName val="TNS6"/>
      <sheetName val="TNS7"/>
      <sheetName val="APL1"/>
      <sheetName val="APL2"/>
      <sheetName val="APL3"/>
      <sheetName val="APL4"/>
      <sheetName val="APL5"/>
      <sheetName val="APL6"/>
      <sheetName val="APL7"/>
      <sheetName val="APL8"/>
      <sheetName val="APL9"/>
      <sheetName val="ASH1"/>
      <sheetName val="ASH2"/>
      <sheetName val="ASH3"/>
      <sheetName val="ASH4"/>
      <sheetName val="BDB1"/>
      <sheetName val="BDB2"/>
      <sheetName val="BDB3"/>
      <sheetName val="BDB4"/>
      <sheetName val="GDN1"/>
      <sheetName val="GDN2"/>
      <sheetName val="GDN3"/>
      <sheetName val="GDN4"/>
      <sheetName val="GDN5"/>
      <sheetName val="GDN6"/>
      <sheetName val="GDN7"/>
      <sheetName val="GDN8"/>
      <sheetName val="KLG1"/>
      <sheetName val="KLG4"/>
      <sheetName val="KLG7"/>
      <sheetName val="NDG1"/>
      <sheetName val="NDG2"/>
      <sheetName val="NDG3"/>
      <sheetName val="NDG4"/>
      <sheetName val="NDG5"/>
      <sheetName val="NDG6"/>
      <sheetName val="SGI1"/>
      <sheetName val="SGI3"/>
      <sheetName val="SGI6"/>
      <sheetName val="SLA1"/>
      <sheetName val="SLA2"/>
      <sheetName val="SLA3"/>
      <sheetName val="BBE1"/>
      <sheetName val="BBE2"/>
      <sheetName val="BBE3"/>
      <sheetName val="BBE8"/>
      <sheetName val="IPS2"/>
      <sheetName val="IPS3"/>
      <sheetName val="IPS4"/>
      <sheetName val="IPS8"/>
      <sheetName val="ROT1"/>
      <sheetName val="ROT2"/>
      <sheetName val="ROT3"/>
      <sheetName val="ROT4"/>
      <sheetName val="TOB1"/>
      <sheetName val="TOB2"/>
      <sheetName val="TOB3"/>
      <sheetName val="TOB4"/>
      <sheetName val="TOB5"/>
      <sheetName val="TOB6"/>
      <sheetName val="TOB7"/>
      <sheetName val="TOB8"/>
      <sheetName val="TOB9"/>
      <sheetName val="TOB10"/>
      <sheetName val="FRV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Row Labels</v>
          </cell>
        </row>
      </sheetData>
      <sheetData sheetId="11"/>
      <sheetData sheetId="12"/>
      <sheetData sheetId="13"/>
      <sheetData sheetId="14"/>
      <sheetData sheetId="15">
        <row r="3">
          <cell r="A3" t="str">
            <v>Row Labels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ToSOR"/>
      <sheetName val="SOR"/>
      <sheetName val="ShortListSilcarItems"/>
      <sheetName val="RecACSvsAsBlt"/>
      <sheetName val="FIBRE DISTRIBUTION AREA"/>
      <sheetName val="PVR'S"/>
      <sheetName val="SILCAR PVR's"/>
      <sheetName val="FIBRE SERVING AREA"/>
      <sheetName val="InputTables"/>
      <sheetName val="Issues Register"/>
      <sheetName val="Tracker"/>
      <sheetName val="ARMIDALE - (Silcar) - FDAs NB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7">
          <cell r="C7" t="str">
            <v>POINT OF INTERCONNECT</v>
          </cell>
          <cell r="D7" t="str">
            <v>Table40</v>
          </cell>
        </row>
        <row r="8">
          <cell r="C8" t="str">
            <v>FIBRE ACCESS NETWORK</v>
          </cell>
          <cell r="D8" t="str">
            <v>Table50</v>
          </cell>
        </row>
        <row r="9">
          <cell r="C9" t="str">
            <v>TRANSIT FIBRE</v>
          </cell>
          <cell r="D9" t="str">
            <v>Table60</v>
          </cell>
        </row>
        <row r="10">
          <cell r="C10" t="str">
            <v>DISTRIBUTION FIBRE</v>
          </cell>
          <cell r="D10" t="str">
            <v>Table70</v>
          </cell>
        </row>
        <row r="11">
          <cell r="C11" t="str">
            <v>LOCAL FIBRE</v>
          </cell>
          <cell r="D11" t="str">
            <v>Table80</v>
          </cell>
        </row>
        <row r="12">
          <cell r="C12" t="str">
            <v>DROP</v>
          </cell>
          <cell r="D12" t="str">
            <v>Table90</v>
          </cell>
        </row>
      </sheetData>
      <sheetData sheetId="9"/>
      <sheetData sheetId="10"/>
      <sheetData sheetId="1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lestone Dates"/>
      <sheetName val="Calendar"/>
    </sheetNames>
    <sheetDataSet>
      <sheetData sheetId="0" refreshError="1"/>
      <sheetData sheetId="1">
        <row r="2">
          <cell r="C2">
            <v>40909</v>
          </cell>
        </row>
        <row r="3">
          <cell r="C3">
            <v>40910</v>
          </cell>
        </row>
        <row r="4">
          <cell r="C4">
            <v>40934</v>
          </cell>
        </row>
        <row r="5">
          <cell r="C5">
            <v>41005</v>
          </cell>
        </row>
        <row r="6">
          <cell r="C6">
            <v>41006</v>
          </cell>
        </row>
        <row r="7">
          <cell r="C7">
            <v>41007</v>
          </cell>
        </row>
        <row r="8">
          <cell r="C8">
            <v>41008</v>
          </cell>
        </row>
        <row r="9">
          <cell r="C9">
            <v>41024</v>
          </cell>
        </row>
        <row r="10">
          <cell r="C10">
            <v>41071</v>
          </cell>
        </row>
        <row r="11">
          <cell r="C11">
            <v>41183</v>
          </cell>
        </row>
        <row r="12">
          <cell r="C12">
            <v>41268</v>
          </cell>
        </row>
        <row r="13">
          <cell r="C13">
            <v>41269</v>
          </cell>
        </row>
        <row r="14">
          <cell r="C14">
            <v>41275</v>
          </cell>
        </row>
        <row r="15">
          <cell r="C15">
            <v>41302</v>
          </cell>
        </row>
        <row r="16">
          <cell r="C16">
            <v>41362</v>
          </cell>
        </row>
        <row r="17">
          <cell r="C17">
            <v>41363</v>
          </cell>
        </row>
        <row r="18">
          <cell r="C18">
            <v>41364</v>
          </cell>
        </row>
        <row r="19">
          <cell r="C19">
            <v>41365</v>
          </cell>
        </row>
        <row r="20">
          <cell r="C20">
            <v>41389</v>
          </cell>
        </row>
        <row r="21">
          <cell r="C21">
            <v>41435</v>
          </cell>
        </row>
        <row r="22">
          <cell r="C22">
            <v>41554</v>
          </cell>
        </row>
        <row r="23">
          <cell r="C23">
            <v>41633</v>
          </cell>
        </row>
        <row r="24">
          <cell r="C24">
            <v>41634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cast OH Summary (2)"/>
      <sheetName val="Cost codes (2)"/>
      <sheetName val="Sheet2"/>
      <sheetName val="PT Cost report by FSAM"/>
      <sheetName val="PT Cost report summary"/>
      <sheetName val="Cert costs"/>
      <sheetName val="Budget &amp; Forecast OH "/>
      <sheetName val="31 Jan 12 Summary"/>
      <sheetName val="20 Dec 11 Summary"/>
      <sheetName val="Regional Forecast Summary"/>
      <sheetName val="Shift Statement"/>
      <sheetName val="Forecast OH Summary"/>
      <sheetName val="Staff Forecast NATIONAL"/>
      <sheetName val="Staff Forecast REGIONAL"/>
      <sheetName val="Overall Const Sum 1st round"/>
      <sheetName val="Overall Const Sum 2nd round "/>
      <sheetName val="Overall Const Sum 4th round "/>
      <sheetName val="OH01100 STAFF SALARIES"/>
      <sheetName val="OH01100 STAFF SALARIES - SITE S"/>
      <sheetName val="Staff Forecast REGIONAL old"/>
      <sheetName val="OH01100 STAFF SALARIES SITE LAB"/>
      <sheetName val="Staff Forecast SITE"/>
      <sheetName val="Staff Forecast DESIGN"/>
      <sheetName val="STAFF BUDGET DATA"/>
      <sheetName val="110507 Recoveries"/>
      <sheetName val="110512-513 Salaries"/>
      <sheetName val="OH01130 RECRUITMENT"/>
      <sheetName val="OH01180 OFFICE SUPPLIES"/>
      <sheetName val="OH01190 OFFICE HIRE"/>
      <sheetName val="OH01210 CLEANUP &amp; RUBBISH"/>
      <sheetName val="OH01220 CLEANING"/>
      <sheetName val="OH01240 PLANT &amp; EQUIPMENT"/>
      <sheetName val="OH01250 SMALL TOOLS"/>
      <sheetName val="OH01260 FREIGHT"/>
      <sheetName val="OH01280 SAFETY"/>
      <sheetName val="OH01300 TRAINING"/>
      <sheetName val="OH01310 ENTERTAINMENT"/>
      <sheetName val="OH01330 IT EXPENSES"/>
      <sheetName val="OH01380 PUBLIC RELATIONS"/>
      <sheetName val="OH01400 TRAVEL - STAFF"/>
      <sheetName val="OH01420 BANK RELATED FEES"/>
      <sheetName val="OH01440 COMMUNITY WELFARE"/>
      <sheetName val="OH01460 INSURANCES"/>
      <sheetName val="OH01470 LEGAL FEES"/>
      <sheetName val="OH01510 ESTABLISH SITE FAC"/>
      <sheetName val="OH01530 ESTABLISH PLANT &amp; EQUIP"/>
      <sheetName val="OH01550 EMPLOYEE RECRUITMENT"/>
      <sheetName val="OH01590 MISC OTHER OVERHEADS"/>
      <sheetName val="OH01610 QUALITY ASSURANCE"/>
      <sheetName val="OH01900 OTHER COSTS"/>
      <sheetName val="Data"/>
      <sheetName val="Cost codes"/>
      <sheetName val="OVERHEAD CASHFLOW GRAPH"/>
      <sheetName val="OH CASHFLOW"/>
      <sheetName val="Office &amp; Depot Budget Summary"/>
      <sheetName val="Per Person costings"/>
      <sheetName val="Oncost Rates"/>
      <sheetName val="Shift statement bud vs Forec"/>
      <sheetName val="GreenSheet"/>
      <sheetName val="Budget Reconciliation"/>
      <sheetName val="role comparis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>
        <row r="39">
          <cell r="E39">
            <v>0.40265418502202643</v>
          </cell>
        </row>
      </sheetData>
      <sheetData sheetId="57"/>
      <sheetData sheetId="58"/>
      <sheetData sheetId="59"/>
      <sheetData sheetId="60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structions"/>
      <sheetName val="Submission Check"/>
      <sheetName val="2.1 Regional Priorities"/>
      <sheetName val="2.2 SOR Pricing Instructions"/>
      <sheetName val="2.2 Definitions"/>
      <sheetName val="2.2 Definition Tables"/>
      <sheetName val="2.2 Schedule of Rates Pricing"/>
      <sheetName val="2.3 Site Establishment Pricing"/>
      <sheetName val="2.4 National Capability"/>
      <sheetName val="2.5 Volume Discount"/>
      <sheetName val="2.6 NBN Co.Specified Equipment"/>
      <sheetName val="2.7 Additional Items"/>
      <sheetName val="2.8 Price Review Mechanism"/>
      <sheetName val="2.9 Assumptions"/>
      <sheetName val="2.10 Additional SOR Items"/>
    </sheetNames>
    <sheetDataSet>
      <sheetData sheetId="0" refreshError="1"/>
      <sheetData sheetId="1" refreshError="1"/>
      <sheetData sheetId="2" refreshError="1"/>
      <sheetData sheetId="3" refreshError="1">
        <row r="21">
          <cell r="C21">
            <v>1</v>
          </cell>
        </row>
        <row r="45">
          <cell r="D45" t="str">
            <v>Yes</v>
          </cell>
          <cell r="E45">
            <v>1</v>
          </cell>
        </row>
        <row r="46">
          <cell r="D46" t="str">
            <v>No</v>
          </cell>
          <cell r="E46">
            <v>2</v>
          </cell>
        </row>
        <row r="47">
          <cell r="E47">
            <v>3</v>
          </cell>
        </row>
        <row r="48">
          <cell r="E48">
            <v>4</v>
          </cell>
        </row>
        <row r="49">
          <cell r="E49">
            <v>5</v>
          </cell>
        </row>
        <row r="50">
          <cell r="E50">
            <v>6</v>
          </cell>
        </row>
        <row r="51">
          <cell r="E51">
            <v>7</v>
          </cell>
        </row>
        <row r="52">
          <cell r="E52">
            <v>8</v>
          </cell>
        </row>
        <row r="53">
          <cell r="E53">
            <v>9</v>
          </cell>
        </row>
        <row r="54">
          <cell r="E54">
            <v>10</v>
          </cell>
        </row>
        <row r="55">
          <cell r="E55">
            <v>11</v>
          </cell>
        </row>
        <row r="56">
          <cell r="E56">
            <v>12</v>
          </cell>
        </row>
        <row r="57">
          <cell r="E57">
            <v>13</v>
          </cell>
        </row>
        <row r="58">
          <cell r="E58">
            <v>14</v>
          </cell>
        </row>
        <row r="59">
          <cell r="E59">
            <v>15</v>
          </cell>
        </row>
        <row r="60">
          <cell r="E60">
            <v>16</v>
          </cell>
        </row>
        <row r="61">
          <cell r="E61" t="str">
            <v>N/A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Cashflow Cumulative"/>
      <sheetName val="Cashflow In &amp; Out"/>
      <sheetName val="Revenue OH Graph"/>
      <sheetName val="Revenue Graph"/>
      <sheetName val="Rev by FY"/>
      <sheetName val="Summary"/>
      <sheetName val="Total Cashflow Chart"/>
      <sheetName val="Total Cashflow Chart cumulative"/>
      <sheetName val="Total Cash Flow Single FSAM 50%"/>
      <sheetName val="Total Cash Flow Single FSAM"/>
      <sheetName val="FSAM Direct Cost Cash Flow 50%"/>
      <sheetName val="FSAM Direct Cost Cash Flow"/>
      <sheetName val="Payment Term Definitions"/>
      <sheetName val="CPP"/>
      <sheetName val="Date analysis"/>
      <sheetName val="Design Cash In"/>
      <sheetName val="Construction Cash in"/>
      <sheetName val="Lead In Cash in"/>
      <sheetName val="Design Cash Out"/>
      <sheetName val="Construction Cash Out"/>
      <sheetName val="Lead in Cash Out"/>
      <sheetName val="Total Cash In - Out cumulative"/>
      <sheetName val="Total Cash In - Out"/>
      <sheetName val="Design Cash In - Out"/>
      <sheetName val="Construction In - Out"/>
      <sheetName val="Lead in In - Out"/>
      <sheetName val="FSAM date Tracking"/>
      <sheetName val="Cost drivers"/>
      <sheetName val="Overhead Analysis"/>
      <sheetName val="FSAM Direct Cost Cash Flow eg"/>
      <sheetName val="Sheet1"/>
      <sheetName val="Agreed EOT Model"/>
      <sheetName val="Sheet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>
        <row r="2">
          <cell r="C2" t="str">
            <v>Payment Terms</v>
          </cell>
          <cell r="D2" t="str">
            <v>Month 1</v>
          </cell>
          <cell r="E2" t="str">
            <v>Month 2</v>
          </cell>
          <cell r="F2" t="str">
            <v>Month 3</v>
          </cell>
        </row>
        <row r="3">
          <cell r="C3">
            <v>0</v>
          </cell>
          <cell r="D3">
            <v>1</v>
          </cell>
          <cell r="E3">
            <v>0</v>
          </cell>
          <cell r="F3">
            <v>0</v>
          </cell>
        </row>
        <row r="4">
          <cell r="C4">
            <v>14</v>
          </cell>
          <cell r="D4">
            <v>0.5</v>
          </cell>
          <cell r="E4">
            <v>0.5</v>
          </cell>
          <cell r="F4">
            <v>0</v>
          </cell>
        </row>
        <row r="5">
          <cell r="C5">
            <v>30</v>
          </cell>
          <cell r="D5">
            <v>0</v>
          </cell>
          <cell r="E5">
            <v>1</v>
          </cell>
          <cell r="F5">
            <v>0</v>
          </cell>
        </row>
        <row r="6">
          <cell r="C6">
            <v>45</v>
          </cell>
          <cell r="D6">
            <v>0</v>
          </cell>
          <cell r="E6">
            <v>0.5</v>
          </cell>
          <cell r="F6">
            <v>0.5</v>
          </cell>
        </row>
        <row r="7">
          <cell r="C7">
            <v>60</v>
          </cell>
          <cell r="D7">
            <v>0</v>
          </cell>
          <cell r="E7">
            <v>0</v>
          </cell>
          <cell r="F7">
            <v>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ign Payment Summary"/>
      <sheetName val="Adhoc"/>
      <sheetName val="Instructions"/>
      <sheetName val="Project Info"/>
      <sheetName val="Con Rev Change Report"/>
      <sheetName val="Program Financial Summary"/>
      <sheetName val="Variance Summary"/>
      <sheetName val="Design Change Report"/>
      <sheetName val="Export File"/>
      <sheetName val="Construction Change Report"/>
      <sheetName val="Accrual Corections"/>
      <sheetName val="FreeForm"/>
      <sheetName val="TimeProData"/>
      <sheetName val="Design EV"/>
      <sheetName val="Construction EV"/>
      <sheetName val="Budget &amp; Actuals Import"/>
      <sheetName val="Import Last Months Export File"/>
      <sheetName val="Refresh Last Month Pivot"/>
      <sheetName val="Import FSAM Diary Quants"/>
      <sheetName val="Bgt and Act Pivot"/>
      <sheetName val="Variance &amp; Risk Codes"/>
      <sheetName val="Risk"/>
      <sheetName val="Risk Pivot"/>
      <sheetName val="BudgetVarianceExport"/>
      <sheetName val="Budget Variance Report"/>
      <sheetName val="MonthlyVarianceExport"/>
      <sheetName val="Monthly Variance Report"/>
      <sheetName val="FreeForm Construction EV"/>
      <sheetName val="FreeForm Design EV"/>
      <sheetName val="FSAM Summary"/>
      <sheetName val="CV Data List"/>
      <sheetName val="CV Data Report"/>
      <sheetName val="Forecast Report"/>
      <sheetName val="Design List"/>
      <sheetName val="Design Pivot"/>
      <sheetName val="Revenue Summary"/>
      <sheetName val="BLC1"/>
      <sheetName val="BLC2"/>
      <sheetName val="COR4"/>
      <sheetName val="COR5"/>
      <sheetName val="COR6"/>
      <sheetName val="COR7"/>
      <sheetName val="COR8"/>
      <sheetName val="COR11"/>
      <sheetName val="CRC1"/>
      <sheetName val="CRC2"/>
      <sheetName val="CRC3"/>
      <sheetName val="CRC4"/>
      <sheetName val="CRC5"/>
      <sheetName val="CRC6"/>
      <sheetName val="KIA2"/>
      <sheetName val="KIA3"/>
      <sheetName val="CVI1"/>
      <sheetName val="CVI2"/>
      <sheetName val="CVI3"/>
      <sheetName val="CVI4"/>
      <sheetName val="CVI5"/>
      <sheetName val="CVI6"/>
      <sheetName val="DAP1"/>
      <sheetName val="DAP2"/>
      <sheetName val="DAP3"/>
      <sheetName val="DAP4"/>
      <sheetName val="DAP5"/>
      <sheetName val="DAP6"/>
      <sheetName val="QBN3"/>
      <sheetName val="QBN4"/>
      <sheetName val="QBN6"/>
      <sheetName val="TRK1"/>
      <sheetName val="WAG1"/>
      <sheetName val="WAG2"/>
      <sheetName val="WAG3"/>
      <sheetName val="WAG4"/>
      <sheetName val="WLG1"/>
      <sheetName val="WLG2"/>
      <sheetName val="WLG3"/>
      <sheetName val="WLG4"/>
      <sheetName val="WLG5"/>
      <sheetName val="WLG6"/>
      <sheetName val="GOS1"/>
      <sheetName val="GOS2"/>
      <sheetName val="GOS3"/>
      <sheetName val="GOS4"/>
      <sheetName val="GOS5"/>
      <sheetName val="GOS6"/>
      <sheetName val="GOS7"/>
      <sheetName val="GOS8"/>
      <sheetName val="HOM1"/>
      <sheetName val="HOM2"/>
      <sheetName val="HOM3"/>
      <sheetName val="HOM4"/>
      <sheetName val="LID1"/>
      <sheetName val="LID2"/>
      <sheetName val="LID3"/>
      <sheetName val="LID4"/>
      <sheetName val="LID5"/>
      <sheetName val="LID6"/>
      <sheetName val="LID7"/>
      <sheetName val="LID8"/>
      <sheetName val="LJT1"/>
      <sheetName val="LJT2"/>
      <sheetName val="LJT3"/>
      <sheetName val="LJT4"/>
      <sheetName val="LJT5"/>
      <sheetName val="LJT6"/>
      <sheetName val="LJT7"/>
      <sheetName val="LJT8"/>
      <sheetName val="LJT9"/>
      <sheetName val="CBT1"/>
      <sheetName val="CBT4"/>
      <sheetName val="BLK1"/>
      <sheetName val="BLK2"/>
      <sheetName val="BLK3"/>
      <sheetName val="BLK4"/>
      <sheetName val="BLK5"/>
      <sheetName val="BLK6"/>
      <sheetName val="BLK7"/>
      <sheetName val="BLK9"/>
      <sheetName val="BLK10"/>
      <sheetName val="LIV2"/>
      <sheetName val="LIV3"/>
      <sheetName val="LIV4"/>
      <sheetName val="PTH1"/>
      <sheetName val="PTH2"/>
      <sheetName val="PTH3"/>
      <sheetName val="PTH4"/>
      <sheetName val="PTH5"/>
      <sheetName val="PTH6"/>
      <sheetName val="PTH7"/>
      <sheetName val="PTH8"/>
      <sheetName val="RCH1"/>
      <sheetName val="RCH2"/>
      <sheetName val="RCH3"/>
      <sheetName val="RCH4"/>
      <sheetName val="RCH5"/>
      <sheetName val="RCH6"/>
      <sheetName val="RCH7"/>
      <sheetName val="RIV1"/>
      <sheetName val="RIV2"/>
      <sheetName val="RIV3"/>
      <sheetName val="RIV4"/>
      <sheetName val="ARM4"/>
      <sheetName val="ARM5"/>
      <sheetName val="ARM6"/>
      <sheetName val="CFS1"/>
      <sheetName val="CFS2"/>
      <sheetName val="CFS3"/>
      <sheetName val="CFS4"/>
      <sheetName val="CFS5"/>
      <sheetName val="CFS6"/>
      <sheetName val="CFS7"/>
      <sheetName val="GRN2"/>
      <sheetName val="MAI3"/>
      <sheetName val="MAI7"/>
      <sheetName val="MAI11"/>
      <sheetName val="MDG1"/>
      <sheetName val="MDG2"/>
      <sheetName val="MDG3"/>
      <sheetName val="SAW1"/>
      <sheetName val="SAW2"/>
      <sheetName val="SAW3"/>
      <sheetName val="SAW4"/>
      <sheetName val="TEE2"/>
      <sheetName val="TEE3"/>
      <sheetName val="TEE4"/>
      <sheetName val="TEE5"/>
      <sheetName val="CAI1"/>
      <sheetName val="CAI2"/>
      <sheetName val="CAI3"/>
      <sheetName val="CAI4"/>
      <sheetName val="CAI5"/>
      <sheetName val="CAI6"/>
      <sheetName val="GUL2"/>
      <sheetName val="GUL3"/>
      <sheetName val="GUL4"/>
      <sheetName val="GUL5"/>
      <sheetName val="GUL6"/>
      <sheetName val="GUL7"/>
      <sheetName val="MKY1"/>
      <sheetName val="MKY2"/>
      <sheetName val="MKY3"/>
      <sheetName val="MKY4"/>
      <sheetName val="MKY5"/>
      <sheetName val="MKY6"/>
      <sheetName val="TNS1"/>
      <sheetName val="TNS2"/>
      <sheetName val="TNS3"/>
      <sheetName val="TNS4"/>
      <sheetName val="TNS5"/>
      <sheetName val="TNS6"/>
      <sheetName val="TNS7"/>
      <sheetName val="APL1"/>
      <sheetName val="APL2"/>
      <sheetName val="APL3"/>
      <sheetName val="APL4"/>
      <sheetName val="APL5"/>
      <sheetName val="APL6"/>
      <sheetName val="APL7"/>
      <sheetName val="APL8"/>
      <sheetName val="APL9"/>
      <sheetName val="ASH1"/>
      <sheetName val="ASH2"/>
      <sheetName val="ASH3"/>
      <sheetName val="ASH4"/>
      <sheetName val="BDB1"/>
      <sheetName val="BDB2"/>
      <sheetName val="BDB3"/>
      <sheetName val="BDB4"/>
      <sheetName val="GDN1"/>
      <sheetName val="GDN2"/>
      <sheetName val="GDN3"/>
      <sheetName val="GDN4"/>
      <sheetName val="GDN5"/>
      <sheetName val="GDN6"/>
      <sheetName val="GDN7"/>
      <sheetName val="GDN8"/>
      <sheetName val="KLG1"/>
      <sheetName val="KLG4"/>
      <sheetName val="KLG7"/>
      <sheetName val="NDG1"/>
      <sheetName val="NDG2"/>
      <sheetName val="NDG3"/>
      <sheetName val="NDG4"/>
      <sheetName val="NDG5"/>
      <sheetName val="NDG6"/>
      <sheetName val="SGI1"/>
      <sheetName val="SGI3"/>
      <sheetName val="SGI6"/>
      <sheetName val="SLA1"/>
      <sheetName val="SLA2"/>
      <sheetName val="SLA3"/>
      <sheetName val="BBE1"/>
      <sheetName val="BBE2"/>
      <sheetName val="BBE3"/>
      <sheetName val="BBE8"/>
      <sheetName val="IPS2"/>
      <sheetName val="IPS3"/>
      <sheetName val="IPS4"/>
      <sheetName val="IPS8"/>
      <sheetName val="ROT1"/>
      <sheetName val="ROT2"/>
      <sheetName val="ROT3"/>
      <sheetName val="ROT4"/>
      <sheetName val="TOB1"/>
      <sheetName val="TOB2"/>
      <sheetName val="TOB3"/>
      <sheetName val="TOB4"/>
      <sheetName val="TOB5"/>
      <sheetName val="TOB6"/>
      <sheetName val="TOB7"/>
      <sheetName val="TOB8"/>
      <sheetName val="TOB9"/>
      <sheetName val="TOB10"/>
      <sheetName val="FRV2"/>
    </sheetNames>
    <sheetDataSet>
      <sheetData sheetId="0"/>
      <sheetData sheetId="1"/>
      <sheetData sheetId="2"/>
      <sheetData sheetId="3">
        <row r="1">
          <cell r="B1" t="str">
            <v>JDE Subledger</v>
          </cell>
          <cell r="C1" t="str">
            <v>FSAM Code</v>
          </cell>
          <cell r="D1" t="str">
            <v>State</v>
          </cell>
          <cell r="E1" t="str">
            <v>NSMA Region</v>
          </cell>
          <cell r="F1" t="str">
            <v>FSA</v>
          </cell>
          <cell r="G1" t="str">
            <v>Project Manger</v>
          </cell>
          <cell r="H1" t="str">
            <v>PM Region</v>
          </cell>
          <cell r="I1" t="str">
            <v>GNAF</v>
          </cell>
          <cell r="J1" t="str">
            <v>Offshore</v>
          </cell>
        </row>
        <row r="2">
          <cell r="B2" t="str">
            <v>GOS7</v>
          </cell>
          <cell r="C2" t="str">
            <v>FSAM-2GOS-07</v>
          </cell>
          <cell r="D2" t="str">
            <v>NSW</v>
          </cell>
          <cell r="E2" t="str">
            <v>NSW North</v>
          </cell>
          <cell r="F2" t="str">
            <v>2GOS</v>
          </cell>
          <cell r="G2" t="str">
            <v>Ben Stelzer</v>
          </cell>
          <cell r="H2" t="str">
            <v>NSW Sydney Metro</v>
          </cell>
          <cell r="I2">
            <v>2797</v>
          </cell>
        </row>
        <row r="3">
          <cell r="B3" t="str">
            <v>GOS8</v>
          </cell>
          <cell r="C3" t="str">
            <v>FSAM-2GOS-08</v>
          </cell>
          <cell r="D3" t="str">
            <v>NSW</v>
          </cell>
          <cell r="E3" t="str">
            <v>NSW North</v>
          </cell>
          <cell r="F3" t="str">
            <v>2GOS</v>
          </cell>
          <cell r="G3" t="str">
            <v>Ben Stelzer</v>
          </cell>
          <cell r="H3" t="str">
            <v>NSW Sydney Metro</v>
          </cell>
          <cell r="I3">
            <v>2752</v>
          </cell>
          <cell r="J3" t="str">
            <v>Infotech</v>
          </cell>
        </row>
        <row r="4">
          <cell r="B4" t="str">
            <v>HOM4</v>
          </cell>
          <cell r="C4" t="str">
            <v>FSAM-2HOM-04</v>
          </cell>
          <cell r="D4" t="str">
            <v>NSW</v>
          </cell>
          <cell r="E4" t="str">
            <v>Sydney Metro</v>
          </cell>
          <cell r="F4" t="str">
            <v>2HOM</v>
          </cell>
          <cell r="G4" t="str">
            <v>Ben Stelzer</v>
          </cell>
          <cell r="H4" t="str">
            <v>NSW Sydney Metro</v>
          </cell>
          <cell r="I4">
            <v>2200</v>
          </cell>
          <cell r="J4" t="str">
            <v>STSJV</v>
          </cell>
        </row>
        <row r="5">
          <cell r="B5" t="str">
            <v>LID7</v>
          </cell>
          <cell r="C5" t="str">
            <v>FSAM-2LID-07</v>
          </cell>
          <cell r="D5" t="str">
            <v>NSW</v>
          </cell>
          <cell r="E5" t="str">
            <v>Sydney Metro</v>
          </cell>
          <cell r="F5" t="str">
            <v>2LID</v>
          </cell>
          <cell r="G5" t="str">
            <v>Ben Stelzer</v>
          </cell>
          <cell r="H5" t="str">
            <v>NSW Sydney Metro</v>
          </cell>
          <cell r="I5">
            <v>2200</v>
          </cell>
          <cell r="J5" t="str">
            <v>STSJV</v>
          </cell>
        </row>
        <row r="6">
          <cell r="B6" t="str">
            <v>LID8</v>
          </cell>
          <cell r="C6" t="str">
            <v>FSAM-2LID-08</v>
          </cell>
          <cell r="D6" t="str">
            <v>NSW</v>
          </cell>
          <cell r="E6" t="str">
            <v>Sydney Metro</v>
          </cell>
          <cell r="F6" t="str">
            <v>2LID</v>
          </cell>
          <cell r="G6" t="str">
            <v>Ben Stelzer</v>
          </cell>
          <cell r="H6" t="str">
            <v>NSW Sydney Metro</v>
          </cell>
          <cell r="I6">
            <v>2200</v>
          </cell>
          <cell r="J6" t="str">
            <v>Infotech</v>
          </cell>
        </row>
        <row r="7">
          <cell r="B7" t="str">
            <v>LJT5</v>
          </cell>
          <cell r="C7" t="str">
            <v>FSAM-2LJT-05</v>
          </cell>
          <cell r="D7" t="str">
            <v>NSW</v>
          </cell>
          <cell r="E7" t="str">
            <v>NSW North</v>
          </cell>
          <cell r="F7" t="str">
            <v>2LJT</v>
          </cell>
          <cell r="G7" t="str">
            <v>Ben Stelzer</v>
          </cell>
          <cell r="H7" t="str">
            <v>NSW Sydney Metro</v>
          </cell>
          <cell r="I7">
            <v>2200</v>
          </cell>
          <cell r="J7" t="str">
            <v>Apex</v>
          </cell>
        </row>
        <row r="8">
          <cell r="B8" t="str">
            <v>LJT6</v>
          </cell>
          <cell r="C8" t="str">
            <v>FSAM-2LJT-06</v>
          </cell>
          <cell r="D8" t="str">
            <v>NSW</v>
          </cell>
          <cell r="E8" t="str">
            <v>NSW North</v>
          </cell>
          <cell r="F8" t="str">
            <v>2LJT</v>
          </cell>
          <cell r="G8" t="str">
            <v>Ben Stelzer</v>
          </cell>
          <cell r="H8" t="str">
            <v>NSW Sydney Metro</v>
          </cell>
          <cell r="I8">
            <v>2200</v>
          </cell>
          <cell r="J8" t="str">
            <v>Infotech</v>
          </cell>
        </row>
        <row r="9">
          <cell r="B9" t="str">
            <v>LJT8</v>
          </cell>
          <cell r="C9" t="str">
            <v>FSAM-2LJT-08</v>
          </cell>
          <cell r="D9" t="str">
            <v>NSW</v>
          </cell>
          <cell r="E9" t="str">
            <v>NSW North</v>
          </cell>
          <cell r="F9" t="str">
            <v>2LJT</v>
          </cell>
          <cell r="G9" t="str">
            <v>Ben Stelzer</v>
          </cell>
          <cell r="H9" t="str">
            <v>NSW Sydney Metro</v>
          </cell>
          <cell r="I9">
            <v>2678</v>
          </cell>
          <cell r="J9" t="str">
            <v>Apex</v>
          </cell>
        </row>
        <row r="10">
          <cell r="B10" t="str">
            <v>LJT9</v>
          </cell>
          <cell r="C10" t="str">
            <v>FSAM-2LJT-09</v>
          </cell>
          <cell r="D10" t="str">
            <v>NSW</v>
          </cell>
          <cell r="E10" t="str">
            <v>NSW North</v>
          </cell>
          <cell r="F10" t="str">
            <v>2LJT</v>
          </cell>
          <cell r="G10" t="str">
            <v>Ben Stelzer</v>
          </cell>
          <cell r="H10" t="str">
            <v>NSW Sydney Metro</v>
          </cell>
          <cell r="I10">
            <v>1870</v>
          </cell>
          <cell r="J10" t="str">
            <v>Infotech</v>
          </cell>
        </row>
        <row r="11">
          <cell r="B11" t="str">
            <v>BLK7</v>
          </cell>
          <cell r="C11" t="str">
            <v>FSAM-2BLK-07</v>
          </cell>
          <cell r="D11" t="str">
            <v>NSW</v>
          </cell>
          <cell r="E11" t="str">
            <v>Sydney Metro</v>
          </cell>
          <cell r="F11" t="str">
            <v>2BLK</v>
          </cell>
          <cell r="G11" t="str">
            <v>Damien Marov West</v>
          </cell>
          <cell r="H11" t="str">
            <v>NSW Sydney West</v>
          </cell>
          <cell r="I11">
            <v>2200</v>
          </cell>
          <cell r="J11" t="str">
            <v>Dalys</v>
          </cell>
        </row>
        <row r="12">
          <cell r="B12" t="str">
            <v>BLK8</v>
          </cell>
          <cell r="C12" t="str">
            <v>FSAM-2BLK-08</v>
          </cell>
          <cell r="D12" t="str">
            <v>NSW</v>
          </cell>
          <cell r="E12" t="str">
            <v>Sydney Metro</v>
          </cell>
          <cell r="F12" t="str">
            <v>2BLK</v>
          </cell>
          <cell r="G12" t="str">
            <v>Damien Marov West</v>
          </cell>
          <cell r="H12" t="str">
            <v>NSW Sydney West</v>
          </cell>
          <cell r="I12">
            <v>2200</v>
          </cell>
        </row>
        <row r="13">
          <cell r="B13" t="str">
            <v>BLK9</v>
          </cell>
          <cell r="C13" t="str">
            <v>FSAM-2BLK-09</v>
          </cell>
          <cell r="D13" t="str">
            <v>NSW</v>
          </cell>
          <cell r="E13" t="str">
            <v>Sydney Metro</v>
          </cell>
          <cell r="F13" t="str">
            <v>2BLK</v>
          </cell>
          <cell r="G13" t="str">
            <v>Damien Marov West</v>
          </cell>
          <cell r="H13" t="str">
            <v>NSW Sydney West</v>
          </cell>
          <cell r="I13">
            <v>2200</v>
          </cell>
          <cell r="J13" t="str">
            <v>Infotech</v>
          </cell>
        </row>
        <row r="14">
          <cell r="B14" t="str">
            <v>BLK10</v>
          </cell>
          <cell r="C14" t="str">
            <v>FSAM-2BLK-10</v>
          </cell>
          <cell r="D14" t="str">
            <v>NSW</v>
          </cell>
          <cell r="E14" t="str">
            <v>Sydney Metro</v>
          </cell>
          <cell r="F14" t="str">
            <v>2BLK</v>
          </cell>
          <cell r="G14" t="str">
            <v>Damien Marov West</v>
          </cell>
          <cell r="H14" t="str">
            <v>NSW Sydney West</v>
          </cell>
          <cell r="I14">
            <v>2200</v>
          </cell>
          <cell r="J14" t="str">
            <v>Infotech</v>
          </cell>
        </row>
        <row r="15">
          <cell r="B15" t="str">
            <v>CBT1</v>
          </cell>
          <cell r="C15" t="str">
            <v>FSAM-2CBT-01</v>
          </cell>
          <cell r="D15" t="str">
            <v>NSW</v>
          </cell>
          <cell r="E15" t="str">
            <v>Sydney Metro</v>
          </cell>
          <cell r="F15" t="str">
            <v>2CBT</v>
          </cell>
          <cell r="G15" t="str">
            <v>Damien Marov West</v>
          </cell>
          <cell r="H15" t="str">
            <v>NSW Sydney West</v>
          </cell>
          <cell r="I15">
            <v>2200</v>
          </cell>
        </row>
        <row r="16">
          <cell r="B16" t="str">
            <v>CBT2</v>
          </cell>
          <cell r="C16" t="str">
            <v>FSAM-2CBT-02</v>
          </cell>
          <cell r="D16" t="str">
            <v>NSW</v>
          </cell>
          <cell r="E16" t="str">
            <v>Sydney Metro</v>
          </cell>
          <cell r="F16" t="str">
            <v>2CBT</v>
          </cell>
          <cell r="G16" t="str">
            <v>Damien Marov West</v>
          </cell>
          <cell r="H16" t="str">
            <v>NSW Sydney West</v>
          </cell>
          <cell r="I16">
            <v>2200</v>
          </cell>
        </row>
        <row r="17">
          <cell r="B17" t="str">
            <v>CBT3</v>
          </cell>
          <cell r="C17" t="str">
            <v>FSAM-2CBT-03</v>
          </cell>
          <cell r="D17" t="str">
            <v>NSW</v>
          </cell>
          <cell r="E17" t="str">
            <v>Sydney Metro</v>
          </cell>
          <cell r="F17" t="str">
            <v>2CBT</v>
          </cell>
          <cell r="G17" t="str">
            <v>Damien Marov West</v>
          </cell>
          <cell r="H17" t="str">
            <v>NSW Sydney West</v>
          </cell>
          <cell r="I17">
            <v>2200</v>
          </cell>
        </row>
        <row r="18">
          <cell r="B18" t="str">
            <v>CBT4</v>
          </cell>
          <cell r="C18" t="str">
            <v>FSAM-2CBT-04</v>
          </cell>
          <cell r="D18" t="str">
            <v>NSW</v>
          </cell>
          <cell r="E18" t="str">
            <v>Sydney Metro</v>
          </cell>
          <cell r="F18" t="str">
            <v>2CBT</v>
          </cell>
          <cell r="G18" t="str">
            <v>Damien Marov West</v>
          </cell>
          <cell r="H18" t="str">
            <v>NSW Sydney West</v>
          </cell>
          <cell r="I18">
            <v>2200</v>
          </cell>
        </row>
        <row r="19">
          <cell r="B19" t="str">
            <v>LIV2</v>
          </cell>
          <cell r="C19" t="str">
            <v>FSAM-2LIV-02</v>
          </cell>
          <cell r="D19" t="str">
            <v>NSW</v>
          </cell>
          <cell r="E19" t="str">
            <v>Sydney Metro</v>
          </cell>
          <cell r="F19" t="str">
            <v>2LIV</v>
          </cell>
          <cell r="G19" t="str">
            <v>Damien Marov West</v>
          </cell>
          <cell r="H19" t="str">
            <v>NSW Sydney West</v>
          </cell>
          <cell r="I19">
            <v>2200</v>
          </cell>
          <cell r="J19" t="str">
            <v>Infotech</v>
          </cell>
        </row>
        <row r="20">
          <cell r="B20" t="str">
            <v>LIV3</v>
          </cell>
          <cell r="C20" t="str">
            <v>FSAM-2LIV-03</v>
          </cell>
          <cell r="D20" t="str">
            <v>NSW</v>
          </cell>
          <cell r="E20" t="str">
            <v>Sydney Metro</v>
          </cell>
          <cell r="F20" t="str">
            <v>2LIV</v>
          </cell>
          <cell r="G20" t="str">
            <v>Damien Marov West</v>
          </cell>
          <cell r="H20" t="str">
            <v>NSW Sydney West</v>
          </cell>
          <cell r="I20">
            <v>2200</v>
          </cell>
          <cell r="J20" t="str">
            <v>Infotech</v>
          </cell>
        </row>
        <row r="21">
          <cell r="B21" t="str">
            <v>LIV4</v>
          </cell>
          <cell r="C21" t="str">
            <v>FSAM-2LIV-04</v>
          </cell>
          <cell r="D21" t="str">
            <v>NSW</v>
          </cell>
          <cell r="E21" t="str">
            <v>Sydney Metro</v>
          </cell>
          <cell r="F21" t="str">
            <v>2LIV</v>
          </cell>
          <cell r="G21" t="str">
            <v>Damien Marov West</v>
          </cell>
          <cell r="H21" t="str">
            <v>NSW Sydney West</v>
          </cell>
          <cell r="I21">
            <v>3444</v>
          </cell>
          <cell r="J21" t="str">
            <v>Dalys</v>
          </cell>
        </row>
        <row r="22">
          <cell r="B22" t="str">
            <v>PTH7</v>
          </cell>
          <cell r="C22" t="str">
            <v>FSAM-2PTH-07</v>
          </cell>
          <cell r="D22" t="str">
            <v>NSW</v>
          </cell>
          <cell r="E22" t="str">
            <v>Sydney Metro</v>
          </cell>
          <cell r="F22" t="str">
            <v>2PTH</v>
          </cell>
          <cell r="G22" t="str">
            <v>Damien Marov West</v>
          </cell>
          <cell r="H22" t="str">
            <v>NSW Sydney West</v>
          </cell>
          <cell r="I22">
            <v>2200</v>
          </cell>
          <cell r="J22" t="str">
            <v>Infotech</v>
          </cell>
        </row>
        <row r="23">
          <cell r="B23" t="str">
            <v>PTH8</v>
          </cell>
          <cell r="C23" t="str">
            <v>FSAM-2PTH-08</v>
          </cell>
          <cell r="D23" t="str">
            <v>NSW</v>
          </cell>
          <cell r="E23" t="str">
            <v>Sydney Metro</v>
          </cell>
          <cell r="F23" t="str">
            <v>2PTH</v>
          </cell>
          <cell r="G23" t="str">
            <v>Damien Marov West</v>
          </cell>
          <cell r="H23" t="str">
            <v>NSW Sydney West</v>
          </cell>
          <cell r="I23">
            <v>2200</v>
          </cell>
          <cell r="J23" t="str">
            <v>Infotech</v>
          </cell>
        </row>
        <row r="24">
          <cell r="B24" t="str">
            <v>RCH7</v>
          </cell>
          <cell r="C24" t="str">
            <v>FSAM-2RCH-07</v>
          </cell>
          <cell r="D24" t="str">
            <v>NSW</v>
          </cell>
          <cell r="E24" t="str">
            <v>Sydney Metro</v>
          </cell>
          <cell r="F24" t="str">
            <v>2RCH</v>
          </cell>
          <cell r="G24" t="str">
            <v>Damien Marov West</v>
          </cell>
          <cell r="H24" t="str">
            <v>NSW Sydney West</v>
          </cell>
          <cell r="I24">
            <v>2200</v>
          </cell>
        </row>
        <row r="25">
          <cell r="B25" t="str">
            <v>GRN2</v>
          </cell>
          <cell r="C25" t="str">
            <v>FSAM-2GRN-02</v>
          </cell>
          <cell r="D25" t="str">
            <v>NSW</v>
          </cell>
          <cell r="E25" t="str">
            <v>NSW North</v>
          </cell>
          <cell r="F25" t="str">
            <v>2GRN</v>
          </cell>
          <cell r="G25" t="str">
            <v>James Herden</v>
          </cell>
          <cell r="H25" t="str">
            <v>NSW North</v>
          </cell>
          <cell r="I25">
            <v>2200</v>
          </cell>
          <cell r="J25" t="str">
            <v>Infotech</v>
          </cell>
        </row>
        <row r="26">
          <cell r="B26" t="str">
            <v>MAI1</v>
          </cell>
          <cell r="C26" t="str">
            <v>FSAM-2MAI-01</v>
          </cell>
          <cell r="D26" t="str">
            <v>NSW</v>
          </cell>
          <cell r="E26" t="str">
            <v>NSW North</v>
          </cell>
          <cell r="F26" t="str">
            <v>2MAI</v>
          </cell>
          <cell r="G26" t="str">
            <v>James Herden</v>
          </cell>
          <cell r="H26" t="str">
            <v>NSW North</v>
          </cell>
          <cell r="I26">
            <v>2200</v>
          </cell>
        </row>
        <row r="27">
          <cell r="B27" t="str">
            <v>MAI2</v>
          </cell>
          <cell r="C27" t="str">
            <v>FSAM-2MAI-02</v>
          </cell>
          <cell r="D27" t="str">
            <v>NSW</v>
          </cell>
          <cell r="E27" t="str">
            <v>NSW North</v>
          </cell>
          <cell r="F27" t="str">
            <v>2MAI</v>
          </cell>
          <cell r="G27" t="str">
            <v>James Herden</v>
          </cell>
          <cell r="H27" t="str">
            <v>NSW North</v>
          </cell>
          <cell r="I27">
            <v>2200</v>
          </cell>
        </row>
        <row r="28">
          <cell r="B28" t="str">
            <v>MAI3</v>
          </cell>
          <cell r="C28" t="str">
            <v>FSAM-2MAI-03</v>
          </cell>
          <cell r="D28" t="str">
            <v>NSW</v>
          </cell>
          <cell r="E28" t="str">
            <v>NSW North</v>
          </cell>
          <cell r="F28" t="str">
            <v>2MAI</v>
          </cell>
          <cell r="G28" t="str">
            <v>James Herden</v>
          </cell>
          <cell r="H28" t="str">
            <v>NSW North</v>
          </cell>
          <cell r="I28">
            <v>2238</v>
          </cell>
          <cell r="J28" t="str">
            <v>Infotech</v>
          </cell>
        </row>
        <row r="29">
          <cell r="B29" t="str">
            <v>MAI4</v>
          </cell>
          <cell r="C29" t="str">
            <v>FSAM-2MAI-04</v>
          </cell>
          <cell r="D29" t="str">
            <v>NSW</v>
          </cell>
          <cell r="E29" t="str">
            <v>NSW North</v>
          </cell>
          <cell r="F29" t="str">
            <v>2MAI</v>
          </cell>
          <cell r="G29" t="str">
            <v>James Herden</v>
          </cell>
          <cell r="H29" t="str">
            <v>NSW North</v>
          </cell>
          <cell r="I29">
            <v>2200</v>
          </cell>
        </row>
        <row r="30">
          <cell r="B30" t="str">
            <v>MAI5</v>
          </cell>
          <cell r="C30" t="str">
            <v>FSAM-2MAI-05</v>
          </cell>
          <cell r="D30" t="str">
            <v>NSW</v>
          </cell>
          <cell r="E30" t="str">
            <v>NSW North</v>
          </cell>
          <cell r="F30" t="str">
            <v>2MAI</v>
          </cell>
          <cell r="G30" t="str">
            <v>James Herden</v>
          </cell>
          <cell r="H30" t="str">
            <v>NSW North</v>
          </cell>
          <cell r="I30">
            <v>2200</v>
          </cell>
        </row>
        <row r="31">
          <cell r="B31" t="str">
            <v>MAI6</v>
          </cell>
          <cell r="C31" t="str">
            <v>FSAM-2MAI-06</v>
          </cell>
          <cell r="D31" t="str">
            <v>NSW</v>
          </cell>
          <cell r="E31" t="str">
            <v>NSW North</v>
          </cell>
          <cell r="F31" t="str">
            <v>2MAI</v>
          </cell>
          <cell r="G31" t="str">
            <v>James Herden</v>
          </cell>
          <cell r="H31" t="str">
            <v>NSW North</v>
          </cell>
          <cell r="I31">
            <v>2200</v>
          </cell>
        </row>
        <row r="32">
          <cell r="B32" t="str">
            <v>MAI7</v>
          </cell>
          <cell r="C32" t="str">
            <v>FSAM-2MAI-07</v>
          </cell>
          <cell r="D32" t="str">
            <v>NSW</v>
          </cell>
          <cell r="E32" t="str">
            <v>NSW North</v>
          </cell>
          <cell r="F32" t="str">
            <v>2MAI</v>
          </cell>
          <cell r="G32" t="str">
            <v>James Herden</v>
          </cell>
          <cell r="H32" t="str">
            <v>NSW North</v>
          </cell>
          <cell r="I32">
            <v>2441</v>
          </cell>
          <cell r="J32" t="str">
            <v>Dalys</v>
          </cell>
        </row>
        <row r="33">
          <cell r="B33" t="str">
            <v>MAI8</v>
          </cell>
          <cell r="C33" t="str">
            <v>FSAM-2MAI-08</v>
          </cell>
          <cell r="D33" t="str">
            <v>NSW</v>
          </cell>
          <cell r="E33" t="str">
            <v>NSW North</v>
          </cell>
          <cell r="F33" t="str">
            <v>2MAI</v>
          </cell>
          <cell r="G33" t="str">
            <v>James Herden</v>
          </cell>
          <cell r="H33" t="str">
            <v>NSW North</v>
          </cell>
          <cell r="I33">
            <v>2200</v>
          </cell>
        </row>
        <row r="34">
          <cell r="B34" t="str">
            <v>MAI9</v>
          </cell>
          <cell r="C34" t="str">
            <v>FSAM-2MAI-09</v>
          </cell>
          <cell r="D34" t="str">
            <v>NSW</v>
          </cell>
          <cell r="E34" t="str">
            <v>NSW North</v>
          </cell>
          <cell r="F34" t="str">
            <v>2MAI</v>
          </cell>
          <cell r="G34" t="str">
            <v>James Herden</v>
          </cell>
          <cell r="H34" t="str">
            <v>NSW North</v>
          </cell>
          <cell r="I34">
            <v>2200</v>
          </cell>
        </row>
        <row r="35">
          <cell r="B35" t="str">
            <v>MAI10</v>
          </cell>
          <cell r="C35" t="str">
            <v>FSAM-2MAI-10</v>
          </cell>
          <cell r="D35" t="str">
            <v>NSW</v>
          </cell>
          <cell r="E35" t="str">
            <v>NSW North</v>
          </cell>
          <cell r="F35" t="str">
            <v>2MAI</v>
          </cell>
          <cell r="G35" t="str">
            <v>James Herden</v>
          </cell>
          <cell r="H35" t="str">
            <v>NSW North</v>
          </cell>
          <cell r="I35">
            <v>2200</v>
          </cell>
        </row>
        <row r="36">
          <cell r="B36" t="str">
            <v>MAI11</v>
          </cell>
          <cell r="C36" t="str">
            <v>FSAM-2MAI-11</v>
          </cell>
          <cell r="D36" t="str">
            <v>NSW</v>
          </cell>
          <cell r="E36" t="str">
            <v>NSW North</v>
          </cell>
          <cell r="F36" t="str">
            <v>2MAI</v>
          </cell>
          <cell r="G36" t="str">
            <v>James Herden</v>
          </cell>
          <cell r="H36" t="str">
            <v>NSW North</v>
          </cell>
          <cell r="I36">
            <v>2465</v>
          </cell>
          <cell r="J36" t="str">
            <v>Apex</v>
          </cell>
        </row>
        <row r="37">
          <cell r="B37" t="str">
            <v>MDG1</v>
          </cell>
          <cell r="C37" t="str">
            <v>FSAM-2MDG-01</v>
          </cell>
          <cell r="D37" t="str">
            <v>NSW</v>
          </cell>
          <cell r="E37" t="str">
            <v>NSW North</v>
          </cell>
          <cell r="F37" t="str">
            <v>2MDG</v>
          </cell>
          <cell r="G37" t="str">
            <v>James Herden</v>
          </cell>
          <cell r="H37" t="str">
            <v>NSW North</v>
          </cell>
          <cell r="I37">
            <v>2200</v>
          </cell>
          <cell r="J37" t="str">
            <v>Dalys</v>
          </cell>
        </row>
        <row r="38">
          <cell r="B38" t="str">
            <v>MDG2</v>
          </cell>
          <cell r="C38" t="str">
            <v>FSAM-2MDG-02</v>
          </cell>
          <cell r="D38" t="str">
            <v>NSW</v>
          </cell>
          <cell r="E38" t="str">
            <v>NSW North</v>
          </cell>
          <cell r="F38" t="str">
            <v>2MDG</v>
          </cell>
          <cell r="G38" t="str">
            <v>James Herden</v>
          </cell>
          <cell r="H38" t="str">
            <v>NSW North</v>
          </cell>
          <cell r="I38">
            <v>2200</v>
          </cell>
          <cell r="J38" t="str">
            <v>Dalys</v>
          </cell>
        </row>
        <row r="39">
          <cell r="B39" t="str">
            <v>MDG3</v>
          </cell>
          <cell r="C39" t="str">
            <v>FSAM-2MDG-03</v>
          </cell>
          <cell r="D39" t="str">
            <v>NSW</v>
          </cell>
          <cell r="E39" t="str">
            <v>NSW North</v>
          </cell>
          <cell r="F39" t="str">
            <v>2MDG</v>
          </cell>
          <cell r="G39" t="str">
            <v>James Herden</v>
          </cell>
          <cell r="H39" t="str">
            <v>NSW North</v>
          </cell>
          <cell r="I39">
            <v>2200</v>
          </cell>
          <cell r="J39" t="str">
            <v>Dalys</v>
          </cell>
        </row>
        <row r="40">
          <cell r="B40" t="str">
            <v>TEE1</v>
          </cell>
          <cell r="C40" t="str">
            <v>FSAM-2TEE-01</v>
          </cell>
          <cell r="D40" t="str">
            <v>NSW</v>
          </cell>
          <cell r="E40" t="str">
            <v>NSW North</v>
          </cell>
          <cell r="F40" t="str">
            <v>2TEE</v>
          </cell>
          <cell r="G40" t="str">
            <v>James Herden</v>
          </cell>
          <cell r="H40" t="str">
            <v>NSW North</v>
          </cell>
          <cell r="I40">
            <v>2200</v>
          </cell>
          <cell r="J40" t="str">
            <v>NBN</v>
          </cell>
        </row>
        <row r="41">
          <cell r="B41" t="str">
            <v>TEE3</v>
          </cell>
          <cell r="C41" t="str">
            <v>FSAM-2TEE-03</v>
          </cell>
          <cell r="D41" t="str">
            <v>NSW</v>
          </cell>
          <cell r="E41" t="str">
            <v>NSW North</v>
          </cell>
          <cell r="F41" t="str">
            <v>2TEE</v>
          </cell>
          <cell r="G41" t="str">
            <v>James Herden</v>
          </cell>
          <cell r="H41" t="str">
            <v>NSW North</v>
          </cell>
          <cell r="I41">
            <v>1690</v>
          </cell>
          <cell r="J41" t="str">
            <v>Dalys</v>
          </cell>
        </row>
        <row r="42">
          <cell r="B42" t="str">
            <v>TEE5</v>
          </cell>
          <cell r="C42" t="str">
            <v>FSAM-2TEE-05</v>
          </cell>
          <cell r="D42" t="str">
            <v>NSW</v>
          </cell>
          <cell r="E42" t="str">
            <v>NSW North</v>
          </cell>
          <cell r="F42" t="str">
            <v>2TEE</v>
          </cell>
          <cell r="G42" t="str">
            <v>James Herden</v>
          </cell>
          <cell r="H42" t="str">
            <v>NSW North</v>
          </cell>
          <cell r="I42">
            <v>2200</v>
          </cell>
          <cell r="J42" t="str">
            <v>Apex</v>
          </cell>
        </row>
        <row r="43">
          <cell r="B43" t="str">
            <v>SAWT</v>
          </cell>
          <cell r="D43" t="str">
            <v>NSW</v>
          </cell>
          <cell r="E43" t="str">
            <v>NSW North</v>
          </cell>
          <cell r="F43" t="str">
            <v>2SAW</v>
          </cell>
          <cell r="G43" t="str">
            <v>James Herden</v>
          </cell>
          <cell r="H43" t="str">
            <v>NSW North</v>
          </cell>
          <cell r="I43">
            <v>0</v>
          </cell>
        </row>
        <row r="44">
          <cell r="B44" t="str">
            <v>IPS1</v>
          </cell>
          <cell r="C44" t="str">
            <v>FSAM-4IPS-01</v>
          </cell>
          <cell r="D44" t="str">
            <v>QLD</v>
          </cell>
          <cell r="E44" t="str">
            <v>Brisbane Metro</v>
          </cell>
          <cell r="F44" t="str">
            <v>4IPS</v>
          </cell>
          <cell r="G44" t="str">
            <v>Jonathan Cogan</v>
          </cell>
          <cell r="H44" t="str">
            <v>QLD South</v>
          </cell>
          <cell r="I44">
            <v>2200</v>
          </cell>
          <cell r="J44" t="str">
            <v>STSJV</v>
          </cell>
        </row>
        <row r="45">
          <cell r="B45" t="str">
            <v>IPS3</v>
          </cell>
          <cell r="C45" t="str">
            <v>FSAM-4IPS-03</v>
          </cell>
          <cell r="D45" t="str">
            <v>QLD</v>
          </cell>
          <cell r="E45" t="str">
            <v>Brisbane Metro</v>
          </cell>
          <cell r="F45" t="str">
            <v>4IPS</v>
          </cell>
          <cell r="G45" t="str">
            <v>Jonathan Cogan</v>
          </cell>
          <cell r="H45" t="str">
            <v>QLD South</v>
          </cell>
          <cell r="I45">
            <v>2200</v>
          </cell>
          <cell r="J45" t="str">
            <v>STSJV</v>
          </cell>
        </row>
        <row r="46">
          <cell r="B46" t="str">
            <v>IPS5</v>
          </cell>
          <cell r="C46" t="str">
            <v>FSAM-4IPS-05</v>
          </cell>
          <cell r="D46" t="str">
            <v>QLD</v>
          </cell>
          <cell r="E46" t="str">
            <v>Brisbane Metro</v>
          </cell>
          <cell r="F46" t="str">
            <v>4IPS</v>
          </cell>
          <cell r="G46" t="str">
            <v>Jonathan Cogan</v>
          </cell>
          <cell r="H46" t="str">
            <v>QLD South</v>
          </cell>
          <cell r="I46">
            <v>2200</v>
          </cell>
          <cell r="J46" t="str">
            <v>STSJV</v>
          </cell>
        </row>
        <row r="47">
          <cell r="B47" t="str">
            <v>IPS6</v>
          </cell>
          <cell r="C47" t="str">
            <v>FSAM-4IPS-06</v>
          </cell>
          <cell r="D47" t="str">
            <v>QLD</v>
          </cell>
          <cell r="E47" t="str">
            <v>Brisbane Metro</v>
          </cell>
          <cell r="F47" t="str">
            <v>4IPS</v>
          </cell>
          <cell r="G47" t="str">
            <v>Jonathan Cogan</v>
          </cell>
          <cell r="H47" t="str">
            <v>QLD South</v>
          </cell>
          <cell r="I47">
            <v>2200</v>
          </cell>
          <cell r="J47" t="str">
            <v>STSJV</v>
          </cell>
        </row>
        <row r="48">
          <cell r="B48" t="str">
            <v>IPS7</v>
          </cell>
          <cell r="C48" t="str">
            <v>FSAM-4IPS-07</v>
          </cell>
          <cell r="D48" t="str">
            <v>QLD</v>
          </cell>
          <cell r="E48" t="str">
            <v>Brisbane Metro</v>
          </cell>
          <cell r="F48" t="str">
            <v>4IPS</v>
          </cell>
          <cell r="G48" t="str">
            <v>Jonathan Cogan</v>
          </cell>
          <cell r="H48" t="str">
            <v>QLD South</v>
          </cell>
          <cell r="I48">
            <v>2200</v>
          </cell>
          <cell r="J48" t="str">
            <v>STSJV</v>
          </cell>
        </row>
        <row r="49">
          <cell r="B49" t="str">
            <v>IPS8</v>
          </cell>
          <cell r="C49" t="str">
            <v>FSAM-4IPS-08</v>
          </cell>
          <cell r="D49" t="str">
            <v>QLD</v>
          </cell>
          <cell r="E49" t="str">
            <v>Brisbane Metro</v>
          </cell>
          <cell r="F49" t="str">
            <v>4IPS</v>
          </cell>
          <cell r="G49" t="str">
            <v>Jonathan Cogan</v>
          </cell>
          <cell r="H49" t="str">
            <v>QLD South</v>
          </cell>
          <cell r="I49">
            <v>2200</v>
          </cell>
          <cell r="J49" t="str">
            <v>JEL</v>
          </cell>
        </row>
        <row r="50">
          <cell r="B50" t="str">
            <v>FRV2</v>
          </cell>
          <cell r="C50" t="str">
            <v>FSAM-4FRV-02</v>
          </cell>
          <cell r="D50" t="str">
            <v>QLD</v>
          </cell>
          <cell r="E50" t="str">
            <v>QLD South</v>
          </cell>
          <cell r="F50" t="str">
            <v>4FRV</v>
          </cell>
          <cell r="G50" t="str">
            <v>Jonathan Cogan</v>
          </cell>
          <cell r="H50" t="str">
            <v>QLD South</v>
          </cell>
          <cell r="I50">
            <v>2200</v>
          </cell>
        </row>
        <row r="51">
          <cell r="B51" t="str">
            <v>TOB10</v>
          </cell>
          <cell r="C51" t="str">
            <v>FSAM-4TOB-10</v>
          </cell>
          <cell r="D51" t="str">
            <v>QLD</v>
          </cell>
          <cell r="E51" t="str">
            <v>QLD South</v>
          </cell>
          <cell r="F51" t="str">
            <v>4TOB</v>
          </cell>
          <cell r="G51" t="str">
            <v>Jonathan Cogan</v>
          </cell>
          <cell r="H51" t="str">
            <v>QLD South</v>
          </cell>
          <cell r="I51">
            <v>2200</v>
          </cell>
        </row>
        <row r="52">
          <cell r="B52" t="str">
            <v>APL5</v>
          </cell>
          <cell r="C52" t="str">
            <v>FSAM-4APL-05</v>
          </cell>
          <cell r="D52" t="str">
            <v>QLD</v>
          </cell>
          <cell r="E52" t="str">
            <v>Brisbane Metro</v>
          </cell>
          <cell r="F52" t="str">
            <v>4APL</v>
          </cell>
          <cell r="G52" t="str">
            <v>Jonathan Cogan</v>
          </cell>
          <cell r="H52" t="str">
            <v>QLD Metro</v>
          </cell>
          <cell r="I52">
            <v>2200</v>
          </cell>
          <cell r="J52" t="str">
            <v>JEL</v>
          </cell>
        </row>
        <row r="53">
          <cell r="B53" t="str">
            <v>APL6</v>
          </cell>
          <cell r="C53" t="str">
            <v>FSAM-4APL-06</v>
          </cell>
          <cell r="D53" t="str">
            <v>QLD</v>
          </cell>
          <cell r="E53" t="str">
            <v>Brisbane Metro</v>
          </cell>
          <cell r="F53" t="str">
            <v>4APL</v>
          </cell>
          <cell r="G53" t="str">
            <v>Jonathan Cogan</v>
          </cell>
          <cell r="H53" t="str">
            <v>QLD Metro</v>
          </cell>
          <cell r="I53">
            <v>2200</v>
          </cell>
          <cell r="J53" t="str">
            <v>Infotech</v>
          </cell>
        </row>
        <row r="54">
          <cell r="B54" t="str">
            <v>APL7</v>
          </cell>
          <cell r="C54" t="str">
            <v>FSAM-4APL-07</v>
          </cell>
          <cell r="D54" t="str">
            <v>QLD</v>
          </cell>
          <cell r="E54" t="str">
            <v>Brisbane Metro</v>
          </cell>
          <cell r="F54" t="str">
            <v>4APL</v>
          </cell>
          <cell r="G54" t="str">
            <v>Jonathan Cogan</v>
          </cell>
          <cell r="H54" t="str">
            <v>QLD Metro</v>
          </cell>
          <cell r="I54">
            <v>2200</v>
          </cell>
          <cell r="J54"/>
        </row>
        <row r="55">
          <cell r="B55" t="str">
            <v>APL8</v>
          </cell>
          <cell r="C55" t="str">
            <v>FSAM-4APL-08</v>
          </cell>
          <cell r="D55" t="str">
            <v>QLD</v>
          </cell>
          <cell r="E55" t="str">
            <v>Brisbane Metro</v>
          </cell>
          <cell r="F55" t="str">
            <v>4APL</v>
          </cell>
          <cell r="G55" t="str">
            <v>Jonathan Cogan</v>
          </cell>
          <cell r="H55" t="str">
            <v>QLD Metro</v>
          </cell>
          <cell r="I55">
            <v>2200</v>
          </cell>
          <cell r="J55"/>
        </row>
        <row r="56">
          <cell r="B56" t="str">
            <v>APL9</v>
          </cell>
          <cell r="C56" t="str">
            <v>FSAM-4APL-09</v>
          </cell>
          <cell r="D56" t="str">
            <v>QLD</v>
          </cell>
          <cell r="E56" t="str">
            <v>Brisbane Metro</v>
          </cell>
          <cell r="F56" t="str">
            <v>4APL</v>
          </cell>
          <cell r="G56" t="str">
            <v>Jonathan Cogan</v>
          </cell>
          <cell r="H56" t="str">
            <v>QLD Metro</v>
          </cell>
          <cell r="I56">
            <v>2200</v>
          </cell>
          <cell r="J56"/>
        </row>
        <row r="57">
          <cell r="B57" t="str">
            <v>ASH1</v>
          </cell>
          <cell r="C57" t="str">
            <v>FSAM-4ASH-01</v>
          </cell>
          <cell r="D57" t="str">
            <v>QLD</v>
          </cell>
          <cell r="E57" t="str">
            <v>Brisbane Metro</v>
          </cell>
          <cell r="F57" t="str">
            <v>4ASH</v>
          </cell>
          <cell r="G57" t="str">
            <v>Jonathan Cogan</v>
          </cell>
          <cell r="H57" t="str">
            <v>QLD Metro</v>
          </cell>
          <cell r="I57">
            <v>2200</v>
          </cell>
          <cell r="J57" t="str">
            <v>JEL</v>
          </cell>
        </row>
        <row r="58">
          <cell r="B58" t="str">
            <v>ASH2</v>
          </cell>
          <cell r="C58" t="str">
            <v>FSAM-4ASH-02</v>
          </cell>
          <cell r="D58" t="str">
            <v>QLD</v>
          </cell>
          <cell r="E58" t="str">
            <v>Brisbane Metro</v>
          </cell>
          <cell r="F58" t="str">
            <v>4ASH</v>
          </cell>
          <cell r="G58" t="str">
            <v>Jonathan Cogan</v>
          </cell>
          <cell r="H58" t="str">
            <v>QLD Metro</v>
          </cell>
          <cell r="I58">
            <v>2200</v>
          </cell>
          <cell r="J58" t="str">
            <v>STSJV</v>
          </cell>
        </row>
        <row r="59">
          <cell r="B59" t="str">
            <v>ASH4</v>
          </cell>
          <cell r="C59" t="str">
            <v>FSAM-4ASH-04</v>
          </cell>
          <cell r="D59" t="str">
            <v>QLD</v>
          </cell>
          <cell r="E59" t="str">
            <v>Brisbane Metro</v>
          </cell>
          <cell r="F59" t="str">
            <v>4ASH</v>
          </cell>
          <cell r="G59" t="str">
            <v>Jonathan Cogan</v>
          </cell>
          <cell r="H59" t="str">
            <v>QLD Metro</v>
          </cell>
          <cell r="I59">
            <v>2200</v>
          </cell>
        </row>
        <row r="60">
          <cell r="B60" t="str">
            <v>BDB3</v>
          </cell>
          <cell r="C60" t="str">
            <v>FSAM-4BDB-03</v>
          </cell>
          <cell r="D60" t="str">
            <v>QLD</v>
          </cell>
          <cell r="E60" t="str">
            <v>Brisbane Metro</v>
          </cell>
          <cell r="F60" t="str">
            <v>4BDB</v>
          </cell>
          <cell r="G60" t="str">
            <v>Jonathan Cogan</v>
          </cell>
          <cell r="H60" t="str">
            <v>QLD Metro</v>
          </cell>
          <cell r="I60">
            <v>2200</v>
          </cell>
        </row>
        <row r="61">
          <cell r="B61" t="str">
            <v>BDB4</v>
          </cell>
          <cell r="C61" t="str">
            <v>FSAM-4BDB-04</v>
          </cell>
          <cell r="D61" t="str">
            <v>QLD</v>
          </cell>
          <cell r="E61" t="str">
            <v>Brisbane Metro</v>
          </cell>
          <cell r="F61" t="str">
            <v>4BDB</v>
          </cell>
          <cell r="G61" t="str">
            <v>Jonathan Cogan</v>
          </cell>
          <cell r="H61" t="str">
            <v>QLD Metro</v>
          </cell>
          <cell r="I61">
            <v>2200</v>
          </cell>
          <cell r="J61" t="str">
            <v>STSJV</v>
          </cell>
        </row>
        <row r="62">
          <cell r="B62" t="str">
            <v>GDN7</v>
          </cell>
          <cell r="C62" t="str">
            <v>FSAM-4GDN-07</v>
          </cell>
          <cell r="D62" t="str">
            <v>QLD</v>
          </cell>
          <cell r="E62" t="str">
            <v>Brisbane Metro</v>
          </cell>
          <cell r="F62" t="str">
            <v>4GDN</v>
          </cell>
          <cell r="G62" t="str">
            <v>Jonathan Cogan</v>
          </cell>
          <cell r="H62" t="str">
            <v>QLD Metro</v>
          </cell>
          <cell r="I62">
            <v>2200</v>
          </cell>
          <cell r="J62" t="str">
            <v>Infotech</v>
          </cell>
        </row>
        <row r="63">
          <cell r="B63" t="str">
            <v>GDN8</v>
          </cell>
          <cell r="C63" t="str">
            <v>FSAM-4GDN-08</v>
          </cell>
          <cell r="D63" t="str">
            <v>QLD</v>
          </cell>
          <cell r="E63" t="str">
            <v>Brisbane Metro</v>
          </cell>
          <cell r="F63" t="str">
            <v>4GDN</v>
          </cell>
          <cell r="G63" t="str">
            <v>Jonathan Cogan</v>
          </cell>
          <cell r="H63" t="str">
            <v>QLD Metro</v>
          </cell>
          <cell r="I63">
            <v>2200</v>
          </cell>
          <cell r="J63" t="str">
            <v>Infotech</v>
          </cell>
        </row>
        <row r="64">
          <cell r="B64" t="str">
            <v>GDN9</v>
          </cell>
          <cell r="C64" t="str">
            <v>FSAM-4GDN-09</v>
          </cell>
          <cell r="D64" t="str">
            <v>QLD</v>
          </cell>
          <cell r="E64" t="str">
            <v>Brisbane Metro</v>
          </cell>
          <cell r="F64" t="str">
            <v>4GDN</v>
          </cell>
          <cell r="G64" t="str">
            <v>Jonathan Cogan</v>
          </cell>
          <cell r="H64" t="str">
            <v>QLD Metro</v>
          </cell>
          <cell r="I64">
            <v>2200</v>
          </cell>
        </row>
        <row r="65">
          <cell r="B65" t="str">
            <v>KLG5</v>
          </cell>
          <cell r="C65" t="str">
            <v>FSAM-4KLG-05</v>
          </cell>
          <cell r="D65" t="str">
            <v>QLD</v>
          </cell>
          <cell r="E65" t="str">
            <v>Brisbane Metro</v>
          </cell>
          <cell r="F65" t="str">
            <v>4KLG</v>
          </cell>
          <cell r="G65" t="str">
            <v>Jonathan Cogan</v>
          </cell>
          <cell r="H65" t="str">
            <v>QLD Metro</v>
          </cell>
          <cell r="I65">
            <v>2200</v>
          </cell>
        </row>
        <row r="66">
          <cell r="B66" t="str">
            <v>KLG6</v>
          </cell>
          <cell r="C66" t="str">
            <v>FSAM-4KLG-06</v>
          </cell>
          <cell r="D66" t="str">
            <v>QLD</v>
          </cell>
          <cell r="E66" t="str">
            <v>Brisbane Metro</v>
          </cell>
          <cell r="F66" t="str">
            <v>4KLG</v>
          </cell>
          <cell r="G66" t="str">
            <v>Jonathan Cogan</v>
          </cell>
          <cell r="H66" t="str">
            <v>QLD Metro</v>
          </cell>
          <cell r="I66">
            <v>2200</v>
          </cell>
        </row>
        <row r="67">
          <cell r="B67" t="str">
            <v>KLG7</v>
          </cell>
          <cell r="C67" t="str">
            <v>FSAM-4KLG-07</v>
          </cell>
          <cell r="D67" t="str">
            <v>QLD</v>
          </cell>
          <cell r="E67" t="str">
            <v>Brisbane Metro</v>
          </cell>
          <cell r="F67" t="str">
            <v>4KLG</v>
          </cell>
          <cell r="G67" t="str">
            <v>Jonathan Cogan</v>
          </cell>
          <cell r="H67" t="str">
            <v>QLD Metro</v>
          </cell>
          <cell r="I67">
            <v>2200</v>
          </cell>
          <cell r="J67" t="str">
            <v>JEL</v>
          </cell>
        </row>
        <row r="68">
          <cell r="B68" t="str">
            <v>NDG4</v>
          </cell>
          <cell r="C68" t="str">
            <v>FSAM-4NDG-04</v>
          </cell>
          <cell r="D68" t="str">
            <v>QLD</v>
          </cell>
          <cell r="E68" t="str">
            <v>Brisbane Metro</v>
          </cell>
          <cell r="F68" t="str">
            <v>4NDG</v>
          </cell>
          <cell r="G68" t="str">
            <v>Jonathan Cogan</v>
          </cell>
          <cell r="H68" t="str">
            <v>QLD Metro</v>
          </cell>
          <cell r="I68">
            <v>2200</v>
          </cell>
          <cell r="J68" t="str">
            <v>JEL</v>
          </cell>
        </row>
        <row r="69">
          <cell r="B69" t="str">
            <v>NDG5</v>
          </cell>
          <cell r="C69" t="str">
            <v>FSAM-4NDG-05</v>
          </cell>
          <cell r="D69" t="str">
            <v>QLD</v>
          </cell>
          <cell r="E69" t="str">
            <v>Brisbane Metro</v>
          </cell>
          <cell r="F69" t="str">
            <v>4NDG</v>
          </cell>
          <cell r="G69" t="str">
            <v>Jonathan Cogan</v>
          </cell>
          <cell r="H69" t="str">
            <v>QLD Metro</v>
          </cell>
          <cell r="I69">
            <v>2200</v>
          </cell>
        </row>
        <row r="70">
          <cell r="B70" t="str">
            <v>NDG6</v>
          </cell>
          <cell r="C70" t="str">
            <v>FSAM-4NDG-06</v>
          </cell>
          <cell r="D70" t="str">
            <v>QLD</v>
          </cell>
          <cell r="E70" t="str">
            <v>Brisbane Metro</v>
          </cell>
          <cell r="F70" t="str">
            <v>4NDG</v>
          </cell>
          <cell r="G70" t="str">
            <v>Jonathan Cogan</v>
          </cell>
          <cell r="H70" t="str">
            <v>QLD Metro</v>
          </cell>
          <cell r="I70">
            <v>2200</v>
          </cell>
        </row>
        <row r="71">
          <cell r="B71" t="str">
            <v>SGI1</v>
          </cell>
          <cell r="C71" t="str">
            <v>FSAM-4SGI-01</v>
          </cell>
          <cell r="D71" t="str">
            <v>QLD</v>
          </cell>
          <cell r="E71" t="str">
            <v>Brisbane Metro</v>
          </cell>
          <cell r="F71" t="str">
            <v>4SGI</v>
          </cell>
          <cell r="G71" t="str">
            <v>Jonathan Cogan</v>
          </cell>
          <cell r="H71" t="str">
            <v>QLD Metro</v>
          </cell>
          <cell r="I71">
            <v>2200</v>
          </cell>
          <cell r="J71" t="str">
            <v>STSJV</v>
          </cell>
        </row>
        <row r="72">
          <cell r="B72" t="str">
            <v>SGI2</v>
          </cell>
          <cell r="C72" t="str">
            <v>FSAM-4SGI-02</v>
          </cell>
          <cell r="D72" t="str">
            <v>QLD</v>
          </cell>
          <cell r="E72" t="str">
            <v>Brisbane Metro</v>
          </cell>
          <cell r="F72" t="str">
            <v>4SGI</v>
          </cell>
          <cell r="G72" t="str">
            <v>Jonathan Cogan</v>
          </cell>
          <cell r="H72" t="str">
            <v>QLD Metro</v>
          </cell>
          <cell r="I72">
            <v>2200</v>
          </cell>
        </row>
        <row r="73">
          <cell r="B73" t="str">
            <v>SGI3</v>
          </cell>
          <cell r="C73" t="str">
            <v>FSAM-4SGI-03</v>
          </cell>
          <cell r="D73" t="str">
            <v>QLD</v>
          </cell>
          <cell r="E73" t="str">
            <v>Brisbane Metro</v>
          </cell>
          <cell r="F73" t="str">
            <v>4SGI</v>
          </cell>
          <cell r="G73" t="str">
            <v>Jonathan Cogan</v>
          </cell>
          <cell r="H73" t="str">
            <v>QLD Metro</v>
          </cell>
          <cell r="I73">
            <v>2200</v>
          </cell>
          <cell r="J73" t="str">
            <v>Infotech</v>
          </cell>
        </row>
        <row r="74">
          <cell r="B74" t="str">
            <v>SGI4</v>
          </cell>
          <cell r="C74" t="str">
            <v>FSAM-4SGI-04</v>
          </cell>
          <cell r="D74" t="str">
            <v>QLD</v>
          </cell>
          <cell r="E74" t="str">
            <v>Brisbane Metro</v>
          </cell>
          <cell r="F74" t="str">
            <v>4SGI</v>
          </cell>
          <cell r="G74" t="str">
            <v>Jonathan Cogan</v>
          </cell>
          <cell r="H74" t="str">
            <v>QLD Metro</v>
          </cell>
          <cell r="I74">
            <v>2200</v>
          </cell>
        </row>
        <row r="75">
          <cell r="B75" t="str">
            <v>SGI5</v>
          </cell>
          <cell r="C75" t="str">
            <v>FSAM-4SGI-05</v>
          </cell>
          <cell r="D75" t="str">
            <v>QLD</v>
          </cell>
          <cell r="E75" t="str">
            <v>Brisbane Metro</v>
          </cell>
          <cell r="F75" t="str">
            <v>4SGI</v>
          </cell>
          <cell r="G75" t="str">
            <v>Jonathan Cogan</v>
          </cell>
          <cell r="H75" t="str">
            <v>QLD Metro</v>
          </cell>
          <cell r="I75">
            <v>2200</v>
          </cell>
        </row>
        <row r="76">
          <cell r="B76" t="str">
            <v>SGI6</v>
          </cell>
          <cell r="C76" t="str">
            <v>FSAM-4SGI-06</v>
          </cell>
          <cell r="D76" t="str">
            <v>QLD</v>
          </cell>
          <cell r="E76" t="str">
            <v>Brisbane Metro</v>
          </cell>
          <cell r="F76" t="str">
            <v>4SGI</v>
          </cell>
          <cell r="G76" t="str">
            <v>Jonathan Cogan</v>
          </cell>
          <cell r="H76" t="str">
            <v>QLD Metro</v>
          </cell>
          <cell r="I76">
            <v>2200</v>
          </cell>
        </row>
        <row r="77">
          <cell r="B77" t="str">
            <v>SLA1</v>
          </cell>
          <cell r="C77" t="str">
            <v>FSAM-4SLA-01</v>
          </cell>
          <cell r="D77" t="str">
            <v>QLD</v>
          </cell>
          <cell r="E77" t="str">
            <v>Brisbane Metro</v>
          </cell>
          <cell r="F77" t="str">
            <v>4SLA</v>
          </cell>
          <cell r="G77" t="str">
            <v>Jonathan Cogan</v>
          </cell>
          <cell r="H77" t="str">
            <v>QLD Metro</v>
          </cell>
          <cell r="I77">
            <v>2200</v>
          </cell>
          <cell r="J77" t="str">
            <v>JEL</v>
          </cell>
        </row>
        <row r="78">
          <cell r="B78" t="str">
            <v>SLA2</v>
          </cell>
          <cell r="C78" t="str">
            <v>FSAM-4SLA-02</v>
          </cell>
          <cell r="D78" t="str">
            <v>QLD</v>
          </cell>
          <cell r="E78" t="str">
            <v>Brisbane Metro</v>
          </cell>
          <cell r="F78" t="str">
            <v>4SLA</v>
          </cell>
          <cell r="G78" t="str">
            <v>Jonathan Cogan</v>
          </cell>
          <cell r="H78" t="str">
            <v>QLD Metro</v>
          </cell>
          <cell r="I78">
            <v>2200</v>
          </cell>
          <cell r="J78" t="str">
            <v>STSJV</v>
          </cell>
        </row>
        <row r="79">
          <cell r="B79" t="str">
            <v>SLA3</v>
          </cell>
          <cell r="C79" t="str">
            <v>FSAM-4SLA-03</v>
          </cell>
          <cell r="D79" t="str">
            <v>QLD</v>
          </cell>
          <cell r="E79" t="str">
            <v>Brisbane Metro</v>
          </cell>
          <cell r="F79" t="str">
            <v>4SLA</v>
          </cell>
          <cell r="G79" t="str">
            <v>Jonathan Cogan</v>
          </cell>
          <cell r="H79" t="str">
            <v>QLD Metro</v>
          </cell>
          <cell r="I79">
            <v>2200</v>
          </cell>
          <cell r="J79" t="str">
            <v>Infotech</v>
          </cell>
        </row>
        <row r="80">
          <cell r="B80" t="str">
            <v>COR4</v>
          </cell>
          <cell r="C80" t="str">
            <v>FSAM-2COR-04</v>
          </cell>
          <cell r="D80" t="str">
            <v>NSW</v>
          </cell>
          <cell r="E80" t="str">
            <v>NSW South</v>
          </cell>
          <cell r="F80" t="str">
            <v>2COR</v>
          </cell>
          <cell r="G80" t="str">
            <v>Damien Marov South</v>
          </cell>
          <cell r="H80" t="str">
            <v>NSW South / ACT</v>
          </cell>
          <cell r="I80">
            <v>2200</v>
          </cell>
          <cell r="J80" t="str">
            <v>Infotech</v>
          </cell>
        </row>
        <row r="81">
          <cell r="B81" t="str">
            <v>COR5</v>
          </cell>
          <cell r="C81" t="str">
            <v>FSAM-2COR-05</v>
          </cell>
          <cell r="D81" t="str">
            <v>NSW</v>
          </cell>
          <cell r="E81" t="str">
            <v>NSW South</v>
          </cell>
          <cell r="F81" t="str">
            <v>2COR</v>
          </cell>
          <cell r="G81" t="str">
            <v>Damien Marov South</v>
          </cell>
          <cell r="H81" t="str">
            <v>NSW South / ACT</v>
          </cell>
          <cell r="I81">
            <v>2200</v>
          </cell>
          <cell r="J81" t="str">
            <v>Dalys</v>
          </cell>
        </row>
        <row r="82">
          <cell r="B82" t="str">
            <v>COR6</v>
          </cell>
          <cell r="C82" t="str">
            <v>FSAM-2COR-06</v>
          </cell>
          <cell r="D82" t="str">
            <v>NSW</v>
          </cell>
          <cell r="E82" t="str">
            <v>NSW South</v>
          </cell>
          <cell r="F82" t="str">
            <v>2COR</v>
          </cell>
          <cell r="G82" t="str">
            <v>Damien Marov South</v>
          </cell>
          <cell r="H82" t="str">
            <v>NSW South / ACT</v>
          </cell>
          <cell r="I82">
            <v>2200</v>
          </cell>
          <cell r="J82" t="str">
            <v>STSJV</v>
          </cell>
        </row>
        <row r="83">
          <cell r="B83" t="str">
            <v>COR7</v>
          </cell>
          <cell r="C83" t="str">
            <v>FSAM-2COR-07</v>
          </cell>
          <cell r="D83" t="str">
            <v>NSW</v>
          </cell>
          <cell r="E83" t="str">
            <v>NSW South</v>
          </cell>
          <cell r="F83" t="str">
            <v>2COR</v>
          </cell>
          <cell r="G83" t="str">
            <v>Damien Marov South</v>
          </cell>
          <cell r="H83" t="str">
            <v>NSW South / ACT</v>
          </cell>
          <cell r="I83">
            <v>2200</v>
          </cell>
          <cell r="J83" t="str">
            <v>Dalys</v>
          </cell>
        </row>
        <row r="84">
          <cell r="B84" t="str">
            <v>COR8</v>
          </cell>
          <cell r="C84" t="str">
            <v>FSAM-2COR-08</v>
          </cell>
          <cell r="D84" t="str">
            <v>NSW</v>
          </cell>
          <cell r="E84" t="str">
            <v>NSW South</v>
          </cell>
          <cell r="F84" t="str">
            <v>2COR</v>
          </cell>
          <cell r="G84" t="str">
            <v>Damien Marov South</v>
          </cell>
          <cell r="H84" t="str">
            <v>NSW South / ACT</v>
          </cell>
          <cell r="I84">
            <v>2200</v>
          </cell>
          <cell r="J84" t="str">
            <v>Infotech</v>
          </cell>
        </row>
        <row r="85">
          <cell r="B85" t="str">
            <v>COR9</v>
          </cell>
          <cell r="C85" t="str">
            <v>FSAM-2COR-09</v>
          </cell>
          <cell r="D85" t="str">
            <v>NSW</v>
          </cell>
          <cell r="E85" t="str">
            <v>NSW South</v>
          </cell>
          <cell r="F85" t="str">
            <v>2COR</v>
          </cell>
          <cell r="G85" t="str">
            <v>Damien Marov South</v>
          </cell>
          <cell r="H85" t="str">
            <v>NSW South / ACT</v>
          </cell>
          <cell r="I85">
            <v>2200</v>
          </cell>
        </row>
        <row r="86">
          <cell r="B86" t="str">
            <v>COR10</v>
          </cell>
          <cell r="C86" t="str">
            <v>FSAM-2COR-10</v>
          </cell>
          <cell r="D86" t="str">
            <v>NSW</v>
          </cell>
          <cell r="E86" t="str">
            <v>NSW South</v>
          </cell>
          <cell r="F86" t="str">
            <v>2COR</v>
          </cell>
          <cell r="G86" t="str">
            <v>Damien Marov South</v>
          </cell>
          <cell r="H86" t="str">
            <v>NSW South / ACT</v>
          </cell>
          <cell r="I86">
            <v>2200</v>
          </cell>
        </row>
        <row r="87">
          <cell r="B87" t="str">
            <v>COR11</v>
          </cell>
          <cell r="C87" t="str">
            <v>FSAM-2COR-11</v>
          </cell>
          <cell r="D87" t="str">
            <v>NSW</v>
          </cell>
          <cell r="E87" t="str">
            <v>NSW South</v>
          </cell>
          <cell r="F87" t="str">
            <v>2COR</v>
          </cell>
          <cell r="G87" t="str">
            <v>Damien Marov South</v>
          </cell>
          <cell r="H87" t="str">
            <v>NSW South / ACT</v>
          </cell>
          <cell r="I87">
            <v>2200</v>
          </cell>
          <cell r="J87" t="str">
            <v>Infotech</v>
          </cell>
        </row>
        <row r="88">
          <cell r="B88" t="str">
            <v>DAP1</v>
          </cell>
          <cell r="C88" t="str">
            <v>FSAM-2DAP-01</v>
          </cell>
          <cell r="D88" t="str">
            <v>NSW</v>
          </cell>
          <cell r="E88" t="str">
            <v>NSW South</v>
          </cell>
          <cell r="F88" t="str">
            <v>2DAP</v>
          </cell>
          <cell r="G88" t="str">
            <v>Damien Marov South</v>
          </cell>
          <cell r="H88" t="str">
            <v>NSW South / ACT</v>
          </cell>
          <cell r="I88">
            <v>238</v>
          </cell>
          <cell r="J88" t="str">
            <v>Dalys</v>
          </cell>
        </row>
        <row r="89">
          <cell r="B89" t="str">
            <v>DAP5</v>
          </cell>
          <cell r="C89" t="str">
            <v>FSAM-2DAP-05</v>
          </cell>
          <cell r="D89" t="str">
            <v>NSW</v>
          </cell>
          <cell r="E89" t="str">
            <v>NSW South</v>
          </cell>
          <cell r="F89" t="str">
            <v>2DAP</v>
          </cell>
          <cell r="G89" t="str">
            <v>Damien Marov South</v>
          </cell>
          <cell r="H89" t="str">
            <v>NSW South / ACT</v>
          </cell>
          <cell r="I89">
            <v>2200</v>
          </cell>
        </row>
        <row r="90">
          <cell r="B90" t="str">
            <v>DAP6</v>
          </cell>
          <cell r="C90" t="str">
            <v>FSAM-2DAP-06</v>
          </cell>
          <cell r="D90" t="str">
            <v>NSW</v>
          </cell>
          <cell r="E90" t="str">
            <v>NSW South</v>
          </cell>
          <cell r="F90" t="str">
            <v>2DAP</v>
          </cell>
          <cell r="G90" t="str">
            <v>Damien Marov South</v>
          </cell>
          <cell r="H90" t="str">
            <v>NSW South / ACT</v>
          </cell>
          <cell r="I90">
            <v>2200</v>
          </cell>
          <cell r="J90" t="str">
            <v>Infotech</v>
          </cell>
        </row>
        <row r="91">
          <cell r="B91" t="str">
            <v>KIA1</v>
          </cell>
          <cell r="C91" t="str">
            <v>FSAM-2KIA-01</v>
          </cell>
          <cell r="D91" t="str">
            <v>NSW</v>
          </cell>
          <cell r="E91" t="str">
            <v>NSW South</v>
          </cell>
          <cell r="F91" t="str">
            <v>2KIA</v>
          </cell>
          <cell r="G91" t="str">
            <v>Damien Marov South</v>
          </cell>
          <cell r="H91" t="str">
            <v>NSW South / ACT</v>
          </cell>
          <cell r="I91">
            <v>2200</v>
          </cell>
        </row>
        <row r="92">
          <cell r="B92" t="str">
            <v>TRK1</v>
          </cell>
          <cell r="C92" t="str">
            <v>FSAM-2TRK-01</v>
          </cell>
          <cell r="D92" t="str">
            <v>NSW</v>
          </cell>
          <cell r="E92" t="str">
            <v>NSW South</v>
          </cell>
          <cell r="F92" t="str">
            <v>2TRK</v>
          </cell>
          <cell r="G92" t="str">
            <v>Damien Marov South</v>
          </cell>
          <cell r="H92" t="str">
            <v>NSW South / ACT</v>
          </cell>
          <cell r="I92">
            <v>2200</v>
          </cell>
        </row>
        <row r="93">
          <cell r="B93" t="str">
            <v>WAG1</v>
          </cell>
          <cell r="C93" t="str">
            <v>FSAM-2WAG-01</v>
          </cell>
          <cell r="D93" t="str">
            <v>NSW</v>
          </cell>
          <cell r="E93" t="str">
            <v>NSW South</v>
          </cell>
          <cell r="F93" t="str">
            <v>2WAG</v>
          </cell>
          <cell r="G93" t="str">
            <v>Damien Marov South</v>
          </cell>
          <cell r="H93" t="str">
            <v>NSW South / ACT</v>
          </cell>
          <cell r="I93">
            <v>2200</v>
          </cell>
          <cell r="J93" t="str">
            <v>Tata</v>
          </cell>
        </row>
        <row r="94">
          <cell r="B94" t="str">
            <v>WAG2</v>
          </cell>
          <cell r="C94" t="str">
            <v>FSAM-2WAG-02</v>
          </cell>
          <cell r="D94" t="str">
            <v>NSW</v>
          </cell>
          <cell r="E94" t="str">
            <v>NSW South</v>
          </cell>
          <cell r="F94" t="str">
            <v>2WAG</v>
          </cell>
          <cell r="G94" t="str">
            <v>Damien Marov South</v>
          </cell>
          <cell r="H94" t="str">
            <v>NSW South / ACT</v>
          </cell>
          <cell r="I94">
            <v>2200</v>
          </cell>
          <cell r="J94" t="str">
            <v>Tata</v>
          </cell>
        </row>
        <row r="95">
          <cell r="B95" t="str">
            <v>WAG3</v>
          </cell>
          <cell r="C95" t="str">
            <v>FSAM-2WAG-03</v>
          </cell>
          <cell r="D95" t="str">
            <v>NSW</v>
          </cell>
          <cell r="E95" t="str">
            <v>NSW South</v>
          </cell>
          <cell r="F95" t="str">
            <v>2WAG</v>
          </cell>
          <cell r="G95" t="str">
            <v>Damien Marov South</v>
          </cell>
          <cell r="H95" t="str">
            <v>NSW South / ACT</v>
          </cell>
          <cell r="I95">
            <v>2200</v>
          </cell>
          <cell r="J95" t="str">
            <v>Tata</v>
          </cell>
        </row>
        <row r="96">
          <cell r="B96" t="str">
            <v>WAG4</v>
          </cell>
          <cell r="C96" t="str">
            <v>FSAM-2WAG-04</v>
          </cell>
          <cell r="D96" t="str">
            <v>NSW</v>
          </cell>
          <cell r="E96" t="str">
            <v>NSW South</v>
          </cell>
          <cell r="F96" t="str">
            <v>2WAG</v>
          </cell>
          <cell r="G96" t="str">
            <v>Damien Marov South</v>
          </cell>
          <cell r="H96" t="str">
            <v>NSW South / ACT</v>
          </cell>
          <cell r="I96">
            <v>2200</v>
          </cell>
        </row>
        <row r="97">
          <cell r="B97" t="str">
            <v>WLG2</v>
          </cell>
          <cell r="C97" t="str">
            <v>FSAM-2WLG-02</v>
          </cell>
          <cell r="D97" t="str">
            <v>NSW</v>
          </cell>
          <cell r="E97" t="str">
            <v>NSW South</v>
          </cell>
          <cell r="F97" t="str">
            <v>2WLG</v>
          </cell>
          <cell r="G97" t="str">
            <v>Damien Marov South</v>
          </cell>
          <cell r="H97" t="str">
            <v>NSW South / ACT</v>
          </cell>
          <cell r="I97">
            <v>2200</v>
          </cell>
          <cell r="J97" t="str">
            <v>Infotech</v>
          </cell>
        </row>
        <row r="98">
          <cell r="B98" t="str">
            <v>WLG3</v>
          </cell>
          <cell r="C98" t="str">
            <v>FSAM-2WLG-03</v>
          </cell>
          <cell r="D98" t="str">
            <v>NSW</v>
          </cell>
          <cell r="E98" t="str">
            <v>NSW South</v>
          </cell>
          <cell r="F98" t="str">
            <v>2WLG</v>
          </cell>
          <cell r="G98" t="str">
            <v>Damien Marov South</v>
          </cell>
          <cell r="H98" t="str">
            <v>NSW South / ACT</v>
          </cell>
          <cell r="I98">
            <v>2200</v>
          </cell>
          <cell r="J98" t="str">
            <v>Infotech</v>
          </cell>
        </row>
        <row r="99">
          <cell r="B99" t="str">
            <v>WLG4</v>
          </cell>
          <cell r="C99" t="str">
            <v>FSAM-2WLG-04</v>
          </cell>
          <cell r="D99" t="str">
            <v>NSW</v>
          </cell>
          <cell r="E99" t="str">
            <v>NSW South</v>
          </cell>
          <cell r="F99" t="str">
            <v>2WLG</v>
          </cell>
          <cell r="G99" t="str">
            <v>Damien Marov South</v>
          </cell>
          <cell r="H99" t="str">
            <v>NSW South / ACT</v>
          </cell>
          <cell r="I99">
            <v>2200</v>
          </cell>
          <cell r="J99" t="str">
            <v>Dalys</v>
          </cell>
        </row>
        <row r="100">
          <cell r="B100" t="str">
            <v>WLG5</v>
          </cell>
          <cell r="C100" t="str">
            <v>FSAM-2WLG-05</v>
          </cell>
          <cell r="D100" t="str">
            <v>NSW</v>
          </cell>
          <cell r="E100" t="str">
            <v>NSW South</v>
          </cell>
          <cell r="F100" t="str">
            <v>2WLG</v>
          </cell>
          <cell r="G100" t="str">
            <v>Damien Marov South</v>
          </cell>
          <cell r="H100" t="str">
            <v>NSW South / ACT</v>
          </cell>
          <cell r="I100">
            <v>2200</v>
          </cell>
          <cell r="J100" t="str">
            <v>Infotech</v>
          </cell>
        </row>
        <row r="101">
          <cell r="B101" t="str">
            <v>WLG6</v>
          </cell>
          <cell r="C101" t="str">
            <v>FSAM-2WLG-06</v>
          </cell>
          <cell r="D101" t="str">
            <v>NSW</v>
          </cell>
          <cell r="E101" t="str">
            <v>NSW South</v>
          </cell>
          <cell r="F101" t="str">
            <v>2WLG</v>
          </cell>
          <cell r="G101" t="str">
            <v>Damien Marov South</v>
          </cell>
          <cell r="H101" t="str">
            <v>NSW South / ACT</v>
          </cell>
          <cell r="I101">
            <v>2200</v>
          </cell>
          <cell r="J101" t="str">
            <v>Infotech</v>
          </cell>
        </row>
        <row r="102">
          <cell r="B102" t="str">
            <v>BLC1</v>
          </cell>
          <cell r="C102" t="str">
            <v>FSAM-9BLC1-01</v>
          </cell>
          <cell r="D102" t="str">
            <v>NSW</v>
          </cell>
          <cell r="E102" t="str">
            <v>NSW South</v>
          </cell>
          <cell r="F102" t="str">
            <v>9BLC</v>
          </cell>
          <cell r="G102" t="str">
            <v>Damien Marov South</v>
          </cell>
          <cell r="H102" t="str">
            <v>NSW South / ACT</v>
          </cell>
          <cell r="I102">
            <v>2200</v>
          </cell>
        </row>
        <row r="103">
          <cell r="B103" t="str">
            <v>BLC2</v>
          </cell>
          <cell r="C103" t="str">
            <v>FSAM-9BLC1-02</v>
          </cell>
          <cell r="D103" t="str">
            <v>NSW</v>
          </cell>
          <cell r="E103" t="str">
            <v>NSW South</v>
          </cell>
          <cell r="F103" t="str">
            <v>9BLC</v>
          </cell>
          <cell r="G103" t="str">
            <v>Damien Marov South</v>
          </cell>
          <cell r="H103" t="str">
            <v>NSW South / ACT</v>
          </cell>
          <cell r="I103">
            <v>2200</v>
          </cell>
        </row>
        <row r="104">
          <cell r="B104" t="str">
            <v>CVI1</v>
          </cell>
          <cell r="C104" t="str">
            <v>FSAM-9CVI-01</v>
          </cell>
          <cell r="D104" t="str">
            <v>NSW</v>
          </cell>
          <cell r="E104" t="str">
            <v>NSW South</v>
          </cell>
          <cell r="F104" t="str">
            <v>9CVI</v>
          </cell>
          <cell r="G104" t="str">
            <v>Damien Marov South</v>
          </cell>
          <cell r="H104" t="str">
            <v>NSW South / ACT</v>
          </cell>
          <cell r="I104">
            <v>2200</v>
          </cell>
          <cell r="J104" t="str">
            <v>Infotech</v>
          </cell>
        </row>
        <row r="105">
          <cell r="B105" t="str">
            <v>CVI2</v>
          </cell>
          <cell r="C105" t="str">
            <v>FSAM-9CVI-02</v>
          </cell>
          <cell r="D105" t="str">
            <v>NSW</v>
          </cell>
          <cell r="E105" t="str">
            <v>NSW South</v>
          </cell>
          <cell r="F105" t="str">
            <v>9CVI</v>
          </cell>
          <cell r="G105" t="str">
            <v>Damien Marov South</v>
          </cell>
          <cell r="H105" t="str">
            <v>NSW South / ACT</v>
          </cell>
          <cell r="I105">
            <v>2200</v>
          </cell>
          <cell r="J105" t="str">
            <v>Dalys</v>
          </cell>
        </row>
        <row r="106">
          <cell r="B106" t="str">
            <v>CVI3</v>
          </cell>
          <cell r="C106" t="str">
            <v>FSAM-9CVI-03</v>
          </cell>
          <cell r="D106" t="str">
            <v>NSW</v>
          </cell>
          <cell r="E106" t="str">
            <v>NSW South</v>
          </cell>
          <cell r="F106" t="str">
            <v>9CVI</v>
          </cell>
          <cell r="G106" t="str">
            <v>Damien Marov South</v>
          </cell>
          <cell r="H106" t="str">
            <v>NSW South / ACT</v>
          </cell>
          <cell r="I106">
            <v>2200</v>
          </cell>
          <cell r="J106" t="str">
            <v>Dalys</v>
          </cell>
        </row>
        <row r="107">
          <cell r="B107" t="str">
            <v>CVI4</v>
          </cell>
          <cell r="C107" t="str">
            <v>FSAM-9CVI-04</v>
          </cell>
          <cell r="D107" t="str">
            <v>NSW</v>
          </cell>
          <cell r="E107" t="str">
            <v>NSW South</v>
          </cell>
          <cell r="F107" t="str">
            <v>9CVI</v>
          </cell>
          <cell r="G107" t="str">
            <v>Damien Marov South</v>
          </cell>
          <cell r="H107" t="str">
            <v>NSW South / ACT</v>
          </cell>
          <cell r="I107">
            <v>2200</v>
          </cell>
          <cell r="J107" t="str">
            <v>Infotech</v>
          </cell>
        </row>
        <row r="108">
          <cell r="B108" t="str">
            <v>CVI5</v>
          </cell>
          <cell r="C108" t="str">
            <v>FSAM-9CVI-05</v>
          </cell>
          <cell r="D108" t="str">
            <v>NSW</v>
          </cell>
          <cell r="E108" t="str">
            <v>NSW South</v>
          </cell>
          <cell r="F108" t="str">
            <v>9CVI</v>
          </cell>
          <cell r="G108" t="str">
            <v>Damien Marov South</v>
          </cell>
          <cell r="H108" t="str">
            <v>NSW South / ACT</v>
          </cell>
          <cell r="I108">
            <v>2338</v>
          </cell>
          <cell r="J108" t="str">
            <v>Tata</v>
          </cell>
        </row>
        <row r="109">
          <cell r="B109" t="str">
            <v>CVI6</v>
          </cell>
          <cell r="C109" t="str">
            <v>FSAM-9CVI-06</v>
          </cell>
          <cell r="D109" t="str">
            <v>NSW</v>
          </cell>
          <cell r="E109" t="str">
            <v>NSW South</v>
          </cell>
          <cell r="F109" t="str">
            <v>9CVI</v>
          </cell>
          <cell r="G109" t="str">
            <v>Damien Marov South</v>
          </cell>
          <cell r="H109" t="str">
            <v>NSW South / ACT</v>
          </cell>
          <cell r="I109">
            <v>2200</v>
          </cell>
          <cell r="J109" t="str">
            <v>Infotech</v>
          </cell>
        </row>
        <row r="110">
          <cell r="B110" t="str">
            <v>QBN1</v>
          </cell>
          <cell r="C110" t="str">
            <v>FSAM-9QBN-01</v>
          </cell>
          <cell r="D110" t="str">
            <v>NSW</v>
          </cell>
          <cell r="E110" t="str">
            <v>NSW South</v>
          </cell>
          <cell r="F110" t="str">
            <v>9QBN</v>
          </cell>
          <cell r="G110" t="str">
            <v>Damien Marov South</v>
          </cell>
          <cell r="H110" t="str">
            <v>NSW South / ACT</v>
          </cell>
          <cell r="I110">
            <v>2200</v>
          </cell>
        </row>
        <row r="111">
          <cell r="B111" t="str">
            <v>QBN2</v>
          </cell>
          <cell r="C111" t="str">
            <v>FSAM-9QBN-02</v>
          </cell>
          <cell r="D111" t="str">
            <v>NSW</v>
          </cell>
          <cell r="E111" t="str">
            <v>NSW South</v>
          </cell>
          <cell r="F111" t="str">
            <v>9QBN</v>
          </cell>
          <cell r="G111" t="str">
            <v>Damien Marov South</v>
          </cell>
          <cell r="H111" t="str">
            <v>NSW South / ACT</v>
          </cell>
          <cell r="I111">
            <v>2200</v>
          </cell>
        </row>
        <row r="112">
          <cell r="B112" t="str">
            <v>QBN3</v>
          </cell>
          <cell r="C112" t="str">
            <v>FSAM-9QBN-03</v>
          </cell>
          <cell r="D112" t="str">
            <v>NSW</v>
          </cell>
          <cell r="E112" t="str">
            <v>NSW South</v>
          </cell>
          <cell r="F112" t="str">
            <v>9QBN</v>
          </cell>
          <cell r="G112" t="str">
            <v>Damien Marov South</v>
          </cell>
          <cell r="H112" t="str">
            <v>NSW South / ACT</v>
          </cell>
          <cell r="I112">
            <v>2200</v>
          </cell>
          <cell r="J112" t="str">
            <v>Dalys</v>
          </cell>
        </row>
        <row r="113">
          <cell r="B113" t="str">
            <v>QBN4</v>
          </cell>
          <cell r="C113" t="str">
            <v>FSAM-9QBN-04</v>
          </cell>
          <cell r="D113" t="str">
            <v>NSW</v>
          </cell>
          <cell r="E113" t="str">
            <v>NSW South</v>
          </cell>
          <cell r="F113" t="str">
            <v>9QBN</v>
          </cell>
          <cell r="G113" t="str">
            <v>Damien Marov South</v>
          </cell>
          <cell r="H113" t="str">
            <v>NSW South / ACT</v>
          </cell>
          <cell r="I113">
            <v>2200</v>
          </cell>
          <cell r="J113" t="str">
            <v>STSJV</v>
          </cell>
        </row>
        <row r="114">
          <cell r="B114" t="str">
            <v>QBN6</v>
          </cell>
          <cell r="C114" t="str">
            <v>FSAM-9QBN-06</v>
          </cell>
          <cell r="D114" t="str">
            <v>NSW</v>
          </cell>
          <cell r="E114" t="str">
            <v>NSW South</v>
          </cell>
          <cell r="F114" t="str">
            <v>9QBN</v>
          </cell>
          <cell r="G114" t="str">
            <v>Damien Marov South</v>
          </cell>
          <cell r="H114" t="str">
            <v>NSW South / ACT</v>
          </cell>
          <cell r="I114">
            <v>2200</v>
          </cell>
          <cell r="J114" t="str">
            <v>Infotech</v>
          </cell>
        </row>
        <row r="115">
          <cell r="B115" t="str">
            <v>BBE1</v>
          </cell>
          <cell r="C115" t="str">
            <v>FSAM-4BBE-01</v>
          </cell>
          <cell r="D115" t="str">
            <v>QLD</v>
          </cell>
          <cell r="E115" t="str">
            <v>QLD South</v>
          </cell>
          <cell r="F115" t="str">
            <v>4BBE</v>
          </cell>
          <cell r="G115" t="str">
            <v>Sunil Nair</v>
          </cell>
          <cell r="H115" t="str">
            <v>QLD South</v>
          </cell>
          <cell r="I115">
            <v>2756</v>
          </cell>
          <cell r="J115" t="str">
            <v>Infotech</v>
          </cell>
        </row>
        <row r="116">
          <cell r="B116" t="str">
            <v>BBE2</v>
          </cell>
          <cell r="C116" t="str">
            <v>FSAM-4BBE-02</v>
          </cell>
          <cell r="D116" t="str">
            <v>QLD</v>
          </cell>
          <cell r="E116" t="str">
            <v>QLD South</v>
          </cell>
          <cell r="F116" t="str">
            <v>4BBE</v>
          </cell>
          <cell r="G116" t="str">
            <v>Sunil Nair</v>
          </cell>
          <cell r="H116" t="str">
            <v>QLD South</v>
          </cell>
          <cell r="I116">
            <v>2200</v>
          </cell>
          <cell r="J116" t="str">
            <v>Infotech</v>
          </cell>
        </row>
        <row r="117">
          <cell r="B117" t="str">
            <v>BBE3</v>
          </cell>
          <cell r="C117" t="str">
            <v>FSAM-4BBE-03</v>
          </cell>
          <cell r="D117" t="str">
            <v>QLD</v>
          </cell>
          <cell r="E117" t="str">
            <v>QLD South</v>
          </cell>
          <cell r="F117" t="str">
            <v>4BBE</v>
          </cell>
          <cell r="G117" t="str">
            <v>Sunil Nair</v>
          </cell>
          <cell r="H117" t="str">
            <v>QLD South</v>
          </cell>
          <cell r="I117">
            <v>2200</v>
          </cell>
          <cell r="J117" t="str">
            <v>Infotech</v>
          </cell>
        </row>
        <row r="118">
          <cell r="B118" t="str">
            <v>BBE4</v>
          </cell>
          <cell r="C118" t="str">
            <v>FSAM-4BBE-04</v>
          </cell>
          <cell r="D118" t="str">
            <v>QLD</v>
          </cell>
          <cell r="E118" t="str">
            <v>QLD South</v>
          </cell>
          <cell r="F118" t="str">
            <v>4BBE</v>
          </cell>
          <cell r="G118" t="str">
            <v>Sunil Nair</v>
          </cell>
          <cell r="H118" t="str">
            <v>QLD South</v>
          </cell>
          <cell r="I118">
            <v>2200</v>
          </cell>
          <cell r="J118"/>
        </row>
        <row r="119">
          <cell r="B119" t="str">
            <v>BBE5</v>
          </cell>
          <cell r="C119" t="str">
            <v>FSAM-4BBE-05</v>
          </cell>
          <cell r="D119" t="str">
            <v>QLD</v>
          </cell>
          <cell r="E119" t="str">
            <v>QLD South</v>
          </cell>
          <cell r="F119" t="str">
            <v>4BBE</v>
          </cell>
          <cell r="G119" t="str">
            <v>Sunil Nair</v>
          </cell>
          <cell r="H119" t="str">
            <v>QLD South</v>
          </cell>
          <cell r="I119">
            <v>2200</v>
          </cell>
          <cell r="J119"/>
        </row>
        <row r="120">
          <cell r="B120" t="str">
            <v>BBE6</v>
          </cell>
          <cell r="C120" t="str">
            <v>FSAM-4BBE-06</v>
          </cell>
          <cell r="D120" t="str">
            <v>QLD</v>
          </cell>
          <cell r="E120" t="str">
            <v>QLD South</v>
          </cell>
          <cell r="F120" t="str">
            <v>4BBE</v>
          </cell>
          <cell r="G120" t="str">
            <v>Sunil Nair</v>
          </cell>
          <cell r="H120" t="str">
            <v>QLD South</v>
          </cell>
          <cell r="I120">
            <v>2200</v>
          </cell>
          <cell r="J120"/>
        </row>
        <row r="121">
          <cell r="B121" t="str">
            <v>BBE7</v>
          </cell>
          <cell r="C121" t="str">
            <v>FSAM-4BBE-07</v>
          </cell>
          <cell r="D121" t="str">
            <v>QLD</v>
          </cell>
          <cell r="E121" t="str">
            <v>QLD South</v>
          </cell>
          <cell r="F121" t="str">
            <v>4BBE</v>
          </cell>
          <cell r="G121" t="str">
            <v>Sunil Nair</v>
          </cell>
          <cell r="H121" t="str">
            <v>QLD South</v>
          </cell>
          <cell r="I121">
            <v>2200</v>
          </cell>
        </row>
        <row r="122">
          <cell r="B122" t="str">
            <v>BBE8</v>
          </cell>
          <cell r="C122" t="str">
            <v>FSAM-4BBE-08</v>
          </cell>
          <cell r="D122" t="str">
            <v>QLD</v>
          </cell>
          <cell r="E122" t="str">
            <v>QLD South</v>
          </cell>
          <cell r="F122" t="str">
            <v>4BBE</v>
          </cell>
          <cell r="G122" t="str">
            <v>Sunil Nair</v>
          </cell>
          <cell r="H122" t="str">
            <v>QLD South</v>
          </cell>
          <cell r="I122">
            <v>2200</v>
          </cell>
          <cell r="J122" t="str">
            <v>Infotech</v>
          </cell>
        </row>
        <row r="123">
          <cell r="B123" t="str">
            <v>ROT1</v>
          </cell>
          <cell r="C123" t="str">
            <v>FSAM-4ROT-01</v>
          </cell>
          <cell r="D123" t="str">
            <v>QLD</v>
          </cell>
          <cell r="E123" t="str">
            <v>QLD South</v>
          </cell>
          <cell r="F123" t="str">
            <v>4ROT</v>
          </cell>
          <cell r="G123" t="str">
            <v>Sunil Nair</v>
          </cell>
          <cell r="H123" t="str">
            <v>QLD South</v>
          </cell>
          <cell r="I123">
            <v>2200</v>
          </cell>
          <cell r="J123" t="str">
            <v>Infotech</v>
          </cell>
        </row>
        <row r="124">
          <cell r="B124" t="str">
            <v>ROT2</v>
          </cell>
          <cell r="C124" t="str">
            <v>FSAM-4ROT-02</v>
          </cell>
          <cell r="D124" t="str">
            <v>QLD</v>
          </cell>
          <cell r="E124" t="str">
            <v>QLD South</v>
          </cell>
          <cell r="F124" t="str">
            <v>4ROT</v>
          </cell>
          <cell r="G124" t="str">
            <v>Sunil Nair</v>
          </cell>
          <cell r="H124" t="str">
            <v>QLD South</v>
          </cell>
          <cell r="I124">
            <v>2200</v>
          </cell>
          <cell r="J124" t="str">
            <v>STSJV</v>
          </cell>
        </row>
        <row r="125">
          <cell r="B125" t="str">
            <v>ROT3</v>
          </cell>
          <cell r="C125" t="str">
            <v>FSAM-4ROT-03</v>
          </cell>
          <cell r="D125" t="str">
            <v>QLD</v>
          </cell>
          <cell r="E125" t="str">
            <v>QLD South</v>
          </cell>
          <cell r="F125" t="str">
            <v>4ROT</v>
          </cell>
          <cell r="G125" t="str">
            <v>Sunil Nair</v>
          </cell>
          <cell r="H125" t="str">
            <v>QLD South</v>
          </cell>
          <cell r="I125">
            <v>2200</v>
          </cell>
          <cell r="J125" t="str">
            <v>Infotech</v>
          </cell>
        </row>
        <row r="126">
          <cell r="B126" t="str">
            <v>ROT4</v>
          </cell>
          <cell r="C126" t="str">
            <v>FSAM-4ROT-04</v>
          </cell>
          <cell r="D126" t="str">
            <v>QLD</v>
          </cell>
          <cell r="E126" t="str">
            <v>QLD South</v>
          </cell>
          <cell r="F126" t="str">
            <v>4ROT</v>
          </cell>
          <cell r="G126" t="str">
            <v>Sunil Nair</v>
          </cell>
          <cell r="H126" t="str">
            <v>QLD South</v>
          </cell>
          <cell r="I126">
            <v>2200</v>
          </cell>
          <cell r="J126" t="str">
            <v>Infotech</v>
          </cell>
        </row>
        <row r="127">
          <cell r="B127" t="str">
            <v>CAI6</v>
          </cell>
          <cell r="C127" t="str">
            <v>FSAM-4CAI-06</v>
          </cell>
          <cell r="D127" t="str">
            <v>QLD</v>
          </cell>
          <cell r="E127" t="str">
            <v>QLD North</v>
          </cell>
          <cell r="F127" t="str">
            <v>4CAI</v>
          </cell>
          <cell r="G127" t="str">
            <v>Sunil Nair</v>
          </cell>
          <cell r="H127" t="str">
            <v>QLD North</v>
          </cell>
          <cell r="I127">
            <v>2200</v>
          </cell>
        </row>
        <row r="128">
          <cell r="B128" t="str">
            <v>GUL1</v>
          </cell>
          <cell r="C128" t="str">
            <v>FSAM-4GUL-01</v>
          </cell>
          <cell r="D128" t="str">
            <v>QLD</v>
          </cell>
          <cell r="E128" t="str">
            <v>QLD North</v>
          </cell>
          <cell r="F128" t="str">
            <v>4GUL</v>
          </cell>
          <cell r="G128" t="str">
            <v>Sunil Nair</v>
          </cell>
          <cell r="H128" t="str">
            <v>QLD North</v>
          </cell>
          <cell r="I128">
            <v>2200</v>
          </cell>
        </row>
        <row r="129">
          <cell r="B129" t="str">
            <v>GUL7</v>
          </cell>
          <cell r="C129" t="str">
            <v>FSAM-4GUL-07</v>
          </cell>
          <cell r="D129" t="str">
            <v>QLD</v>
          </cell>
          <cell r="E129" t="str">
            <v>QLD North</v>
          </cell>
          <cell r="F129" t="str">
            <v>4GUL</v>
          </cell>
          <cell r="G129" t="str">
            <v>Sunil Nair</v>
          </cell>
          <cell r="H129" t="str">
            <v>QLD North</v>
          </cell>
          <cell r="I129">
            <v>2561</v>
          </cell>
          <cell r="J129" t="str">
            <v>Infotech</v>
          </cell>
        </row>
        <row r="130">
          <cell r="B130" t="str">
            <v>MKY5</v>
          </cell>
          <cell r="C130" t="str">
            <v>FSAM-4MKY-05</v>
          </cell>
          <cell r="D130" t="str">
            <v>QLD</v>
          </cell>
          <cell r="E130" t="str">
            <v>QLD North</v>
          </cell>
          <cell r="F130" t="str">
            <v>4MKY</v>
          </cell>
          <cell r="G130" t="str">
            <v>Sunil Nair</v>
          </cell>
          <cell r="H130" t="str">
            <v>QLD North</v>
          </cell>
          <cell r="I130">
            <v>2200</v>
          </cell>
          <cell r="J130" t="str">
            <v>Infotech</v>
          </cell>
        </row>
        <row r="131">
          <cell r="B131" t="str">
            <v>MKY6</v>
          </cell>
          <cell r="C131" t="str">
            <v>FSAM-4MKY-06</v>
          </cell>
          <cell r="D131" t="str">
            <v>QLD</v>
          </cell>
          <cell r="E131" t="str">
            <v>QLD North</v>
          </cell>
          <cell r="F131" t="str">
            <v>4MKY</v>
          </cell>
          <cell r="G131" t="str">
            <v>Sunil Nair</v>
          </cell>
          <cell r="H131" t="str">
            <v>QLD North</v>
          </cell>
          <cell r="I131">
            <v>2200</v>
          </cell>
        </row>
        <row r="132">
          <cell r="B132" t="str">
            <v>TNS7</v>
          </cell>
          <cell r="C132" t="str">
            <v>FSAM-4TNS-07</v>
          </cell>
          <cell r="D132" t="str">
            <v>QLD</v>
          </cell>
          <cell r="E132" t="str">
            <v>QLD North</v>
          </cell>
          <cell r="F132" t="str">
            <v>4TNS</v>
          </cell>
          <cell r="G132" t="str">
            <v>Sunil Nair</v>
          </cell>
          <cell r="H132" t="str">
            <v>QLD North</v>
          </cell>
          <cell r="I132">
            <v>2200</v>
          </cell>
          <cell r="J132" t="str">
            <v>Infotech</v>
          </cell>
        </row>
        <row r="133">
          <cell r="B133" t="str">
            <v>RIV4</v>
          </cell>
          <cell r="C133" t="str">
            <v>FSAM-2RIV-04</v>
          </cell>
          <cell r="D133" t="str">
            <v>NSW</v>
          </cell>
          <cell r="E133" t="str">
            <v>Sydney Metro</v>
          </cell>
          <cell r="F133" t="str">
            <v>2RIV</v>
          </cell>
          <cell r="G133" t="str">
            <v>Damien Marov West</v>
          </cell>
          <cell r="H133" t="str">
            <v>NSW Sydney West</v>
          </cell>
          <cell r="I133">
            <v>2200</v>
          </cell>
          <cell r="J133" t="str">
            <v>Infotech</v>
          </cell>
        </row>
        <row r="134">
          <cell r="B134" t="str">
            <v>MKY4</v>
          </cell>
          <cell r="C134" t="str">
            <v>FSAM-4MKY-04</v>
          </cell>
          <cell r="D134" t="str">
            <v>QLD</v>
          </cell>
          <cell r="E134" t="str">
            <v>QLD North</v>
          </cell>
          <cell r="F134" t="str">
            <v>4MKY</v>
          </cell>
          <cell r="G134" t="str">
            <v>Sunil Nair</v>
          </cell>
          <cell r="H134" t="str">
            <v>QLD North</v>
          </cell>
          <cell r="I134">
            <v>2760</v>
          </cell>
          <cell r="J134" t="str">
            <v>STSJV</v>
          </cell>
        </row>
        <row r="135">
          <cell r="B135" t="str">
            <v>TOB7</v>
          </cell>
          <cell r="C135" t="str">
            <v>FSAM-4TOB-07</v>
          </cell>
          <cell r="D135" t="str">
            <v>QLD</v>
          </cell>
          <cell r="E135" t="str">
            <v>QLD South</v>
          </cell>
          <cell r="F135" t="str">
            <v>4TOB</v>
          </cell>
          <cell r="G135" t="str">
            <v>Jonathan Cogan</v>
          </cell>
          <cell r="H135" t="str">
            <v>QLD South</v>
          </cell>
          <cell r="I135">
            <v>1020</v>
          </cell>
          <cell r="J135" t="str">
            <v>Infotech</v>
          </cell>
        </row>
        <row r="136">
          <cell r="B136" t="str">
            <v>ASH3</v>
          </cell>
          <cell r="C136" t="str">
            <v>FSAM-4ASH-03</v>
          </cell>
          <cell r="D136" t="str">
            <v>QLD</v>
          </cell>
          <cell r="E136" t="str">
            <v>Brisbane Metro</v>
          </cell>
          <cell r="F136" t="str">
            <v>4ASH</v>
          </cell>
          <cell r="G136" t="str">
            <v>Jonathan Cogan</v>
          </cell>
          <cell r="H136" t="str">
            <v>QLD Metro</v>
          </cell>
          <cell r="I136">
            <v>1162</v>
          </cell>
          <cell r="J136" t="str">
            <v>JEL</v>
          </cell>
        </row>
        <row r="137">
          <cell r="B137" t="str">
            <v>KLG4</v>
          </cell>
          <cell r="C137" t="str">
            <v>FSAM-4KLG-04</v>
          </cell>
          <cell r="D137" t="str">
            <v>QLD</v>
          </cell>
          <cell r="E137" t="str">
            <v>Brisbane Metro</v>
          </cell>
          <cell r="F137" t="str">
            <v>4KLG</v>
          </cell>
          <cell r="G137" t="str">
            <v>Jonathan Cogan</v>
          </cell>
          <cell r="H137" t="str">
            <v>QLD Metro</v>
          </cell>
          <cell r="I137">
            <v>1185</v>
          </cell>
          <cell r="J137" t="str">
            <v>Infotech</v>
          </cell>
        </row>
        <row r="138">
          <cell r="B138" t="str">
            <v>IPS4</v>
          </cell>
          <cell r="C138" t="str">
            <v>FSAM-4IPS-04</v>
          </cell>
          <cell r="D138" t="str">
            <v>QLD</v>
          </cell>
          <cell r="E138" t="str">
            <v>Brisbane Metro</v>
          </cell>
          <cell r="F138" t="str">
            <v>4IPS</v>
          </cell>
          <cell r="G138" t="str">
            <v>Jonathan Cogan</v>
          </cell>
          <cell r="H138" t="str">
            <v>QLD South</v>
          </cell>
          <cell r="I138">
            <v>1212</v>
          </cell>
          <cell r="J138" t="str">
            <v>STSJV</v>
          </cell>
        </row>
        <row r="139">
          <cell r="B139" t="str">
            <v>BLK6</v>
          </cell>
          <cell r="C139" t="str">
            <v>FSAM-2BLK-06</v>
          </cell>
          <cell r="D139" t="str">
            <v>NSW</v>
          </cell>
          <cell r="E139" t="str">
            <v>Sydney Metro</v>
          </cell>
          <cell r="F139" t="str">
            <v>2BLK</v>
          </cell>
          <cell r="G139" t="str">
            <v>Damien Marov West</v>
          </cell>
          <cell r="H139" t="str">
            <v>NSW Sydney West</v>
          </cell>
          <cell r="I139">
            <v>1253</v>
          </cell>
        </row>
        <row r="140">
          <cell r="B140" t="str">
            <v>BDB1</v>
          </cell>
          <cell r="C140" t="str">
            <v>FSAM-4BDB-01</v>
          </cell>
          <cell r="D140" t="str">
            <v>QLD</v>
          </cell>
          <cell r="E140" t="str">
            <v>Brisbane Metro</v>
          </cell>
          <cell r="F140" t="str">
            <v>4BDB</v>
          </cell>
          <cell r="G140" t="str">
            <v>Jonathan Cogan</v>
          </cell>
          <cell r="H140" t="str">
            <v>QLD Metro</v>
          </cell>
          <cell r="I140">
            <v>1382</v>
          </cell>
        </row>
        <row r="141">
          <cell r="B141" t="str">
            <v>TOB6</v>
          </cell>
          <cell r="C141" t="str">
            <v>FSAM-4TOB-06</v>
          </cell>
          <cell r="D141" t="str">
            <v>QLD</v>
          </cell>
          <cell r="E141" t="str">
            <v>QLD South</v>
          </cell>
          <cell r="F141" t="str">
            <v>4TOB</v>
          </cell>
          <cell r="G141" t="str">
            <v>Jonathan Cogan</v>
          </cell>
          <cell r="H141" t="str">
            <v>QLD South</v>
          </cell>
          <cell r="I141">
            <v>2737</v>
          </cell>
        </row>
        <row r="142">
          <cell r="B142" t="str">
            <v>PTH5</v>
          </cell>
          <cell r="C142" t="str">
            <v>FSAM-2PTH-05</v>
          </cell>
          <cell r="D142" t="str">
            <v>NSW</v>
          </cell>
          <cell r="E142" t="str">
            <v>Sydney Metro</v>
          </cell>
          <cell r="F142" t="str">
            <v>2PTH</v>
          </cell>
          <cell r="G142" t="str">
            <v>Damien Marov West</v>
          </cell>
          <cell r="H142" t="str">
            <v>NSW Sydney West</v>
          </cell>
          <cell r="I142">
            <v>1625</v>
          </cell>
          <cell r="J142" t="str">
            <v>Infotech</v>
          </cell>
        </row>
        <row r="143">
          <cell r="B143" t="str">
            <v>IPS2</v>
          </cell>
          <cell r="C143" t="str">
            <v>FSAM-4IPS-02</v>
          </cell>
          <cell r="D143" t="str">
            <v>QLD</v>
          </cell>
          <cell r="E143" t="str">
            <v>Brisbane Metro</v>
          </cell>
          <cell r="F143" t="str">
            <v>4IPS</v>
          </cell>
          <cell r="G143" t="str">
            <v>Jonathan Cogan</v>
          </cell>
          <cell r="H143" t="str">
            <v>QLD South</v>
          </cell>
          <cell r="I143">
            <v>1746</v>
          </cell>
          <cell r="J143" t="str">
            <v>STSJV</v>
          </cell>
        </row>
        <row r="144">
          <cell r="B144" t="str">
            <v>CFS7</v>
          </cell>
          <cell r="C144" t="str">
            <v>FSAM-2CFS-07</v>
          </cell>
          <cell r="D144" t="str">
            <v>NSW</v>
          </cell>
          <cell r="E144" t="str">
            <v>NSW North</v>
          </cell>
          <cell r="F144" t="str">
            <v>2CFS</v>
          </cell>
          <cell r="G144" t="str">
            <v>James Herden</v>
          </cell>
          <cell r="H144" t="str">
            <v>NSW North</v>
          </cell>
          <cell r="I144">
            <v>3084</v>
          </cell>
        </row>
        <row r="145">
          <cell r="B145" t="str">
            <v>DAP2</v>
          </cell>
          <cell r="C145" t="str">
            <v>FSAM-2DAP-02</v>
          </cell>
          <cell r="D145" t="str">
            <v>NSW</v>
          </cell>
          <cell r="E145" t="str">
            <v>NSW South</v>
          </cell>
          <cell r="F145" t="str">
            <v>2DAP</v>
          </cell>
          <cell r="G145" t="str">
            <v>Damien Marov South</v>
          </cell>
          <cell r="H145" t="str">
            <v>NSW South / ACT</v>
          </cell>
          <cell r="I145">
            <v>2808</v>
          </cell>
        </row>
        <row r="146">
          <cell r="B146" t="str">
            <v>BLK2</v>
          </cell>
          <cell r="C146" t="str">
            <v>FSAM-2BLK-02</v>
          </cell>
          <cell r="D146" t="str">
            <v>NSW</v>
          </cell>
          <cell r="E146" t="str">
            <v>Sydney Metro</v>
          </cell>
          <cell r="F146" t="str">
            <v>2BLK</v>
          </cell>
          <cell r="G146" t="str">
            <v>Damien Marov West</v>
          </cell>
          <cell r="H146" t="str">
            <v>NSW Sydney West</v>
          </cell>
          <cell r="I146">
            <v>2489</v>
          </cell>
        </row>
        <row r="147">
          <cell r="B147" t="str">
            <v>GDN6</v>
          </cell>
          <cell r="C147" t="str">
            <v>FSAM-4GDN-06</v>
          </cell>
          <cell r="D147" t="str">
            <v>QLD</v>
          </cell>
          <cell r="E147" t="str">
            <v>Brisbane Metro</v>
          </cell>
          <cell r="F147" t="str">
            <v>4GDN</v>
          </cell>
          <cell r="G147" t="str">
            <v>Jonathan Cogan</v>
          </cell>
          <cell r="H147" t="str">
            <v>QLD Metro</v>
          </cell>
          <cell r="I147">
            <v>1928</v>
          </cell>
        </row>
        <row r="148">
          <cell r="B148" t="str">
            <v>TNS4</v>
          </cell>
          <cell r="C148" t="str">
            <v>FSAM-4TNS-04</v>
          </cell>
          <cell r="D148" t="str">
            <v>QLD</v>
          </cell>
          <cell r="E148" t="str">
            <v>QLD North</v>
          </cell>
          <cell r="F148" t="str">
            <v>4TNS</v>
          </cell>
          <cell r="G148" t="str">
            <v>Sunil Nair</v>
          </cell>
          <cell r="H148" t="str">
            <v>QLD North</v>
          </cell>
          <cell r="I148">
            <v>2757</v>
          </cell>
        </row>
        <row r="149">
          <cell r="B149" t="str">
            <v>TOB5</v>
          </cell>
          <cell r="C149" t="str">
            <v>FSAM-4TOB-05</v>
          </cell>
          <cell r="D149" t="str">
            <v>QLD</v>
          </cell>
          <cell r="E149" t="str">
            <v>QLD South</v>
          </cell>
          <cell r="F149" t="str">
            <v>4TOB</v>
          </cell>
          <cell r="G149" t="str">
            <v>Jonathan Cogan</v>
          </cell>
          <cell r="H149" t="str">
            <v>QLD South</v>
          </cell>
          <cell r="I149">
            <v>2112</v>
          </cell>
        </row>
        <row r="150">
          <cell r="B150" t="str">
            <v>CFS1</v>
          </cell>
          <cell r="C150" t="str">
            <v>FSAM-2CFS-01</v>
          </cell>
          <cell r="D150" t="str">
            <v>NSW</v>
          </cell>
          <cell r="E150" t="str">
            <v>NSW North</v>
          </cell>
          <cell r="F150" t="str">
            <v>2CFS</v>
          </cell>
          <cell r="G150" t="str">
            <v>James Herden</v>
          </cell>
          <cell r="H150" t="str">
            <v>NSW North</v>
          </cell>
          <cell r="I150">
            <v>2820</v>
          </cell>
        </row>
        <row r="151">
          <cell r="B151" t="str">
            <v>BDB2</v>
          </cell>
          <cell r="C151" t="str">
            <v>FSAM-4BDB-02</v>
          </cell>
          <cell r="D151" t="str">
            <v>QLD</v>
          </cell>
          <cell r="E151" t="str">
            <v>Brisbane Metro</v>
          </cell>
          <cell r="F151" t="str">
            <v>4BDB</v>
          </cell>
          <cell r="G151" t="str">
            <v>Jonathan Cogan</v>
          </cell>
          <cell r="H151" t="str">
            <v>QLD Metro</v>
          </cell>
          <cell r="I151">
            <v>2200</v>
          </cell>
          <cell r="J151" t="str">
            <v>STSJV</v>
          </cell>
        </row>
        <row r="152">
          <cell r="B152" t="str">
            <v>KLG1</v>
          </cell>
          <cell r="C152" t="str">
            <v>FSAM-4KLG-01</v>
          </cell>
          <cell r="D152" t="str">
            <v>QLD</v>
          </cell>
          <cell r="E152" t="str">
            <v>Brisbane Metro</v>
          </cell>
          <cell r="F152" t="str">
            <v>4KLG</v>
          </cell>
          <cell r="G152" t="str">
            <v>Jonathan Cogan</v>
          </cell>
          <cell r="H152" t="str">
            <v>QLD Metro</v>
          </cell>
          <cell r="I152">
            <v>2509</v>
          </cell>
        </row>
        <row r="153">
          <cell r="B153" t="str">
            <v>RIV1</v>
          </cell>
          <cell r="C153" t="str">
            <v>FSAM-2RIV-01</v>
          </cell>
          <cell r="D153" t="str">
            <v>NSW</v>
          </cell>
          <cell r="E153" t="str">
            <v>Sydney Metro</v>
          </cell>
          <cell r="F153" t="str">
            <v>2RIV</v>
          </cell>
          <cell r="G153" t="str">
            <v>Damien Marov West</v>
          </cell>
          <cell r="H153" t="str">
            <v>NSW Sydney West</v>
          </cell>
          <cell r="I153">
            <v>2830</v>
          </cell>
        </row>
        <row r="154">
          <cell r="B154" t="str">
            <v>APL3</v>
          </cell>
          <cell r="C154" t="str">
            <v>FSAM-4APL-03</v>
          </cell>
          <cell r="D154" t="str">
            <v>QLD</v>
          </cell>
          <cell r="E154" t="str">
            <v>Brisbane Metro</v>
          </cell>
          <cell r="F154" t="str">
            <v>4APL</v>
          </cell>
          <cell r="G154" t="str">
            <v>Jonathan Cogan</v>
          </cell>
          <cell r="H154" t="str">
            <v>QLD Metro</v>
          </cell>
          <cell r="I154">
            <v>1580</v>
          </cell>
        </row>
        <row r="155">
          <cell r="B155" t="str">
            <v>TOB4</v>
          </cell>
          <cell r="C155" t="str">
            <v>FSAM-4TOB-04</v>
          </cell>
          <cell r="D155" t="str">
            <v>QLD</v>
          </cell>
          <cell r="E155" t="str">
            <v>QLD South</v>
          </cell>
          <cell r="F155" t="str">
            <v>4TOB</v>
          </cell>
          <cell r="G155" t="str">
            <v>Jonathan Cogan</v>
          </cell>
          <cell r="H155" t="str">
            <v>QLD South</v>
          </cell>
          <cell r="I155">
            <v>2428</v>
          </cell>
        </row>
        <row r="156">
          <cell r="B156" t="str">
            <v>TOB8</v>
          </cell>
          <cell r="C156" t="str">
            <v>FSAM-4TOB-08</v>
          </cell>
          <cell r="D156" t="str">
            <v>QLD</v>
          </cell>
          <cell r="E156" t="str">
            <v>QLD South</v>
          </cell>
          <cell r="F156" t="str">
            <v>4TOB</v>
          </cell>
          <cell r="G156" t="str">
            <v>Jonathan Cogan</v>
          </cell>
          <cell r="H156" t="str">
            <v>QLD South</v>
          </cell>
          <cell r="I156">
            <v>2200</v>
          </cell>
          <cell r="J156" t="str">
            <v>Infotech</v>
          </cell>
        </row>
        <row r="157">
          <cell r="B157" t="str">
            <v>TNS2</v>
          </cell>
          <cell r="C157" t="str">
            <v>FSAM-4TNS-02</v>
          </cell>
          <cell r="D157" t="str">
            <v>QLD</v>
          </cell>
          <cell r="E157" t="str">
            <v>QLD North</v>
          </cell>
          <cell r="F157" t="str">
            <v>4TNS</v>
          </cell>
          <cell r="G157" t="str">
            <v>Sunil Nair</v>
          </cell>
          <cell r="H157" t="str">
            <v>QLD North</v>
          </cell>
          <cell r="I157">
            <v>1839</v>
          </cell>
        </row>
        <row r="158">
          <cell r="B158" t="str">
            <v>TNS5</v>
          </cell>
          <cell r="C158" t="str">
            <v>FSAM-4TNS-05</v>
          </cell>
          <cell r="D158" t="str">
            <v>QLD</v>
          </cell>
          <cell r="E158" t="str">
            <v>QLD North</v>
          </cell>
          <cell r="F158" t="str">
            <v>4TNS</v>
          </cell>
          <cell r="G158" t="str">
            <v>Sunil Nair</v>
          </cell>
          <cell r="H158" t="str">
            <v>QLD North</v>
          </cell>
          <cell r="I158">
            <v>2114</v>
          </cell>
        </row>
        <row r="159">
          <cell r="B159" t="str">
            <v>APL2</v>
          </cell>
          <cell r="C159" t="str">
            <v>FSAM-4APL-02</v>
          </cell>
          <cell r="D159" t="str">
            <v>QLD</v>
          </cell>
          <cell r="E159" t="str">
            <v>Brisbane Metro</v>
          </cell>
          <cell r="F159" t="str">
            <v>4APL</v>
          </cell>
          <cell r="G159" t="str">
            <v>Jonathan Cogan</v>
          </cell>
          <cell r="H159" t="str">
            <v>QLD Metro</v>
          </cell>
          <cell r="I159">
            <v>1375</v>
          </cell>
        </row>
        <row r="160">
          <cell r="B160" t="str">
            <v>TOB3</v>
          </cell>
          <cell r="C160" t="str">
            <v>FSAM-4TOB-03</v>
          </cell>
          <cell r="D160" t="str">
            <v>QLD</v>
          </cell>
          <cell r="E160" t="str">
            <v>QLD South</v>
          </cell>
          <cell r="F160" t="str">
            <v>4TOB</v>
          </cell>
          <cell r="G160" t="str">
            <v>Jonathan Cogan</v>
          </cell>
          <cell r="H160" t="str">
            <v>QLD South</v>
          </cell>
          <cell r="I160">
            <v>2613</v>
          </cell>
        </row>
        <row r="161">
          <cell r="B161" t="str">
            <v>GUL5</v>
          </cell>
          <cell r="C161" t="str">
            <v>FSAM-4GUL-05</v>
          </cell>
          <cell r="D161" t="str">
            <v>QLD</v>
          </cell>
          <cell r="E161" t="str">
            <v>QLD North</v>
          </cell>
          <cell r="F161" t="str">
            <v>4GUL</v>
          </cell>
          <cell r="G161" t="str">
            <v>Sunil Nair</v>
          </cell>
          <cell r="H161" t="str">
            <v>QLD North</v>
          </cell>
          <cell r="I161">
            <v>2288</v>
          </cell>
        </row>
        <row r="162">
          <cell r="B162" t="str">
            <v>GOS1</v>
          </cell>
          <cell r="C162" t="str">
            <v>FSAM-2GOS-01</v>
          </cell>
          <cell r="D162" t="str">
            <v>NSW</v>
          </cell>
          <cell r="E162" t="str">
            <v>NSW North</v>
          </cell>
          <cell r="F162" t="str">
            <v>2GOS</v>
          </cell>
          <cell r="G162" t="str">
            <v>Ben Stelzer</v>
          </cell>
          <cell r="H162" t="str">
            <v>NSW Sydney Metro</v>
          </cell>
          <cell r="I162">
            <v>2558</v>
          </cell>
        </row>
        <row r="163">
          <cell r="B163" t="str">
            <v>GOS2</v>
          </cell>
          <cell r="C163" t="str">
            <v>FSAM-2GOS-02</v>
          </cell>
          <cell r="D163" t="str">
            <v>NSW</v>
          </cell>
          <cell r="E163" t="str">
            <v>NSW North</v>
          </cell>
          <cell r="F163" t="str">
            <v>2GOS</v>
          </cell>
          <cell r="G163" t="str">
            <v>Ben Stelzer</v>
          </cell>
          <cell r="H163" t="str">
            <v>NSW Sydney Metro</v>
          </cell>
          <cell r="I163">
            <v>2394</v>
          </cell>
        </row>
        <row r="164">
          <cell r="B164" t="str">
            <v>GOS4</v>
          </cell>
          <cell r="C164" t="str">
            <v>FSAM-2GOS-04</v>
          </cell>
          <cell r="D164" t="str">
            <v>NSW</v>
          </cell>
          <cell r="E164" t="str">
            <v>NSW North</v>
          </cell>
          <cell r="F164" t="str">
            <v>2GOS</v>
          </cell>
          <cell r="G164" t="str">
            <v>Ben Stelzer</v>
          </cell>
          <cell r="H164" t="str">
            <v>NSW Sydney Metro</v>
          </cell>
          <cell r="I164">
            <v>2658</v>
          </cell>
        </row>
        <row r="165">
          <cell r="B165" t="str">
            <v>GOS5</v>
          </cell>
          <cell r="C165" t="str">
            <v>FSAM-2GOS-05</v>
          </cell>
          <cell r="D165" t="str">
            <v>NSW</v>
          </cell>
          <cell r="E165" t="str">
            <v>NSW North</v>
          </cell>
          <cell r="F165" t="str">
            <v>2GOS</v>
          </cell>
          <cell r="G165" t="str">
            <v>Ben Stelzer</v>
          </cell>
          <cell r="H165" t="str">
            <v>NSW Sydney Metro</v>
          </cell>
          <cell r="I165">
            <v>2432</v>
          </cell>
        </row>
        <row r="166">
          <cell r="B166" t="str">
            <v>GOS6</v>
          </cell>
          <cell r="C166" t="str">
            <v>FSAM-2GOS-06</v>
          </cell>
          <cell r="D166" t="str">
            <v>NSW</v>
          </cell>
          <cell r="E166" t="str">
            <v>NSW North</v>
          </cell>
          <cell r="F166" t="str">
            <v>2GOS</v>
          </cell>
          <cell r="G166" t="str">
            <v>Ben Stelzer</v>
          </cell>
          <cell r="H166" t="str">
            <v>NSW Sydney Metro</v>
          </cell>
          <cell r="I166">
            <v>2666</v>
          </cell>
        </row>
        <row r="167">
          <cell r="B167" t="str">
            <v>LJT1</v>
          </cell>
          <cell r="C167" t="str">
            <v>FSAM-2LJT-01</v>
          </cell>
          <cell r="D167" t="str">
            <v>NSW</v>
          </cell>
          <cell r="E167" t="str">
            <v>NSW North</v>
          </cell>
          <cell r="F167" t="str">
            <v>2LJT</v>
          </cell>
          <cell r="G167" t="str">
            <v>Ben Stelzer</v>
          </cell>
          <cell r="H167" t="str">
            <v>NSW Sydney Metro</v>
          </cell>
          <cell r="I167">
            <v>2487</v>
          </cell>
        </row>
        <row r="168">
          <cell r="B168" t="str">
            <v>LJT2</v>
          </cell>
          <cell r="C168" t="str">
            <v>FSAM-2LJT-02</v>
          </cell>
          <cell r="D168" t="str">
            <v>NSW</v>
          </cell>
          <cell r="E168" t="str">
            <v>NSW North</v>
          </cell>
          <cell r="F168" t="str">
            <v>2LJT</v>
          </cell>
          <cell r="G168" t="str">
            <v>Ben Stelzer</v>
          </cell>
          <cell r="H168" t="str">
            <v>NSW Sydney Metro</v>
          </cell>
          <cell r="I168">
            <v>2561</v>
          </cell>
        </row>
        <row r="169">
          <cell r="B169" t="str">
            <v>LJT3</v>
          </cell>
          <cell r="C169" t="str">
            <v>FSAM-2LJT-03</v>
          </cell>
          <cell r="D169" t="str">
            <v>NSW</v>
          </cell>
          <cell r="E169" t="str">
            <v>NSW North</v>
          </cell>
          <cell r="F169" t="str">
            <v>2LJT</v>
          </cell>
          <cell r="G169" t="str">
            <v>Ben Stelzer</v>
          </cell>
          <cell r="H169" t="str">
            <v>NSW Sydney Metro</v>
          </cell>
          <cell r="I169">
            <v>2789</v>
          </cell>
        </row>
        <row r="170">
          <cell r="B170" t="str">
            <v>LJT4</v>
          </cell>
          <cell r="C170" t="str">
            <v>FSAM-2LJT-04</v>
          </cell>
          <cell r="D170" t="str">
            <v>NSW</v>
          </cell>
          <cell r="E170" t="str">
            <v>NSW North</v>
          </cell>
          <cell r="F170" t="str">
            <v>2LJT</v>
          </cell>
          <cell r="G170" t="str">
            <v>Ben Stelzer</v>
          </cell>
          <cell r="H170" t="str">
            <v>NSW Sydney Metro</v>
          </cell>
          <cell r="I170">
            <v>2733</v>
          </cell>
          <cell r="J170" t="str">
            <v>Dalys</v>
          </cell>
        </row>
        <row r="171">
          <cell r="B171" t="str">
            <v>BLK1</v>
          </cell>
          <cell r="C171" t="str">
            <v>FSAM-2BLK-01</v>
          </cell>
          <cell r="D171" t="str">
            <v>NSW</v>
          </cell>
          <cell r="E171" t="str">
            <v>Sydney Metro</v>
          </cell>
          <cell r="F171" t="str">
            <v>2BLK</v>
          </cell>
          <cell r="G171" t="str">
            <v>Damien Marov West</v>
          </cell>
          <cell r="H171" t="str">
            <v>NSW Sydney West</v>
          </cell>
          <cell r="I171">
            <v>3111</v>
          </cell>
        </row>
        <row r="172">
          <cell r="B172" t="str">
            <v>BLK3</v>
          </cell>
          <cell r="C172" t="str">
            <v>FSAM-2BLK-03</v>
          </cell>
          <cell r="D172" t="str">
            <v>NSW</v>
          </cell>
          <cell r="E172" t="str">
            <v>Sydney Metro</v>
          </cell>
          <cell r="F172" t="str">
            <v>2BLK</v>
          </cell>
          <cell r="G172" t="str">
            <v>Damien Marov West</v>
          </cell>
          <cell r="H172" t="str">
            <v>NSW Sydney West</v>
          </cell>
          <cell r="I172">
            <v>3156</v>
          </cell>
        </row>
        <row r="173">
          <cell r="B173" t="str">
            <v>BLK4</v>
          </cell>
          <cell r="C173" t="str">
            <v>FSAM-2BLK-04</v>
          </cell>
          <cell r="D173" t="str">
            <v>NSW</v>
          </cell>
          <cell r="E173" t="str">
            <v>Sydney Metro</v>
          </cell>
          <cell r="F173" t="str">
            <v>2BLK</v>
          </cell>
          <cell r="G173" t="str">
            <v>Damien Marov West</v>
          </cell>
          <cell r="H173" t="str">
            <v>NSW Sydney West</v>
          </cell>
          <cell r="I173">
            <v>3004</v>
          </cell>
        </row>
        <row r="174">
          <cell r="B174" t="str">
            <v>BLK5</v>
          </cell>
          <cell r="C174" t="str">
            <v>FSAM-2BLK-05</v>
          </cell>
          <cell r="D174" t="str">
            <v>NSW</v>
          </cell>
          <cell r="E174" t="str">
            <v>Sydney Metro</v>
          </cell>
          <cell r="F174" t="str">
            <v>2BLK</v>
          </cell>
          <cell r="G174" t="str">
            <v>Damien Marov West</v>
          </cell>
          <cell r="H174" t="str">
            <v>NSW Sydney West</v>
          </cell>
          <cell r="I174">
            <v>2403</v>
          </cell>
        </row>
        <row r="175">
          <cell r="B175" t="str">
            <v>PTH1</v>
          </cell>
          <cell r="C175" t="str">
            <v>FSAM-2PTH-01</v>
          </cell>
          <cell r="D175" t="str">
            <v>NSW</v>
          </cell>
          <cell r="E175" t="str">
            <v>Sydney Metro</v>
          </cell>
          <cell r="F175" t="str">
            <v>2PTH</v>
          </cell>
          <cell r="G175" t="str">
            <v>Damien Marov West</v>
          </cell>
          <cell r="H175" t="str">
            <v>NSW Sydney West</v>
          </cell>
          <cell r="I175">
            <v>1775</v>
          </cell>
        </row>
        <row r="176">
          <cell r="B176" t="str">
            <v>PTH2</v>
          </cell>
          <cell r="C176" t="str">
            <v>FSAM-2PTH-02</v>
          </cell>
          <cell r="D176" t="str">
            <v>NSW</v>
          </cell>
          <cell r="E176" t="str">
            <v>Sydney Metro</v>
          </cell>
          <cell r="F176" t="str">
            <v>2PTH</v>
          </cell>
          <cell r="G176" t="str">
            <v>Damien Marov West</v>
          </cell>
          <cell r="H176" t="str">
            <v>NSW Sydney West</v>
          </cell>
          <cell r="I176">
            <v>2413</v>
          </cell>
        </row>
        <row r="177">
          <cell r="B177" t="str">
            <v>PTH3</v>
          </cell>
          <cell r="C177" t="str">
            <v>FSAM-2PTH-03</v>
          </cell>
          <cell r="D177" t="str">
            <v>NSW</v>
          </cell>
          <cell r="E177" t="str">
            <v>Sydney Metro</v>
          </cell>
          <cell r="F177" t="str">
            <v>2PTH</v>
          </cell>
          <cell r="G177" t="str">
            <v>Damien Marov West</v>
          </cell>
          <cell r="H177" t="str">
            <v>NSW Sydney West</v>
          </cell>
          <cell r="I177">
            <v>2371</v>
          </cell>
          <cell r="J177" t="str">
            <v>Infotech</v>
          </cell>
        </row>
        <row r="178">
          <cell r="B178" t="str">
            <v>PTH4</v>
          </cell>
          <cell r="C178" t="str">
            <v>FSAM-2PTH-04</v>
          </cell>
          <cell r="D178" t="str">
            <v>NSW</v>
          </cell>
          <cell r="E178" t="str">
            <v>Sydney Metro</v>
          </cell>
          <cell r="F178" t="str">
            <v>2PTH</v>
          </cell>
          <cell r="G178" t="str">
            <v>Damien Marov West</v>
          </cell>
          <cell r="H178" t="str">
            <v>NSW Sydney West</v>
          </cell>
          <cell r="I178">
            <v>1655</v>
          </cell>
        </row>
        <row r="179">
          <cell r="B179" t="str">
            <v>RCH1</v>
          </cell>
          <cell r="C179" t="str">
            <v>FSAM-2RCH-01</v>
          </cell>
          <cell r="D179" t="str">
            <v>NSW</v>
          </cell>
          <cell r="E179" t="str">
            <v>Sydney Metro</v>
          </cell>
          <cell r="F179" t="str">
            <v>2RCH</v>
          </cell>
          <cell r="G179" t="str">
            <v>Damien Marov West</v>
          </cell>
          <cell r="H179" t="str">
            <v>NSW Sydney West</v>
          </cell>
          <cell r="I179">
            <v>2164</v>
          </cell>
        </row>
        <row r="180">
          <cell r="B180" t="str">
            <v>RCH2</v>
          </cell>
          <cell r="C180" t="str">
            <v>FSAM-2RCH-02</v>
          </cell>
          <cell r="D180" t="str">
            <v>NSW</v>
          </cell>
          <cell r="E180" t="str">
            <v>Sydney Metro</v>
          </cell>
          <cell r="F180" t="str">
            <v>2RCH</v>
          </cell>
          <cell r="G180" t="str">
            <v>Damien Marov West</v>
          </cell>
          <cell r="H180" t="str">
            <v>NSW Sydney West</v>
          </cell>
          <cell r="I180">
            <v>2138</v>
          </cell>
        </row>
        <row r="181">
          <cell r="B181" t="str">
            <v>RCH3</v>
          </cell>
          <cell r="C181" t="str">
            <v>FSAM-2RCH-03</v>
          </cell>
          <cell r="D181" t="str">
            <v>NSW</v>
          </cell>
          <cell r="E181" t="str">
            <v>Sydney Metro</v>
          </cell>
          <cell r="F181" t="str">
            <v>2RCH</v>
          </cell>
          <cell r="G181" t="str">
            <v>Damien Marov West</v>
          </cell>
          <cell r="H181" t="str">
            <v>NSW Sydney West</v>
          </cell>
          <cell r="I181">
            <v>2024</v>
          </cell>
        </row>
        <row r="182">
          <cell r="B182" t="str">
            <v>RCH4</v>
          </cell>
          <cell r="C182" t="str">
            <v>FSAM-2RCH-04</v>
          </cell>
          <cell r="D182" t="str">
            <v>NSW</v>
          </cell>
          <cell r="E182" t="str">
            <v>Sydney Metro</v>
          </cell>
          <cell r="F182" t="str">
            <v>2RCH</v>
          </cell>
          <cell r="G182" t="str">
            <v>Damien Marov West</v>
          </cell>
          <cell r="H182" t="str">
            <v>NSW Sydney West</v>
          </cell>
          <cell r="I182">
            <v>2327</v>
          </cell>
        </row>
        <row r="183">
          <cell r="B183" t="str">
            <v>RCH5</v>
          </cell>
          <cell r="C183" t="str">
            <v>FSAM-2RCH-05</v>
          </cell>
          <cell r="D183" t="str">
            <v>NSW</v>
          </cell>
          <cell r="E183" t="str">
            <v>Sydney Metro</v>
          </cell>
          <cell r="F183" t="str">
            <v>2RCH</v>
          </cell>
          <cell r="G183" t="str">
            <v>Damien Marov West</v>
          </cell>
          <cell r="H183" t="str">
            <v>NSW Sydney West</v>
          </cell>
          <cell r="I183">
            <v>821</v>
          </cell>
          <cell r="J183" t="str">
            <v>Dalys</v>
          </cell>
        </row>
        <row r="184">
          <cell r="B184" t="str">
            <v>RIV2</v>
          </cell>
          <cell r="C184" t="str">
            <v>FSAM-2RIV-02</v>
          </cell>
          <cell r="D184" t="str">
            <v>NSW</v>
          </cell>
          <cell r="E184" t="str">
            <v>Sydney Metro</v>
          </cell>
          <cell r="F184" t="str">
            <v>2RIV</v>
          </cell>
          <cell r="G184" t="str">
            <v>Damien Marov West</v>
          </cell>
          <cell r="H184" t="str">
            <v>NSW Sydney West</v>
          </cell>
          <cell r="I184">
            <v>634</v>
          </cell>
        </row>
        <row r="185">
          <cell r="B185" t="str">
            <v>ARM4</v>
          </cell>
          <cell r="C185" t="str">
            <v>FSAM-2ARM-04</v>
          </cell>
          <cell r="D185" t="str">
            <v>NSW</v>
          </cell>
          <cell r="E185" t="str">
            <v>NSW North</v>
          </cell>
          <cell r="F185" t="str">
            <v>2ARM</v>
          </cell>
          <cell r="G185" t="str">
            <v>James Herden</v>
          </cell>
          <cell r="H185" t="str">
            <v>NSW North</v>
          </cell>
          <cell r="I185">
            <v>2483</v>
          </cell>
        </row>
        <row r="186">
          <cell r="B186" t="str">
            <v>ARM5</v>
          </cell>
          <cell r="C186" t="str">
            <v>FSAM-2ARM-05</v>
          </cell>
          <cell r="D186" t="str">
            <v>NSW</v>
          </cell>
          <cell r="E186" t="str">
            <v>NSW North</v>
          </cell>
          <cell r="F186" t="str">
            <v>2ARM</v>
          </cell>
          <cell r="G186" t="str">
            <v>James Herden</v>
          </cell>
          <cell r="H186" t="str">
            <v>NSW North</v>
          </cell>
          <cell r="I186">
            <v>2299</v>
          </cell>
        </row>
        <row r="187">
          <cell r="B187" t="str">
            <v>ARM6</v>
          </cell>
          <cell r="C187" t="str">
            <v>FSAM-2ARM-06</v>
          </cell>
          <cell r="D187" t="str">
            <v>NSW</v>
          </cell>
          <cell r="E187" t="str">
            <v>NSW North</v>
          </cell>
          <cell r="F187" t="str">
            <v>2ARM</v>
          </cell>
          <cell r="G187" t="str">
            <v>James Herden</v>
          </cell>
          <cell r="H187" t="str">
            <v>NSW North</v>
          </cell>
          <cell r="I187">
            <v>2654</v>
          </cell>
        </row>
        <row r="188">
          <cell r="B188" t="str">
            <v>CFS2</v>
          </cell>
          <cell r="C188" t="str">
            <v>FSAM-2CFS-02</v>
          </cell>
          <cell r="D188" t="str">
            <v>NSW</v>
          </cell>
          <cell r="E188" t="str">
            <v>NSW North</v>
          </cell>
          <cell r="F188" t="str">
            <v>2CFS</v>
          </cell>
          <cell r="G188" t="str">
            <v>James Herden</v>
          </cell>
          <cell r="H188" t="str">
            <v>NSW North</v>
          </cell>
          <cell r="I188">
            <v>2464</v>
          </cell>
        </row>
        <row r="189">
          <cell r="B189" t="str">
            <v>CFS3</v>
          </cell>
          <cell r="C189" t="str">
            <v>FSAM-2CFS-03</v>
          </cell>
          <cell r="D189" t="str">
            <v>NSW</v>
          </cell>
          <cell r="E189" t="str">
            <v>NSW North</v>
          </cell>
          <cell r="F189" t="str">
            <v>2CFS</v>
          </cell>
          <cell r="G189" t="str">
            <v>James Herden</v>
          </cell>
          <cell r="H189" t="str">
            <v>NSW North</v>
          </cell>
          <cell r="I189">
            <v>2489</v>
          </cell>
        </row>
        <row r="190">
          <cell r="B190" t="str">
            <v>CFS5</v>
          </cell>
          <cell r="C190" t="str">
            <v>FSAM-2CFS-05</v>
          </cell>
          <cell r="D190" t="str">
            <v>NSW</v>
          </cell>
          <cell r="E190" t="str">
            <v>NSW North</v>
          </cell>
          <cell r="F190" t="str">
            <v>2CFS</v>
          </cell>
          <cell r="G190" t="str">
            <v>James Herden</v>
          </cell>
          <cell r="H190" t="str">
            <v>NSW North</v>
          </cell>
          <cell r="I190">
            <v>2164</v>
          </cell>
        </row>
        <row r="191">
          <cell r="B191" t="str">
            <v>SAW1</v>
          </cell>
          <cell r="C191" t="str">
            <v>FSAM-2SAW-01</v>
          </cell>
          <cell r="D191" t="str">
            <v>NSW</v>
          </cell>
          <cell r="E191" t="str">
            <v>NSW North</v>
          </cell>
          <cell r="F191" t="str">
            <v>2SAW</v>
          </cell>
          <cell r="G191" t="str">
            <v>James Herden</v>
          </cell>
          <cell r="H191" t="str">
            <v>NSW North</v>
          </cell>
          <cell r="I191">
            <v>2672</v>
          </cell>
        </row>
        <row r="192">
          <cell r="B192" t="str">
            <v>SAW4</v>
          </cell>
          <cell r="C192" t="str">
            <v>FSAM-2SAW-04</v>
          </cell>
          <cell r="D192" t="str">
            <v>NSW</v>
          </cell>
          <cell r="E192" t="str">
            <v>NSW North</v>
          </cell>
          <cell r="F192" t="str">
            <v>2SAW</v>
          </cell>
          <cell r="G192" t="str">
            <v>James Herden</v>
          </cell>
          <cell r="H192" t="str">
            <v>NSW North</v>
          </cell>
          <cell r="I192">
            <v>1704</v>
          </cell>
        </row>
        <row r="193">
          <cell r="B193" t="str">
            <v>TEE2</v>
          </cell>
          <cell r="C193" t="str">
            <v>FSAM-2TEE-02</v>
          </cell>
          <cell r="D193" t="str">
            <v>NSW</v>
          </cell>
          <cell r="E193" t="str">
            <v>NSW North</v>
          </cell>
          <cell r="F193" t="str">
            <v>2TEE</v>
          </cell>
          <cell r="G193" t="str">
            <v>James Herden</v>
          </cell>
          <cell r="H193" t="str">
            <v>NSW North</v>
          </cell>
          <cell r="I193">
            <v>2470</v>
          </cell>
          <cell r="J193" t="str">
            <v>Dalys</v>
          </cell>
        </row>
        <row r="194">
          <cell r="B194" t="str">
            <v>TEE4</v>
          </cell>
          <cell r="C194" t="str">
            <v>FSAM-2TEE-04</v>
          </cell>
          <cell r="D194" t="str">
            <v>NSW</v>
          </cell>
          <cell r="E194" t="str">
            <v>NSW North</v>
          </cell>
          <cell r="F194" t="str">
            <v>2TEE</v>
          </cell>
          <cell r="G194" t="str">
            <v>James Herden</v>
          </cell>
          <cell r="H194" t="str">
            <v>NSW North</v>
          </cell>
          <cell r="I194">
            <v>1764</v>
          </cell>
          <cell r="J194" t="str">
            <v>Dalys</v>
          </cell>
        </row>
        <row r="195">
          <cell r="B195" t="str">
            <v>TOB1</v>
          </cell>
          <cell r="C195" t="str">
            <v>FSAM-4TOB-01</v>
          </cell>
          <cell r="D195" t="str">
            <v>QLD</v>
          </cell>
          <cell r="E195" t="str">
            <v>QLD South</v>
          </cell>
          <cell r="F195" t="str">
            <v>4TOB</v>
          </cell>
          <cell r="G195" t="str">
            <v>Jonathan Cogan</v>
          </cell>
          <cell r="H195" t="str">
            <v>QLD South</v>
          </cell>
          <cell r="I195">
            <v>1790</v>
          </cell>
        </row>
        <row r="196">
          <cell r="B196" t="str">
            <v>APL1</v>
          </cell>
          <cell r="C196" t="str">
            <v>FSAM-4APL-01</v>
          </cell>
          <cell r="D196" t="str">
            <v>QLD</v>
          </cell>
          <cell r="E196" t="str">
            <v>Brisbane Metro</v>
          </cell>
          <cell r="F196" t="str">
            <v>4APL</v>
          </cell>
          <cell r="G196" t="str">
            <v>Jonathan Cogan</v>
          </cell>
          <cell r="H196" t="str">
            <v>QLD Metro</v>
          </cell>
          <cell r="I196">
            <v>2272</v>
          </cell>
        </row>
        <row r="197">
          <cell r="B197" t="str">
            <v>GDN4</v>
          </cell>
          <cell r="C197" t="str">
            <v>FSAM-4GDN-04</v>
          </cell>
          <cell r="D197" t="str">
            <v>QLD</v>
          </cell>
          <cell r="E197" t="str">
            <v>Brisbane Metro</v>
          </cell>
          <cell r="F197" t="str">
            <v>4GDN</v>
          </cell>
          <cell r="G197" t="str">
            <v>Jonathan Cogan</v>
          </cell>
          <cell r="H197" t="str">
            <v>QLD Metro</v>
          </cell>
          <cell r="I197">
            <v>2155</v>
          </cell>
        </row>
        <row r="198">
          <cell r="B198" t="str">
            <v>NDG1</v>
          </cell>
          <cell r="C198" t="str">
            <v>FSAM-4NDG-01</v>
          </cell>
          <cell r="D198" t="str">
            <v>QLD</v>
          </cell>
          <cell r="E198" t="str">
            <v>Brisbane Metro</v>
          </cell>
          <cell r="F198" t="str">
            <v>4NDG</v>
          </cell>
          <cell r="G198" t="str">
            <v>Jonathan Cogan</v>
          </cell>
          <cell r="H198" t="str">
            <v>QLD Metro</v>
          </cell>
          <cell r="I198">
            <v>2446</v>
          </cell>
        </row>
        <row r="199">
          <cell r="B199" t="str">
            <v>NDG2</v>
          </cell>
          <cell r="C199" t="str">
            <v>FSAM-4NDG-02</v>
          </cell>
          <cell r="D199" t="str">
            <v>QLD</v>
          </cell>
          <cell r="E199" t="str">
            <v>Brisbane Metro</v>
          </cell>
          <cell r="F199" t="str">
            <v>4NDG</v>
          </cell>
          <cell r="G199" t="str">
            <v>Jonathan Cogan</v>
          </cell>
          <cell r="H199" t="str">
            <v>QLD Metro</v>
          </cell>
          <cell r="I199">
            <v>2495</v>
          </cell>
        </row>
        <row r="200">
          <cell r="B200" t="str">
            <v>KIA2</v>
          </cell>
          <cell r="C200" t="str">
            <v>FSAM-2KIA-02</v>
          </cell>
          <cell r="D200" t="str">
            <v>NSW</v>
          </cell>
          <cell r="E200" t="str">
            <v>NSW South</v>
          </cell>
          <cell r="F200" t="str">
            <v>2KIA</v>
          </cell>
          <cell r="G200" t="str">
            <v>Damien Marov South</v>
          </cell>
          <cell r="H200" t="str">
            <v>NSW South / ACT</v>
          </cell>
          <cell r="I200">
            <v>2402</v>
          </cell>
        </row>
        <row r="201">
          <cell r="B201" t="str">
            <v>KIA3</v>
          </cell>
          <cell r="C201" t="str">
            <v>FSAM-2KIA-03</v>
          </cell>
          <cell r="D201" t="str">
            <v>NSW</v>
          </cell>
          <cell r="E201" t="str">
            <v>NSW South</v>
          </cell>
          <cell r="F201" t="str">
            <v>2KIA</v>
          </cell>
          <cell r="G201" t="str">
            <v>Damien Marov South</v>
          </cell>
          <cell r="H201" t="str">
            <v>NSW South / ACT</v>
          </cell>
          <cell r="I201">
            <v>2228</v>
          </cell>
        </row>
        <row r="202">
          <cell r="B202" t="str">
            <v>WLG1</v>
          </cell>
          <cell r="C202" t="str">
            <v>FSAM-2WLG-01</v>
          </cell>
          <cell r="D202" t="str">
            <v>NSW</v>
          </cell>
          <cell r="E202" t="str">
            <v>NSW South</v>
          </cell>
          <cell r="F202" t="str">
            <v>2WLG</v>
          </cell>
          <cell r="G202" t="str">
            <v>Damien Marov South</v>
          </cell>
          <cell r="H202" t="str">
            <v>NSW South / ACT</v>
          </cell>
          <cell r="I202">
            <v>3318</v>
          </cell>
          <cell r="J202" t="str">
            <v>Infotech</v>
          </cell>
        </row>
        <row r="203">
          <cell r="B203" t="str">
            <v>CRC1</v>
          </cell>
          <cell r="C203" t="str">
            <v>FSAM-9CRC-01</v>
          </cell>
          <cell r="D203" t="str">
            <v>NSW</v>
          </cell>
          <cell r="E203" t="str">
            <v>NSW South</v>
          </cell>
          <cell r="F203" t="str">
            <v>9CRC</v>
          </cell>
          <cell r="G203" t="str">
            <v>Damien Marov South</v>
          </cell>
          <cell r="H203" t="str">
            <v>NSW South / ACT</v>
          </cell>
          <cell r="I203">
            <v>2686</v>
          </cell>
        </row>
        <row r="204">
          <cell r="B204" t="str">
            <v>CRC2</v>
          </cell>
          <cell r="C204" t="str">
            <v>FSAM-9CRC-02</v>
          </cell>
          <cell r="D204" t="str">
            <v>NSW</v>
          </cell>
          <cell r="E204" t="str">
            <v>NSW South</v>
          </cell>
          <cell r="F204" t="str">
            <v>9CRC</v>
          </cell>
          <cell r="G204" t="str">
            <v>Damien Marov South</v>
          </cell>
          <cell r="H204" t="str">
            <v>NSW South / ACT</v>
          </cell>
          <cell r="I204">
            <v>2874</v>
          </cell>
        </row>
        <row r="205">
          <cell r="B205" t="str">
            <v>CRC3</v>
          </cell>
          <cell r="C205" t="str">
            <v>FSAM-9CRC-03</v>
          </cell>
          <cell r="D205" t="str">
            <v>NSW</v>
          </cell>
          <cell r="E205" t="str">
            <v>NSW South</v>
          </cell>
          <cell r="F205" t="str">
            <v>9CRC</v>
          </cell>
          <cell r="G205" t="str">
            <v>Damien Marov South</v>
          </cell>
          <cell r="H205" t="str">
            <v>NSW South / ACT</v>
          </cell>
          <cell r="I205">
            <v>2583</v>
          </cell>
        </row>
        <row r="206">
          <cell r="B206" t="str">
            <v>CRC4</v>
          </cell>
          <cell r="C206" t="str">
            <v>FSAM-9CRC-04</v>
          </cell>
          <cell r="D206" t="str">
            <v>NSW</v>
          </cell>
          <cell r="E206" t="str">
            <v>NSW South</v>
          </cell>
          <cell r="F206" t="str">
            <v>9CRC</v>
          </cell>
          <cell r="G206" t="str">
            <v>Damien Marov South</v>
          </cell>
          <cell r="H206" t="str">
            <v>NSW South / ACT</v>
          </cell>
          <cell r="I206">
            <v>2447</v>
          </cell>
        </row>
        <row r="207">
          <cell r="B207" t="str">
            <v>CRC5</v>
          </cell>
          <cell r="C207" t="str">
            <v>FSAM-9CRC-05</v>
          </cell>
          <cell r="D207" t="str">
            <v>NSW</v>
          </cell>
          <cell r="E207" t="str">
            <v>NSW South</v>
          </cell>
          <cell r="F207" t="str">
            <v>9CRC</v>
          </cell>
          <cell r="G207" t="str">
            <v>Damien Marov South</v>
          </cell>
          <cell r="H207" t="str">
            <v>NSW South / ACT</v>
          </cell>
          <cell r="I207">
            <v>2472</v>
          </cell>
        </row>
        <row r="208">
          <cell r="B208" t="str">
            <v>CRC6</v>
          </cell>
          <cell r="C208" t="str">
            <v>FSAM-9CRC-06</v>
          </cell>
          <cell r="D208" t="str">
            <v>NSW</v>
          </cell>
          <cell r="E208" t="str">
            <v>NSW South</v>
          </cell>
          <cell r="F208" t="str">
            <v>9CRC</v>
          </cell>
          <cell r="G208" t="str">
            <v>Damien Marov South</v>
          </cell>
          <cell r="H208" t="str">
            <v>NSW South / ACT</v>
          </cell>
          <cell r="I208">
            <v>1753</v>
          </cell>
        </row>
        <row r="209">
          <cell r="B209" t="str">
            <v>CAI1</v>
          </cell>
          <cell r="C209" t="str">
            <v>FSAM-4CAI-01</v>
          </cell>
          <cell r="D209" t="str">
            <v>QLD</v>
          </cell>
          <cell r="E209" t="str">
            <v>QLD North</v>
          </cell>
          <cell r="F209" t="str">
            <v>4CAI</v>
          </cell>
          <cell r="G209" t="str">
            <v>Sunil Nair</v>
          </cell>
          <cell r="H209" t="str">
            <v>QLD North</v>
          </cell>
          <cell r="I209">
            <v>2473</v>
          </cell>
        </row>
        <row r="210">
          <cell r="B210" t="str">
            <v>CAI2</v>
          </cell>
          <cell r="C210" t="str">
            <v>FSAM-4CAI-02</v>
          </cell>
          <cell r="D210" t="str">
            <v>QLD</v>
          </cell>
          <cell r="E210" t="str">
            <v>QLD North</v>
          </cell>
          <cell r="F210" t="str">
            <v>4CAI</v>
          </cell>
          <cell r="G210" t="str">
            <v>Sunil Nair</v>
          </cell>
          <cell r="H210" t="str">
            <v>QLD North</v>
          </cell>
          <cell r="I210">
            <v>2985</v>
          </cell>
        </row>
        <row r="211">
          <cell r="B211" t="str">
            <v>CAI3</v>
          </cell>
          <cell r="C211" t="str">
            <v>FSAM-4CAI-03</v>
          </cell>
          <cell r="D211" t="str">
            <v>QLD</v>
          </cell>
          <cell r="E211" t="str">
            <v>QLD North</v>
          </cell>
          <cell r="F211" t="str">
            <v>4CAI</v>
          </cell>
          <cell r="G211" t="str">
            <v>Sunil Nair</v>
          </cell>
          <cell r="H211" t="str">
            <v>QLD North</v>
          </cell>
          <cell r="I211">
            <v>2439</v>
          </cell>
        </row>
        <row r="212">
          <cell r="B212" t="str">
            <v>GUL4</v>
          </cell>
          <cell r="C212" t="str">
            <v>FSAM-4GUL-04</v>
          </cell>
          <cell r="D212" t="str">
            <v>QLD</v>
          </cell>
          <cell r="E212" t="str">
            <v>QLD North</v>
          </cell>
          <cell r="F212" t="str">
            <v>4GUL</v>
          </cell>
          <cell r="G212" t="str">
            <v>Sunil Nair</v>
          </cell>
          <cell r="H212" t="str">
            <v>QLD North</v>
          </cell>
          <cell r="I212">
            <v>2327</v>
          </cell>
        </row>
        <row r="213">
          <cell r="B213" t="str">
            <v>MKY1</v>
          </cell>
          <cell r="C213" t="str">
            <v>FSAM-4MKY-01</v>
          </cell>
          <cell r="D213" t="str">
            <v>QLD</v>
          </cell>
          <cell r="E213" t="str">
            <v>QLD North</v>
          </cell>
          <cell r="F213" t="str">
            <v>4MKY</v>
          </cell>
          <cell r="G213" t="str">
            <v>Sunil Nair</v>
          </cell>
          <cell r="H213" t="str">
            <v>QLD North</v>
          </cell>
          <cell r="I213">
            <v>2146</v>
          </cell>
        </row>
        <row r="214">
          <cell r="B214" t="str">
            <v>MKY3</v>
          </cell>
          <cell r="C214" t="str">
            <v>FSAM-4MKY-03</v>
          </cell>
          <cell r="D214" t="str">
            <v>QLD</v>
          </cell>
          <cell r="E214" t="str">
            <v>QLD North</v>
          </cell>
          <cell r="F214" t="str">
            <v>4MKY</v>
          </cell>
          <cell r="G214" t="str">
            <v>Sunil Nair</v>
          </cell>
          <cell r="H214" t="str">
            <v>QLD North</v>
          </cell>
          <cell r="I214">
            <v>2567</v>
          </cell>
        </row>
        <row r="215">
          <cell r="B215" t="str">
            <v>TNS6</v>
          </cell>
          <cell r="C215" t="str">
            <v>FSAM-4TNS-06</v>
          </cell>
          <cell r="D215" t="str">
            <v>QLD</v>
          </cell>
          <cell r="E215" t="str">
            <v>QLD North</v>
          </cell>
          <cell r="F215" t="str">
            <v>4TNS</v>
          </cell>
          <cell r="G215" t="str">
            <v>Sunil Nair</v>
          </cell>
          <cell r="H215" t="str">
            <v>QLD North</v>
          </cell>
          <cell r="I215">
            <v>2298</v>
          </cell>
        </row>
        <row r="216">
          <cell r="B216" t="str">
            <v>LID3</v>
          </cell>
          <cell r="C216" t="str">
            <v>FSAM-2LID-03</v>
          </cell>
          <cell r="D216" t="str">
            <v>NSW</v>
          </cell>
          <cell r="E216" t="str">
            <v>Sydney Metro</v>
          </cell>
          <cell r="F216" t="str">
            <v>2LID</v>
          </cell>
          <cell r="G216" t="str">
            <v>Ben Stelzer</v>
          </cell>
          <cell r="H216" t="str">
            <v>NSW Sydney Metro</v>
          </cell>
          <cell r="I216">
            <v>2558</v>
          </cell>
        </row>
        <row r="217">
          <cell r="B217" t="str">
            <v>DAP4</v>
          </cell>
          <cell r="C217" t="str">
            <v>FSAM-2DAP-04</v>
          </cell>
          <cell r="D217" t="str">
            <v>NSW</v>
          </cell>
          <cell r="E217" t="str">
            <v>NSW South</v>
          </cell>
          <cell r="F217" t="str">
            <v>2DAP</v>
          </cell>
          <cell r="G217" t="str">
            <v>Damien Marov South</v>
          </cell>
          <cell r="H217" t="str">
            <v>NSW South / ACT</v>
          </cell>
          <cell r="I217">
            <v>2448</v>
          </cell>
        </row>
        <row r="218">
          <cell r="B218" t="str">
            <v>CAI4</v>
          </cell>
          <cell r="C218" t="str">
            <v>FSAM-4CAI-04</v>
          </cell>
          <cell r="D218" t="str">
            <v>QLD</v>
          </cell>
          <cell r="E218" t="str">
            <v>QLD North</v>
          </cell>
          <cell r="F218" t="str">
            <v>4CAI</v>
          </cell>
          <cell r="G218" t="str">
            <v>Sunil Nair</v>
          </cell>
          <cell r="H218" t="str">
            <v>QLD North</v>
          </cell>
          <cell r="I218">
            <v>2380</v>
          </cell>
          <cell r="J218" t="str">
            <v>Infotech</v>
          </cell>
        </row>
        <row r="219">
          <cell r="B219" t="str">
            <v>MKY2</v>
          </cell>
          <cell r="C219" t="str">
            <v>FSAM-4MKY-02</v>
          </cell>
          <cell r="D219" t="str">
            <v>QLD</v>
          </cell>
          <cell r="E219" t="str">
            <v>QLD North</v>
          </cell>
          <cell r="F219" t="str">
            <v>4MKY</v>
          </cell>
          <cell r="G219" t="str">
            <v>Sunil Nair</v>
          </cell>
          <cell r="H219" t="str">
            <v>QLD North</v>
          </cell>
          <cell r="I219">
            <v>2285</v>
          </cell>
        </row>
        <row r="220">
          <cell r="B220" t="str">
            <v>TNS3</v>
          </cell>
          <cell r="C220" t="str">
            <v>FSAM-4TNS-03</v>
          </cell>
          <cell r="D220" t="str">
            <v>QLD</v>
          </cell>
          <cell r="E220" t="str">
            <v>QLD North</v>
          </cell>
          <cell r="F220" t="str">
            <v>4TNS</v>
          </cell>
          <cell r="G220" t="str">
            <v>Sunil Nair</v>
          </cell>
          <cell r="H220" t="str">
            <v>QLD North</v>
          </cell>
          <cell r="I220">
            <v>2522</v>
          </cell>
        </row>
        <row r="221">
          <cell r="B221" t="str">
            <v>GUL3</v>
          </cell>
          <cell r="C221" t="str">
            <v>FSAM-4GUL-03</v>
          </cell>
          <cell r="D221" t="str">
            <v>QLD</v>
          </cell>
          <cell r="E221" t="str">
            <v>QLD North</v>
          </cell>
          <cell r="F221" t="str">
            <v>4GUL</v>
          </cell>
          <cell r="G221" t="str">
            <v>Sunil Nair</v>
          </cell>
          <cell r="H221" t="str">
            <v>QLD North</v>
          </cell>
          <cell r="I221">
            <v>2915</v>
          </cell>
        </row>
        <row r="222">
          <cell r="B222" t="str">
            <v>GDN5</v>
          </cell>
          <cell r="C222" t="str">
            <v>FSAM-4GDN-05</v>
          </cell>
          <cell r="D222" t="str">
            <v>QLD</v>
          </cell>
          <cell r="E222" t="str">
            <v>Brisbane Metro</v>
          </cell>
          <cell r="F222" t="str">
            <v>4GDN</v>
          </cell>
          <cell r="G222" t="str">
            <v>Jonathan Cogan</v>
          </cell>
          <cell r="H222" t="str">
            <v>QLD Metro</v>
          </cell>
          <cell r="I222">
            <v>1108</v>
          </cell>
        </row>
        <row r="223">
          <cell r="B223" t="str">
            <v>TNS1</v>
          </cell>
          <cell r="C223" t="str">
            <v>FSAM-4TNS-01</v>
          </cell>
          <cell r="D223" t="str">
            <v>QLD</v>
          </cell>
          <cell r="E223" t="str">
            <v>QLD North</v>
          </cell>
          <cell r="F223" t="str">
            <v>4TNS</v>
          </cell>
          <cell r="G223" t="str">
            <v>Sunil Nair</v>
          </cell>
          <cell r="H223" t="str">
            <v>QLD North</v>
          </cell>
          <cell r="I223">
            <v>1524</v>
          </cell>
        </row>
        <row r="224">
          <cell r="B224" t="str">
            <v>CAI5</v>
          </cell>
          <cell r="C224" t="str">
            <v>FSAM-4CAI-05</v>
          </cell>
          <cell r="D224" t="str">
            <v>QLD</v>
          </cell>
          <cell r="E224" t="str">
            <v>QLD North</v>
          </cell>
          <cell r="F224" t="str">
            <v>4CAI</v>
          </cell>
          <cell r="G224" t="str">
            <v>Sunil Nair</v>
          </cell>
          <cell r="H224" t="str">
            <v>QLD North</v>
          </cell>
          <cell r="I224">
            <v>2236</v>
          </cell>
          <cell r="J224" t="str">
            <v>Infotech</v>
          </cell>
        </row>
        <row r="225">
          <cell r="B225" t="str">
            <v>GDN1</v>
          </cell>
          <cell r="C225" t="str">
            <v>FSAM-4GDN-01</v>
          </cell>
          <cell r="D225" t="str">
            <v>QLD</v>
          </cell>
          <cell r="E225" t="str">
            <v>Brisbane Metro</v>
          </cell>
          <cell r="F225" t="str">
            <v>4GDN</v>
          </cell>
          <cell r="G225" t="str">
            <v>Jonathan Cogan</v>
          </cell>
          <cell r="H225" t="str">
            <v>QLD Metro</v>
          </cell>
          <cell r="I225">
            <v>2241</v>
          </cell>
        </row>
        <row r="226">
          <cell r="B226" t="str">
            <v>HOM1</v>
          </cell>
          <cell r="C226" t="str">
            <v>FSAM-2HOM-01</v>
          </cell>
          <cell r="D226" t="str">
            <v>NSW</v>
          </cell>
          <cell r="E226" t="str">
            <v>Sydney Metro</v>
          </cell>
          <cell r="F226" t="str">
            <v>2HOM</v>
          </cell>
          <cell r="G226" t="str">
            <v>Ben Stelzer</v>
          </cell>
          <cell r="H226" t="str">
            <v>NSW Sydney Metro</v>
          </cell>
          <cell r="I226">
            <v>2552</v>
          </cell>
        </row>
        <row r="227">
          <cell r="B227" t="str">
            <v>SAW2</v>
          </cell>
          <cell r="C227" t="str">
            <v>FSAM-2SAW-02</v>
          </cell>
          <cell r="D227" t="str">
            <v>NSW</v>
          </cell>
          <cell r="E227" t="str">
            <v>NSW North</v>
          </cell>
          <cell r="F227" t="str">
            <v>2SAW</v>
          </cell>
          <cell r="G227" t="str">
            <v>James Herden</v>
          </cell>
          <cell r="H227" t="str">
            <v>NSW North</v>
          </cell>
          <cell r="I227">
            <v>1726</v>
          </cell>
        </row>
        <row r="228">
          <cell r="B228" t="str">
            <v>NDG3</v>
          </cell>
          <cell r="C228" t="str">
            <v>FSAM-4NDG-03</v>
          </cell>
          <cell r="D228" t="str">
            <v>QLD</v>
          </cell>
          <cell r="E228" t="str">
            <v>Brisbane Metro</v>
          </cell>
          <cell r="F228" t="str">
            <v>4NDG</v>
          </cell>
          <cell r="G228" t="str">
            <v>Jonathan Cogan</v>
          </cell>
          <cell r="H228" t="str">
            <v>QLD Metro</v>
          </cell>
          <cell r="I228">
            <v>2583</v>
          </cell>
        </row>
        <row r="229">
          <cell r="B229" t="str">
            <v>GUL6</v>
          </cell>
          <cell r="C229" t="str">
            <v>FSAM-4GUL-06</v>
          </cell>
          <cell r="D229" t="str">
            <v>QLD</v>
          </cell>
          <cell r="E229" t="str">
            <v>QLD North</v>
          </cell>
          <cell r="F229" t="str">
            <v>4GUL</v>
          </cell>
          <cell r="G229" t="str">
            <v>Sunil Nair</v>
          </cell>
          <cell r="H229" t="str">
            <v>QLD North</v>
          </cell>
          <cell r="I229">
            <v>2424</v>
          </cell>
        </row>
        <row r="230">
          <cell r="B230" t="str">
            <v>CFS4</v>
          </cell>
          <cell r="C230" t="str">
            <v>FSAM-2CFS-04</v>
          </cell>
          <cell r="D230" t="str">
            <v>NSW</v>
          </cell>
          <cell r="E230" t="str">
            <v>NSW North</v>
          </cell>
          <cell r="F230" t="str">
            <v>2CFS</v>
          </cell>
          <cell r="G230" t="str">
            <v>James Herden</v>
          </cell>
          <cell r="H230" t="str">
            <v>NSW North</v>
          </cell>
          <cell r="I230">
            <v>2279</v>
          </cell>
        </row>
        <row r="231">
          <cell r="B231" t="str">
            <v>SAW3</v>
          </cell>
          <cell r="C231" t="str">
            <v>FSAM-2SAW-03</v>
          </cell>
          <cell r="D231" t="str">
            <v>NSW</v>
          </cell>
          <cell r="E231" t="str">
            <v>NSW North</v>
          </cell>
          <cell r="F231" t="str">
            <v>2SAW</v>
          </cell>
          <cell r="G231" t="str">
            <v>James Herden</v>
          </cell>
          <cell r="H231" t="str">
            <v>NSW North</v>
          </cell>
          <cell r="I231">
            <v>1746</v>
          </cell>
        </row>
        <row r="232">
          <cell r="B232" t="str">
            <v>GUL2</v>
          </cell>
          <cell r="C232" t="str">
            <v>FSAM-4GUL-02</v>
          </cell>
          <cell r="D232" t="str">
            <v>QLD</v>
          </cell>
          <cell r="E232" t="str">
            <v>QLD North</v>
          </cell>
          <cell r="F232" t="str">
            <v>4GUL</v>
          </cell>
          <cell r="G232" t="str">
            <v>Sunil Nair</v>
          </cell>
          <cell r="H232" t="str">
            <v>QLD North</v>
          </cell>
          <cell r="I232">
            <v>3020</v>
          </cell>
        </row>
        <row r="233">
          <cell r="B233" t="str">
            <v>GDN2</v>
          </cell>
          <cell r="C233" t="str">
            <v>FSAM-4GDN-02</v>
          </cell>
          <cell r="D233" t="str">
            <v>QLD</v>
          </cell>
          <cell r="E233" t="str">
            <v>Brisbane Metro</v>
          </cell>
          <cell r="F233" t="str">
            <v>4GDN</v>
          </cell>
          <cell r="G233" t="str">
            <v>Jonathan Cogan</v>
          </cell>
          <cell r="H233" t="str">
            <v>QLD Metro</v>
          </cell>
          <cell r="I233">
            <v>2383</v>
          </cell>
        </row>
        <row r="234">
          <cell r="B234" t="str">
            <v>LID1</v>
          </cell>
          <cell r="C234" t="str">
            <v>FSAM-2LID-01</v>
          </cell>
          <cell r="D234" t="str">
            <v>NSW</v>
          </cell>
          <cell r="E234" t="str">
            <v>Sydney Metro</v>
          </cell>
          <cell r="F234" t="str">
            <v>2LID</v>
          </cell>
          <cell r="G234" t="str">
            <v>Ben Stelzer</v>
          </cell>
          <cell r="H234" t="str">
            <v>NSW Sydney Metro</v>
          </cell>
          <cell r="I234">
            <v>2146</v>
          </cell>
        </row>
        <row r="235">
          <cell r="B235" t="str">
            <v>RIV3</v>
          </cell>
          <cell r="C235" t="str">
            <v>FSAM-2RIV-03</v>
          </cell>
          <cell r="D235" t="str">
            <v>NSW</v>
          </cell>
          <cell r="E235" t="str">
            <v>Sydney Metro</v>
          </cell>
          <cell r="F235" t="str">
            <v>2RIV</v>
          </cell>
          <cell r="G235" t="str">
            <v>Damien Marov West</v>
          </cell>
          <cell r="H235" t="str">
            <v>NSW Sydney West</v>
          </cell>
          <cell r="I235">
            <v>1062</v>
          </cell>
        </row>
        <row r="236">
          <cell r="B236" t="str">
            <v>PTH6</v>
          </cell>
          <cell r="C236" t="str">
            <v>FSAM-2PTH-06</v>
          </cell>
          <cell r="D236" t="str">
            <v>NSW</v>
          </cell>
          <cell r="E236" t="str">
            <v>Sydney Metro</v>
          </cell>
          <cell r="F236" t="str">
            <v>2PTH</v>
          </cell>
          <cell r="G236" t="str">
            <v>Damien Marov West</v>
          </cell>
          <cell r="H236" t="str">
            <v>NSW Sydney West</v>
          </cell>
          <cell r="I236">
            <v>2394</v>
          </cell>
        </row>
        <row r="237">
          <cell r="B237" t="str">
            <v>TOB9</v>
          </cell>
          <cell r="C237" t="str">
            <v>FSAM-4TOB-09</v>
          </cell>
          <cell r="D237" t="str">
            <v>QLD</v>
          </cell>
          <cell r="E237" t="str">
            <v>QLD South</v>
          </cell>
          <cell r="F237" t="str">
            <v>4TOB</v>
          </cell>
          <cell r="G237" t="str">
            <v>Jonathan Cogan</v>
          </cell>
          <cell r="H237" t="str">
            <v>QLD South</v>
          </cell>
          <cell r="I237">
            <v>2417</v>
          </cell>
        </row>
        <row r="238">
          <cell r="B238" t="str">
            <v>LID5</v>
          </cell>
          <cell r="C238" t="str">
            <v>FSAM-2LID-05</v>
          </cell>
          <cell r="D238" t="str">
            <v>NSW</v>
          </cell>
          <cell r="E238" t="str">
            <v>Sydney Metro</v>
          </cell>
          <cell r="F238" t="str">
            <v>2LID</v>
          </cell>
          <cell r="G238" t="str">
            <v>Ben Stelzer</v>
          </cell>
          <cell r="H238" t="str">
            <v>NSW Sydney Metro</v>
          </cell>
          <cell r="I238">
            <v>2442</v>
          </cell>
        </row>
        <row r="239">
          <cell r="B239" t="str">
            <v>GOS3</v>
          </cell>
          <cell r="C239" t="str">
            <v>FSAM-2GOS-03</v>
          </cell>
          <cell r="D239" t="str">
            <v>NSW</v>
          </cell>
          <cell r="E239" t="str">
            <v>NSW North</v>
          </cell>
          <cell r="F239" t="str">
            <v>2GOS</v>
          </cell>
          <cell r="G239" t="str">
            <v>Ben Stelzer</v>
          </cell>
          <cell r="H239" t="str">
            <v>NSW Sydney Metro</v>
          </cell>
          <cell r="I239">
            <v>2150</v>
          </cell>
        </row>
        <row r="240">
          <cell r="B240" t="str">
            <v>TOB2</v>
          </cell>
          <cell r="C240" t="str">
            <v>FSAM-4TOB-02</v>
          </cell>
          <cell r="D240" t="str">
            <v>QLD</v>
          </cell>
          <cell r="E240" t="str">
            <v>QLD South</v>
          </cell>
          <cell r="F240" t="str">
            <v>4TOB</v>
          </cell>
          <cell r="G240" t="str">
            <v>Jonathan Cogan</v>
          </cell>
          <cell r="H240" t="str">
            <v>QLD South</v>
          </cell>
          <cell r="I240">
            <v>2441</v>
          </cell>
        </row>
        <row r="241">
          <cell r="B241" t="str">
            <v>GDN3</v>
          </cell>
          <cell r="C241" t="str">
            <v>FSAM-4GDN-03</v>
          </cell>
          <cell r="D241" t="str">
            <v>QLD</v>
          </cell>
          <cell r="E241" t="str">
            <v>Brisbane Metro</v>
          </cell>
          <cell r="F241" t="str">
            <v>4GDN</v>
          </cell>
          <cell r="G241" t="str">
            <v>Jonathan Cogan</v>
          </cell>
          <cell r="H241" t="str">
            <v>QLD Metro</v>
          </cell>
          <cell r="I241">
            <v>2153</v>
          </cell>
        </row>
        <row r="242">
          <cell r="B242" t="str">
            <v>APL4</v>
          </cell>
          <cell r="C242" t="str">
            <v>FSAM-4APL-04</v>
          </cell>
          <cell r="D242" t="str">
            <v>QLD</v>
          </cell>
          <cell r="E242" t="str">
            <v>Brisbane Metro</v>
          </cell>
          <cell r="F242" t="str">
            <v>4APL</v>
          </cell>
          <cell r="G242" t="str">
            <v>Jonathan Cogan</v>
          </cell>
          <cell r="H242" t="str">
            <v>QLD Metro</v>
          </cell>
          <cell r="I242">
            <v>1783</v>
          </cell>
        </row>
        <row r="243">
          <cell r="B243" t="str">
            <v>LJT7</v>
          </cell>
          <cell r="C243" t="str">
            <v>FSAM-2LJT-07</v>
          </cell>
          <cell r="D243" t="str">
            <v>NSW</v>
          </cell>
          <cell r="E243" t="str">
            <v>NSW North</v>
          </cell>
          <cell r="F243" t="str">
            <v>2LJT</v>
          </cell>
          <cell r="G243" t="str">
            <v>Ben Stelzer</v>
          </cell>
          <cell r="H243" t="str">
            <v>NSW Sydney Metro</v>
          </cell>
          <cell r="I243">
            <v>2549</v>
          </cell>
          <cell r="J243" t="str">
            <v>Infotech</v>
          </cell>
        </row>
        <row r="244">
          <cell r="B244" t="str">
            <v>LID4</v>
          </cell>
          <cell r="C244" t="str">
            <v>FSAM-2LID-04</v>
          </cell>
          <cell r="D244" t="str">
            <v>NSW</v>
          </cell>
          <cell r="E244" t="str">
            <v>Sydney Metro</v>
          </cell>
          <cell r="F244" t="str">
            <v>2LID</v>
          </cell>
          <cell r="G244" t="str">
            <v>Ben Stelzer</v>
          </cell>
          <cell r="H244" t="str">
            <v>NSW Sydney Metro</v>
          </cell>
          <cell r="I244">
            <v>2560</v>
          </cell>
        </row>
        <row r="245">
          <cell r="B245" t="str">
            <v>LID2</v>
          </cell>
          <cell r="C245" t="str">
            <v>FSAM-2LID-02</v>
          </cell>
          <cell r="D245" t="str">
            <v>NSW</v>
          </cell>
          <cell r="E245" t="str">
            <v>Sydney Metro</v>
          </cell>
          <cell r="F245" t="str">
            <v>2LID</v>
          </cell>
          <cell r="G245" t="str">
            <v>Ben Stelzer</v>
          </cell>
          <cell r="H245" t="str">
            <v>NSW Sydney Metro</v>
          </cell>
          <cell r="I245">
            <v>2325</v>
          </cell>
        </row>
        <row r="246">
          <cell r="B246" t="str">
            <v>DAP3</v>
          </cell>
          <cell r="C246" t="str">
            <v>FSAM-2DAP-03</v>
          </cell>
          <cell r="D246" t="str">
            <v>NSW</v>
          </cell>
          <cell r="E246" t="str">
            <v>NSW South</v>
          </cell>
          <cell r="F246" t="str">
            <v>2DAP</v>
          </cell>
          <cell r="G246" t="str">
            <v>Damien Marov South</v>
          </cell>
          <cell r="H246" t="str">
            <v>NSW South / ACT</v>
          </cell>
          <cell r="I246">
            <v>2620</v>
          </cell>
        </row>
        <row r="247">
          <cell r="B247" t="str">
            <v>RCH6</v>
          </cell>
          <cell r="C247" t="str">
            <v>FSAM-2RCH-06</v>
          </cell>
          <cell r="D247" t="str">
            <v>NSW</v>
          </cell>
          <cell r="E247" t="str">
            <v>Sydney Metro</v>
          </cell>
          <cell r="F247" t="str">
            <v>2RCH</v>
          </cell>
          <cell r="G247" t="str">
            <v>Damien Marov West</v>
          </cell>
          <cell r="H247" t="str">
            <v>NSW Sydney West</v>
          </cell>
          <cell r="I247">
            <v>2627</v>
          </cell>
        </row>
        <row r="248">
          <cell r="B248" t="str">
            <v>LID6</v>
          </cell>
          <cell r="C248" t="str">
            <v>FSAM-2LID-06</v>
          </cell>
          <cell r="D248" t="str">
            <v>NSW</v>
          </cell>
          <cell r="E248" t="str">
            <v>Sydney Metro</v>
          </cell>
          <cell r="F248" t="str">
            <v>2LID</v>
          </cell>
          <cell r="G248" t="str">
            <v>Ben Stelzer</v>
          </cell>
          <cell r="H248" t="str">
            <v>NSW Sydney Metro</v>
          </cell>
          <cell r="I248">
            <v>2662</v>
          </cell>
          <cell r="J248" t="str">
            <v>Infotech</v>
          </cell>
        </row>
        <row r="249">
          <cell r="B249" t="str">
            <v>HOM2</v>
          </cell>
          <cell r="C249" t="str">
            <v>FSAM-2HOM-02</v>
          </cell>
          <cell r="D249" t="str">
            <v>NSW</v>
          </cell>
          <cell r="E249" t="str">
            <v>Sydney Metro</v>
          </cell>
          <cell r="F249" t="str">
            <v>2HOM</v>
          </cell>
          <cell r="G249" t="str">
            <v>Ben Stelzer</v>
          </cell>
          <cell r="H249" t="str">
            <v>NSW Sydney Metro</v>
          </cell>
          <cell r="I249">
            <v>2514</v>
          </cell>
        </row>
        <row r="250">
          <cell r="B250" t="str">
            <v>CFS6</v>
          </cell>
          <cell r="C250" t="str">
            <v>FSAM-2CFS-06</v>
          </cell>
          <cell r="D250" t="str">
            <v>NSW</v>
          </cell>
          <cell r="E250" t="str">
            <v>NSW North</v>
          </cell>
          <cell r="F250" t="str">
            <v>2CFS</v>
          </cell>
          <cell r="G250" t="str">
            <v>James Herden</v>
          </cell>
          <cell r="H250" t="str">
            <v>NSW North</v>
          </cell>
          <cell r="I250">
            <v>1455</v>
          </cell>
        </row>
        <row r="251">
          <cell r="B251" t="str">
            <v>HOM3</v>
          </cell>
          <cell r="C251" t="str">
            <v>FSAM-2HOM-03</v>
          </cell>
          <cell r="D251" t="str">
            <v>NSW</v>
          </cell>
          <cell r="E251" t="str">
            <v>Sydney Metro</v>
          </cell>
          <cell r="F251" t="str">
            <v>2HOM</v>
          </cell>
          <cell r="G251" t="str">
            <v>Ben Stelzer</v>
          </cell>
          <cell r="H251" t="str">
            <v>NSW Sydney Metro</v>
          </cell>
          <cell r="I251">
            <v>1093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- FDA"/>
      <sheetName val="SUMMARY - FSA"/>
      <sheetName val="RecAgnstAsBuilt"/>
      <sheetName val="RecIssues"/>
      <sheetName val="FIBRE DISTRIBUTION AREA - FDA"/>
    </sheetNames>
    <sheetDataSet>
      <sheetData sheetId="0"/>
      <sheetData sheetId="1"/>
      <sheetData sheetId="2"/>
      <sheetData sheetId="3"/>
      <sheetData sheetId="4">
        <row r="46">
          <cell r="AH46">
            <v>43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structions"/>
      <sheetName val="1 SoR"/>
      <sheetName val="2 Method Of Measurement"/>
    </sheetNames>
    <sheetDataSet>
      <sheetData sheetId="0"/>
      <sheetData sheetId="1"/>
      <sheetData sheetId="2">
        <row r="140">
          <cell r="D140">
            <v>81.545000000000002</v>
          </cell>
          <cell r="E140">
            <v>78</v>
          </cell>
          <cell r="G140">
            <v>60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teks%20Sydney%20Financials%202017-18%20%202018052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teks%20Sydney%20Financials%202017-18%20%2020180521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mien Marov" refreshedDate="43010.692959143518" createdVersion="5" refreshedVersion="5" minRefreshableVersion="3" recordCount="3484">
  <cacheSource type="worksheet">
    <worksheetSource ref="A1:L1" sheet="Xero Data"/>
  </cacheSource>
  <cacheFields count="12">
    <cacheField name="Job No." numFmtId="0">
      <sharedItems containsBlank="1" containsMixedTypes="1" containsNumber="1" minValue="0.5" maxValue="0.5"/>
    </cacheField>
    <cacheField name="Job Name" numFmtId="0">
      <sharedItems/>
    </cacheField>
    <cacheField name="ID No." numFmtId="0">
      <sharedItems containsBlank="1"/>
    </cacheField>
    <cacheField name="Type of Cost" numFmtId="0">
      <sharedItems containsBlank="1" count="13">
        <s v="DJC"/>
        <s v="Overhead"/>
        <s v="DJC "/>
        <s v="Revenue"/>
        <s v="DJC Materials"/>
        <s v="DJC Internals"/>
        <s v="Overhead Depot Demobilise"/>
        <s v="NBN Greenfields"/>
        <s v="Minor Works"/>
        <s v="Materials"/>
        <s v="DJC Materials "/>
        <m/>
        <s v="Overhead Tools" u="1"/>
      </sharedItems>
    </cacheField>
    <cacheField name="Cost Code" numFmtId="0">
      <sharedItems containsBlank="1"/>
    </cacheField>
    <cacheField name="Project Cost" numFmtId="0">
      <sharedItems containsBlank="1" count="387">
        <s v="Minor Works - 2LJT-04 LNDN"/>
        <s v="Network Shortfall Central Coast"/>
        <s v="NBN Greenfields - AYCA-2KHI4F The Vault "/>
        <s v="Overhead"/>
        <s v="Network Shortfall Canberra"/>
        <s v="NBN Greenfields - AYCA-24VSRG - Bunya Lot 2272"/>
        <s v="NBN Greenfields - AYCA-24VU6N - Bunya Lot 5014"/>
        <s v="NBN Greenfields - AYCA-24VU9K - Bunya Lot 5055"/>
        <s v="NBN Greenfields - AYCA-24VU33 Bunya Lot 3075-3077"/>
        <s v="NBN Greenfields - AYCA-24VUGB - Bunya Lot 6000"/>
        <s v="NBN Greenfields - AYCA-24VUJT - Bunya Lot 6207"/>
        <s v="NBN Greenfields - AYCA-24VUME - Bunya Lot 6208"/>
        <s v="NBN Greenfields - AYCA-2PBQFJ 102 Kanahooka Rd "/>
        <s v="NBN Greenfields - AYCA-20KSI0 Redgum Ridge Estate "/>
        <s v="NBN Greenfields - AYCA-2R1JTT - Greenway"/>
        <s v="NBN Greenfields - AYCA-24O1QL - 85 Jamison Road "/>
        <s v="NBN Greenfields - AYCA-2GRPSA - 2 Barney St Kiama"/>
        <s v="NBN Greenfields - AYCA-26BG82 - Breakfast Point"/>
        <s v="NBN Greenfields - AYCA-2I7RJL 135 Southern Cross Ave Middleton Grange_x000a__x000a_"/>
        <s v="2COR Drops Various FSAMs"/>
        <s v="Network Shortfall Sydney"/>
        <s v="NBN Greenfields - AYCA-2BM7CJ - Magnolia Estate_x000a__x000a_"/>
        <s v="NBN Greenfields - AYCA-WWC93-Sugar Valley Lifestyle Estat"/>
        <s v="NBN Greenfields - AYCA-2BJH68-Southlakes Estate"/>
        <s v="SECNET"/>
        <s v="Minor Works - 2LJT-05 Drops"/>
        <s v="PipeNetworks - RT626797- Survey   201 Borella Road East Albury_x000a_"/>
        <s v="Test Equipment &amp; Tools"/>
        <s v="2BLK-11 LNDN + Variations"/>
        <s v="PipeNetworks - RT622706 - 28 George St Hornsby"/>
        <s v="NBN Greenfields - AYCA‐1BGK5U Project Independence"/>
        <s v="NBN Greenfields - AYCA-LYZ4T -Wallis Creek"/>
        <s v="NBN Greenfields - AYCA‐1F7EBL ‐ Lampada"/>
        <s v="NBN Greenfields - AYCA-24VUME - Bunya Lot 6208 "/>
        <s v="NBN Greenfields - AYCA-24VUGB - Bunya Lot 6000 "/>
        <s v="NBN Greenfields - AYCA-24VU33 Bunya Lot 3075-3077 "/>
        <s v="NBN Greenfields - AYCA-24VU6N - Bunya Lot 5014 "/>
        <s v="NBN Greenfields - AYCA-24VU9K - Bunya Lot 5099"/>
        <s v="NBN Greenfields - AYCA-2BU21S-Block 7 Section 136 Casey"/>
        <s v="Minor Works - 2GOS-06-11 Grieve Close"/>
        <s v="PipeNetworks - RT625696 - 51 Mcmasters Rd to 21 Vidler Ave"/>
        <s v="NBN Greenfields - AYCA-2PFFWC - 19 Brae Street, Prospect "/>
        <s v="NBN Greenfields - AYCA‐2Q7AAG Land and Housing Penrith"/>
        <s v="Minor Works - 2LJT-01 - 5-25 Berkeley Road"/>
        <s v="Smithfield De Mobilisation Cost"/>
        <s v="PipeNetworks - RT632496 &amp; RT632497 - 30 Ross St to Global Switch"/>
        <s v="2BLK-12 PMRWs "/>
        <s v="NBN Greenfields - AYCA-35B3CV- Schofield "/>
        <s v="ServiceStream"/>
        <s v="Minor Works - 2GOS-05 Drops"/>
        <s v="NBN Greenfields - AYCA-2CZWG0 - ARV Kingswood"/>
        <s v="NBN Greenfields - AYCA-1QR3ND Hillview Rise"/>
        <s v="NBN Greenfields - AYCA-1WQ908 McCauleys Beach - Lots 600-619"/>
        <s v="Minor Works - 2GOS-04 Drops"/>
        <s v="NBN Greenfields - AYCA-2LWX4U-2MAI-02-Finch"/>
        <s v="NBN Greenfields - AYCA 1780KC Johns Road Wadalba"/>
        <s v="NBN Greenfields - AYCA-NGFYK-Wentworth Point LOT 9"/>
        <s v="NBN Greenfields - AYCA-2DSDBP - 3 Glenfield Road, Glenfield - 1"/>
        <s v="NBN Greenfields - AYCA-2N2GYJ – Tatton Park -6"/>
        <s v="NBN Greenfields - AYCA-1RX8QD Redgum Ridge Estate"/>
        <s v="NBN Greenfields - AYCA-2E2WXJ - Shallows 6 "/>
        <s v="Minor Works - 2GOS-06 LNDN and MDU"/>
        <s v="NBN Greenfields - AYCA-3B3VXN-Mann Street Gosford "/>
        <s v="Minor Works - 2BLK-07  396 Ferrers Road, Eastern Creek"/>
        <s v="NBN Greenfields - AYCA-2DJ6MC Peterson Estate Stage 3 - 3B"/>
        <s v="Minor Works - 2LJT-06-11 - 19-21 Bias Ave"/>
        <s v="Syndeticom"/>
        <s v="NBN Greenfields - AYCA-3B3VXN-Mann Street Gosford"/>
        <s v="Minor Works - 2WLG-01 &amp; 08"/>
        <s v="Minor Works - 2GOS-06 Manns Road Aerial"/>
        <s v="Minchinbury Mobilisation"/>
        <s v="Minor Works - 9CRC-05-00-MPS-115 – 20 Federal Highway "/>
        <s v="Minor Works - 9QBN-03-00-MPS-190, 41 Campbell St"/>
        <s v="Minor Works - 2GOS-03 MPS 193  Willow Rd"/>
        <s v="Minor Works - The Venue conference Centre"/>
        <s v="Minor Works - 9QBN-03-00-MPS-034 251 CRAWFORD ST"/>
        <s v="Minor Works - 9CVI02MPS159 Held Order - 128 Bunda"/>
        <s v="Minor Works - 2GOS-06-11 MDU x 26"/>
        <s v="Minor Works - 9CVI02MPS068 180 London CCT Canberra"/>
        <s v="Minor Works - 2WLG 01 &amp; 02"/>
        <s v="NBN Greenfields - AYCA-3FV0PQ - 60 Industrial Drive 1 &amp; 2"/>
        <s v="NBN Greenfields - AYCA-2FOK7Q - RedBank Estate - 4 "/>
        <s v="Minor Works - 2COR-06 - The Venue conference Centre"/>
        <s v="NBN Greenfields - AYCA-32OIQA - Gracewood Kellyville "/>
        <s v="Minor Works - 2COR-05 Drops"/>
        <s v="NBN A417 - AYCA-2ST85L Malvern Hill – 1"/>
        <s v="NBN Greenfields - AYCA-1W6XSN - Alex Ave Schofield"/>
        <s v="Minor Works - 2LJT-02-00-MPS-011 - 100 Chittaway SC"/>
        <s v="Minor Works - 2LIV-02 Liverpool Held Orders"/>
        <s v="NBN Greenfields - AYCA-2AW2N9 210 Tyler street"/>
        <s v="Minor Works - 9CVI02MPS159 128 Bunda"/>
        <s v="NBN Greenfields - AYCA-1WA1Y6 21-24 Railway Road Meadowbank "/>
        <s v="Syndeticom "/>
        <s v="NBN Greenfields - AYCA-2B2DZQ - Greenview Parade "/>
        <s v="NBN Greenfields - AYCA-37LWLY - Backhouse Street"/>
        <s v="NBN Greenfields - AYCA-32OUIO - 5-7 Wonga Street, Canterbury"/>
        <s v="NBN Greenfields - AYCA-3HNMNR - Uraga"/>
        <m/>
        <s v="Minor Works Roundings"/>
        <s v="NBN Greenfields - AYCA-2INOL7 107 Woodlands Road Liverpool"/>
        <s v="Minor Works - 9QBN-04 – MPS-053"/>
        <s v="NBN Greenfields - AYCA-2HQZXU - Remembrance Drive - 1D "/>
        <s v="Minor Works - 2GOS‐04 ‐ 5 Oakglen"/>
        <s v="Minor Works - 9QBN-08 - MPS-035 - 8 Ogilvie "/>
        <s v="Minor Works - 9QBN-03 - MPS-152 "/>
        <s v="NBN Greenfields - AYCA-2XCYEX Elysium"/>
        <s v="Minor Works - 2CBT-05-25 O'Sullivan Road, Leumeah"/>
        <s v="Minor Works - 2LJT03MPS030 220 Hansens Rd"/>
        <s v="NBN Greenfields - AYCA-23JF57 - Charlotte Gardens"/>
        <s v="NBN Greenfields - AYCA-157236 - Macquarie Park Village "/>
        <s v="NBN Greenfields - AYCA-3P61JX---361 Princes Hwy, Woonona"/>
        <s v="Minor Works - 2DAL - 20 FttB Survey &amp; Design "/>
        <s v="Minor Works -  9QBN-08 - MPS-035 - 8 Ogilvie "/>
        <s v="NBN Greenfields - AYCA-2N2GU7 - Tatton Park  8"/>
        <s v="Minor Works - 2GOS-06 LNDN and MDU "/>
        <s v="NBN Greenfields - NENSW0226 - 2MSV-02-68 Elizabeth Street, Moss Vale V2"/>
        <s v="NBN Greenfields - AYCA-3A6FG3 - Roseglass"/>
        <s v="NBN Greenfields - AYCA-2B2DZQ - Greenview Parade"/>
        <s v="Minor Works - 2BLK-07 Huntingwood FttB Survey &amp; Design"/>
        <s v="Materials"/>
        <s v="Minor Works - 2CBT-01 &amp; 04 Drops"/>
        <s v="NBN Greenfields - NENSW0156 - 2TAH-01-62-64 Menangle Rd, Picton V2"/>
        <s v="Minor Works - 2GOS-07 - 1 Amber Cr, Point Clare"/>
        <s v="Schokman Lend Lease Woolstencraft Repair"/>
        <s v="DDA Mt Cenn Curaich"/>
        <s v="NBN Greenfields - AYCA-428F2C - 167-173 Foxall"/>
        <s v="NBN Greenfields - AYCA-3EXE83 - Mission Australia Orange RACF"/>
        <s v="NBN Greenfields - AYCA-39BLYW - 18 Victoria St, Coffs Harbour"/>
        <s v="NBN Greenfields - AYCA-35RM69 - 209 Hill St"/>
        <s v="NBN Greenfields - AYCA-3G7XGQ  Loaders Lane Coffs Harbour"/>
        <s v="NBN Greenfields - AYCA-36D744 - Grace-SHA"/>
        <s v="NBN Greenfields - AYCA-1RO4NM - 31 CROWN STREET"/>
        <s v="NBN Greenfields - AYCA-3DOTZW - Industrial Development - 6 Money Cl"/>
        <s v="NBN Greenfield -  MDU Design - 8 Miller St"/>
        <s v="NBN Greenfields - AYCA-2UEHH4 - Greenway Village"/>
        <s v="Minor Works - 2LJT03MPS030 220 Hansens Rd "/>
        <s v="NBN Greenfields - AYCA-3LJLKQ - 72 CAM ST CAMBRIDGE PARK"/>
        <s v="NBN Greenfields - AYCA-2LPEZ4 - 2-6 Messiter Street Campsie"/>
        <s v="NBN Greenfields - AYCA-3OGHM6 - Botanica - Lidcombe"/>
        <s v="NBN Greenfields - AYCA-3HE07T - 37 Bridge Street"/>
        <s v="NBN Greenfields - AYCA-3H6ZBG - 61 Smeaton Grange Rd"/>
        <s v="NBN Greenfields - AYCA-30IORM - Luxe on Eve"/>
        <s v="NBN Greenfields - AYCA-3BIZWX 4 Coal Street Development"/>
        <s v="NBN Greenfields - AYCA-3GD853 - 292-294 Gipps Road Keiraville"/>
        <s v="NBN Greenfields - AYCA-3V33UT - Wyong Street"/>
        <s v="NBN Greenfields - AYCA-2LIFR7 - 4 Stringer"/>
        <s v="2BLK-12 PMRWs"/>
        <s v="DDA Tie cable, Nth Ryde"/>
        <s v="Visionstream FttB 2ROC-05 design"/>
        <s v="Minor Works - 2LJT-02 - MW20447 - 2 Blade - 100 Kathleen"/>
        <s v="NBN Greenfields - MDU Design - 8 Miller St"/>
        <s v="Minor works - 2LIV-02 - MW20321 - MPS-041-076-146"/>
        <s v="Minor Works - 2CBT-09 - MPS-01 - FTTN-FTTB Construction "/>
        <s v="NBN Greenfields - AYCA-2XQPKW - Australian Int'l Academy Kellyville"/>
        <s v="Minor Works - 2COR-11 - MW20248 - 29 Park Rd &amp; MPS-139 "/>
        <s v="NBN Greenfields - AYCA-3UXW29 - 2 Ryan Lane Figtree"/>
        <s v="NBN A417 - AYCA-2TB25H Glenmore Park"/>
        <s v="NBN A417 - AYCA-20T6JQ - 283 Blacktown Road, Prospect"/>
        <s v="NBN Greenfields - AYCA-3H6ZBG - 61 Smeaton Grange Rd "/>
        <s v="Visionstream FttB re design 2DAL-26"/>
        <s v="Visionstream FttB re design 2DAL-21"/>
        <s v="Minor Works - 2LIV-04 - MW20393 - Dapto, Liverpoool, Wollongong  "/>
        <s v="NBN Greenfields - AYCA-3GD853 - 292-294 Gipps Road Keiraville "/>
        <s v="NBN Greenfields - AYCA-3NR82Y - 25 Devonshire"/>
        <s v="NBN Greenfields - AYCA-406IYU- York Gardens"/>
        <s v="NBN Greenfields - AYCA-1ET803 - PEEL RIVER ESTATE"/>
        <s v="NBN Greenfields - AYCA-30RVNV - Rockpool"/>
        <s v="Minor Works - 2BLK-07 Reservoir Rd Blacktown"/>
        <s v="NBN Greenfields - AYCA-1BR2R4 - Link Apartments "/>
        <s v="ICQ-315 IPT2073 WSU Parramatta Square Western Lead-in"/>
        <s v="NBN Greenfields - AYCA-3HUY3N- 4 Wickham Blvd"/>
        <s v="NBN Greenfields - AYCA-3KGMDJ - 45 Nile St"/>
        <s v="NBN Greenfields - AYCA-2LPEZ4 - 2-6 Messiter Street Campsie "/>
        <s v="NBN Greenfields - AYCA-39MU9X - Macarthur Mazda, Campbelltown"/>
        <s v="NBN Greenfields - AYCA-394Y1I - 13 Colonial Street, Wadalba"/>
        <s v="Vehicles"/>
        <s v="Minor Works - 2BLK-02/07 - MPS-032 &amp; MPS-010"/>
        <s v="NBN Greenfields - AYCA-2Q8I3Y - 16-20 Withers Road"/>
        <s v="NBN A417 - AYCA-3R9JM5 - Subdivision - 31 Memorial Av, Kellyville"/>
        <s v="NBN Greenfields - AYCA-2DO5HN 145 Princes Hwy Dapto"/>
        <s v="NBN Greenfields - AYCA-2ONMWX -  Brookwood Estate"/>
        <s v="NBN Greenfields - AYCA-32ARIB – Dowling Street"/>
        <s v="NBN Greenfields - NENSW0334-2WYO-02-13 Colonial St Wadalba NSW"/>
        <s v="NBN Greenfields - AYCA-45D358 - Non Standard Builds Morphet"/>
        <s v="NBN Greenfields - AYCA-3ZU1PE - 89 Old Hume Highway, Camden "/>
        <s v="VPL - FttB Build 2DAL-23 &amp; 26"/>
        <s v="NBN Greenfields - AYCA-3ZU1PE - 89 Old Hume Highway, Camden"/>
        <s v="NBN Greenfields - AYCA-40BZFT - 51-55 Homebush Rd Strathfield"/>
        <s v="NBN Greenfields - AYCA-3W8T05 - 2PAR-60 - Amos St "/>
        <s v="NBN Greenfields - AYCA-2Y5DX4 - Bridgeland Investment "/>
        <s v="NBN Greenfields - AYCA-32ARIB – Dowling Street "/>
        <s v="NBN Greenfields - AYCA-3RN6QW Irelands Rd Blacktown"/>
        <s v="ICQ-459 IPT2506 NSW HEALTH AUBURN HOSPITAL  "/>
        <s v="NBN A417 - AYCA-47X9GS - Mackenzie Residences - Strathfield - 1 "/>
        <s v="Minor Works - MW20680 - 2BLK-02/07 - MPS-032 &amp; MPS-010"/>
        <s v="NBN Greenfields - AYCA-38OMCL - 6 Hepher Rd, Campbelltown"/>
        <s v="NBN A417 - AYCA-3RN6QW - 19-21 Irelands Road, Blacktown"/>
        <s v="NBN Greenfields - AYCA-42POJA - 2KEL-08 -Non Standard Builds - Memorial Ave Kelly"/>
        <s v="NBN  A417 - AYCA-2MLHJO Macquarie Sub Division, South Windsor"/>
        <s v="NBN A417 - AYCA-3BSZ4M - 41 &amp; 55 Rynan Ave"/>
        <s v="Minor Works - MW20679 - 2LJT-02 - MPS-012 - 3 Corella "/>
        <s v="Minor Works - MW20447 - 2LJT-02-04-09 - 2 Blade, 100A Kathleen White, 2-6 Warrigal"/>
        <s v="NBN A417 - AYCA-2Q8I3Y - 16-20 Withers Road - 3"/>
        <s v="NBN Greenfields - AYCA-476RM9 - 87-91 Campbell St - NSB "/>
        <s v="NBN Greenfields - AYCA-47OSBM - PACIFIC BUSINESS CENTRE "/>
        <s v="NBN A417 - AYCA-1CI2SU - Jenkins – 1 - East, West &amp; South"/>
        <s v="NBN A417 -  AYCA-3NDQ7T - 67 Barry Street     "/>
        <s v="NBN Greenfields - AYCA-3KSRGR - Norberta St, The Entrance - 1"/>
        <s v="NBN Greenfields - AYCA-2DO5HN - 145 Princes Hwy Dapto "/>
        <s v="NBN A417 - AYCA-1PM9JB - 2GRA-64 - Merrylands Rd"/>
        <s v="NBN A417 - AYCA-3BH4IQ - Lot A, 8 Merriville Road"/>
        <s v="NBN A417 - AYCA-1SQ3K5 - 189 Macquarie Street"/>
        <s v="NBN A417 - AYCA-3ZMQUE - Grove Family Trust "/>
        <s v="NBN Greenfields - AYCA-40UYFT - 2PKE-06 - Berkeley "/>
        <s v="NBN Greenfields - AYCA-3NXX2P - 7 Cascade Circuit Albion Park"/>
        <s v="NBN Greenfields - AYCA-3CGK8N - Tulkaba View - 1"/>
        <s v="NBN Greenfields - AYCA-3I8QKP - 6-8 Biara Street, Bargo"/>
        <s v="Minor Works - 2GOS-06 LNDN"/>
        <s v="NBN Greenfields - AYCA-41NF6X - Non Standard Builds - Miller St"/>
        <s v="NBN Greenfields - AYCA-3NDQ7T - 67 Barry Street"/>
        <s v="NBN Greenfields - AYCA-2MLHJO - Macquarie Street Subdivision"/>
        <s v="NBN Greenfields - AYCA-40BZFT 51-55 Homebush Rd "/>
        <s v="NBN Minor Works - 2LJT-04-07- MW20718 - 08 Unit 2, 234 The Entrance RD"/>
        <s v="NBN Minor Works - 2LJT-04-07- 08 Unit 2, 234 The Entrance Road"/>
        <s v="NBN Minor Works - 2CBT-09 - MPS-01 - FTTN-FTTB Construction "/>
        <s v="NBN Greenfields - AYCA-3UYW26 - P150 – 1- MT-LFN"/>
        <s v="Minor Works - 2LIV-02 - MPS-041-076-146" u="1"/>
        <s v="Revenue" u="1"/>
        <s v="9QBN-03 - MPS-152 - 19 Monaro St, Queanbeyan" u="1"/>
        <s v="NBN Greenfields - AYCA-3H6ZBG - 61 Smeaton Grange Rd Smeaton Grange" u="1"/>
        <s v="NBN Greenfields - ACYA-2FOK7Q – Red Bank Estate - 4" u="1"/>
        <s v="NBN Greenfields AYCA-2N2GYJ - Tatton Park - 6 " u="1"/>
        <s v="2WLG-01 &amp; 2WLG-02" u="1"/>
        <s v="NBN Greenfields - AYCA-1RX8QD Redgum Ridge Estate - 12" u="1"/>
        <s v="Minor Works - 2BLK-07 Huntingwood" u="1"/>
        <s v="2GOS06MPS077, 379 MANNS RD WEST GOSFORD" u="1"/>
        <s v="NBN Greenfields AYCA-NGFYK-Wentworth Point LOT 9" u="1"/>
        <s v="RT625696 - AAPT - 51 Mcmasters Rd to 21 Vidler Ave" u="1"/>
        <s v="Minor Works - 2GOS-07 1 AMBER CR Point Clare" u="1"/>
        <s v="NBN Greenfields - AYCA-3HNMNR - Uraga Pty Ltd ATF The Uraga Family Trust" u="1"/>
        <s v="2LJT-03-00-MPS-030 - 220 Hansens Rd - Glengara Vilage Hairdresser" u="1"/>
        <s v="NBN Greenfields - AYCA-2XCYEX Elysium, " u="1"/>
        <s v="9CVI02MPS068 - 180 London CCT, Canberra" u="1"/>
        <s v="Minor Work - 2GOS-04 Drops" u="1"/>
        <s v="NBN Greenfields -AYCA-1BR2R4 - Link Apartments Zetland" u="1"/>
        <s v="NBN Greenfields AYCA-3FV0PQ-60 INDUSTRIAL DRIVE 1 &amp; 2" u="1"/>
        <s v="NBN Greenfield AYCA-3B3VXN-Mann Street Gosford" u="1"/>
        <s v="NBN Greenfields AYCA-24VUJT - Bunya Lot 6207" u="1"/>
        <s v="NBN Greenfields AYCA-2KHI4F The Vault " u="1"/>
        <s v="FttB surevy" u="1"/>
        <s v="Minor Works - 2LJT-02 - MW20447 " u="1"/>
        <s v="NBN Greenfields AYCA-24VU9K - Bunya Lot 5055" u="1"/>
        <s v="NBN Greenfields - AYCA-23JF57 -  Charlotte Gardens - 1" u="1"/>
        <s v="NBN Greenfields -AYCA-3V33UT - Wyong Street" u="1"/>
        <s v="NBN Greenfields - AYCA-3DOTZW - Industrial Development at 6 Money Close" u="1"/>
        <s v="NBN Greenfields AYCA-24VU9K - Bunya Lot 5099" u="1"/>
        <s v="NBN Greenfields AYCA-2DSDPB-3 Glenfield Road, Glenfield" u="1"/>
        <s v="NBN Greenfields AYCA-35B3CV- Schofield " u="1"/>
        <s v="NBN Greenfields - AYCA-3A6FG3 - Roseglass - 1" u="1"/>
        <s v="NBN Greenfields - AYCA-3A6FG3 - Roseglass - 2" u="1"/>
        <s v="2BLK-11 LNDN" u="1"/>
        <s v="2GOS-06 LNDN" u="1"/>
        <s v="NBN Greenfield - AYCA-3G7XGQ  Loaders Lane Coffs Harbour" u="1"/>
        <s v="NBNN Greenfields - AYCA-3FV0PQ - 60 Industrial Drive 1 &amp; 2" u="1"/>
        <s v=" " u="1"/>
        <s v="9QBN03MPS034  251 CRAWFORD ST QUEANBEYAN " u="1"/>
        <s v="NBN Greenfields AYCA‐2Q7AAG Land and Housing Penrith" u="1"/>
        <s v="NBN Greenfields - AYCA-2DSDPB-3 Glenfield Road, Glenfield" u="1"/>
        <s v="PipeNetworks RT622706 " u="1"/>
        <s v="NBN Greenfields - AYCA-2CZWG0-ARV Kingswood" u="1"/>
        <s v="NBN Greenfields AYCA-2CZWG0 - ARV Kingswood" u="1"/>
        <s v="Minor Works 2BLK-07 Huntingwood" u="1"/>
        <s v="2COR-05 Drops" u="1"/>
        <s v="2GOS-04 Drops" u="1"/>
        <s v="2GOS-05 Drops" u="1"/>
        <s v="NENSW0156 - 2TAH-01-62-64 Menangle Rd, Picton V2" u="1"/>
        <s v="NBN Greenfields - AYCA-3V33UT - Wyong Street - 2" u="1"/>
        <s v="NBN Greenfields  - AYCA-1BR2R4 - Link Apartments Zetland" u="1"/>
        <s v="NBN Greenfields AYCA-2PFFWC - 19 Brae Street, Prospect " u="1"/>
        <s v="9CRC-05-MPS-115  20 Federal Highway Canberra" u="1"/>
        <s v="NBN Greenfields - AYCA-1W6XSN - Alex Ave Schofields - 7A_x000a_" u="1"/>
        <s v="NBN Greenfields - AYCA-32OIQA Gracewood Kellyville" u="1"/>
        <s v="NBN Greenfields - AYCA-3HNMNR - Uraga " u="1"/>
        <s v="2GOS-06 LNDN and MDU" u="1"/>
        <s v="NWA 2GOS-07-14 1 Amber Court Point Claire (Gosford)" u="1"/>
        <s v="Smithfield De Mobilisation" u="1"/>
        <s v="NBN Greenfields - AYCA-3P61JX-Princes Court" u="1"/>
        <s v="Liverpool " u="1"/>
        <s v="9QBN-03-00-MPS-190, 41 Campbell St" u="1"/>
        <s v="NBN Greenfields AYCA-2LWX4U-2MAI-02-Finch" u="1"/>
        <s v="NBN Greenfields - AYCA-32OIQA Gracewood" u="1"/>
        <s v="NBN Greenfields AYCA-24VU33 Bunya Lot 3075-3077" u="1"/>
        <s v="NBN Minor Works - 2LJT-02 " u="1"/>
        <s v="NBN Greenfields - AYCA-3OGHM6 - Botanica - Lidcombe " u="1"/>
        <s v="Minor Works" u="1"/>
        <s v="Minor Works - 2LIV-02" u="1"/>
        <s v="NBN Greenfields - AYCA-2N2GU7 - Tatton Park – 8" u="1"/>
        <s v="MWA 2COR-05" u="1"/>
        <s v="Minor Works - 2GOS-06-11 MDU" u="1"/>
        <s v="2CBT-05-25 O'Sullivan Road, Leumeah" u="1"/>
        <s v="NBN Greenfields - AYCA2Q7AAG Land and Housing Penrith" u="1"/>
        <s v="NBN Greenfields - AYCA-2AW2N9-  2-10 Tyler street, Campbelltown" u="1"/>
        <s v="NBN Greenfields - AYCA-3A6FG3-Roseglass - 1" u="1"/>
        <s v="2LJT-04 LNDN" u="1"/>
        <s v="PipeNetworks RT632496 RT632497" u="1"/>
        <s v="2GOS-06 Manns Road" u="1"/>
        <s v="NBN Greenfields AYCA-2FOK7Q - RedBank Estate - 4 " u="1"/>
        <s v="2LJT-06-11 - 19-21 Bias Ave" u="1"/>
        <s v="Minor Works -2GOS-06-11 Grieve Close" u="1"/>
        <s v="NBN Greenfields - AYCA-2GRPSA - 2Barney St Kiama" u="1"/>
        <s v="NBN Greenfields AYCA 1780KC Johns Road Wadalba" u="1"/>
        <s v="Minor Works 2CBT-01 &amp; 04 Drops" u="1"/>
        <s v="RT625696 - 21 Vidler Ave " u="1"/>
        <s v="NBN Greenfields AYCA-1WQ908 McCauleys Beach - Lots 600-619" u="1"/>
        <s v="NBN Greenfields AYCA-24O1QL - 85 Jamison Road " u="1"/>
        <s v="RT625696 IX5257C01 Woy Woy" u="1"/>
        <s v="NBN Greenfields - AYCA-2AW2N9 - 2-10 Tyler St, Campbelltown" u="1"/>
        <s v="NBN Greenfields - AYCA-428F2C - 167-173 Foxall Rd, Kellyville" u="1"/>
        <s v="NBN Greenfields - AYCA-157236 - Macquarie Park Village - 1" u="1"/>
        <s v="NBN Greenfields - AYCA-2XQPKW - Australian Int'l Academy Kellyville - 3" u="1"/>
        <s v="NBN Greenfields - AYCA-2XCYEX Elysium, 47-49 Mowatt Street" u="1"/>
        <s v="A417 - AYCA-2ST85L Malvern Hill – 1" u="1"/>
        <s v="PipeNetworks" u="1"/>
        <s v="NBN Greenfields AYCA-24VU6N - Bunya Lot 5014" u="1"/>
        <s v="Minor Work - 2GOS-05 Drops" u="1"/>
        <s v="NBN Greenfields - AYCA-LYZ4T- Wallis Creek- 3" u="1"/>
        <s v="MDU Greenfield" u="1"/>
        <s v="NBN Greenfields AYCA-24VUME - Bunya Lot 6208" u="1"/>
        <s v="NBN Greenfields AYCA-24VUGB - Bunya Lot 6000" u="1"/>
        <s v="NBN Greenfields - NENSW0226-2MSV-02-68 Elizabeth Street, Moss Vale V2" u="1"/>
        <s v="NBN Greenfields AYCA-2R1JTT -Greenway" u="1"/>
        <s v="DDA Tie cable, NNth Ryde" u="1"/>
        <s v="NBN Greenfields - AYCA-36D744-Grace-SHA" u="1"/>
        <s v="Minor Works - 2COR-05" u="1"/>
        <s v="NBN Greenfields AYCA-2PBQFJ 102 Kanahooka Rd " u="1"/>
        <s v="2LJT-02-00-MPS-011 - 100 Chittaway SC held order" u="1"/>
        <s v="NBN Greenfields - AYCA-2AW2N9 210 Tyler street, Campbelltown" u="1"/>
        <s v="Minor Works - 2GOS06MPS077, 379 MANNS RD WEST GOSFORD" u="1"/>
        <s v="NBN Greenfields - AYCA-2N2GU7 - Tatton Park – 8 " u="1"/>
        <s v="The Venue conference Centre" u="1"/>
        <s v="NBN Greenfields - AYCA-2LIFR7 - 4 Stringer - 5A" u="1"/>
        <s v="NBN Greenfields - AYCA-3P61JX-Princes Court - 1" u="1"/>
        <s v="2COR-05-09 MSS Insert" u="1"/>
        <s v="NBN Greenfields AYCA-2E2WXJ - Shallows 6" u="1"/>
        <s v="NBN Greenfields - AYCA-3BIZWX -2GER-01 - 4 Coal Street Development " u="1"/>
        <s v="NBN Minor Works - 2GOS-07 1 AMBER CR Point Clare" u="1"/>
        <s v="NBN Greenfields - AYCA-37LWLY - Backhouse Street - 1" u="1"/>
        <s v="NBN Greenfields AYCA-24VSRG - Bunya Lot 2272" u="1"/>
        <s v="NBN Greenfields - AYCA-2ST85L Malvern Hill" u="1"/>
        <s v="Minor Works - 2GOS-06 Manns Road " u="1"/>
        <s v="NBN Greenfields - AYCA-23JF57 - Charlotte Gardens - 1" u="1"/>
        <s v="Minor Works - 9QBN-08 - MPS-035 8 Ogilvie" u="1"/>
        <s v="NBN Greenfields AYCA-1QR3ND Hillview Rise" u="1"/>
        <s v="NBN Greenfields AYCA-2DJ6MC Peterson Estate 3 Stage 3B" u="1"/>
        <s v="NBN Greenfields - AYCA-157236 - Macquarie Park Village - 1 " u="1"/>
        <s v="9QBN-08 - MPS-035 - 8 Ogilvie " u="1"/>
        <s v="NBN Greenfields AYCA-WWC93-Sugar Valley Lifestyle Estat" u="1"/>
        <s v="NBN Minor Works" u="1"/>
        <s v="2GOS‐04 ‐ 5 Oakglen" u="1"/>
        <s v="Minor Works - 2LJT-03-00-MPS-030 - 220 Hansens Rd - Glengara Vilage Hairdresser" u="1"/>
        <s v="Minor Works - 2GOS-06 Manns Road" u="1"/>
        <s v="NBN Minor Works - 2LIV-02 - MPS-041-076-146" u="1"/>
        <s v="Visionstream - 2ROC-07 - 23 Queen St, Brighton Le-Sands" u="1"/>
        <s v="2GOS-06-11 MDU" u="1"/>
        <s v="Minor Works - 2LJT-02 " u="1"/>
        <s v="NBN Greenfields AYCA-2I7RJL 135 Southern Cross Ave Middleton Grange_x000a__x000a_" u="1"/>
        <s v="DJC Materials" u="1"/>
        <s v="2GOS-03 MPS 193  Willow Rd" u="1"/>
        <s v="NBN Greenfields - AYCA-1WA1Y6 - 21-24 Railway Road, Meadowbank" u="1"/>
        <s v="NBN Greenfields - AYCA-26BG82 Breakfast Point - 7D" u="1"/>
        <s v="Minor Works 2GOS-06 Manns Road Aerial" u="1"/>
        <s v="2LIV-02 Liverpool Held Orders" u="1"/>
        <s v="Schokman Woolstencraft Repair" u="1"/>
        <s v="2WLG 01 &amp; 02  MWA" u="1"/>
        <s v="Minor Works - 9CRC-05-MPS-115  20 Federal Highway Canberra" u="1"/>
        <s v="Minor Works - 2WLG-01 &amp; 2WLG-02" u="1"/>
        <s v="NBN Greenfields - AYCA-3P61JX-Princes Court - 1 copper" u="1"/>
        <s v="NBN Minor Works 2GOS-06 Manns Road Aerial" u="1"/>
        <s v="NBN Greenfields AYCA-1RX8QD Redgum Ridge Estate - 12" u="1"/>
        <s v="NBN Greenfields - AYCA-3BIZWX -2GER-01 - 4 Coal Street Development" u="1"/>
        <s v="Minor Works - 2COR-05-09 MSS Insert" u="1"/>
        <s v="2COR-05" u="1"/>
        <s v="Minor Works - 2LIV-04 - MW20393 -  Dapto, Liverpoool, Wollongong " u="1"/>
        <s v="2BLK-11" u="1"/>
        <s v="Overheads" u="1"/>
        <s v="NBN Greenfields - AYCA-2E2WXJ - Shallows 6" u="1"/>
        <s v="Minor Works - 9QBN03MPS034  251 CRAWFORD ST QUEANBEYAN " u="1"/>
      </sharedItems>
    </cacheField>
    <cacheField name="Date" numFmtId="14">
      <sharedItems containsDate="1" containsMixedTypes="1" minDate="2016-07-01T00:00:00" maxDate="2017-07-01T00:00:00"/>
    </cacheField>
    <cacheField name="Month Incurred Credit or Debit" numFmtId="17">
      <sharedItems/>
    </cacheField>
    <cacheField name="Memo" numFmtId="0">
      <sharedItems longText="1"/>
    </cacheField>
    <cacheField name="Debit" numFmtId="0">
      <sharedItems containsString="0" containsBlank="1" containsNumber="1" minValue="-1498.6327365940399" maxValue="56241.91"/>
    </cacheField>
    <cacheField name="Project Revenue" numFmtId="0">
      <sharedItems containsBlank="1"/>
    </cacheField>
    <cacheField name="Credit" numFmtId="0">
      <sharedItems containsString="0" containsBlank="1" containsNumber="1" minValue="-232.45" maxValue="379624.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mien Marov" refreshedDate="43165.467462962966" createdVersion="5" refreshedVersion="6" minRefreshableVersion="3" recordCount="487">
  <cacheSource type="worksheet">
    <worksheetSource ref="A1:AG2265" sheet="NBN_MWI &amp; Pipe Data" r:id="rId2"/>
  </cacheSource>
  <cacheFields count="32">
    <cacheField name="Contract" numFmtId="0">
      <sharedItems containsBlank="1"/>
    </cacheField>
    <cacheField name="Location" numFmtId="0">
      <sharedItems containsBlank="1"/>
    </cacheField>
    <cacheField name="Inv No." numFmtId="0">
      <sharedItems containsDate="1" containsBlank="1" containsMixedTypes="1" minDate="1935-11-27T00:00:00" maxDate="1935-11-28T00:00:00"/>
    </cacheField>
    <cacheField name="Date Invoice Created" numFmtId="0">
      <sharedItems containsNonDate="0" containsDate="1" containsString="0" containsBlank="1" minDate="2017-01-08T00:00:00" maxDate="2018-03-03T00:00:00"/>
    </cacheField>
    <cacheField name="Date Project Completions handed over" numFmtId="0">
      <sharedItems containsDate="1" containsBlank="1" containsMixedTypes="1" minDate="2017-02-14T00:00:00" maxDate="2018-10-11T00:00:00"/>
    </cacheField>
    <cacheField name="PC Request Date Submitted" numFmtId="0">
      <sharedItems containsDate="1" containsBlank="1" containsMixedTypes="1" minDate="2017-05-02T00:00:00" maxDate="2018-07-01T00:00:00"/>
    </cacheField>
    <cacheField name="Variation Request submitted" numFmtId="0">
      <sharedItems containsNonDate="0" containsDate="1" containsString="0" containsBlank="1" minDate="2017-01-10T00:00:00" maxDate="2018-02-28T00:00:00"/>
    </cacheField>
    <cacheField name="Variation Approval" numFmtId="0">
      <sharedItems containsNonDate="0" containsDate="1" containsString="0" containsBlank="1" minDate="2017-01-02T00:00:00" maxDate="2018-02-28T00:00:00"/>
    </cacheField>
    <cacheField name="PC Due" numFmtId="0">
      <sharedItems containsDate="1" containsBlank="1" containsMixedTypes="1" minDate="2017-01-02T00:00:00" maxDate="2028-03-06T00:00:00"/>
    </cacheField>
    <cacheField name="Payment Date" numFmtId="0">
      <sharedItems containsDate="1" containsBlank="1" containsMixedTypes="1" minDate="2016-11-16T00:00:00" maxDate="2028-03-20T00:00:00"/>
    </cacheField>
    <cacheField name="PC, Variation &amp; Payment Comments" numFmtId="0">
      <sharedItems containsBlank="1" containsMixedTypes="1" containsNumber="1" containsInteger="1" minValue="0" maxValue="0"/>
    </cacheField>
    <cacheField name="Month Claimed" numFmtId="0">
      <sharedItems containsBlank="1" count="29">
        <s v="May-17"/>
        <s v="Jun-17"/>
        <s v="Feb-18"/>
        <s v="Sep-17"/>
        <s v="Aug-17"/>
        <s v="Jul-17"/>
        <s v="Oct-17"/>
        <s v="Mar-18"/>
        <s v="Nov-17"/>
        <s v="Dec-17"/>
        <s v="Jan-18"/>
        <s v="Jun-18"/>
        <s v="Apr-18"/>
        <s v="May-18"/>
        <s v="Jan-00"/>
        <m/>
        <s v=" "/>
        <s v="Oct-16" u="1"/>
        <s v="Jul-16" u="1"/>
        <s v="Aug-16" u="1"/>
        <s v="Jun-16" u="1"/>
        <s v="Mar-17" u="1"/>
        <s v="May-16" u="1"/>
        <s v="Sep-16" u="1"/>
        <s v="Jan-17" u="1"/>
        <s v="Feb-17" u="1"/>
        <s v="Apr-17" u="1"/>
        <s v="Nov-16" u="1"/>
        <s v="Dec-16" u="1"/>
      </sharedItems>
    </cacheField>
    <cacheField name="FSAM/MPS" numFmtId="0">
      <sharedItems containsBlank="1" count="396">
        <s v="MW20264 - 2NLB-02 - AYCA-32ARIB - Dowling St "/>
        <s v="MW20367 - 2NRN-03 - AYCA-3H6ZBG - 61 Smeaton Grange Rd,"/>
        <s v="2BLK-07  Huntingwood - Additional Variations"/>
        <s v="MW20154 - 2WLG-01 &amp; 02 "/>
        <s v="MW20311 - 2LIV-04 - Liverpool various sites"/>
        <s v="MW20425 - 2WLG - MPS-062-144-191-190-197-241 &amp; 2WLG-08 "/>
        <s v="MW20385 - AYCA-38OMCL - 6 Hepher Rd, Campbelltown"/>
        <s v="MW20441 - AYCA-3KSRGR - Norberta St, The Entrance - 1"/>
        <s v="MW20386 - 2CBT-03 - AYCA-39MU9X - Macarthur Mazda"/>
        <s v="MW20475 - 2ROU-03 - AYCA-3HUY3N- 4 Wickham Blvd"/>
        <s v="MW20442 - 2TGL-02 - AYCA-30RVNV - Rockpool – 1"/>
        <s v="MW20318 - AYCA-35AM2J - NENSW0608 - Yarrandale Road"/>
        <s v="MW20489 - AYCA-3ZU1PE - 89 Old Hume Highway, Camden"/>
        <s v="MW20491 - AYCA-3W8T05 - 2PAR-60 - Amos St "/>
        <s v="MW20493 - 2KNS-02 - AYCA-1BR2R4 - Link Apartments Zetland - 1"/>
        <s v="MW20477 - 2HOM-01 - AYCA-40BZFT - 51-55 Homebush Rd Strathfield"/>
        <s v="MW20615 - AYCA-3ZMQUE - Grove Family Trust - 1"/>
        <s v="MW20620 - 2EPP-05 - AYCA-3071BP - Macquarie Park Village - 2 "/>
        <s v="MW20628 - AYCA-32PR0X - 2ROU-03 - 21 Hezlett Rd Kellyville 1"/>
        <s v="MW20644 - AYCA-35B3X9 -  Renocorp Australia Pty Ltd - 1"/>
        <s v="MW20798 - AYCA-2LT5GF - Castlereagh Street - 1"/>
        <s v="MW20758 -  AYCA-3ETV2Y - 2BAN-64 - 21-25 Leonard Street - 1"/>
        <s v="MW20552 - 2WYO-02 - AYCA-394Y1I - 13 Colonial St "/>
        <s v="ICQ-315 IPT2073 WSU Parramatta Square Western Lead-in"/>
        <s v="MW20495 - 2CBT-09 - MPS-01 - FTTN-FTTB Construction "/>
        <s v="MW20507 - AYCA-2Y5DX4 - Bridgeland Investment"/>
        <s v="ICQ-459 NSW Health Auburn Hospital"/>
        <s v="MW20555 - AYCA-2Q8I3Y -  2ROU-03 - 16-20 Withers Road – 3 "/>
        <s v="MW20532 - 2WYO-01 - AYCA-47OSBM - Pacific Business Centre"/>
        <s v="MW20543 - AYCA-3SR1C6 - 1140 Pemberton St Albury"/>
        <s v="MW20554 - 2DAP-02 - AYCA-2DO5HN - MNJG 145"/>
        <s v="MW20409 - AYCA-2ONMWX -  Brookwood Estate - 2"/>
        <s v="MW20649 - 2RCH-03 - AYCA-2MLHJO - Macquarie Street Subdivision"/>
        <s v="MW20585 - AYCA-3KUUY6 - 2WOY-09 - Brittwood "/>
        <s v="MW20612 - AYCA-3NXX2P - 7 Cascade Circuit Albion Park"/>
        <s v="MW20673 - 2BLK-11 - AYCA-3RN6QW - 19-21 Irelands Road, Blacktown"/>
        <s v="MW20613 - AYCA-3CGK8N - Tulkaba View – 1"/>
        <s v="MW20682 - AYCA-3NDQ7T - 2ROU-04 - 67 Barry Street "/>
        <s v="MW20648-2KEL-03 -AYCA-3BH4IQ - Lot A, 8 Merriville Road - 1"/>
        <s v="MW20652 - AYCA-1CI2SU - Jenkins - East, West &amp; South"/>
        <s v="MW20669 - AYCA-47X9GS - Mackenzie Residences - Strathfield - 1 "/>
        <s v="MW20698 - AYCA-1SQ3K5 - 189 Macquarie Street"/>
        <s v="MW20686 - AYCA-1RBL6L - The North Village , Kellyville - 1"/>
        <s v="MW20692 - AYCA-2HTGPP - Scalabrini Village Residential"/>
        <s v="MW20699 - AYCA-3BSZ4M - 41 &amp; 55 Rynan Ave"/>
        <s v="MW20727 - 2NRN-10 - AYCA-3UYW26 - P150 - Internals"/>
        <s v="MW20660 - AYCA-45D358 NSB Albuera Close SITE SURVEY"/>
        <s v="MW20749 - 2KEL-07 - AYCA-3R9JM5 - 31 Memorial Av"/>
        <s v="MW20187 - 2CBT-01-14_10 &amp; 2CBT-04-14"/>
        <s v="MW20662 - 2KEL-08 - AYCA-42POJA - NSB - Memorial Ave Kelly Survey"/>
        <s v="MW20661 - 2LIV-04 - AYCA-476RM9 - 87-91 Campbell St NSB Survey"/>
        <s v="MW20667 - AYCA-41NF6X - Non Standard Builds - Miller St    BUILD"/>
        <s v="MW20604 - AYCA-46I5YX - 878 Pacific Hwy, Lisarow"/>
        <s v="MW20679 - 2LJT-02 - MPS-012 - 3 Corella"/>
        <s v="MW20778 - AYCA-40UXV5 - 163 Parker St, South Penrith Ext"/>
        <s v="MW20786 - 2LIV-03 - AYCA-47DIBW - Dale Development – 1"/>
        <s v="MW20767 - AYCA-1PM9JB - 2GRA-64 -  Merrylands Rd"/>
        <s v="MW20725 - AYCA-3I8QKP - 6-8 Biara Street, Bargo – 11"/>
        <s v="MW20765 - 2HOR-63 - AYCA-2ZE1AV - 1 &amp; 1A Cowan Road, Mount Colah - Killara "/>
        <s v="MW20680 - 2BLK-02/07 - MPS-032 &amp; MPS-010"/>
        <s v="MW20791 - 2RIV-01 - AYCA-3W8B3W - 43 Church St - 1"/>
        <s v="MW20719 - AYCA-3RWSQB - 26 Kalinya Close, Cameron Park – 1"/>
        <s v="MW20720 - AYCA-4BHWVV - Argyle Community Housing - 1 "/>
        <s v="MW20801 - 2RCH-05- AYCA-35BURW - 503-505 Londonderry Road "/>
        <s v="MW20817 - 2LIV-12 - 2QUA – 02- 2PTH-02 - Glenfield_Margo_Jamison"/>
        <s v="MW20688 - AYCA-42LEI4 - MNR Investment Group Pty Ltd - 1 "/>
        <s v="MW20876 - SOPR MWI - 2RIV-02 - 34-36 Schofields - North Park - 10"/>
        <s v="MW20877 - 2RIV-02 - 34-36 Schofields - North Park  - 9"/>
        <s v="MW20882 - 2BLK-07 - AYCA-468EU5 - 299 Flushcombe - 1"/>
        <s v="MW20898 - 2MIL-01 -AYCA-45L86C-Non Standard Builds - Zulu Road – Build"/>
        <s v="MW20897 - AYCA-3UMID0 - 2BLK-01 - 25 ALLAWAH ST, BLACKTOWN"/>
        <s v="MW20705 - AYCA-3QCL7A - 48 Arnold Avenue Kellyville"/>
        <s v="MW20875 - ACYA-3W8TJD - 31-33 Irelands Road Blacktown "/>
        <s v="MW20677 - AYCA-3ENYEX - Cleopatra St Blackheath"/>
        <s v="MW20730 - AYCA-3ZFK8V - 2NRN-10 - 11-19 Waler "/>
        <s v="MW20888 - 2HOR-62 - AYCA-39AB50 -2HOR-62 -JAAN – 1"/>
        <s v="MW20812 - 2WLG-01 - 2LIV-04 - Crown, Kembla, Macquarie, George"/>
        <s v="MW20828 - 2WLG-07 - MPS-889 - 438 Crown Street Wollongong."/>
        <s v="MW20833 - 2RIV-02 - AYCA-334H1X - The Maples - 4"/>
        <s v="MW20966 - 2BLK-11 - AYCA-3W8LJB - 42-44 Norfolk St"/>
        <s v="MW20939 - 2PEN-64 - AYCA-2Y4BYB -344 GWH Wentworthville – 1- EXTERNAL"/>
        <s v="MW20806 - 2EPS-61 -AYCA-42J4C9– 54 Tyrone Place, Erskine Park - Loscam"/>
        <s v="MW20821 - AYCA-45D358 NSB Albuera Close -  BUILD"/>
        <s v="MW20927 - 2ASH-61 - AYCA-482KZM - Lionsgate Projects – 1"/>
        <s v="MW20894 - 2KEL-08 - AYCA-42POJA - Non Standard Builds - Memorial Ave Kelly Build"/>
        <s v="MW20946 - 2OBA-20 - AYCA-4DWSZZ-  81 Albatross Way - NSB - SURVEY"/>
        <s v="MW20983 - 2RYD-01 - AYCA-2ZD7NM - 86-94 Blaxland Rd "/>
        <s v="MW20718 - 2LJT-04-07-08 Unit 2, 234 The Entrance Road"/>
        <s v="MW20736 - 2GOS-01-04 - 3-7 Wharf-East Gosford Public School-Unit 3 354 Mann."/>
        <s v="MW20764 - 2BLK-12-07 - Lot 21 Western MTQY/2 Rudders/Unit 40 - 15 Valediction"/>
        <s v="MW20951   - 2ROU-03 - AYCA-486V6Q  - Non Standard Builds - McCarthy Street "/>
        <s v="MW21016 - AYCA-3UESPG -9CRC-06 -IVAR Villas Externals"/>
        <s v="MW21016 - AYCA-3UESPG -9CRC-06 -IVAR Villas Internals"/>
        <s v="MW21067 - 2PTH-01 - AYCA-3VF189 - 293-295 Jamison - 1"/>
        <s v="MW21052 - 2MAI-11 - AYCA-3OLAP3-WA Brown INTERNAL"/>
        <s v="MW21053 - 2MAI-04 - AYCA-38QQO3-Walka Grange - 8 - INTERNAL"/>
        <s v="MW21054 - 2MAI-11 - AYCA-2NU9NV - Northwood Retirement Village - 1 - INTERNAL"/>
        <s v="MW21026 - 2HOR-62 - AYCA-3TQB8K - MOUNT COLAH GARDENS - 2 - EXTERNAL"/>
        <s v="MW21062 - 2REV-20  - AYCA-4IDMPC- 9 Fitzpatrick St - 1"/>
        <s v="MW21031 - 2KEL-07 -AYCA-36X4LO - 7 Fairway Drive"/>
        <s v="MW21034 - 2LIV-04 - AYCA-2XM8XA - Castlereagh Projects PTY LTD - 1- EXTERNAL"/>
        <s v="MW20941 - 2KEL-01 - AYCA-2KQ04J -112 Hambledon"/>
        <s v="MW20627 - AYCA-40UYFT - 2PKE-06 - Berkeley "/>
        <s v="MW21024 - AYCA-4JN54Z - 2NRN-05 - Elderslie - TH5"/>
        <s v="MW20844 - 2TAH-02 - AYCA-3YUT4L - Brundah Road - 1"/>
        <s v="MW20797 - SOPR MWI  - 2RYD-03 - AYCA-1SUDYS – 15 Porter Street, Ryde - La Pearl - 1"/>
        <s v="MW21021 - 2MGO-20 -AYCA-45UVAF - Non Standard Builds - 15 Baldi "/>
        <s v="MW21104 - AYCA-3UHHF8-2LIV-12-25 Glenfield Road "/>
        <s v="MW21108 - AYCA-4D6F80 - 2NEW-03 - CASA - Terraces - Estate"/>
        <s v="MW20777 - 2HBD-21 - AYCA-46PUI1 - 724 Pittwater Rd"/>
        <s v="MW21065 - AYCA-3JKNRK -2ROU-02 -15-19 Hillview - 2B"/>
        <s v="MW21095 - AYCA-4K6BDG - Melito Drive Internals"/>
        <s v="MW20436 - AYCA-3B8YY0 - Warrana Place – 2"/>
        <s v="MW21056 - 2KNS-04 - AYCA-4BYB3Q -33 Dunning Ave - 1- EXTERNAL"/>
        <s v="MW21120 - 2EDG-62 - AYCA-4GJD8J - 10 COURT ROAD - External"/>
        <s v="MW20949 - 2MAI-06 - AYCA-4F1FWW_AYCA-4GRO21 - NSB 13 Vantage 55 Kingston"/>
        <s v="MW21085 - 2ROU-02 - AYCA-47PV52 - Non Standard Builds - 22-24 Barry Road "/>
        <s v="MW21095 - AYCA-4K6BDG - Melito Drive Externals"/>
        <s v="MW20814 - 2NLB-05  - AYCA-4E7Y0D - Albatross Ave and Cu, Survey"/>
        <s v="MW20729 - COR-04 - AYCA-4D6AY6 - 94 POPES RD"/>
        <s v="MW20858 - 2ROU-03 - AYCA-3R9WD2 - 2 Foxall Rd"/>
        <s v="MW21092 2BRG-03 AYCA-1NGPGW- Gledswood"/>
        <s v="MW21006 - 2NWR-02 - AYCA-49DNJ1 - Nowra BP &amp; McDonalds - 1-  INTERNAL AND EXTERNAL"/>
        <s v="MW21074 - 2ABN-01 - AYCA-461JCF - 8 Creole Road"/>
        <s v="MW21223 - AYCA-2568YW - 25 29 Harbour St NBN - Harbour St"/>
        <s v="MW21250 - AYCA-4BEC9X-2LIV-68-The Birdwood"/>
        <s v="MW21221 - 2CRO-01 - AYCA-1UEMOR - Shearwater Landing"/>
        <s v="MW21178 - 2LID-06 - AYCA-32WJ4A - John St - 2 - INTERNAL"/>
        <s v="MW21153 - 2NRN-03 - AYCA-4EAKM1 - 63 SGR - 1 - INTERNAL"/>
        <s v="MW20728 - 2NRN-10 - AYCA-3UYW26 - P150 – Externals"/>
        <s v="MW21209 - AYCA-4K7VB2 -2TWH-05 - River Views – 1"/>
        <s v="MW21261 - AYCA-30PYA6 - 2MIL-01 - CEO St Francis College - 1"/>
        <s v="MW21244 - AYCA-4J7JTW - 2LIV-03 - Passefield St"/>
        <s v="MW21281 - AYCA-3K4RCM - 2RIV-03 - Marsden Park Tonzat Development - 2"/>
        <s v="MW21072 - 2PKS-20 - AYCA-49I4SO - 72 Brolgan Road "/>
        <s v="MW21293 - 2LIV-63 - AYCA-4GNO0E - Coopers Paddock - 1-  INTERNAL "/>
        <s v="MW20905 - 2NLT-09 - AYCA-47ENGU - 16 WALL – 1"/>
        <s v="MW21097 - 2LIV-04 - AYCA-476RM9 - NSB - 87-91 Campbell St Build"/>
        <s v="MW21284 - 9DKI-07 - AYCA-3ZXA9V - 10 BAKEWELL ST -  COOMBS"/>
        <s v="MW21073 - 2WAG-05 AYCA-48HYBB - 89 Hammond Ave"/>
        <s v="MW20865 - 2NWR-03 - AYCA-2K3SGD - Elian Crescent 1."/>
        <s v="MW21015 - AYCA-1Z6XAC -1-9 Florence Street &amp; 19-23 Quinn Street "/>
        <s v="2RIV-02-AYCA-1XO4MJ,  Hub install for Craig Comms"/>
        <s v="MW21324 - AYCA-4L3K9Q - 2GLB-01 - Kidd Crt - 1 "/>
        <s v="MW21369 - AYCA-4EEPL6 - 2KNS-03 - Rosebery Park - 3 "/>
        <s v="MW21397 - AYCA-32WJ4A - 2LID-06 -  John St - 2- EXTERNAL"/>
        <s v="MW21314 - 2BLK-10 - AYCA-4NCJ90 - Fine Property Group - 1- EXTERNAL"/>
        <s v="MW21032 - AYCA-4L57RB - 2MDG-01 -NSB - Bateman Ave Mudgee"/>
        <s v="MW21381 - 2LIV-03 - AYCA-4B5X29 - 209-213 Memorial Ave - 1- EXTERNAL"/>
        <s v="MW21384 - 2PEN-65  - AYCA-4LWMQ0 - 271 Dunmore Street - 1- EXTERNAL"/>
        <s v="MW20116 - AYCA-3I8XUO - 2RDL-60 - Highgardens – 1- EXTERNAL"/>
        <s v="MW20106 - 2ROU-02 - AYCA-30C7IB - Hillview Rise - 6"/>
        <s v="MW20115 - 2PTH-02 - AYCA-4OSDE9 - ONYX - 1- EXTERNAL"/>
        <s v="MW21430 - 2RIV-02 - AYCA-3347PM - The Maples - 3 "/>
        <s v="MW21425 - 2LIV-04 - AYCA-2IQYU1 - Macquaire St Development – 1-EXTERNAL"/>
        <s v="MW21385 - 2BLK-10 - AYCA-4A93XN - 43 Graham St - Doonside - 1"/>
        <s v="MW21426 - 2PTH-05 - AYCA-3QAOV2 - Meyer Timber NSW - 1-EXTERNAL and INTERNAL"/>
        <s v="MW21080 - AYCA-2K262F - 2MSV-05 - Rochester Park - 1"/>
        <s v="MW21400 - 2MTT-02 - AYCA-4JV9PM - Wattle St Colo Vale - 1"/>
        <s v="MW21398 - 2MSV-03 - AYCA-3MIX48 - Sutherland Park Estate - 1"/>
        <s v="MW21423 - 9QBN-03 - 16 Ellerton Drive Queanbeyan NSW"/>
        <s v="MW20150 - 2BLK-06 - AYCA-3W8B2F - 6 Old Church Lane "/>
        <s v="MW21145 - AYCA-4KU6BE -OOMWI - 2WET-20 - Seniors Housing"/>
        <s v="MW21205 - 2RIV-02 - AYCA-3349N6 - Schofields Farm Road - The Maples 2"/>
        <s v="MW21041 - 2OBA-20 - AYCA-4L6PEC - NSB - Old Bar Survey"/>
        <s v="MW21325 - 2NRL-20 - AYCA-2QFUTJ - Camden Day Hospital - 1"/>
        <s v="MW21270 - 2BTH-01 - AYCA-47Y3BF - Arndilly"/>
        <s v="MW20843 - 2KCL-02 - AYCA-4EIN5M - 171 Casuarina Way Pty Ltd – 1- EXTERNAL"/>
        <s v="MW21289 -  2WAG-05 - AYCA-45YGSM - 138 Elizabeth Avenue Forest Hill"/>
        <s v="MW21287 - AYCA-4BSSM6 - 2WAG-10 - 10 Fisher Place Lloyd"/>
        <s v="MW21285 - 2MSV-04 - AYCA-496F3H - 8 Bendooley Street Bowral"/>
        <s v="MW21386 - AYCA-3BBYF2 - 2PTH-05 - 40-50 Union Rd, Penrith  EXTERNAL"/>
        <s v="MW21373 - 2WET-65 - AYCA-4O5GBC - 106 - 108 Chifley St - Smithfield - 1- EXTERNAL"/>
        <s v="MW20917 - 2LID-03 - AYCA-3A485K - Lidbury Street Berala - 1 - EXTERNAL"/>
        <s v="MW21452 - AYCA-4FFBGM - 2PIT-01 - The Oaks Development"/>
        <s v="MW21453 - 2LIV-04 - AYCA-2RVC4H - 100 Macquarie Street Liverpool - 1- EXTERNAL"/>
        <s v="MW21392 - 2MIL-20 - AYCA-4NGNW3 - LOT 421 &amp; 422, 10-12 PROGRESS CIRCUIT"/>
        <s v="MW21322 - 2SHH-02 - AYCA-4FHB4D - 3 Bellbird Close Barrack Heights"/>
        <s v="MW21395 - 2BTH-01 - AYCA-4LYVIU - Arndilly - 2"/>
        <s v="MW21416 - 2ORG-05 - AYCA-4H25NY - 12 Wakeford – 1"/>
        <s v="MW21457 - AYCA-4QLE5J -2NEW-63 -Ara on Park - 1-EXTERNAL"/>
        <s v="MW21458 - 2LID-07 - AYCA-4DZEDU-2LID-07-Auburn Vista - 1 - EXTERNAL"/>
        <s v="MW21471 - 2KIL-63 - AYCA-2T1HEY -RIDGE CENTRE - 1-E XTERNAL "/>
        <s v="MW21483 - 2ASH-05  - AYCA-2Y1KQS - Charles Banks  1- EXTERNAL"/>
        <s v="MW21484 - 2ARM-04 - AYCA-2CO7SU - Brown - 1"/>
        <s v="MW21467 - 9QBN-03- AYCA-4QEPB9- Ian &amp; Cathy Darman - 1- EXTERNAL"/>
        <s v="MW21478-2MYF-02 - AYCA-4PIZ8V  -The Furnace - 1 – EXTERNAL    "/>
        <s v="MW21438 - 2ORG-01 - AYCA-4J2IIB - Majestic Way - 1"/>
        <s v="MW21459 -  AYCA-4DWSZZ -2OBA-20 -NSB - 81 Albatross Way"/>
        <s v="MW20076 - 2NWR-03 - AYCA-4SHR9U -2NWR-03 -Sequacious - 1"/>
        <s v="MW21464 - 2NRN-03 - AYCA-4EAKM1-63 SGR - 1- EXTERNAL"/>
        <s v="MW21909 - AYCA-32NN4T -2MSV-05 -Blue Gum Rd Estate – 1"/>
        <s v="MW21311 - 2WAU-21 - AYCA-4N13KQ - 127 Cameron St"/>
        <s v="MW21488 - 2ROU-03 - AYCA-4877L8 - Non Standard Builds - Windon Avenue"/>
        <s v="MW21516 - AYCA-4TB2X9 - NSB - Wirrinya Pl Grasmere - SURVEY"/>
        <s v="MW21495 -AYCA-4UUWX6 - NSB - 13 Popes Rd Woonona - SURVEY "/>
        <s v="MW21380 - 2YON-01 - AYCA-4MRFUW - 1 Patterson Avenue, Young – 1"/>
        <s v="MW21123 - 2TAR -02 - AYCA-4LIG38 - Non Standard Builds Survey"/>
        <s v="2DAL-23-MPS-003 FttB Build"/>
        <s v="2DAL-23-MPS-004 FttB Build"/>
        <s v="2DAL-24-MPS-008 FttB Build"/>
        <s v="MW21523 - 2EPP-62 - AYCA-20PHAM-20-28 CAMBRIDGE ST EPPING"/>
        <s v="MW21524 -  AYCA-47C97W-2BLK-01 -51 Kildare Rd Blacktown"/>
        <s v="MW21521-2ROU-02-AYCA-1OHQX6 -Lake Promenade - Building C- EXTERNAL"/>
        <s v="MW21570 - AYCA-1L7010  - 2LID-08 - Mixed Use Development - Tower A and B"/>
        <s v="MW21550-2HUR-65-AYCA-4SJ25V 121A Mulga Rd Oatley "/>
        <s v="MW21549-2LIV-03-AYCA-48U5AE-Flat Building - 1"/>
        <s v="MW21539 - AYCA-4SJ1RQ - 2WLG-05 - 18 Armstrong St West Wollongong NSW 2500 -INTERNAL"/>
        <s v="MW21537-AYCA-424B5V- 2LID-05- 9-13 GELIBOLU PARADE, AUBURN"/>
        <s v="MW21540-2LIV-02- AYCA-3DOI9R 166/176-178 Terminus ST ,Liverpool "/>
        <s v="MW21473 - AYCA-3TNJ90-64 - 2ERN-03 - James Sea Drive, Green Point"/>
        <s v="MW21538-2PAR-63-AYCA-44DU8G 8-10 FRASER ST, WESTMEAD"/>
        <s v="MW21613-AYCA-4M07QT- 2CBT-06-12 Capertee St Ruse"/>
        <s v="MW21591 - AYCA-3KWVLI - 2ROU-03 - 4 Curtis Road, Kellyville - 1"/>
        <s v="MW21506 - AYCA-4TCZPJ-2MIL-20-LOT 421 &amp; 422, PROGRESS CIRCUIT"/>
        <s v="MW21472 - 2GRK-01 - AYCA-4G5CSP - 20 Stanley Street Wyongah"/>
        <s v="MW21505-AYCA-2AS459-2LID-05 -22-26 Ann Street Lidcombe"/>
        <s v="MW21637-AYCA-4OHMS3 - 2BLK-07 -35 Holbeche road, Arndell Park - 1"/>
        <s v="MW21649- AYCA-1Y6XJM-2KIL-61-GORDON 2 – 1"/>
        <s v="MW21639-AYCA-4SZLC6 -2PTH-02- William Younis - 1"/>
        <s v="MW21620- AYCA-4SM2C7 - 2LIV-03-60-62 Passefield Street, Liverpool"/>
        <s v="MW21556  - AYCA-1XCONO -2NEW-22 - Ablin Erskineville Pty Ltd "/>
        <s v="MW21611-AYCA-3K2CFZ -2CBT-05-Modco Boarding House 1"/>
        <s v="MW21642- AYCA-48KUSD-2NRN-10 - 79-85 TURNER ROAD, GREGORY HILLS"/>
        <s v="MW21706 - AYCA-4IYJ4J -2PTH-02 - CRONIN EQUITY PTY LTD - 1"/>
        <s v="MW21651-AYCA-21BAAK-2BAN-64-Stacey Apartments - 1"/>
        <s v="MW21705-AYCA-468RZY-2LID-04-23 RAILWAY PARADE - externals"/>
        <s v="MW21652-AYCA-2ILOMV - 2ASH-05-INFINTY - 1"/>
        <s v="MW21699-AYCA-3E5O97-2ROU-03-Hancy - 1"/>
        <s v="MW21704 - AYCA-4RDSRL - 2BLK-12-bedford gardens - 1"/>
        <s v="MW21718-AYCA-4TB2X9- 2NRL-22-NSB - Wirrinya Pl Grasme"/>
        <s v="MW21724-AYCA-3TP6RP-2SIL-04-Majors Bay Mortlake Residential "/>
        <s v="MW21728-AYCA-4HTS7R-2RIV-03-875 RICHMOND RD, MARSDEN PARK"/>
        <s v="MW21408 - AYCA-4GCT7O - 2ROC-04 - Baxter International Hotel - 1 "/>
        <s v="MW21512 - 2NLT-09 - AYCA-4IUR86 -Clarendene - 1"/>
        <s v="MW21552 - AYCA-4SJ1RQ - 2KNS-21 - 18 Armstrong St West Wollongong, Externals"/>
        <s v="MW21328 - AYCA-40UXV5 - 2PTH-02 - 163 Parker St - South Penrith - 1-  INTERNAL"/>
        <s v="MW21756-AYCA-3K4RCM-2RIV-03-Marsden Park Tonzat Development - 2"/>
        <s v="MW21638- AYCA-3NFID7-2PTH-04 - Tench Ave Jamisontown 1 "/>
        <s v="MW21551 - 2KNS-04 - AYCA-4EN7KA - Lewis &amp; Co - 1"/>
        <s v="MW21791-2LID-04-AYCA-468RZY-23 Railway Parade - Internals"/>
        <s v="MW21271  -AYCA-45TAFX  - 2MRS-03-Cooranbong - 1"/>
        <s v="MW21703 - AYCA-41SAXG - 2MIL-04 - Stage 2 Lagana"/>
        <s v="MW21583 - AYCA-497W67- 9BLC-04- Hillside Villas Block"/>
        <s v="MW21507 - AYCA-4Q1LKQ - 2WAG-05 - The Mill Commercial Development - 1"/>
        <s v="MW21821-2NRN-10-AYCA-52OMAH-18 Bluett Dr, Smeaton Grange"/>
        <s v="MW21819-2BTH-02-AYCA-4KXY8F-1 Wark Parade, Windradyne"/>
        <s v="MW21919-2KEL-07-AYCA-35Q2VE-9 Fairway Drive, Kellyville"/>
        <s v="MW21884-2LIV-03- AYCA-47OO3O- 188-190 Moore st, Liverpool"/>
        <s v="MW21876-2BLK-03 - AYCA-21PVTM - 5 Second Avenue, Blacktown"/>
        <s v="2RIV-03 - Schofield Rd, Schofield NSW - Held Orders x 2_RFQ"/>
        <s v="2RIV-03 - Schofield Rd, Schofield NSW - Held Orders x 4_RFQ"/>
        <s v="MW21923 - AYCA-4AOOM9 - 2NRN-01 - 12 - 13 SPRINGS RD, SPRING FARM"/>
        <s v="MW21820-AYCA-4W4BKH-2HOM-02-38 Weeroona Rd, Strathfield"/>
        <s v="MW21857-AYCA-442ZEA- 2PAR-63-2 Good st, Westmead"/>
        <s v="MW21947-2MIL-01-AYCA-54T32P-Ryan &amp; Burrows Avenue"/>
        <s v="INC000006813370 – UNIT 1 15 DALGETTY ST, NARRANDERA "/>
        <s v="INC000007052036 – 29 Grosvenor St, Narrandera"/>
        <s v="INC000007238836 - Lot 4, 100 Beach Rd, Batemans Bay, NSW"/>
        <s v="INC000007003327 – UNIT 4 14 WEWAK ST, ASHMONT "/>
        <s v="INC000007272347 – 21 APEX AV, MOUNT VICTORIA"/>
        <s v="INC000007034536 - Unit 129, 2 Windjana Street, Harrison, ACT"/>
        <s v="INC000007203040 – 6 EDWARDS ST, KATOOMBA "/>
        <s v="INC000007130519 – 17 APEX AV, MOUNT VICTORIA"/>
        <s v="INC000007193370 – 2-4 GORDON RD, LEURA"/>
        <s v="INC000007103438 – 8 EASTVIEW AV, LEURA"/>
        <s v="MW21390 - AYCA-4QG9AV - NSB - 33 Shoalhaven St Kiama"/>
        <s v="MW21921-AYCA-4MOKVP-2TAR-01-22 Elwell CL, Beresfield"/>
        <s v="MW21875 - AYCA-42N8QF-  2PEN-67- Macklin 38 "/>
        <s v="MW21946-2COR-04-AYCA-4XKUSR-13 Popes Rd, Woonona"/>
        <s v="02470125 - Lot 1, 42 Oxley Drive, Bowral, NSW 2576 (ROBINWOOD COTTAGE)"/>
        <s v="MW21827-2COR-09-AYCA-4O03IQ-17 Ryan Street, Balgownie"/>
        <s v="MW21861-2RED-03-AYCA-4GPKZN-713-717 Elizabeth St, Waterloo"/>
        <s v="MW21821-2NRN-10-AYCA-52OMAH-18 Bluett Dr, Smeaton Grange Int"/>
        <s v="INC000006963999 – LOT 24, 69 VICTORIA ST, KATOOMBA"/>
        <s v="MW21946-AYCA-4XKUSR-13 Popes Rd Woonona"/>
        <s v="MW21971 -AYCA-4X6TWU  2LID-08 - -43 - 47 Harrow Rd, Auburn"/>
        <s v="MW21967-AYCA-4UKN6A-2WET-65-727 The Horsley Dr, Smithfield"/>
        <s v="INC000007044511 - Lot 857, 93 Leumeah Street, Sanctuary Point, NSW 2540"/>
        <s v="INC000007193370 – 2-4 GORDON RD, LEURA "/>
        <s v="INC000007112970 – 201 KATOOMBA ST, KATOOMBA"/>
        <s v="INC000007115529 – UNIT 1 95 LURLINE ST, KATOOMBA"/>
        <s v="INC000007194856 – 31 SUNBEAM AV, BLACKHEATH "/>
        <s v="MW21970-2PEN-66-AYCA-4YZGFK-51 Boronia St, South Wentworthville"/>
        <s v="MW21924-2ROU-33-AYCA-41E0L5-33 FOXALL RD, KELLYVILLE"/>
        <s v="MW21456 - 2BLK-07-16, 51 Huntingwood Drive"/>
        <m/>
        <s v="2LIV-04 - Liverpool various sites" u="1"/>
        <s v="2CBT-05 25 O'Sullivan Road, Leumeah" u="1"/>
        <s v="2WLG-01 &amp; WLG-08 Wollongong Various locations" u="1"/>
        <s v="9QBN03MPS190 " u="1"/>
        <s v="AYCA-2BU21S -  Block 7 Section 136 Casey including Casey and Kanahooka vari" u="1"/>
        <s v="AYCA-2DJ6MC Peterson Estate 3 Stage 3B" u="1"/>
        <s v="AYCA-24VU6N - Bunya Lot 5014 + vari PON Patch" u="1"/>
        <s v="AYCA-24VUJT - Bunya Lot 6207 + vari PON Patch" u="1"/>
        <s v="2GOS-07 1 AMBER CR Point Clare - LOC000047568536 " u="1"/>
        <s v="9TNCY 17 180 London CCT Canberra" u="1"/>
        <s v="AYCA-2LWX4U-2MAI-02-Finch Crescent " u="1"/>
        <s v="AYCA-2PBQFJ 102 Kanahooka Rd " u="1"/>
        <s v="AYCA-32ARIB – Dowling Street Copper" u="1"/>
        <s v="AYCA-2HQZXU - Remembrance Drive - 1D" u="1"/>
        <s v="AYCA-428F2C - 167-173 Foxall" u="1"/>
        <s v="2GOS-04  Gosford Aerial Drops" u="1"/>
        <s v="2GOS-05  Gosford Aerial Drops" u="1"/>
        <s v="AYCA 1780KC Johns Road Wadalba" u="1"/>
        <s v="AYCA-2LPEZ4 - 2-6 Messiter Street Campsie - 1" u="1"/>
        <s v="AYCA-3HNMNR - Uraga Pty Ltd ATF The Uraga Family Trust" u="1"/>
        <s v="9QBN04MPS053" u="1"/>
        <s v="2GOS-03  MPS-193 - Unit 1, 10 Willow Road" u="1"/>
        <s v="AYCA-2XCYEX Elysium, 47-49 Mowatt Street," u="1"/>
        <s v="NENSW0226-2MSV-02-68 Elizabeth Street, Moss Vale V2" u="1"/>
        <s v="AYCA-2E2WXJ - Shallows 6" u="1"/>
        <s v="2LIV02MPS-041-076-146" u="1"/>
        <s v="AYCA-3DOTZW - Industrial Development at 6 Money Close" u="1"/>
        <s v="2LJT-06 FDA-11, 19-21 Bias Ave, Bateau Bay" u="1"/>
        <s v="2BLK-07  396 Ferrers Road, Eastern Creek, Dragway" u="1"/>
        <s v="AYCA-30IORM - Luxe on Eve - 1" u="1"/>
        <s v="AYCA-2N2GYJ - Tatton Park - 6 " u="1"/>
        <s v="2BLK-07  Huntingwood" u="1"/>
        <s v="AYCA-2N2GU7 - Tatton Park – 8" u="1"/>
        <s v="AYCA-3HE07T - 37 Bridge Street - 1 " u="1"/>
        <s v="2COR‐11 ‐ 29 Park Rd &amp; MPS‐139. MW20428 ‐" u="1"/>
        <s v="AYCA-WWC93 - Sugar Valley Lifestyle Estate" u="1"/>
        <s v="AYCA-2AW2N9-  2-10 Tyler street, Campbelltown" u="1"/>
        <s v="2GOS-06 FDA-11 MDUs to LNDN" u="1"/>
        <s v="AYCA-24VUME - Bunya Lot 6208 " u="1"/>
        <s v="AYCA-2BJH68 -Southlakes Estate" u="1"/>
        <s v="AYCA-37LWLY - Backhouse Street - 1 Copper" u="1"/>
        <s v="AYCA-24O1QL - 85 Jamison Road + Vari for Breakout &amp; temp resto" u="1"/>
        <s v="2GOS-06 Koala Cresent LNDN build" u="1"/>
        <s v="AYCA‐1BGK5U Project Independence" u="1"/>
        <s v="AYCA-32OIQA Gracewood Kellyville" u="1"/>
        <s v="AYCA-2DSDPB-3 Glenfield Road, Glenfield + Variation" u="1"/>
        <s v="AYCA-LYZ4T -Wallis Creek" u="1"/>
        <s v="AYCA-2FOK7Q - RedBank Estate - 4 " u="1"/>
        <s v="AYCA-2R1JTT -Greenway" u="1"/>
        <s v="AYCA-24VSRG - Bunya Lot 2272" u="1"/>
        <s v="2LIV-02 Liverpool Various Locations" u="1"/>
        <s v="9QBN03MPS034 251 CRAWFORD ST QUEANBEYAN " u="1"/>
        <s v="AYCA-35B3CV- Schofield " u="1"/>
        <s v=" 2LIV-02 Various MPS locations" u="1"/>
        <s v="AYCA-3LJLKQ - 72 CAM ST CAMBRIDGE PARK - 1" u="1"/>
        <s v="AYCA-3B3VXN-Mann Street Gosford " u="1"/>
        <s v="2LIV-04, 2DAP &amp; 2WLG Dapto, Liverpoool, Wollongong." u="1"/>
        <s v="2CBT-01 &amp; 04  Network Shortfall" u="1"/>
        <s v="2COR-05  Various Sites in 2COR-05" u="1"/>
        <s v="AYCA-3H6ZBG - 61 Smeaton Grange Rd Smeaton Grange, copper" u="1"/>
        <s v="AYCA-2KHI4F The Vault " u="1"/>
        <s v="AYCA-1RO4NM - 31 CROWN STREET" u="1"/>
        <s v="2COR-06 The Venue conference Centre, 18 Cawley St, Bellambi 2COR-06" u="1"/>
        <s v="AYCA-157236 - Macquarie Park Village - 1 " u="1"/>
        <s v="9CRC-05-00 20 Federal Highway Canberra ACT" u="1"/>
        <s v="AYCA-2XQPKW - Australian Int'l Academy Kellyville - 3" u="1"/>
        <s v="AYCA-32OUIO - 5-7 Wonga Street, Canterbury" u="1"/>
        <s v="9QBN03MPS152" u="1"/>
        <s v="2DAL-20 FttB Survey &amp; Design Various Sites" u="1"/>
        <s v="AYCA-39BLYW - 18 Victoria St, Coffs Harbour – 1" u="1"/>
        <s v="AYCA-20KSI0 Redgum Ridge Estate" u="1"/>
        <s v="2GOS-04 MW20334 LOC000053292299 ‐ 5 Oakglen" u="1"/>
        <s v="AYCA-24VUGB - Bunya Lot 6000 " u="1"/>
        <s v="AYCA-1W6XSN - Alex Ave Schofields - 7A" u="1"/>
        <s v="AYCA-1WQ908 McCauleys Beach - Lots 600-619" u="1"/>
        <s v="AYCA-2I7RJL 135 Southern Cross Ave Middleton Grange " u="1"/>
        <s v="AYCA-24VU33 Bunya Lot 3075-3077 " u="1"/>
        <s v="AYCA-2CZWG0 - ARV Kingswood" u="1"/>
        <s v="AYCA-2ONMWX -  Brookwood Estate - 2" u="1"/>
        <s v="AYCA‐22IZTU Charles Sturt Estate ‐ 4B" u="1"/>
        <s v="AYCA-2B2DZQ - Greenview Parade - 1 " u="1"/>
        <s v="NENSW0156 - 2TAH-01-62-64 Menangle Rd, Picton V2" u="1"/>
        <s v="9QBN08MPS035 8 Ogilvie" u="1"/>
        <s v="2WLG-01 &amp; 2WLG-02 Various Loactions within 01 &amp; 02" u="1"/>
        <s v="AYCA-3P61JX-Princes Court - 1 copper" u="1"/>
        <s v="AYCA-36D744 - Grace-SHA - 1 Version 2" u="1"/>
        <s v="2GOS-06 FDA -11   17- 19 Grieve Close  West Gosford NSW 2250" u="1"/>
        <s v="2GOS-06 Manns Road, Aerial Drops" u="1"/>
        <s v="AYCA-23JF57 - Charlotte Gardens - 1" u="1"/>
        <s v="2LJT02MPS011 Shop 1, 100 Chittaway Rd, Chittaway Bay,N SW " u="1"/>
        <s v="AYCA-1QR3ND Hillview Rise" u="1"/>
        <s v="AYCA‐2Q7AAG Land and Housing Penrith" u="1"/>
        <s v="AYCA‐1F7EBL ‐ Lampada" u="1"/>
        <s v="AYCA-NGFYK-Wentworth Point LOT 9" u="1"/>
        <s v="AYCA-1WA1Y6 21-24 Railway Road Meadowbank" u="1"/>
        <s v="AYCA-24VU9K - Bunya Lot 5099" u="1"/>
        <s v="2ASH-66 AYCA-2ST85L Malvern Hill – 1" u="1"/>
        <s v="AYCA-3OGHM6 - Botanica - Lidcombe - 88a " u="1"/>
        <s v="AYCA-24VU9K - Bunya Lot 5055" u="1"/>
        <s v="AYCA-1RX8QD Redgum Ridge Estate - 12" u="1"/>
        <s v="AYCA-3FV0PQ - 60 Industrial Drive 1 &amp; 2 " u="1"/>
        <s v="AYCA-3A6FG3 - Roseglass - 1" u="1"/>
        <s v="AYCA-35RM69 - 209 Hill St – 3 Copper" u="1"/>
        <s v="AYCA-3G7XGQ    Loaders Lane Coffs Harbour - 2A." u="1"/>
        <s v="9CVI02MPS159  Held Order - 128 Bunda " u="1"/>
        <s v="AYCA-2PFFWC - 19 Brae Street, Prospect and Variation" u="1"/>
        <s v="2LJT03MPS030 220 Hansens Rd (Glengara Vilage Hairdresser)" u="1"/>
        <s v="AYCA-2BM7CJ - Magnolia Estate" u="1"/>
        <s v="AYCA-26BG82 Breakfast Point - 7D3" u="1"/>
      </sharedItems>
    </cacheField>
    <cacheField name="Suburb" numFmtId="0">
      <sharedItems containsBlank="1"/>
    </cacheField>
    <cacheField name="Amount" numFmtId="0">
      <sharedItems containsString="0" containsBlank="1" containsNumber="1" minValue="0" maxValue="1218776.3661428571"/>
    </cacheField>
    <cacheField name="Variation" numFmtId="0">
      <sharedItems containsString="0" containsBlank="1" containsNumber="1" minValue="-5760" maxValue="797823.29693279625"/>
    </cacheField>
    <cacheField name="Total Revenue" numFmtId="0">
      <sharedItems containsString="0" containsBlank="1" containsNumber="1" minValue="82.91" maxValue="2016887.663075655"/>
    </cacheField>
    <cacheField name="GST Inc" numFmtId="0">
      <sharedItems containsString="0" containsBlank="1" containsNumber="1" minValue="91.201000000000008" maxValue="2218576.4293832188"/>
    </cacheField>
    <cacheField name="DJC Cost" numFmtId="165">
      <sharedItems containsString="0" containsBlank="1" containsNumber="1" containsInteger="1" minValue="0" maxValue="0"/>
    </cacheField>
    <cacheField name="Internat DJC Cost" numFmtId="0">
      <sharedItems containsString="0" containsBlank="1" containsNumber="1" minValue="3292.54" maxValue="3292.54"/>
    </cacheField>
    <cacheField name="Total Cost" numFmtId="0">
      <sharedItems containsString="0" containsBlank="1" containsNumber="1" minValue="0" maxValue="3292.54"/>
    </cacheField>
    <cacheField name="Margin" numFmtId="165">
      <sharedItems containsString="0" containsBlank="1" containsNumber="1" minValue="82.91" maxValue="2012377.7830756549"/>
    </cacheField>
    <cacheField name="%" numFmtId="0">
      <sharedItems containsString="0" containsBlank="1" containsNumber="1" minValue="0.63727480740269882" maxValue="1"/>
    </cacheField>
    <cacheField name="Status" numFmtId="0">
      <sharedItems containsBlank="1"/>
    </cacheField>
    <cacheField name="Date Expected Payment" numFmtId="0">
      <sharedItems containsNonDate="0" containsDate="1" containsString="0" containsBlank="1" minDate="2017-05-16T00:00:00" maxDate="2018-07-15T00:00:00"/>
    </cacheField>
    <cacheField name="Comments" numFmtId="0">
      <sharedItems containsBlank="1"/>
    </cacheField>
    <cacheField name="NBN PO/PM" numFmtId="0">
      <sharedItems containsBlank="1"/>
    </cacheField>
    <cacheField name="Project Quote Submitted" numFmtId="0">
      <sharedItems containsDate="1" containsBlank="1" containsMixedTypes="1" minDate="2016-08-29T00:00:00" maxDate="2018-02-27T00:00:00"/>
    </cacheField>
    <cacheField name="Project Award Date" numFmtId="0">
      <sharedItems containsDate="1" containsBlank="1" containsMixedTypes="1" minDate="2016-09-22T00:00:00" maxDate="2018-12-14T00:00:00"/>
    </cacheField>
    <cacheField name="Days to Award" numFmtId="0">
      <sharedItems containsBlank="1" containsMixedTypes="1" containsNumber="1" containsInteger="1" minValue="-42986" maxValue="219"/>
    </cacheField>
    <cacheField name="Customer required date" numFmtId="0">
      <sharedItems containsDate="1" containsBlank="1" containsMixedTypes="1" minDate="2016-10-19T00:00:00" maxDate="2018-05-01T00:00:00"/>
    </cacheField>
    <cacheField name="Difference CRD to Award" numFmtId="0">
      <sharedItems containsBlank="1" containsMixedTypes="1" containsNumber="1" containsInteger="1" minValue="-43000" maxValue="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amien Marov" refreshedDate="43165.467466898146" createdVersion="5" refreshedVersion="6" minRefreshableVersion="3" recordCount="84">
  <cacheSource type="worksheet">
    <worksheetSource ref="A1:AB85" sheet="NBN_MWI &amp; Pipe Data" r:id="rId2"/>
  </cacheSource>
  <cacheFields count="27">
    <cacheField name="Contract" numFmtId="0">
      <sharedItems containsBlank="1" count="11">
        <s v="A401/Greenfield"/>
        <s v="A401/Minor works"/>
        <s v="A417 Greenfield MDU"/>
        <s v="AARnet"/>
        <m u="1"/>
        <s v="Visionstream FttB" u="1"/>
        <s v="Pipe Networks" u="1"/>
        <s v="SECNET" u="1"/>
        <s v="Minor Works" u="1"/>
        <s v="NBN Network Shortfall" u="1"/>
        <s v="A401/Greenfields" u="1"/>
      </sharedItems>
    </cacheField>
    <cacheField name="Location" numFmtId="0">
      <sharedItems/>
    </cacheField>
    <cacheField name="Inv No." numFmtId="0">
      <sharedItems containsBlank="1"/>
    </cacheField>
    <cacheField name="Date Invoice Created" numFmtId="14">
      <sharedItems containsNonDate="0" containsDate="1" containsString="0" containsBlank="1" minDate="2017-02-28T00:00:00" maxDate="2018-01-24T00:00:00"/>
    </cacheField>
    <cacheField name="Date Project Completions handed over" numFmtId="14">
      <sharedItems containsNonDate="0" containsDate="1" containsString="0" containsBlank="1" minDate="2017-02-14T00:00:00" maxDate="2018-03-05T00:00:00"/>
    </cacheField>
    <cacheField name="PC Request Date Submitted" numFmtId="14">
      <sharedItems containsSemiMixedTypes="0" containsNonDate="0" containsDate="1" containsString="0" minDate="2017-05-02T00:00:00" maxDate="2018-03-31T00:00:00"/>
    </cacheField>
    <cacheField name="Variation Request submitted" numFmtId="0">
      <sharedItems containsNonDate="0" containsDate="1" containsString="0" containsBlank="1" minDate="2017-02-07T00:00:00" maxDate="2018-02-28T00:00:00"/>
    </cacheField>
    <cacheField name="Variation Approval" numFmtId="0">
      <sharedItems containsNonDate="0" containsDate="1" containsString="0" containsBlank="1" minDate="2017-05-09T00:00:00" maxDate="2018-02-21T00:00:00"/>
    </cacheField>
    <cacheField name="PC Due" numFmtId="14">
      <sharedItems containsDate="1" containsBlank="1" containsMixedTypes="1" minDate="2017-04-20T00:00:00" maxDate="2018-03-13T00:00:00"/>
    </cacheField>
    <cacheField name="Payment Date" numFmtId="14">
      <sharedItems containsDate="1" containsBlank="1" containsMixedTypes="1" minDate="2016-11-16T00:00:00" maxDate="2018-03-27T00:00:00"/>
    </cacheField>
    <cacheField name="PC, Variation &amp; Payment Comments" numFmtId="0">
      <sharedItems containsBlank="1"/>
    </cacheField>
    <cacheField name="Month Claimed" numFmtId="14">
      <sharedItems containsBlank="1" count="24">
        <s v="May-17"/>
        <s v="Jun-17"/>
        <s v="Feb-18"/>
        <s v="Sep-17"/>
        <s v="Aug-17"/>
        <s v="Jul-17"/>
        <s v="Oct-17"/>
        <s v="Mar-18"/>
        <s v="Nov-17"/>
        <s v="Oct-16" u="1"/>
        <m u="1"/>
        <s v="Jul-16" u="1"/>
        <s v="Aug-16" u="1"/>
        <s v="Jun-16" u="1"/>
        <s v="Mar-17" u="1"/>
        <s v="May-16" u="1"/>
        <s v="Sep-16" u="1"/>
        <s v="Jan-17" u="1"/>
        <s v="Jan-18" u="1"/>
        <s v="Feb-17" u="1"/>
        <s v="Apr-17" u="1"/>
        <s v="Nov-16" u="1"/>
        <s v="Dec-16" u="1"/>
        <s v="Dec-17" u="1"/>
      </sharedItems>
    </cacheField>
    <cacheField name="FSAM/MPS" numFmtId="0">
      <sharedItems/>
    </cacheField>
    <cacheField name="Suburb" numFmtId="0">
      <sharedItems/>
    </cacheField>
    <cacheField name="Amount" numFmtId="165">
      <sharedItems containsString="0" containsBlank="1" containsNumber="1" minValue="0" maxValue="38717.01"/>
    </cacheField>
    <cacheField name="Variation" numFmtId="0">
      <sharedItems containsString="0" containsBlank="1" containsNumber="1" minValue="-4880.3" maxValue="39403.65"/>
    </cacheField>
    <cacheField name="Total Revenue" numFmtId="165">
      <sharedItems containsSemiMixedTypes="0" containsString="0" containsNumber="1" minValue="465.57" maxValue="68329.850000000006"/>
    </cacheField>
    <cacheField name="GST Inc" numFmtId="44">
      <sharedItems containsSemiMixedTypes="0" containsString="0" containsNumber="1" minValue="512.12700000000007" maxValue="75162.835000000006"/>
    </cacheField>
    <cacheField name="DJC Cost" numFmtId="165">
      <sharedItems containsNonDate="0" containsString="0" containsBlank="1"/>
    </cacheField>
    <cacheField name="Internat DJC Cost" numFmtId="165">
      <sharedItems containsString="0" containsBlank="1" containsNumber="1" minValue="3292.54" maxValue="3292.54"/>
    </cacheField>
    <cacheField name="Total Cost" numFmtId="165">
      <sharedItems containsSemiMixedTypes="0" containsString="0" containsNumber="1" minValue="0" maxValue="3292.54"/>
    </cacheField>
    <cacheField name="Margin" numFmtId="165">
      <sharedItems containsSemiMixedTypes="0" containsString="0" containsNumber="1" minValue="465.57" maxValue="68329.850000000006"/>
    </cacheField>
    <cacheField name="%" numFmtId="9">
      <sharedItems containsString="0" containsBlank="1" containsNumber="1" minValue="0.63727480740269882" maxValue="1"/>
    </cacheField>
    <cacheField name="Status" numFmtId="0">
      <sharedItems containsBlank="1"/>
    </cacheField>
    <cacheField name="Date Expected Payment" numFmtId="14">
      <sharedItems containsNonDate="0" containsDate="1" containsString="0" containsBlank="1" minDate="2017-05-16T00:00:00" maxDate="2018-04-14T00:00:00"/>
    </cacheField>
    <cacheField name="Comments" numFmtId="0">
      <sharedItems containsBlank="1"/>
    </cacheField>
    <cacheField name="NBN PO/P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amien Marov" refreshedDate="43245.610672337963" createdVersion="5" refreshedVersion="6" minRefreshableVersion="3" recordCount="103">
  <cacheSource type="worksheet">
    <worksheetSource ref="B1:N442" sheet="SStream Inv 2016-17"/>
  </cacheSource>
  <cacheFields count="13">
    <cacheField name="Date Submitted" numFmtId="0">
      <sharedItems containsNonDate="0" containsString="0" containsBlank="1"/>
    </cacheField>
    <cacheField name="Datateks Invoice No:" numFmtId="0">
      <sharedItems containsNonDate="0" containsString="0" containsBlank="1"/>
    </cacheField>
    <cacheField name="Telstra Job Number" numFmtId="0">
      <sharedItems containsNonDate="0" containsString="0" containsBlank="1"/>
    </cacheField>
    <cacheField name="Description:" numFmtId="0">
      <sharedItems containsNonDate="0" containsString="0" containsBlank="1"/>
    </cacheField>
    <cacheField name="Datateks or Craig Comms" numFmtId="0">
      <sharedItems containsNonDate="0" containsString="0" containsBlank="1"/>
    </cacheField>
    <cacheField name="Material Cost" numFmtId="0">
      <sharedItems containsNonDate="0" containsString="0" containsBlank="1"/>
    </cacheField>
    <cacheField name="Labour Cost" numFmtId="0">
      <sharedItems containsNonDate="0" containsString="0" containsBlank="1"/>
    </cacheField>
    <cacheField name="Revenue" numFmtId="165">
      <sharedItems containsNonDate="0" containsString="0" containsBlank="1"/>
    </cacheField>
    <cacheField name="Margin" numFmtId="0">
      <sharedItems containsNonDate="0" containsString="0" containsBlank="1"/>
    </cacheField>
    <cacheField name="Margin %" numFmtId="0">
      <sharedItems containsNonDate="0" containsString="0" containsBlank="1"/>
    </cacheField>
    <cacheField name="Payment Due" numFmtId="0">
      <sharedItems containsNonDate="0" containsString="0" containsBlank="1"/>
    </cacheField>
    <cacheField name="Payment Month" numFmtId="0">
      <sharedItems containsNonDate="0" containsBlank="1" count="10">
        <m/>
        <s v="Jul-15" u="1"/>
        <s v="Aug-15" u="1"/>
        <s v="Mar-16" u="1"/>
        <s v="Sep-15" u="1"/>
        <s v="Jan-16" u="1"/>
        <s v="Feb-16" u="1"/>
        <s v="Nov-15" u="1"/>
        <s v="Dec-15" u="1"/>
        <s v="Oct-15" u="1"/>
      </sharedItems>
    </cacheField>
    <cacheField name="Payment Statu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amien Marov" refreshedDate="43245.610672800925" createdVersion="5" refreshedVersion="6" minRefreshableVersion="3" recordCount="103">
  <cacheSource type="worksheet">
    <worksheetSource ref="B1:N1048576" sheet="SStream Inv 2016-17"/>
  </cacheSource>
  <cacheFields count="13">
    <cacheField name="Date Submitted" numFmtId="0">
      <sharedItems containsNonDate="0" containsString="0" containsBlank="1"/>
    </cacheField>
    <cacheField name="Datateks Invoice No:" numFmtId="0">
      <sharedItems containsNonDate="0" containsString="0" containsBlank="1"/>
    </cacheField>
    <cacheField name="Telstra Job Number" numFmtId="0">
      <sharedItems containsNonDate="0" containsString="0" containsBlank="1"/>
    </cacheField>
    <cacheField name="Description:" numFmtId="0">
      <sharedItems containsNonDate="0" containsString="0" containsBlank="1"/>
    </cacheField>
    <cacheField name="Datateks or Craig Comms" numFmtId="0">
      <sharedItems containsNonDate="0" containsBlank="1" count="3">
        <m/>
        <s v="Craig Comms" u="1"/>
        <s v="Datateks" u="1"/>
      </sharedItems>
    </cacheField>
    <cacheField name="Material Cost" numFmtId="0">
      <sharedItems containsNonDate="0" containsString="0" containsBlank="1"/>
    </cacheField>
    <cacheField name="Labour Cost" numFmtId="0">
      <sharedItems containsNonDate="0" containsString="0" containsBlank="1"/>
    </cacheField>
    <cacheField name="Revenue" numFmtId="165">
      <sharedItems containsNonDate="0" containsString="0" containsBlank="1"/>
    </cacheField>
    <cacheField name="Margin" numFmtId="0">
      <sharedItems containsNonDate="0" containsString="0" containsBlank="1"/>
    </cacheField>
    <cacheField name="Margin %" numFmtId="0">
      <sharedItems containsNonDate="0" containsString="0" containsBlank="1"/>
    </cacheField>
    <cacheField name="Payment Due" numFmtId="0">
      <sharedItems containsNonDate="0" containsString="0" containsBlank="1"/>
    </cacheField>
    <cacheField name="Payment Month" numFmtId="0">
      <sharedItems containsNonDate="0" containsBlank="1" count="10">
        <m/>
        <s v="Jul-15" u="1"/>
        <s v="Aug-15" u="1"/>
        <s v="Mar-16" u="1"/>
        <s v="Sep-15" u="1"/>
        <s v="Jan-16" u="1"/>
        <s v="Feb-16" u="1"/>
        <s v="Nov-15" u="1"/>
        <s v="Dec-15" u="1"/>
        <s v="Oct-15" u="1"/>
      </sharedItems>
    </cacheField>
    <cacheField name="Payment Statu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amien Marov" refreshedDate="43245.610673148149" createdVersion="5" refreshedVersion="6" minRefreshableVersion="3" recordCount="759">
  <cacheSource type="worksheet">
    <worksheetSource ref="A1:K982" sheet="NBN NS Inv 2016-17"/>
  </cacheSource>
  <cacheFields count="11">
    <cacheField name="Location" numFmtId="0">
      <sharedItems containsBlank="1"/>
    </cacheField>
    <cacheField name="Inv No." numFmtId="0">
      <sharedItems containsBlank="1"/>
    </cacheField>
    <cacheField name="Date Submitted" numFmtId="0">
      <sharedItems containsNonDate="0" containsDate="1" containsString="0" containsBlank="1" minDate="2016-07-07T00:00:00" maxDate="2016-10-01T00:00:00"/>
    </cacheField>
    <cacheField name="Month Claimed" numFmtId="0">
      <sharedItems containsBlank="1"/>
    </cacheField>
    <cacheField name="FSAM/MPS" numFmtId="0">
      <sharedItems containsBlank="1"/>
    </cacheField>
    <cacheField name="Location2" numFmtId="0">
      <sharedItems containsBlank="1"/>
    </cacheField>
    <cacheField name="Amount" numFmtId="0">
      <sharedItems containsString="0" containsBlank="1" containsNumber="1" minValue="256.27999999999997" maxValue="19832.03"/>
    </cacheField>
    <cacheField name="Status" numFmtId="0">
      <sharedItems containsBlank="1"/>
    </cacheField>
    <cacheField name="Date Expected Payment" numFmtId="0">
      <sharedItems containsNonDate="0" containsDate="1" containsString="0" containsBlank="1" minDate="2016-08-06T00:00:00" maxDate="2016-10-31T00:00:00"/>
    </cacheField>
    <cacheField name="Comments" numFmtId="0">
      <sharedItems containsBlank="1"/>
    </cacheField>
    <cacheField name="NBN PM" numFmtId="0">
      <sharedItems containsBlank="1" count="26">
        <s v="Sam Mikhail"/>
        <s v="Sam Belani"/>
        <s v="Ahmad Faqiri"/>
        <s v="Tina Mok"/>
        <s v="Adrian Mills"/>
        <s v="Azar Toyserkany"/>
        <s v="Jay Shrestha"/>
        <m/>
        <s v="Petar Markovic" u="1"/>
        <s v="Melinda Piper" u="1"/>
        <s v="Ana Juranic" u="1"/>
        <s v="Shaher Aslan" u="1"/>
        <s v="Matt Alamdari" u="1"/>
        <s v="Tina Monk" u="1"/>
        <s v="Milan Khanal" u="1"/>
        <s v="Amanda Bayeh &amp; Petar Markovic" u="1"/>
        <s v="Lianne Brink /Andrew Clarke" u="1"/>
        <s v="Amanda Bayeh" u="1"/>
        <s v="Chris Awad" u="1"/>
        <s v="Ana Juranic &amp; Tinny Louey" u="1"/>
        <s v="Ana Juranic &amp; Tinny" u="1"/>
        <s v="Sam Mikhail &amp; Matt Alambari" u="1"/>
        <s v="Chris / Milan" u="1"/>
        <s v="Jelena Stokuca" u="1"/>
        <s v="Sam Milhail" u="1"/>
        <s v="Tinny Loue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amien Marov" refreshedDate="43245.610673958334" createdVersion="5" refreshedVersion="6" minRefreshableVersion="3" recordCount="759">
  <cacheSource type="worksheet">
    <worksheetSource ref="A1:K1048576" sheet="NBN NS Inv 2016-17"/>
  </cacheSource>
  <cacheFields count="11">
    <cacheField name="Location" numFmtId="0">
      <sharedItems containsBlank="1" count="4">
        <s v="Central Coast"/>
        <s v="Sydney"/>
        <s v="Canberra"/>
        <m/>
      </sharedItems>
    </cacheField>
    <cacheField name="Inv No." numFmtId="0">
      <sharedItems containsBlank="1"/>
    </cacheField>
    <cacheField name="Date Submitted" numFmtId="0">
      <sharedItems containsNonDate="0" containsDate="1" containsString="0" containsBlank="1" minDate="2016-07-07T00:00:00" maxDate="2016-10-01T00:00:00"/>
    </cacheField>
    <cacheField name="Month Claimed" numFmtId="0">
      <sharedItems containsBlank="1" count="25">
        <s v="Jul-16"/>
        <s v="Aug-16"/>
        <s v="Sep-16"/>
        <m/>
        <s v="Jul-15" u="1"/>
        <s v="Mar-15" u="1"/>
        <s v="Aug-15" u="1"/>
        <s v="Jun-15" u="1"/>
        <s v="Mar-16" u="1"/>
        <s v="May-15" u="1"/>
        <s v="May-16" u="1"/>
        <s v=" " u="1"/>
        <s v="Jan-00" u="1"/>
        <s v="Sep-15" u="1"/>
        <s v="Jan-15" u="1"/>
        <s v="Jan-16" u="1"/>
        <s v="Feb-15" u="1"/>
        <s v="Feb-16" u="1"/>
        <s v="Apr-15" u="1"/>
        <s v="Apr-16" u="1"/>
        <s v="Nov-14" u="1"/>
        <s v="Dec-14" u="1"/>
        <s v="Nov-15" u="1"/>
        <s v="Dec-15" u="1"/>
        <s v="Oct-15" u="1"/>
      </sharedItems>
    </cacheField>
    <cacheField name="FSAM/MPS" numFmtId="0">
      <sharedItems containsBlank="1"/>
    </cacheField>
    <cacheField name="Location2" numFmtId="0">
      <sharedItems containsBlank="1"/>
    </cacheField>
    <cacheField name="Amount" numFmtId="0">
      <sharedItems containsString="0" containsBlank="1" containsNumber="1" minValue="256.27999999999997" maxValue="19832.03"/>
    </cacheField>
    <cacheField name="Status" numFmtId="0">
      <sharedItems containsBlank="1"/>
    </cacheField>
    <cacheField name="Date Expected Payment" numFmtId="0">
      <sharedItems containsNonDate="0" containsDate="1" containsString="0" containsBlank="1" minDate="2016-08-06T00:00:00" maxDate="2016-10-31T00:00:00"/>
    </cacheField>
    <cacheField name="Comments" numFmtId="0">
      <sharedItems containsBlank="1"/>
    </cacheField>
    <cacheField name="NBN PM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Damien Marov" refreshedDate="43245.610673958334" createdVersion="5" refreshedVersion="6" minRefreshableVersion="3" recordCount="25">
  <cacheSource type="worksheet">
    <worksheetSource ref="C1:R26" sheet="Pipe Invoices 2016-17"/>
  </cacheSource>
  <cacheFields count="16">
    <cacheField name="Pipe PO No:" numFmtId="0">
      <sharedItems containsString="0" containsBlank="1" containsNumber="1" containsInteger="1" minValue="64008" maxValue="66187"/>
    </cacheField>
    <cacheField name="Datateks Invoice No:" numFmtId="0">
      <sharedItems containsBlank="1"/>
    </cacheField>
    <cacheField name="Invoice Submission date" numFmtId="14">
      <sharedItems containsNonDate="0" containsDate="1" containsString="0" containsBlank="1" minDate="2016-09-01T00:00:00" maxDate="2016-10-31T00:00:00"/>
    </cacheField>
    <cacheField name="Invoice Month" numFmtId="14">
      <sharedItems containsBlank="1" count="3">
        <s v="Sep-16"/>
        <s v="Oct-16"/>
        <m/>
      </sharedItems>
    </cacheField>
    <cacheField name="Invoices paid" numFmtId="14">
      <sharedItems containsNonDate="0" containsString="0" containsBlank="1"/>
    </cacheField>
    <cacheField name="Description:" numFmtId="0">
      <sharedItems containsBlank="1"/>
    </cacheField>
    <cacheField name="Submitted Invoice Month" numFmtId="0">
      <sharedItems containsNonDate="0" containsString="0" containsBlank="1"/>
    </cacheField>
    <cacheField name="Submitted Value" numFmtId="165">
      <sharedItems containsString="0" containsBlank="1" containsNumber="1" minValue="480" maxValue="48180.34"/>
    </cacheField>
    <cacheField name="Remaining Claim" numFmtId="165">
      <sharedItems containsNonDate="0" containsString="0" containsBlank="1"/>
    </cacheField>
    <cacheField name="Part Claim" numFmtId="165">
      <sharedItems containsNonDate="0" containsString="0" containsBlank="1"/>
    </cacheField>
    <cacheField name="Submitted Invoice " numFmtId="165">
      <sharedItems containsNonDate="0" containsString="0" containsBlank="1"/>
    </cacheField>
    <cacheField name="Outstanding payments from Pipe Networks" numFmtId="165">
      <sharedItems containsNonDate="0" containsString="0" containsBlank="1"/>
    </cacheField>
    <cacheField name="Total Revenue" numFmtId="165">
      <sharedItems containsString="0" containsBlank="1" containsNumber="1" minValue="1120" maxValue="50220.34"/>
    </cacheField>
    <cacheField name="Cost" numFmtId="0">
      <sharedItems containsNonDate="0" containsString="0" containsBlank="1"/>
    </cacheField>
    <cacheField name="Margin" numFmtId="165">
      <sharedItems containsNonDate="0" containsString="0" containsBlank="1"/>
    </cacheField>
    <cacheField name="Margin %" numFmtId="9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Damien Marov" refreshedDate="43245.610674305557" createdVersion="5" refreshedVersion="6" minRefreshableVersion="3" recordCount="290">
  <cacheSource type="worksheet">
    <worksheetSource ref="B1:X1048576" sheet="NBN Gfields 2016-17"/>
  </cacheSource>
  <cacheFields count="23">
    <cacheField name="Location" numFmtId="0">
      <sharedItems containsBlank="1" count="3">
        <s v="Sydney"/>
        <m/>
        <s v="ACT" u="1"/>
      </sharedItems>
    </cacheField>
    <cacheField name="Inv No." numFmtId="0">
      <sharedItems containsBlank="1"/>
    </cacheField>
    <cacheField name="Date Invoice Created" numFmtId="0">
      <sharedItems containsDate="1" containsBlank="1" containsMixedTypes="1" minDate="2016-07-13T00:00:00" maxDate="2027-02-24T00:00:00"/>
    </cacheField>
    <cacheField name="Date Project Completions handed over" numFmtId="0">
      <sharedItems containsDate="1" containsString="0" containsBlank="1" containsMixedTypes="1" minDate="1899-12-31T00:00:00" maxDate="1900-01-09T06:58:04"/>
    </cacheField>
    <cacheField name="Date Submitted" numFmtId="0">
      <sharedItems containsDate="1" containsString="0" containsBlank="1" containsMixedTypes="1" minDate="2016-05-26T00:00:00" maxDate="1899-12-30T00:00:00"/>
    </cacheField>
    <cacheField name="PC Due" numFmtId="0">
      <sharedItems containsDate="1" containsBlank="1" containsMixedTypes="1" minDate="1899-12-31T00:00:00" maxDate="2017-03-15T00:00:00"/>
    </cacheField>
    <cacheField name="Payment Date" numFmtId="0">
      <sharedItems containsNonDate="0" containsDate="1" containsString="0" containsBlank="1" minDate="2016-06-16T00:00:00" maxDate="2026-09-23T00:00:00"/>
    </cacheField>
    <cacheField name="Month Claimed" numFmtId="0">
      <sharedItems containsBlank="1" count="17">
        <s v="Aug-16"/>
        <s v="Jul-16"/>
        <s v="Oct-16"/>
        <s v="May-16"/>
        <s v="Jun-16"/>
        <s v="Sep-16"/>
        <s v="Jan-17"/>
        <s v="Nov-16"/>
        <s v="Feb-17"/>
        <s v="May-17"/>
        <s v="Dec-16"/>
        <s v="Mar-17"/>
        <m/>
        <s v="Mar-16" u="1"/>
        <s v="Jan-16" u="1"/>
        <s v="Apr-16" u="1"/>
        <s v="Apr-17" u="1"/>
      </sharedItems>
    </cacheField>
    <cacheField name="FSAM/MPS" numFmtId="0">
      <sharedItems containsBlank="1"/>
    </cacheField>
    <cacheField name="Suburb" numFmtId="0">
      <sharedItems containsBlank="1" containsMixedTypes="1" containsNumber="1" containsInteger="1" minValue="0" maxValue="0"/>
    </cacheField>
    <cacheField name="Amount" numFmtId="0">
      <sharedItems containsString="0" containsBlank="1" containsNumber="1" minValue="248.14" maxValue="298064.57999999996"/>
    </cacheField>
    <cacheField name="Variation" numFmtId="0">
      <sharedItems containsString="0" containsBlank="1" containsNumber="1" minValue="-7769.5199999999995" maxValue="67043.20197714286"/>
    </cacheField>
    <cacheField name="Total Revenue" numFmtId="0">
      <sharedItems containsString="0" containsBlank="1" containsNumber="1" minValue="248.14" maxValue="363759.32197714283"/>
    </cacheField>
    <cacheField name="GST Inc" numFmtId="0">
      <sharedItems containsString="0" containsBlank="1" containsNumber="1" minValue="738.25400000000002" maxValue="249944.82917485715"/>
    </cacheField>
    <cacheField name="DJC Cost" numFmtId="165">
      <sharedItems containsBlank="1" containsMixedTypes="1" containsNumber="1" minValue="0" maxValue="4673.7"/>
    </cacheField>
    <cacheField name="Internat DJC Cost" numFmtId="0">
      <sharedItems containsBlank="1" containsMixedTypes="1" containsNumber="1" minValue="241.34213621039655" maxValue="3279.4589319706051"/>
    </cacheField>
    <cacheField name="Overhead Cost" numFmtId="0">
      <sharedItems containsString="0" containsBlank="1" containsNumber="1" minValue="0" maxValue="943.43"/>
    </cacheField>
    <cacheField name="Total Cost" numFmtId="0">
      <sharedItems containsBlank="1" containsMixedTypes="1" containsNumber="1" minValue="0" maxValue="5033.8633333333328"/>
    </cacheField>
    <cacheField name="Margin" numFmtId="0">
      <sharedItems containsBlank="1" containsMixedTypes="1" containsNumber="1" minValue="-1052.658931970605" maxValue="25638.28"/>
    </cacheField>
    <cacheField name="%" numFmtId="0">
      <sharedItems containsBlank="1" containsMixedTypes="1" containsNumber="1" minValue="-0.47272271060293014" maxValue="1"/>
    </cacheField>
    <cacheField name="Status" numFmtId="0">
      <sharedItems containsBlank="1"/>
    </cacheField>
    <cacheField name="Date Expected Payment" numFmtId="0">
      <sharedItems containsNonDate="0" containsDate="1" containsString="0" containsBlank="1" minDate="2016-06-23T00:00:00" maxDate="2017-06-14T00:00:00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Damien Marov" refreshedDate="43245.610674537034" createdVersion="5" refreshedVersion="6" minRefreshableVersion="3" recordCount="142">
  <cacheSource type="worksheet">
    <worksheetSource ref="B2:P19699" sheet="NBN Gfields WIn  Loss"/>
  </cacheSource>
  <cacheFields count="15">
    <cacheField name="PM" numFmtId="0">
      <sharedItems containsBlank="1"/>
    </cacheField>
    <cacheField name="Site Name" numFmtId="0">
      <sharedItems containsBlank="1"/>
    </cacheField>
    <cacheField name="Pending on Outcome" numFmtId="0">
      <sharedItems containsString="0" containsBlank="1" containsNumber="1" minValue="2010" maxValue="14978.69"/>
    </cacheField>
    <cacheField name="Quoted Sum Won" numFmtId="0">
      <sharedItems containsString="0" containsBlank="1" containsNumber="1" minValue="741.95" maxValue="41413.659642857143"/>
    </cacheField>
    <cacheField name="Comments" numFmtId="0">
      <sharedItems containsNonDate="0" containsString="0" containsBlank="1"/>
    </cacheField>
    <cacheField name="PC Request Submit Date" numFmtId="0">
      <sharedItems containsNonDate="0" containsString="0" containsBlank="1"/>
    </cacheField>
    <cacheField name="PC Due Date" numFmtId="0">
      <sharedItems containsNonDate="0" containsString="0" containsBlank="1"/>
    </cacheField>
    <cacheField name="PC Cert issued" numFmtId="0">
      <sharedItems containsNonDate="0" containsString="0" containsBlank="1"/>
    </cacheField>
    <cacheField name="Date PC Approved" numFmtId="0">
      <sharedItems containsNonDate="0" containsString="0" containsBlank="1"/>
    </cacheField>
    <cacheField name="Day difference between PC Request and PC Granted" numFmtId="0">
      <sharedItems containsNonDate="0" containsString="0" containsBlank="1"/>
    </cacheField>
    <cacheField name="Quoted Sum Loss" numFmtId="0">
      <sharedItems containsString="0" containsBlank="1" containsNumber="1" minValue="0" maxValue="35421.440000000002"/>
    </cacheField>
    <cacheField name="Tech Choices Projects Yet award" numFmtId="165">
      <sharedItems containsNonDate="0" containsString="0" containsBlank="1"/>
    </cacheField>
    <cacheField name="Won Less than $2K" numFmtId="0">
      <sharedItems containsNonDate="0" containsString="0" containsBlank="1"/>
    </cacheField>
    <cacheField name="Won Greater than 2K to 5K" numFmtId="1">
      <sharedItems containsString="0" containsBlank="1" containsNumber="1" containsInteger="1" minValue="1" maxValue="1"/>
    </cacheField>
    <cacheField name="Won Greater than 5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Damien Marov" refreshedDate="43245.610675462965" createdVersion="5" refreshedVersion="6" minRefreshableVersion="3" recordCount="142">
  <cacheSource type="worksheet">
    <worksheetSource ref="B2:P1699" sheet="NBN Gfields WIn  Loss"/>
  </cacheSource>
  <cacheFields count="15">
    <cacheField name="PM" numFmtId="0">
      <sharedItems containsBlank="1" count="21">
        <s v="Andrew Patarlis"/>
        <s v="Nabeel Jaimon"/>
        <s v="Ertan Cicek"/>
        <s v="Lindy Chan"/>
        <s v="Andrew Mahassy"/>
        <s v="Michael Tram"/>
        <s v="Mark Leal"/>
        <s v="Vipin K Gajula "/>
        <s v="Dave Yoemans"/>
        <s v="Shaher Aslan"/>
        <s v="Dave Yeomans"/>
        <s v="Paul Hales"/>
        <s v="Sogand Mohat"/>
        <m/>
        <s v="Micheal Tran" u="1"/>
        <s v="Robert Taylor" u="1"/>
        <s v="Andrew Patalis" u="1"/>
        <s v="Greg Thronton" u="1"/>
        <s v="John Maloney" u="1"/>
        <s v="John Luker" u="1"/>
        <s v="Michael Tran" u="1"/>
      </sharedItems>
    </cacheField>
    <cacheField name="Site Name" numFmtId="0">
      <sharedItems containsBlank="1"/>
    </cacheField>
    <cacheField name="Pending on Outcome" numFmtId="0">
      <sharedItems containsString="0" containsBlank="1" containsNumber="1" minValue="2010" maxValue="14978.69"/>
    </cacheField>
    <cacheField name="Quoted Sum Won" numFmtId="0">
      <sharedItems containsString="0" containsBlank="1" containsNumber="1" minValue="741.95" maxValue="41413.659642857143"/>
    </cacheField>
    <cacheField name="Comments" numFmtId="0">
      <sharedItems containsNonDate="0" containsString="0" containsBlank="1"/>
    </cacheField>
    <cacheField name="PC Request Submit Date" numFmtId="0">
      <sharedItems containsNonDate="0" containsString="0" containsBlank="1"/>
    </cacheField>
    <cacheField name="PC Due Date" numFmtId="0">
      <sharedItems containsNonDate="0" containsString="0" containsBlank="1"/>
    </cacheField>
    <cacheField name="PC Cert issued" numFmtId="0">
      <sharedItems containsNonDate="0" containsString="0" containsBlank="1"/>
    </cacheField>
    <cacheField name="Date PC Approved" numFmtId="0">
      <sharedItems containsNonDate="0" containsString="0" containsBlank="1"/>
    </cacheField>
    <cacheField name="Day difference between PC Request and PC Granted" numFmtId="0">
      <sharedItems containsNonDate="0" containsString="0" containsBlank="1"/>
    </cacheField>
    <cacheField name="Quoted Sum Loss" numFmtId="0">
      <sharedItems containsString="0" containsBlank="1" containsNumber="1" minValue="0" maxValue="35421.440000000002"/>
    </cacheField>
    <cacheField name="Tech Choices Projects Yet award" numFmtId="165">
      <sharedItems containsNonDate="0" containsString="0" containsBlank="1"/>
    </cacheField>
    <cacheField name="Won Less than $2K" numFmtId="0">
      <sharedItems containsNonDate="0" containsString="0" containsBlank="1"/>
    </cacheField>
    <cacheField name="Won Greater than 2K to 5K" numFmtId="1">
      <sharedItems containsString="0" containsBlank="1" containsNumber="1" containsInteger="1" minValue="1" maxValue="1"/>
    </cacheField>
    <cacheField name="Won Greater than 5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Damien Marov" refreshedDate="43245.610675810189" createdVersion="5" refreshedVersion="6" minRefreshableVersion="3" recordCount="142">
  <cacheSource type="worksheet">
    <worksheetSource ref="B2:P1695" sheet="NBN Gfields WIn  Loss"/>
  </cacheSource>
  <cacheFields count="15">
    <cacheField name="PM" numFmtId="0">
      <sharedItems containsBlank="1" count="19">
        <s v="Andrew Patarlis"/>
        <s v="Nabeel Jaimon"/>
        <s v="Ertan Cicek"/>
        <s v="Lindy Chan"/>
        <s v="Andrew Mahassy"/>
        <s v="Michael Tram"/>
        <s v="Mark Leal"/>
        <s v="Vipin K Gajula "/>
        <s v="Dave Yoemans"/>
        <s v="Shaher Aslan"/>
        <s v="Dave Yeomans"/>
        <s v="Paul Hales"/>
        <s v="Sogand Mohat"/>
        <m/>
        <s v="Robert Taylor" u="1"/>
        <s v="Greg Thronton" u="1"/>
        <s v="John Maloney" u="1"/>
        <s v="John Luker" u="1"/>
        <s v="Michael Tran" u="1"/>
      </sharedItems>
    </cacheField>
    <cacheField name="Site Name" numFmtId="0">
      <sharedItems containsBlank="1"/>
    </cacheField>
    <cacheField name="Pending on Outcome" numFmtId="0">
      <sharedItems containsString="0" containsBlank="1" containsNumber="1" minValue="2010" maxValue="14978.69"/>
    </cacheField>
    <cacheField name="Quoted Sum Won" numFmtId="0">
      <sharedItems containsString="0" containsBlank="1" containsNumber="1" minValue="741.95" maxValue="41413.659642857143"/>
    </cacheField>
    <cacheField name="Comments" numFmtId="0">
      <sharedItems containsNonDate="0" containsString="0" containsBlank="1"/>
    </cacheField>
    <cacheField name="PC Request Submit Date" numFmtId="0">
      <sharedItems containsNonDate="0" containsString="0" containsBlank="1"/>
    </cacheField>
    <cacheField name="PC Due Date" numFmtId="0">
      <sharedItems containsNonDate="0" containsString="0" containsBlank="1"/>
    </cacheField>
    <cacheField name="PC Cert issued" numFmtId="0">
      <sharedItems containsNonDate="0" containsString="0" containsBlank="1"/>
    </cacheField>
    <cacheField name="Date PC Approved" numFmtId="0">
      <sharedItems containsNonDate="0" containsString="0" containsBlank="1"/>
    </cacheField>
    <cacheField name="Day difference between PC Request and PC Granted" numFmtId="0">
      <sharedItems containsNonDate="0" containsString="0" containsBlank="1"/>
    </cacheField>
    <cacheField name="Quoted Sum Loss" numFmtId="0">
      <sharedItems containsString="0" containsBlank="1" containsNumber="1" minValue="0" maxValue="35421.440000000002"/>
    </cacheField>
    <cacheField name="Tech Choices Projects Yet award" numFmtId="165">
      <sharedItems containsNonDate="0" containsString="0" containsBlank="1"/>
    </cacheField>
    <cacheField name="Won Less than $2K" numFmtId="0">
      <sharedItems containsNonDate="0" containsString="0" containsBlank="1"/>
    </cacheField>
    <cacheField name="Won Greater than 2K to 5K" numFmtId="1">
      <sharedItems containsString="0" containsBlank="1" containsNumber="1" containsInteger="1" minValue="1" maxValue="1"/>
    </cacheField>
    <cacheField name="Won Greater than 5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Damien Marov" refreshedDate="43245.610676736113" createdVersion="6" refreshedVersion="6" minRefreshableVersion="3" recordCount="958">
  <cacheSource type="worksheet">
    <worksheetSource ref="A1:L3252" sheet="Xero Data"/>
  </cacheSource>
  <cacheFields count="12">
    <cacheField name="Job No." numFmtId="0">
      <sharedItems containsBlank="1"/>
    </cacheField>
    <cacheField name="Job Name" numFmtId="0">
      <sharedItems containsBlank="1"/>
    </cacheField>
    <cacheField name="ID No." numFmtId="0">
      <sharedItems containsBlank="1"/>
    </cacheField>
    <cacheField name="Type of Cost" numFmtId="0">
      <sharedItems containsBlank="1"/>
    </cacheField>
    <cacheField name="Cost Code" numFmtId="0">
      <sharedItems containsBlank="1" count="21">
        <s v="NBN A401 Minor Works Credit"/>
        <s v="NBN A417 MDU Credit"/>
        <s v="NBN A401 New Devs Credit"/>
        <s v="NBN A417 MDU DJC Internals"/>
        <s v="NBN A401 New Devs DJC Internals"/>
        <s v="NBN A401 Minor Works DJC Internals"/>
        <s v="Overhead"/>
        <s v="AARNet DJC "/>
        <s v="Visionstream DJC Internals"/>
        <s v="NBN A417 MDU DJC"/>
        <s v="NBN A401 New Devs DJC"/>
        <s v="Overhead Materials"/>
        <s v="AARNet DJC"/>
        <s v="NBN A401 New Devs Internals"/>
        <s v="AARNet DJC Internals"/>
        <m/>
        <s v="Overhead Vehicles"/>
        <s v="NBN A401 New Devs"/>
        <s v="NBN A417 MDU"/>
        <s v="Visionstream DJC"/>
        <s v="NBN A401 Minor Works"/>
      </sharedItems>
    </cacheField>
    <cacheField name="Project Cost" numFmtId="0">
      <sharedItems containsBlank="1"/>
    </cacheField>
    <cacheField name="Date" numFmtId="0">
      <sharedItems containsDate="1" containsBlank="1" containsMixedTypes="1" minDate="2017-06-30T00:00:00" maxDate="2017-09-01T00:00:00"/>
    </cacheField>
    <cacheField name="Month Incurred Credit or Debit" numFmtId="0">
      <sharedItems containsBlank="1" count="10">
        <s v="Jul-17"/>
        <s v="Aug-17"/>
        <m/>
        <s v="Type"/>
        <s v="INV"/>
        <s v="PE"/>
        <s v="WE 13/8/2017"/>
        <s v="WE 20/8/2017"/>
        <s v="PAY"/>
        <s v="MJ"/>
      </sharedItems>
    </cacheField>
    <cacheField name="Memo" numFmtId="0">
      <sharedItems containsBlank="1" longText="1"/>
    </cacheField>
    <cacheField name="Debit" numFmtId="165">
      <sharedItems containsBlank="1" containsMixedTypes="1" containsNumber="1" minValue="-13228.89" maxValue="11570.76"/>
    </cacheField>
    <cacheField name="Project Revenue" numFmtId="0">
      <sharedItems containsBlank="1" containsMixedTypes="1" containsNumber="1" minValue="0.91" maxValue="91272.260000000038"/>
    </cacheField>
    <cacheField name="Credit" numFmtId="165">
      <sharedItems containsBlank="1" containsMixedTypes="1" containsNumber="1" minValue="0.01" maxValue="3471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Damien Marov" refreshedDate="43284.447182523145" createdVersion="6" refreshedVersion="6" minRefreshableVersion="3" recordCount="94">
  <cacheSource type="worksheet">
    <worksheetSource ref="A2:U2432" sheet="Indirect DJC"/>
  </cacheSource>
  <cacheFields count="21">
    <cacheField name="Staff Name" numFmtId="0">
      <sharedItems containsBlank="1"/>
    </cacheField>
    <cacheField name="Date" numFmtId="0">
      <sharedItems containsNonDate="0" containsDate="1" containsString="0" containsBlank="1" minDate="2018-05-01T00:00:00" maxDate="2018-06-30T00:00:00"/>
    </cacheField>
    <cacheField name="Project" numFmtId="0">
      <sharedItems containsBlank="1" count="16">
        <s v="MW21390 - AYCA-4QG9AV - NSB - 33 Shoalhaven St Kiama Surevy &amp; Build"/>
        <s v="MW417R000091-AYCA-57S6JD-2REV-20-50/42 Violet St Revesby "/>
        <s v="MW22297-AYCA-58QIXQ-2LIV-02-29 SCOTT ST, LIVERPOOL"/>
        <s v="OverHead / Public Holiday"/>
        <s v="MW22481 - AYCA-4R2N0H - 2KEL-08 -6,8,9,11 John Hillas Avenue Kellyville "/>
        <s v="MW21857-AYCA-442ZEA- 2PAR-63-2 Good st, Westmead"/>
        <s v="MW22093-AYCA-4RGB2W-2EAS-62-111-139 Darlinghurst Rd, Potts Point"/>
        <s v="MW417R000310--AYCA-5DPOWN-2APN-01-13 Technology Dr, Appin EXT"/>
        <s v="MW22519 - AYCA-4V3JM3 - 2COR-01 - 69 High Street, Thirroul"/>
        <s v="MW417R000169-2MIR-29-STELLAR NPDL_MWR (A417)-Miranda"/>
        <s v="MW22183-AYCA-55F4KR-2REV-20-15 Fitzpatrick St, Revesby"/>
        <s v="MW22188-AYCA-4YPJJH-2BAN-60-62 Hume Hwy Chullora "/>
        <s v="MW22186 - AYCA-3L48XJ - 2CAS-23 - 2 Anella Avenue Castle Hill "/>
        <s v="MW22345-AYCA-4R1HAL-2RIV-07-Crown, Edmund, William St-7 Riverstone"/>
        <s v="MW22420 - AYCA-4RFDRV - 2KIA-03 - 58 Old Saddleback Road Kiama"/>
        <m/>
      </sharedItems>
    </cacheField>
    <cacheField name="Time Start" numFmtId="0">
      <sharedItems containsNonDate="0" containsDate="1" containsString="0" containsBlank="1" minDate="1899-12-30T05:15:00" maxDate="1899-12-30T07:00:00"/>
    </cacheField>
    <cacheField name="Time Finish" numFmtId="0">
      <sharedItems containsNonDate="0" containsDate="1" containsString="0" containsBlank="1" minDate="1899-12-30T15:00:00" maxDate="1899-12-30T19:30:00"/>
    </cacheField>
    <cacheField name="Breaks" numFmtId="0">
      <sharedItems containsString="0" containsBlank="1" containsNumber="1" minValue="0.5" maxValue="0.5"/>
    </cacheField>
    <cacheField name="Hours Worked" numFmtId="0">
      <sharedItems containsString="0" containsBlank="1" containsNumber="1" minValue="-7" maxValue="13"/>
    </cacheField>
    <cacheField name="Normal T" numFmtId="0">
      <sharedItems containsString="0" containsBlank="1" containsNumber="1" minValue="7.5" maxValue="7.6"/>
    </cacheField>
    <cacheField name="T x 1.5" numFmtId="0">
      <sharedItems containsString="0" containsBlank="1" containsNumber="1" minValue="0.25" maxValue="3"/>
    </cacheField>
    <cacheField name="T x 2" numFmtId="0">
      <sharedItems containsString="0" containsBlank="1" containsNumber="1" minValue="0.25" maxValue="2.5"/>
    </cacheField>
    <cacheField name="Total Cost Hours work" numFmtId="0">
      <sharedItems containsString="0" containsBlank="1" containsNumber="1" minValue="0" maxValue="539.57999999999993"/>
    </cacheField>
    <cacheField name="Super" numFmtId="0">
      <sharedItems containsString="0" containsBlank="1" containsNumber="1" minValue="0" maxValue="22.91628"/>
    </cacheField>
    <cacheField name="Travel Time Allowance" numFmtId="0">
      <sharedItems containsString="0" containsBlank="1" containsNumber="1" minValue="3.49" maxValue="9.15"/>
    </cacheField>
    <cacheField name="Meal Allownace" numFmtId="0">
      <sharedItems containsString="0" containsBlank="1" containsNumber="1" minValue="15.03" maxValue="15.03"/>
    </cacheField>
    <cacheField name="Travel Allowance" numFmtId="0">
      <sharedItems containsString="0" containsBlank="1" containsNumber="1" minValue="15.34" maxValue="15.34"/>
    </cacheField>
    <cacheField name="Vehicle per day" numFmtId="0">
      <sharedItems containsString="0" containsBlank="1" containsNumber="1" minValue="41.65" maxValue="41.65"/>
    </cacheField>
    <cacheField name="Fuel per day" numFmtId="0">
      <sharedItems containsString="0" containsBlank="1" containsNumber="1" containsInteger="1" minValue="20" maxValue="21"/>
    </cacheField>
    <cacheField name="Test Equipment per Day" numFmtId="0">
      <sharedItems containsString="0" containsBlank="1" containsNumber="1" minValue="45.1" maxValue="45.1"/>
    </cacheField>
    <cacheField name="Tool Allowance per Day" numFmtId="0">
      <sharedItems containsString="0" containsBlank="1" containsNumber="1" minValue="3.6619999999999999" maxValue="3.6619999999999999"/>
    </cacheField>
    <cacheField name="Mobile Allowance per Day" numFmtId="0">
      <sharedItems containsString="0" containsBlank="1" containsNumber="1" minValue="4.6159999999999997" maxValue="4.6159999999999997"/>
    </cacheField>
    <cacheField name="Total Cost" numFmtId="0">
      <sharedItems containsString="0" containsBlank="1" containsNumber="1" minValue="130.05799999999999" maxValue="698.54274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Damien Marov" refreshedDate="43292.259965393518" createdVersion="6" refreshedVersion="6" minRefreshableVersion="3" recordCount="512">
  <cacheSource type="worksheet">
    <worksheetSource ref="A1:I1000" sheet="Invoices"/>
  </cacheSource>
  <cacheFields count="9">
    <cacheField name="Company" numFmtId="0">
      <sharedItems containsBlank="1" count="34">
        <s v="Altus"/>
        <s v="COG"/>
        <s v="Craig Comms"/>
        <s v="Sand 4 U"/>
        <s v="Rainer"/>
        <s v="Central Coast Council"/>
        <s v="KSJDA"/>
        <s v="Quibcon"/>
        <s v="Schokmans"/>
        <s v="Alliance Geotechnical"/>
        <s v="OS Cable Services"/>
        <s v="L&amp;M Trenchless"/>
        <s v="Hills Council"/>
        <s v="Pacific Utilities"/>
        <s v="LCC"/>
        <s v="Global Elite technologies   "/>
        <s v="Cumberland Council"/>
        <s v="Cylas"/>
        <s v="Hunter West Civil &amp; Data"/>
        <s v="Friend Civil"/>
        <s v="Wireless &amp; Optical"/>
        <s v="Polite Enterprises"/>
        <s v="Comms Connect"/>
        <s v="Daen Connect"/>
        <s v="Nintey Nine Group"/>
        <s v="Qubicon"/>
        <s v="Corrosion Control Engineering"/>
        <s v="Paramount Telecom"/>
        <s v="Canterbury Concil"/>
        <s v="Blacktown Council"/>
        <s v="Michael Gale"/>
        <s v="Marshall Directional Drilling"/>
        <s v="Burwood Council"/>
        <m/>
      </sharedItems>
    </cacheField>
    <cacheField name="Invoice No" numFmtId="0">
      <sharedItems containsBlank="1"/>
    </cacheField>
    <cacheField name="Date of Invoice" numFmtId="0">
      <sharedItems containsNonDate="0" containsDate="1" containsString="0" containsBlank="1" minDate="2017-01-08T00:00:00" maxDate="2018-07-07T00:00:00"/>
    </cacheField>
    <cacheField name="Payment Month" numFmtId="0">
      <sharedItems containsNonDate="0" containsDate="1" containsString="0" containsBlank="1" minDate="2017-02-28T00:00:00" maxDate="2018-09-01T00:00:00" count="32">
        <d v="2017-06-30T00:00:00"/>
        <d v="2017-07-31T00:00:00"/>
        <d v="2017-08-31T00:00:00"/>
        <d v="2017-09-30T00:00:00"/>
        <d v="2017-10-31T00:00:00"/>
        <d v="2017-11-30T00:00:00"/>
        <m/>
        <d v="2017-12-31T00:00:00"/>
        <d v="2018-01-31T00:00:00"/>
        <d v="2018-02-28T00:00:00"/>
        <d v="2017-02-28T00:00:00"/>
        <d v="2018-03-31T00:00:00"/>
        <d v="2018-04-30T00:00:00"/>
        <d v="2018-05-31T00:00:00"/>
        <d v="2018-06-30T00:00:00"/>
        <d v="2018-05-26T00:00:00"/>
        <d v="2018-05-13T00:00:00"/>
        <d v="2018-06-01T00:00:00"/>
        <d v="2018-06-07T00:00:00"/>
        <d v="2018-06-19T00:00:00"/>
        <d v="2018-06-20T00:00:00"/>
        <d v="2018-07-31T00:00:00"/>
        <d v="2018-06-26T00:00:00"/>
        <d v="2018-06-27T00:00:00"/>
        <d v="2018-07-01T00:00:00"/>
        <d v="2018-07-05T00:00:00"/>
        <d v="2018-07-11T00:00:00"/>
        <d v="2018-08-31T00:00:00"/>
        <d v="2018-07-16T00:00:00"/>
        <d v="2017-07-01T00:00:00" u="1"/>
        <d v="2017-07-02T00:00:00" u="1"/>
        <d v="2017-07-03T00:00:00" u="1"/>
      </sharedItems>
    </cacheField>
    <cacheField name="Client" numFmtId="0">
      <sharedItems containsBlank="1"/>
    </cacheField>
    <cacheField name="FSAM / Job" numFmtId="0">
      <sharedItems containsBlank="1"/>
    </cacheField>
    <cacheField name="FDA" numFmtId="0">
      <sharedItems containsBlank="1"/>
    </cacheField>
    <cacheField name="Cat" numFmtId="0">
      <sharedItems containsBlank="1"/>
    </cacheField>
    <cacheField name="Amount" numFmtId="0">
      <sharedItems containsString="0" containsBlank="1" containsNumber="1" minValue="-100.8" maxValue="343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Damien Marov" refreshedDate="43292.260712268515" createdVersion="6" refreshedVersion="6" minRefreshableVersion="3" recordCount="958">
  <cacheSource type="worksheet">
    <worksheetSource ref="A1:L3500" sheet="Xero Data"/>
  </cacheSource>
  <cacheFields count="12">
    <cacheField name="Job No." numFmtId="0">
      <sharedItems containsBlank="1"/>
    </cacheField>
    <cacheField name="Job Name" numFmtId="0">
      <sharedItems containsBlank="1"/>
    </cacheField>
    <cacheField name="ID No." numFmtId="0">
      <sharedItems containsBlank="1"/>
    </cacheField>
    <cacheField name="Type of Cost" numFmtId="0">
      <sharedItems containsBlank="1"/>
    </cacheField>
    <cacheField name="Cost Code" numFmtId="0">
      <sharedItems containsBlank="1" count="21">
        <s v="NBN A401 Minor Works Credit"/>
        <s v="NBN A417 MDU Credit"/>
        <s v="NBN A401 New Devs Credit"/>
        <s v="NBN A417 MDU DJC Internals"/>
        <s v="NBN A401 New Devs DJC Internals"/>
        <s v="NBN A401 Minor Works DJC Internals"/>
        <s v="Overhead"/>
        <s v="AARNet DJC "/>
        <s v="Visionstream DJC Internals"/>
        <s v="NBN A417 MDU DJC"/>
        <s v="NBN A401 New Devs DJC"/>
        <s v="Overhead Materials"/>
        <s v="AARNet DJC"/>
        <s v="NBN A401 New Devs Internals"/>
        <s v="AARNet DJC Internals"/>
        <m/>
        <s v="Overhead Vehicles"/>
        <s v="NBN A401 New Devs"/>
        <s v="NBN A417 MDU"/>
        <s v="Visionstream DJC"/>
        <s v="NBN A401 Minor Works"/>
      </sharedItems>
    </cacheField>
    <cacheField name="Project Cost" numFmtId="0">
      <sharedItems containsBlank="1"/>
    </cacheField>
    <cacheField name="Date" numFmtId="0">
      <sharedItems containsDate="1" containsBlank="1" containsMixedTypes="1" minDate="2017-06-30T00:00:00" maxDate="2017-09-01T00:00:00"/>
    </cacheField>
    <cacheField name="Month Incurred Credit or Debit" numFmtId="0">
      <sharedItems containsBlank="1" count="10">
        <s v="Jul-17"/>
        <s v="Aug-17"/>
        <m/>
        <s v="Type"/>
        <s v="INV"/>
        <s v="PE"/>
        <s v="WE 13/8/2017"/>
        <s v="WE 20/8/2017"/>
        <s v="PAY"/>
        <s v="MJ"/>
      </sharedItems>
    </cacheField>
    <cacheField name="Memo" numFmtId="0">
      <sharedItems containsBlank="1" longText="1"/>
    </cacheField>
    <cacheField name="Debit" numFmtId="165">
      <sharedItems containsBlank="1" containsMixedTypes="1" containsNumber="1" minValue="-13228.89" maxValue="11570.76"/>
    </cacheField>
    <cacheField name="Project Revenue" numFmtId="0">
      <sharedItems containsBlank="1" containsMixedTypes="1" containsNumber="1" minValue="0.91" maxValue="91272.260000000038"/>
    </cacheField>
    <cacheField name="Credit" numFmtId="165">
      <sharedItems containsBlank="1" containsMixedTypes="1" containsNumber="1" minValue="0.01" maxValue="3471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Damien Marov" refreshedDate="43293.351933564816" createdVersion="6" refreshedVersion="6" minRefreshableVersion="3" recordCount="512">
  <cacheSource type="worksheet">
    <worksheetSource ref="A1:I1997" sheet="Invoices"/>
  </cacheSource>
  <cacheFields count="9">
    <cacheField name="Company" numFmtId="0">
      <sharedItems containsBlank="1"/>
    </cacheField>
    <cacheField name="Invoice No" numFmtId="0">
      <sharedItems containsBlank="1"/>
    </cacheField>
    <cacheField name="Date of Invoice" numFmtId="0">
      <sharedItems containsNonDate="0" containsDate="1" containsString="0" containsBlank="1" minDate="2017-01-08T00:00:00" maxDate="2018-07-17T00:00:00"/>
    </cacheField>
    <cacheField name="Payment Month" numFmtId="0">
      <sharedItems containsNonDate="0" containsDate="1" containsString="0" containsBlank="1" minDate="2017-02-28T00:00:00" maxDate="2018-09-01T00:00:00"/>
    </cacheField>
    <cacheField name="Client" numFmtId="0">
      <sharedItems containsBlank="1"/>
    </cacheField>
    <cacheField name="FSAM / Job" numFmtId="0">
      <sharedItems containsBlank="1"/>
    </cacheField>
    <cacheField name="FDA" numFmtId="0">
      <sharedItems containsBlank="1" count="278">
        <s v="ICQ-315 IPT2073 WSU Parramatta Square Western Lead-in"/>
        <s v="ICQ-459 IPT2506 NSW HEALTH AUBURN HOSPITAL  "/>
        <s v="MW20680 - 2BLK-02/07 - MPS-032 &amp; MPS-010"/>
        <s v="MW20532 - 2WYO-01 - AYCA-47OSBM - Pacific Business Centre"/>
        <s v="MW20554 - AYCA-2DO5HN - MNJG 145 Princes Hwy Dapto - 1"/>
        <s v="2DAL-24 MPS-008"/>
        <s v="MW20104 2GOS-06 LNDN Koala"/>
        <s v="MW20615 - AYCA-3ZMQUE - Grove Family Trust – 1"/>
        <s v="MW20698 - AYCA-1SQ3K5 - 189 Macquarie Street"/>
        <s v="MW20767 - AYCA-1PM9JB - 2GRA-64 - Merrylands Rd"/>
        <s v="MW20648-2KEL-03 -AYCA-3BH4IQ - Lot A, 8 Merriville Road - 1"/>
        <s v="MW20436 - AYCA-3B8YY0 - Warrana Place – 2"/>
        <s v="MW20729 - COR-04 - AYCA-4D6AY6 - 94 POPES RD"/>
        <s v="MW20604 - AYCA-46I5YX - 878 Pacific Hwy, Lisarow"/>
        <s v="MW20927 - 2ASH-61 - AYCA-482KZM - Lionsgate Projects – 1"/>
        <s v="MW20764 - 2BLK-12-07 - Lot 21 Western MTQY/2 Rudders/Unit 40 - 15 Valediction"/>
        <s v="MW20367 - AYCA-3H6ZBG - 2NRN-03 - 61 Smeaton Grange Rd,"/>
        <s v="MW21223 - AYCA-2568YW - 25 29 Harbour St"/>
        <s v="MW20385 - AYCA-38OMCL - 6 Hepher Rd, Campbelltown"/>
        <s v="MW20875 - ACYA-3W8TJD - 31-33 Irelands Road Blacktown "/>
        <s v="MW20806 - 2EPS-61 -AYCA-42J4C9– 54 Tyrone Place, Erskine Park - Loscam"/>
        <s v="MW21095 - AYCA-4K6BDG - Melito Drive Externals"/>
        <s v="MW21062 - AYCA-4IDMPC- 2REV-20 - 9 Fitzpatrick St - 1"/>
        <s v="MW20585 - AYCA-3KUUY6 - 2WOY-09 - Brittwood "/>
        <s v="2DAL-23 MPS-004"/>
        <s v="2DAL-23 MPS-003"/>
        <s v="MW20495 - 2CBT-09 - MPS-01 - FTTN-FTTB Construction "/>
        <s v="MW21092 - AYCA-1NGPGW - 2BRG-03Gledswood"/>
        <s v="MW20941 - AYCA-2KQ04J -2KEL-01 - 112 Hambledon"/>
        <s v="MW20628 - AYCA-32PR0X - 2ROU-03 - 21 Hezlett Rd Kellyville 1"/>
        <s v="MW21209 - AYCA-4K7VB2 -2TWH-05 - River Views – 1"/>
        <s v="MW20966 - 2BLK-11 - AYCA-3W8LJB - 42-44 Norfolk St"/>
        <s v="MW20844 - 2TAH-02 - AYCA-3YUT4L - Brundah Road - 1"/>
        <s v="MW20817 - 2LIV-12 - 2QUA – 02- 2PTH-02 - Glenfield_Margo_Jamison"/>
        <s v="MW20798 - AYCA-2LT5GF - Castlereagh Street - 1"/>
        <s v="MW20318 - AYCA-35AM2J - NENSW0608 - Yarrandale Road"/>
        <s v="MW21085 - 2ROU-02 - AYCA-47PV52 - Non Standard Builds - 22-24 Barry Road "/>
        <s v="MW20939 - AYCA-2Y4BYB -2PEN-64 - 344 GWH Wentworthville – 1- EXTERNAL"/>
        <s v="MW21250 - AYCA-4BEC9X-2LIV-68-The Birdwood"/>
        <s v="MW21015 - AYCA-1Z6XAC -1-9 Florence Street &amp; 19-23 Quinn Street "/>
        <s v="MW20812 - 2WLG-01 - 2LIV-04 - Crown, Kembla, Macquarie, George"/>
        <s v="MW20821 - AYCA-45D358 NSB Albuera Close -  BUILD"/>
        <s v="MW21052 - 2MAI-11 - AYCA-3OLAP3-WA Brown INTERNAL"/>
        <s v="MW21478-AYCA-4PIZ8V  -2MYF-02 - The Furnace - 1 – EXTERNAL    "/>
        <s v="MW21104 - AYCA-3UHHF8-2LIV-12-25 Glenfield Road "/>
        <s v="MW21471 - AYCA-2T1HEY -2KIL-63 - RIDGE CENTRE - 1-E XTERNAL "/>
        <s v="MW21512 - AYCA-4IUR86 - 2NLT-09 - Clarendene - 1"/>
        <s v="MW21285 - AYCA-496F3H - 2MSV-04 - 8 Bendooley Street Bowral"/>
        <s v="MW21483 - AYCA-2Y1KQS - Charles Banks – 1- EXTERNAL"/>
        <s v="MW20692 - AYCA-2HTGPP - Scalabrini Village Residential"/>
        <s v="MW21425 - AYCA-2IQYU1 - 2LIV-04 - Macquaire St Development – 1-EXTERNAL"/>
        <s v="MW21452 - AYCA-4FFBGM - 2PIT-01 - The Oaks Development"/>
        <s v="MW20865 - AYCA-2K3SGD - 2NWR-03 - Elian Crescent 1."/>
        <s v="MW21322 - AYCA-4FHB4D - 2SHH-02 - 3 Bellbird Close Barrack Heights"/>
        <s v="MW21006 - AYCA-49DNJ1 - Nowra BP &amp; McDonalds - 1-  INTERNAL AND EXTERNAL"/>
        <s v="MW21244 - AYCA-4J7JTW - 2LIV-03 - Passefield St"/>
        <s v="MW21426 - AYCA-3QAOV2 - 2PTH-05 - Meyer Timber NSW"/>
        <s v="MW21293 - AYCA-4GNO0E - 2LIV-63 - Coopers Paddock - 1-  INTERNAL "/>
        <s v="MW21205 - AYCA-3349N6 - 2RIV-02 - The Maples - 2             "/>
        <s v="MW21458 - AYCA-4DZEDU-2LID-07-Auburn Vista - 1 - EXTERNAL"/>
        <s v="MW21281 - AYCA-3K4RCM - Marsden Park Tonzat Development - 2"/>
        <s v="MW20154 - 2WLG-01 &amp; 02 "/>
        <s v="MW21381 - AYCA-4B5X29 - 2LIV-03 - 209-213 Memorial Ave - 1- EXTERNAL"/>
        <s v="MW21311 - AYCA-4N13KQ - 2WAU-21 - 127 Cameron St"/>
        <s v="MW21484 - AYCA-2CO7SU - 2ARM-04 - Brown - 1"/>
        <s v="MW20843 - AYCA-4EIN5M - 2KCL-02 - 171 Casuarina Way Pty Ltd - 1- EXTERNAL"/>
        <s v="MW21386 - 2PTH-05 - AYCA-3BBYF2 - 40-50 Union Rd, Penrith"/>
        <s v="MW20777 - AYCA-46PUI1 -2HBD-21 - 724 Pittwater Rd Brookvale / Lakeview"/>
        <s v="MW21505-AYCA-2AS459-2LID-05 -22-26 Ann Street Lidcombe"/>
        <s v="MW21540-2LIV-02- AYCA-3DOI9R 166/176-178 Terminus ST ,Liverpool "/>
        <s v="MW21384 - 2PEN-65  - AYCA-4LWMQ0 - 271 Dunmore Street - 1- EXTERNAL"/>
        <s v="MW21026 - 2HOR-62 - AYCA-3TQB8K - MOUNT COLAH GARDENS - 2 - EXTERNAL"/>
        <s v="MW21120 - 2EDG-62 - AYCA-4GJD8J - 10 COURT ROAD - External"/>
        <s v="MW20686 - AYCA-1RBL6L - The North Village , Kellyville - 1"/>
        <s v="MW21072 - 2PKS-20 - AYCA-49I4SO - 72 Brolgan Road "/>
        <s v="MW21373 - AYCA-4O5GBC -  2WET-65 - 106 Chifley Street - Smithfield"/>
        <s v="MW21369 - AYCA-4EEPL6 - Rosebery Park - EXTERNAL"/>
        <s v="MW21056 - AYCA-4BYB3Q -33 Dunning Ave - 1- EXTERNAL"/>
        <s v="MW21651-AYCA-21BAAK-2BAN-64-Stacey Apartments - 1"/>
        <s v="MW21551 - AYCA-4EN7KA - 2KNS-04 - Lewis &amp; Co - 1"/>
        <s v="MW21552 - 2KNS-21 - AYCA-4SJ1RQ 18 Armstrong St West Wollongong NSW 2500 -EXTERNAL"/>
        <s v="MW21539 - 2WLG-05 - AYCA-4SJ1RQ 18 Armstrong St West Wollongong NSW 2500 –INTERNAL"/>
        <s v="MW21591 - AYCA-3KWVLI - 2ROU-03 - 4 Curtis Road, Kellyville - 1"/>
        <s v="MW21611-AYCA-3K2CFZ -2CBT-05-Modco Boarding House 1"/>
        <s v="MW20778 - AYCA-40UXV5 - 163 Parker St, South Penrith Ext"/>
        <s v="MW21457 - 2NEW-63 - AYCA-4QLE5J - Ara on Park - 1 - EXTERNAL"/>
        <s v="MW21145 - AYCA-4KU6BE -OOMWI - 2WET-20 - Seniors Housing"/>
        <s v="MW21108 - 2NEW-03 - AYCA-4D6F80 - Casa - Terraces "/>
        <s v="MW21067 - 2PTH-01 - AYCA-3VF189 - 293-295 Jamison – 1 EXTERNAL"/>
        <s v="MW21538 - 2PAR-63-AYCA-44DU8G 8-10 FRASER ST, WESTMEAD, NSW, 2145"/>
        <s v="02470125 - Lot 1, 42 Oxley Drive, Bowral, NSW 2576 (ROBINWOOD COTTAGE)"/>
        <s v="MW21464 - 2NRN-03 - AYCA-4EAKM1-63 SGR - 1- EXTERNAL"/>
        <s v="MW21570 - AYCA-1L7010  - 2LID-08 - Mixed Use Development - Tower A and B"/>
        <s v="MW21537 - AYCA-424B5V- 2LID-05- 9-13 GELIBOLU PARADE, AUBURN"/>
        <s v="MW21456 - 2BLK-07-16, 51 Huntingwood Drive"/>
        <s v="MW21639-AYCA-4SZLC6 -2PTH-02- William Younis - 1"/>
        <s v="MW21472 -  AYCA-4G5CSP - 2GRK-01 - 20 Stanley Street Wyongah"/>
        <s v="MW21473 - AYCA-3TNJ90-64 - 2ERN-03 - James Sea Drive, Green Point"/>
        <s v="MW21649- AYCA-1Y6XJM-2KIL-61-GORDON 2 – 1"/>
        <s v="MW21652-AYCA-2ILOMV - 2ASH-05-INFINTY - 1"/>
        <s v="MW21620- AYCA-4SM2C7 - 2LIV-03-60-62 Passefield Street, Liverpool"/>
        <s v="MW21453 - AYCA-2RVC4H - 2LIV-04 - 100 Macquarie Street Liverpool - 1- EXTERNAL"/>
        <s v="MW21556  - AYCA-1XCONO -2NEW-22 - Ablin Erskineville Pty Ltd "/>
        <s v="MW21493 - AYCA-3O0SC6 - 2PTH-02 - Hope Gardens - 1"/>
        <s v="MW21835-AYCA-4MJ7W3-2WRO-63-201 Chapel St, Armidale"/>
        <s v="MW20507 - AYCA-2Y5DX4 - Bridgeland Investment"/>
        <s v="INC000007076078 - Lot 10, 15 Moles Street, Albion Park,"/>
        <s v="INC000007228306 - 2 Lovelle St, Moss Vale, NSW"/>
        <s v="INC000007302762- Lot 81, 70 Point St, Bulli"/>
        <s v="INC000007271428 – Lot 12, 21 Sharwood Pl, Gerringong"/>
        <s v="MW21523 - 2EPP-62 - AYCA-20PHAM-20-28 CAMBRIDGE ST EPPING"/>
        <s v="MW21919-AYCA-35Q2VE-2KEL-07-9 Fairway Drive, Kellyville"/>
        <s v="MW22072-AYCA-4YFIWK-2HOM-03-4 EXTER RD, HOMEBUSH WEST"/>
        <s v="MW21271 - AYCA-45TAFX  - 2MRS-03-Cooranbong - 1"/>
        <s v="MW21642- AYCA-48KUSD-2NRN-10 - 79-85 TURNER ROAD, GREGORY HILLS"/>
        <s v="MW21947-AYCA-54T32P-2MIL-01-Ryan &amp; Burrows Avenue"/>
        <s v="MW21178 - 2LID-06 - AYCA-32WJ4A - John St - 2 - INTERNAL"/>
        <s v="MW21397 - AYCA-32WJ4A - 2LID-06 -  John St - 2- EXTERNAL"/>
        <s v="INC000007044511 - Lot 857, 93 Leumeah Street, Sanctuary Point, NSW 2540"/>
        <s v="INC000007403862 –  49 RACECOURSE RD, ORANGE"/>
        <s v="MW20682 - AYCA-3NDQ7T - 2ROU-04 - 67 Barry Street"/>
        <s v="MW20627 - AYCA-40UYFT - 2PKE-06 - Berkeley "/>
        <s v="MW21921-AYCA-4MOKVP-2TAR-01-22 Elwell CL, Beresfield"/>
        <s v="MW22034-AYCA-4DZ83F-2NLT-01-6 Callan Avenue Maryland "/>
        <s v="MW22009-AYCA-4L6PEC-2OBA-20-Brooks close, Old Bar"/>
        <s v="MW21532 - AYCA-4TBHNX - 2SHH-05 - NSB - 125 LAKE ENTRANCE - SURVEY"/>
        <s v="VPL New Devs - 2CAM-60-AYCA-4VCIKM"/>
        <s v="VPL New Devs - 2BUR-03-AYCA-2EBL4P"/>
        <s v="MW21861-AYCA-4GPKZN-2RED-03-713-717 Elizabeth St, Waterloo"/>
        <s v="MW21724-AYCA-3TP6RP-2SIL-04-Majors Bay Mortlake Residential "/>
        <s v="MW21857-AYCA-442ZEA- 2PAR-63-2 Good st, Westmead"/>
        <s v="MW21966-AYCA-52950S-2BUR-65-147 - 153 Liverpool Rd, Burwood"/>
        <s v="MW20116 - AYCA-3I8XUO - 2RDL-60 - Highgardens – 1- EXTERNAL"/>
        <s v="MW21881-AYCA-2YGB4Y-2BLK-01-EXTERNAL"/>
        <s v="MW22032-AYCA-4C48KZ-2MDG-01-4 Lewis Street Mudgee"/>
        <s v="MW21967-AYCA-4UKN6A-2WET-65-727 The Horsley Dr, Smithfield"/>
        <s v="MW22017-AYCA-413V2N-2HOM-03-16 - 20 Smallwood Ave, Homebush"/>
        <s v="MW21756-AYCA-3K4RCM-2RIV-03-Marsden Park Tonzat Development - 2"/>
        <s v="MW21704 - AYCA-4RDSRL - 2BLK-12-bedford gardens - 1"/>
        <s v="MW21637-AYCA-4OHMS3 - 2BLK-07 -35 Holbeche road, Arndell Park - EXT"/>
        <s v="2MON-25 Validation and GIS Services"/>
        <s v="2MIR-29 GIS Services"/>
        <s v="MW22100 - AYCA-4QBUIV - 2KTB-02 -  NSB - Letitia St Katoomb"/>
        <s v="VPL New Devs - 2PET-69-AYCA-3G34XT"/>
        <s v="2MIR-22 Validation and GIS Services"/>
        <s v="MW22011-AYCA-4GRO21-2RTC-20-55 Kingston Parade, Heatherbae"/>
        <s v="2MIR-26, Validation and GIS services"/>
        <s v="MW22196 - AYCA-4VVND3 - 2ORG-01 - 258 CLERGATE RD, ORANGE"/>
        <s v="MW22366-AYCA-117I3H-2RIV-01-34 Station Street Schofields"/>
        <s v="MW22333 - AYCA-54SUCD - 2PKE-06 - Warehouse Pl Berkeley"/>
        <s v="MW21820-AYCA-4W4BKH-2HOM-02-38 Weeroona Rd, Strathfield EXT"/>
        <s v="MW22454-AYCA-2CVKCU-2ROT-60-60 Wallgrove Rd Easter Creek "/>
        <s v="MW22022--AYCA-3TBATE-2PAR-6111 Hassall St, Paramatta"/>
        <s v="MW22265-AYCA-4R1HNT-2MIL-62-6-8 Facey Cres Lurnea "/>
        <s v="MW21970-AYCA-4YZGFK-2PEN-66-51 Boronia St, South Wentworthville"/>
        <s v="MW22347-AYCA-4XTH50-2HOM-03-31-35 Smallwood Ave Homebush "/>
        <s v="MW22057 - AYCA-4EOA07-2MIR-24 - 298-300 Taren Point Rd, Caringbah"/>
        <s v="MW20917 - AYCA-3A485K -2LID-03 -  Lidbury Street Berala - 1 - EXTERNAL"/>
        <s v="MW22091-AYCA-4MNF1P-2NRN-10-11 &amp; 15 Holborn Circuit, Gregory Hills "/>
        <s v="MW22093-AYCA-4RGB2W-2EAS-62-111-139 Darlinghurst Rd, Potts Point"/>
        <s v="MW22478 - AYCA-501QN5 - 2CAS-23 - 30 Pentonville Parade, Castle Hill "/>
        <s v="MW21097 - 2LIV-04 - AYCA-476RM9 - NSB - 87-91 Campbell St Build"/>
        <s v="MW21456 - 2BLK-07-16 - 51 Huntingwood Drive"/>
        <s v="VPL New Devs 2PET-67-AYCA-4W7GEZ"/>
        <s v="MW22223-AYCA-4S0RD5-2RIV-03-14 Argowan Rd Schofields"/>
        <s v="MW22208-AYCA-4PWSOZ- 2KEL-07-1B Fairway Dr Kellyville"/>
        <s v="VPL New Devs - 2NRN-05-AYCA-4B5K39"/>
        <s v="MW22288-AYCA-4R7UP6-2MIL-04-40 Government Rd, Hinchinbrook"/>
        <s v="MW22260-AYCA-56YKSC-2CAM-02-38 Wonga St, Canterbury"/>
        <s v="MW22258-AYCA-4BT0OX-2RIV-02-66 Schofields Road Schofields"/>
        <s v="MW22390-AYCA-4EE89M-2RIV-04-15 Boundary Rd Box Hill"/>
        <s v="MW21390 - AYCA-4QG9AV - NSB - 33 Shoalhaven St Kiama Surevy &amp; Build"/>
        <s v="2BRI-20, Validation and GIS services"/>
        <s v="2MAN-20, Validation and GIS services"/>
        <s v="2WWA-20, Validation and GIS services"/>
        <s v="2WLH-20, Validation and GIS services"/>
        <s v="2MIR-25, Validation and GIS services"/>
        <s v="MW22309-AYCA-3V5BM6-2DRU-61-197-199 Lyons Rd Drummoyne "/>
        <s v="2NDS-01, Validation and GIS services"/>
        <s v="2ERP-20, Validation and GIS services"/>
        <s v="2CTH-20, Validation and GIS services"/>
        <s v="MW22477 - AYCA-4XVGZ8 -  2WYO-03 -140 Pacific Highway Tuggerah"/>
        <s v="2POR-20, Validation and GIS services"/>
        <s v="2LCT-20, Validation and GIS services"/>
        <s v="2DRG-20, Validation and GIS services"/>
        <s v="MW417R000098-AYCA-4TC0MT-2QUA-65-50 Farnham Rd, Quakers Hill"/>
        <s v="2MIR-31, Validation and GIS services"/>
        <s v="2SPW-20, Validation and GIS services"/>
        <s v="2SPW-21, Validation and GIS services"/>
        <s v="2MON-28, Validation and GIS services"/>
        <s v="MW21521-AYCA-1OHQX6 -2ROU-02-Lake Promenade - Building C- EXTERNAL"/>
        <s v="MW22331-AYCA-3CFI3W-2EPP-05-120 Herring Road Marsfield"/>
        <s v="MW22279-AYCA-45Q6J5-2EPP-62-35 Oxford St Epping"/>
        <s v="MW22526-AYCA-4T7JU2-2MIR-25-13 Dudley Avenue Caringbah South "/>
        <s v="MW22218 - AYCA-4JMOL9 - 2DRU-60 - 50-52 East St, Five Dock"/>
        <s v="MW22195 - AYCA-4SOX62-2LIV-03- 186 Moore St Liverpool"/>
        <s v="MW20888 - 2HOR-62 - AYCA-39AB50 -2HOR-62 -JAAN – 1"/>
        <s v="MW417R000222-AYCA-4VFYJV-2BAN-64-27-37 Percy St, Bankstown"/>
        <s v="MW22336-AYCA-4MJKV1-2KMS-21-Lot 37 Springfields Drive, Greenhill"/>
        <s v="MW22301-AYCA-541Y7O-2WAU-20-728-730 Beechwood"/>
        <s v="MW417R000065- AYCA-59DV6W-2CRR-72-Nelson St, Fairfield"/>
        <s v="MW417R000124-AYCA-58BKNK-2RYD-66-2-6 Junction St Ryde"/>
        <s v="MW417R000151-AYCA-4PBBAI-2RYD-01-6,8,10,12 Anderson Avenue Ryde "/>
        <s v="MW22420 - AYCA-4RFDRV - 2KIA-03 - 58 Old Saddleback Road Kiama"/>
        <s v="MW22171-AYCA-54VFA3-2COR-02- 50 Squires Cres Coledale"/>
        <s v="2MIR-24, Validation and GIS services"/>
        <s v="MW21524 -  AYCA-47C97W-2BLK-01 -51 Kildare Rd Blacktown"/>
        <s v="MW417R000051-AYCA-55JW1J-2BOT-01-180 – 188 Maroubra Rd, Maroubra "/>
        <s v="MW22055-AYCA-52ZO0L-2LID-04-32 Norval St Auburn   INT"/>
        <s v="MW417R000070-AYCA-52UC2N-2WRO-63-Beech Rd Casula "/>
        <s v="MW22023-AYCA-48280D - 2RED-03 -  906 Bourke St, Zetland"/>
        <s v="MW22314-AYCA-4A5XPU-2BLK-11-29 Norfolk Street, Blacktown"/>
        <s v="AYCA‐52JYBU NBN Tech Choice 7 Buggy Crescent McKellar"/>
        <m/>
        <s v="NBN Greenfields - AYCA-3W8TJD - 31-33 Irelands Road, Blacktown" u="1"/>
        <s v="NBN Greenfields - AYCA-3OLAP3-WA Brown Build" u="1"/>
        <s v="NBN Greenfields - AYCA-2LT5GF - Castlereagh Street" u="1"/>
        <s v="NBN A417 - AYCA-3UHHF8-2LIV-12-25 Glenfield Road " u="1"/>
        <s v="NBN Greenfields - AYCA-3EU3E4 - Margo Place Schofields" u="1"/>
        <s v="NBN Assurance work sth coast" u="1"/>
        <s v="NBN A417 - AYCA-3ZMQUE -Grove Family Trust " u="1"/>
        <s v="NBN A401 New DevsGreenfields - AYCA-3BH4IQ - Lot A, 8 Merriville Road" u="1"/>
        <s v="NBN AYCA-4PIZ8V  -The Furnace - 1 – EXTERNAL   " u="1"/>
        <s v="MW21386 - AYCA-3BBYF2 - 2PTH-05 - 40-50 Union Rd, Penrith  EXTERNAL" u="1"/>
        <s v="MW21244 -2LIV-03 - AYCA-4J7JTW - Passefield St" u="1"/>
        <s v="VPL - 2DAL-26 - MPS - 007" u="1"/>
        <s v="2PET-67-AYCA-4W7GEZ," u="1"/>
        <s v="MW21381 - 2LIV-03 - AYCA-4B5X29 - 209-213 Memorial Ave - 1- EXTERNAL" u="1"/>
        <s v="Minor Works - MW20812 - 2WLG-01 - 2LIV-04 - Crown, Kembla, Macquarie, George" u="1"/>
        <s v="MW21425 - 2LIV-04 - AYCA-2IQYU1 - Macquaire St Development – 1-EXTERNAL" u="1"/>
        <s v="NBN Greenfields - AYCA-1NGPGW -  2BRG-03 - GLEDSWOOD HILLS" u="1"/>
        <s v="NBN Greenfields - AYCA-2568YW - 2WLG-01 -25-29 Harbour St – 1" u="1"/>
        <s v="NBN Greenfields - AYCA-2Y4BYB -344 GWH Wentworthville" u="1"/>
        <s v="NBN Greenfields - AYCA-4K6BDG - Melito Drive - 1" u="1"/>
        <s v="NBN Greenfields - AYCA-482KZM 35 Georges River Rd Croydon Park" u="1"/>
        <s v="MW21471 - 2KIL-63 - AYCA-2T1HEY -RIDGE CENTRE - 1-EXTERNAL" u="1"/>
        <s v="NBN Greenfields - AYCA-1Z6XAC -1-9 Florence Street &amp; 19-23 Quinn Street" u="1"/>
        <s v="NBN Greenfields - AYCA-2568YW - 25 29 Harbour St" u="1"/>
        <s v="NBN Greenfields - AYCA-3KUUY6 - 2WOY-09 - Brittwood " u="1"/>
        <s v="MW20843 - 2KCL-02 - AYCA-4EIN5M - 171 Casuarina Way Pty Ltd – 1- EXTERNAL" u="1"/>
        <s v="MW20812 - 2WLG-01 - 2LIV-04 - Crown, Kembla" u="1"/>
        <s v="NBN Greenfields - AYCA-3H6ZBG - 61 Smeaton Grange Rd " u="1"/>
        <s v="NBN Greenfields - AYCA-4D6AY6 - NON STANDARD BUILD - 94 POPES RD " u="1"/>
        <s v="NBN Greenfields -  AYCA-4IDMPC- 9 Fitzpatrick St - 1" u="1"/>
        <s v="NBN Greenfields - AYCA-35AM2J - NENSW0608 - Yarrandale Road" u="1"/>
        <s v="MW21472 - 2GRK-01 - AYCA-4G5CSP - 20 Stanley Street Wyongah" u="1"/>
        <s v="NBN Greenfields - AYCA-3YUT4L - Brundah Road" u="1"/>
        <s v="NBN A401 MW20104 2GOS-06 LNDN Koala" u="1"/>
        <s v="MW20767 - AYCA-1PM9JB - 2GRA-64 -  Merrylands Rd" u="1"/>
        <s v="NBN Greenfields - AYCA-4BEC9X - The Birdwood" u="1"/>
        <s v="NBN A401 New Devs - AYCA-1SQ3K5 - 189 Macquarie Street" u="1"/>
        <s v="NBN Greenfields - AYCA-4K7VB2 -2TWH-05 - River Views – 1" u="1"/>
        <s v="NBN Greenfields - AYCA-3W8LJB - 42-44 Norfolk St" u="1"/>
        <s v="MW21056 - 2KNS-04 - AYCA-4BYB3Q -33 Dunning Ave - 1- EXTERNAL" u="1"/>
        <s v="MW21512 - AYCA-4IUR86 -2NLT-09 - Clarendene - 1" u="1"/>
        <s v="Minor Works - 2CBT-09 - MPS-01 - FTTN-FTTB Construction " u="1"/>
        <s v="NBN A401 New Devs - AYCA-1PM9JB - 272-276 &amp; 280-284  Merrylands Rd" u="1"/>
        <s v="NBN Greenfields - AYCA-2KQ04J - 2KEL-01 - 112 Hambledon" u="1"/>
        <s v="MW21484 - 2ARM-04 -AYCA-2CO7SU- 202 - Brown St ARMIDALE" u="1"/>
        <s v="!  MW20764 - 2BLK-12-07 - Lot 21 Western MTQY/2 Rudders/Unit 40 - 15 Valediction" u="1"/>
        <s v="NBN A401 New Devs - AYCA-3B8YY0 - Warrana Place" u="1"/>
        <s v="NBN Greenfields - AYCA-42J4C9 - 54 Tyrone Pl" u="1"/>
        <s v="MW21006 - 2NWR-02 - AYCA-49DNJ1 - Nowra BP &amp; McDonalds - 1-  INTERNAL AND EXTERNAL" u="1"/>
        <s v="NBN Greenfields - AYCA-32PR0X - 2ROU-03 - 21 Hezlett Rd Kellyville 1" u="1"/>
        <s v="2CAM-60-AYCA-4VCIKM" u="1"/>
        <s v="Minor Works - 2BLK-12-07 - Lot 21 Western MTQY/2 Rudders/Unit 40 - 15 Valediction" u="1"/>
        <s v="NBN A401 MW20680 - 2BLK-02/07 - MPS-032 &amp; MPS-010" u="1"/>
        <s v="NBN A410 MW20680 - 2BLK-02/07 - MPS-032 &amp; MPS-010" u="1"/>
        <s v="2PET-69-AYCA-3G34XT" u="1"/>
        <s v="Minor Works - MW20764 - 2BLK-12-07 - Lot 21 Western MTQY/2 Rudders/Unit 40 - 15 Valediction" u="1"/>
        <s v="NBN Greenfields - AYCA-47PV52 - NSB - 22-24 Barry Road" u="1"/>
        <s v="NBN Greenfields - AYCA-45D358 NSB Albuera Close -  BUILD" u="1"/>
        <s v="MW21053 - AYCA-38QQO3- 2MAI-04 - Walka Grange - 8 Internals" u="1"/>
        <s v="NBN A401 New Devs - AYCA-2DO5HN - 145 Princes Hwy Dapto - 1" u="1"/>
        <s v="NBN Greenfields - AYCA-46I5YX - 878 Pacific Hwy, Lisarow" u="1"/>
        <s v="MW21551 - 2KNS-04 - AYCA-4EN7KA - Lewis &amp; Co - 1" u="1"/>
        <s v="NBN Greenfields - AYCA-38OMCL - 6 Hepher Rd, Campbelltown" u="1"/>
        <s v="MW21373 - 2WET-65 - AYCA-4O5GBC - 106 Chifley Street" u="1"/>
      </sharedItems>
    </cacheField>
    <cacheField name="Cat" numFmtId="0">
      <sharedItems containsBlank="1"/>
    </cacheField>
    <cacheField name="Amount" numFmtId="0">
      <sharedItems containsString="0" containsBlank="1" containsNumber="1" minValue="-100.8" maxValue="343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Damien Marov" refreshedDate="43294.362270486112" createdVersion="6" refreshedVersion="6" minRefreshableVersion="3" recordCount="689">
  <cacheSource type="worksheet">
    <worksheetSource ref="A1:AG690" sheet="NBN_MWI &amp; Pipe Data"/>
  </cacheSource>
  <cacheFields count="33">
    <cacheField name="Contract" numFmtId="0">
      <sharedItems containsBlank="1" count="12">
        <s v="A401/Greenfield"/>
        <s v="A401/Minor works"/>
        <s v="A417 Greenfield MDU"/>
        <s v="AARnet"/>
        <s v="Craig Comms"/>
        <s v="VPL"/>
        <s v="NBN Assurance Wagga"/>
        <s v="NBN Assurance Sydney"/>
        <s v="Field Solutions"/>
        <s v="VPL New Devs"/>
        <s v="NBN FttC Drops"/>
        <m/>
      </sharedItems>
    </cacheField>
    <cacheField name="Location" numFmtId="0">
      <sharedItems containsBlank="1"/>
    </cacheField>
    <cacheField name="Inv No." numFmtId="0">
      <sharedItems containsDate="1" containsBlank="1" containsMixedTypes="1" minDate="1935-11-27T00:00:00" maxDate="1935-11-28T00:00:00"/>
    </cacheField>
    <cacheField name="Date Invoice Created" numFmtId="0">
      <sharedItems containsDate="1" containsBlank="1" containsMixedTypes="1" minDate="2017-01-08T00:00:00" maxDate="2018-12-22T00:00:00"/>
    </cacheField>
    <cacheField name="Date Project Completions handed over" numFmtId="0">
      <sharedItems containsNonDate="0" containsDate="1" containsString="0" containsBlank="1" minDate="2017-02-14T00:00:00" maxDate="2018-10-11T00:00:00"/>
    </cacheField>
    <cacheField name="PC Request Date Submitted" numFmtId="0">
      <sharedItems containsNonDate="0" containsDate="1" containsString="0" containsBlank="1" minDate="2017-05-02T00:00:00" maxDate="2018-12-01T00:00:00"/>
    </cacheField>
    <cacheField name="Variation Request submitted" numFmtId="0">
      <sharedItems containsDate="1" containsBlank="1" containsMixedTypes="1" minDate="2017-01-10T00:00:00" maxDate="2028-04-25T00:00:00"/>
    </cacheField>
    <cacheField name="Variation Approval" numFmtId="0">
      <sharedItems containsNonDate="0" containsDate="1" containsString="0" containsBlank="1" minDate="2017-01-02T00:00:00" maxDate="2028-05-25T00:00:00"/>
    </cacheField>
    <cacheField name="PC Due" numFmtId="0">
      <sharedItems containsDate="1" containsBlank="1" containsMixedTypes="1" minDate="2017-01-02T00:00:00" maxDate="2018-11-26T00:00:00"/>
    </cacheField>
    <cacheField name="Payment Date" numFmtId="0">
      <sharedItems containsNonDate="0" containsDate="1" containsString="0" containsBlank="1" minDate="2017-03-27T00:00:00" maxDate="2018-12-20T00:00:00"/>
    </cacheField>
    <cacheField name="PC, Variation &amp; Payment Comments" numFmtId="0">
      <sharedItems containsBlank="1"/>
    </cacheField>
    <cacheField name="Month Claimed" numFmtId="0">
      <sharedItems containsBlank="1" count="20">
        <s v="May-17"/>
        <s v="Jun-17"/>
        <s v="Feb-18"/>
        <s v="Sep-17"/>
        <s v="Aug-17"/>
        <s v="Jul-17"/>
        <s v="Oct-17"/>
        <s v="Apr-18"/>
        <s v="May-18"/>
        <s v="Jul-18"/>
        <s v="Nov-17"/>
        <s v="Mar-18"/>
        <s v="Dec-17"/>
        <s v="Jan-18"/>
        <s v="Jun-18"/>
        <s v="Aug-18"/>
        <s v="Nov-18"/>
        <m/>
        <s v="Oct-18"/>
        <s v="Sep-18"/>
      </sharedItems>
    </cacheField>
    <cacheField name="Actual Payment Date" numFmtId="0">
      <sharedItems containsBlank="1"/>
    </cacheField>
    <cacheField name="FSAM/MPS" numFmtId="0">
      <sharedItems containsBlank="1"/>
    </cacheField>
    <cacheField name="Suburb" numFmtId="0">
      <sharedItems containsBlank="1"/>
    </cacheField>
    <cacheField name="Amount" numFmtId="0">
      <sharedItems containsString="0" containsBlank="1" containsNumber="1" minValue="0" maxValue="2769146.8506100001"/>
    </cacheField>
    <cacheField name="Variation" numFmtId="0">
      <sharedItems containsString="0" containsBlank="1" containsNumber="1" minValue="-6944.3819999999796" maxValue="1425859.5521456583"/>
    </cacheField>
    <cacheField name="Total Revenue" numFmtId="0">
      <sharedItems containsString="0" containsBlank="1" containsNumber="1" minValue="128.13999999999999" maxValue="4195294.4027556572"/>
    </cacheField>
    <cacheField name="GST Inc" numFmtId="0">
      <sharedItems containsString="0" containsBlank="1" containsNumber="1" minValue="140.95400000000001" maxValue="4614823.8430312267"/>
    </cacheField>
    <cacheField name="DJC Cost" numFmtId="0">
      <sharedItems containsString="0" containsBlank="1" containsNumber="1" minValue="127.27272727272728" maxValue="1339260.7391136358"/>
    </cacheField>
    <cacheField name="Internat DJC Cost" numFmtId="0">
      <sharedItems containsString="0" containsBlank="1" containsNumber="1" minValue="41.14" maxValue="38780.697030000003"/>
    </cacheField>
    <cacheField name="Total Cost" numFmtId="0">
      <sharedItems containsString="0" containsBlank="1" containsNumber="1" minValue="0" maxValue="1245603.8953936363"/>
    </cacheField>
    <cacheField name="Margin" numFmtId="0">
      <sharedItems containsString="0" containsBlank="1" containsNumber="1" minValue="-18233.621999999999" maxValue="2311436.4803263107"/>
    </cacheField>
    <cacheField name="%" numFmtId="0">
      <sharedItems containsString="0" containsBlank="1" containsNumber="1" minValue="-4.3660145237078174" maxValue="2.7441080068674881"/>
    </cacheField>
    <cacheField name="Status" numFmtId="0">
      <sharedItems containsBlank="1"/>
    </cacheField>
    <cacheField name="Date Expected Payment" numFmtId="0">
      <sharedItems containsNonDate="0" containsDate="1" containsString="0" containsBlank="1" minDate="2017-05-16T00:00:00" maxDate="2018-12-15T00:00:00"/>
    </cacheField>
    <cacheField name="Comments" numFmtId="0">
      <sharedItems containsBlank="1"/>
    </cacheField>
    <cacheField name="NBN PO/PM" numFmtId="0">
      <sharedItems containsBlank="1"/>
    </cacheField>
    <cacheField name="Project Quote Submitted" numFmtId="0">
      <sharedItems containsDate="1" containsBlank="1" containsMixedTypes="1" minDate="2016-08-29T00:00:00" maxDate="2018-07-07T00:00:00"/>
    </cacheField>
    <cacheField name="Project Award Date" numFmtId="0">
      <sharedItems containsDate="1" containsBlank="1" containsMixedTypes="1" minDate="2016-09-22T00:00:00" maxDate="2018-12-14T00:00:00"/>
    </cacheField>
    <cacheField name="Days to Award" numFmtId="0">
      <sharedItems containsBlank="1" containsMixedTypes="1" containsNumber="1" containsInteger="1" minValue="-42986" maxValue="219"/>
    </cacheField>
    <cacheField name="Customer required date" numFmtId="0">
      <sharedItems containsDate="1" containsBlank="1" containsMixedTypes="1" minDate="2016-10-19T00:00:00" maxDate="2018-10-31T00:00:00"/>
    </cacheField>
    <cacheField name="Difference CRD to Award" numFmtId="0">
      <sharedItems containsBlank="1" containsMixedTypes="1" containsNumber="1" containsInteger="1" minValue="-43153" maxValue="2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Damien Marov" refreshedDate="43294.381948726848" createdVersion="6" refreshedVersion="6" minRefreshableVersion="3" recordCount="651">
  <cacheSource type="worksheet">
    <worksheetSource ref="A1:AG652" sheet="NBN_MWI &amp; Pipe Data"/>
  </cacheSource>
  <cacheFields count="33">
    <cacheField name="Contract" numFmtId="0">
      <sharedItems containsBlank="1"/>
    </cacheField>
    <cacheField name="Location" numFmtId="0">
      <sharedItems containsBlank="1"/>
    </cacheField>
    <cacheField name="Inv No." numFmtId="0">
      <sharedItems containsDate="1" containsBlank="1" containsMixedTypes="1" minDate="1935-11-27T00:00:00" maxDate="1935-11-28T00:00:00"/>
    </cacheField>
    <cacheField name="Date Invoice Created" numFmtId="0">
      <sharedItems containsDate="1" containsBlank="1" containsMixedTypes="1" minDate="2017-01-08T00:00:00" maxDate="2018-12-22T00:00:00"/>
    </cacheField>
    <cacheField name="Date Project Completions handed over" numFmtId="0">
      <sharedItems containsNonDate="0" containsDate="1" containsString="0" containsBlank="1" minDate="2017-02-14T00:00:00" maxDate="2018-10-11T00:00:00"/>
    </cacheField>
    <cacheField name="PC Request Date Submitted" numFmtId="0">
      <sharedItems containsNonDate="0" containsDate="1" containsString="0" containsBlank="1" minDate="2017-05-02T00:00:00" maxDate="2018-12-01T00:00:00"/>
    </cacheField>
    <cacheField name="Variation Request submitted" numFmtId="0">
      <sharedItems containsDate="1" containsBlank="1" containsMixedTypes="1" minDate="2017-01-10T00:00:00" maxDate="2028-04-25T00:00:00"/>
    </cacheField>
    <cacheField name="Variation Approval" numFmtId="0">
      <sharedItems containsNonDate="0" containsDate="1" containsString="0" containsBlank="1" minDate="2017-01-02T00:00:00" maxDate="2028-05-25T00:00:00"/>
    </cacheField>
    <cacheField name="PC Due" numFmtId="0">
      <sharedItems containsDate="1" containsBlank="1" containsMixedTypes="1" minDate="2017-01-02T00:00:00" maxDate="2018-11-26T00:00:00"/>
    </cacheField>
    <cacheField name="Payment Date" numFmtId="0">
      <sharedItems containsNonDate="0" containsDate="1" containsString="0" containsBlank="1" minDate="2017-03-27T00:00:00" maxDate="2018-12-20T00:00:00"/>
    </cacheField>
    <cacheField name="PC, Variation &amp; Payment Comments" numFmtId="0">
      <sharedItems containsBlank="1"/>
    </cacheField>
    <cacheField name="Month Claimed" numFmtId="0">
      <sharedItems containsBlank="1"/>
    </cacheField>
    <cacheField name="Actual Payment Date" numFmtId="0">
      <sharedItems containsBlank="1" count="20">
        <s v="Aug-17"/>
        <s v="May-17"/>
        <s v="Mar-18"/>
        <s v="Dec-17"/>
        <s v="Nov-17"/>
        <s v="Oct-17"/>
        <s v="Jul-17"/>
        <s v="Sep-17"/>
        <s v="Jan-00"/>
        <s v="May-18"/>
        <s v="Jun-18"/>
        <s v="Feb-18"/>
        <s v="Dec-18"/>
        <s v="Jan-18"/>
        <s v="Apr-18"/>
        <s v="Jul-18"/>
        <s v="Mar-17"/>
        <s v="Aug-18"/>
        <m/>
        <s v="Nov-18"/>
      </sharedItems>
    </cacheField>
    <cacheField name="FSAM/MPS" numFmtId="0">
      <sharedItems containsBlank="1"/>
    </cacheField>
    <cacheField name="Suburb" numFmtId="0">
      <sharedItems containsBlank="1"/>
    </cacheField>
    <cacheField name="Amount" numFmtId="0">
      <sharedItems containsString="0" containsBlank="1" containsNumber="1" minValue="0" maxValue="2769146.8506100001"/>
    </cacheField>
    <cacheField name="Variation" numFmtId="0">
      <sharedItems containsString="0" containsBlank="1" containsNumber="1" minValue="-6944.3819999999796" maxValue="1425859.5521456583"/>
    </cacheField>
    <cacheField name="Total Revenue" numFmtId="0">
      <sharedItems containsString="0" containsBlank="1" containsNumber="1" minValue="128.13999999999999" maxValue="4195294.4027556572"/>
    </cacheField>
    <cacheField name="GST Inc" numFmtId="0">
      <sharedItems containsString="0" containsBlank="1" containsNumber="1" minValue="140.95400000000001" maxValue="4614823.8430312267"/>
    </cacheField>
    <cacheField name="DJC Cost" numFmtId="0">
      <sharedItems containsString="0" containsBlank="1" containsNumber="1" minValue="127.27272727272728" maxValue="1339260.7391136358"/>
    </cacheField>
    <cacheField name="Internat DJC Cost" numFmtId="0">
      <sharedItems containsString="0" containsBlank="1" containsNumber="1" minValue="41.14" maxValue="38780.697030000003"/>
    </cacheField>
    <cacheField name="Total Cost" numFmtId="0">
      <sharedItems containsString="0" containsBlank="1" containsNumber="1" minValue="0" maxValue="1245603.8953936363"/>
    </cacheField>
    <cacheField name="Margin" numFmtId="0">
      <sharedItems containsString="0" containsBlank="1" containsNumber="1" minValue="-18233.621999999999" maxValue="2311436.4803263107"/>
    </cacheField>
    <cacheField name="%" numFmtId="0">
      <sharedItems containsString="0" containsBlank="1" containsNumber="1" minValue="-4.3660145237078174" maxValue="2.7441080068674881"/>
    </cacheField>
    <cacheField name="Status" numFmtId="0">
      <sharedItems containsBlank="1"/>
    </cacheField>
    <cacheField name="Date Expected Payment" numFmtId="0">
      <sharedItems containsNonDate="0" containsDate="1" containsString="0" containsBlank="1" minDate="2017-05-16T00:00:00" maxDate="2018-12-15T00:00:00"/>
    </cacheField>
    <cacheField name="Comments" numFmtId="0">
      <sharedItems containsBlank="1"/>
    </cacheField>
    <cacheField name="NBN PO/PM" numFmtId="0">
      <sharedItems containsBlank="1"/>
    </cacheField>
    <cacheField name="Project Quote Submitted" numFmtId="0">
      <sharedItems containsDate="1" containsBlank="1" containsMixedTypes="1" minDate="2016-08-29T00:00:00" maxDate="2018-07-07T00:00:00"/>
    </cacheField>
    <cacheField name="Project Award Date" numFmtId="0">
      <sharedItems containsDate="1" containsBlank="1" containsMixedTypes="1" minDate="2016-09-22T00:00:00" maxDate="2018-12-14T00:00:00"/>
    </cacheField>
    <cacheField name="Days to Award" numFmtId="0">
      <sharedItems containsBlank="1" containsMixedTypes="1" containsNumber="1" containsInteger="1" minValue="-42986" maxValue="219"/>
    </cacheField>
    <cacheField name="Customer required date" numFmtId="0">
      <sharedItems containsDate="1" containsBlank="1" containsMixedTypes="1" minDate="2016-10-19T00:00:00" maxDate="2018-10-31T00:00:00"/>
    </cacheField>
    <cacheField name="Difference CRD to Award" numFmtId="0">
      <sharedItems containsBlank="1" containsMixedTypes="1" containsNumber="1" containsInteger="1" minValue="-43153" maxValue="2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Damien Marov" refreshedDate="43294.382022800928" createdVersion="6" refreshedVersion="6" minRefreshableVersion="3" recordCount="671">
  <cacheSource type="worksheet">
    <worksheetSource ref="A1:AG672" sheet="NBN_MWI &amp; Pipe Data"/>
  </cacheSource>
  <cacheFields count="33">
    <cacheField name="Contract" numFmtId="0">
      <sharedItems containsBlank="1" count="12">
        <s v="A401/Greenfield"/>
        <s v="A401/Minor works"/>
        <s v="A417 Greenfield MDU"/>
        <s v="AARnet"/>
        <s v="Craig Comms"/>
        <s v="VPL"/>
        <s v="NBN Assurance Wagga"/>
        <s v="NBN Assurance Sydney"/>
        <s v="Field Solutions"/>
        <s v="VPL New Devs"/>
        <s v="NBN FttC Drops"/>
        <m/>
      </sharedItems>
    </cacheField>
    <cacheField name="Location" numFmtId="0">
      <sharedItems containsBlank="1"/>
    </cacheField>
    <cacheField name="Inv No." numFmtId="0">
      <sharedItems containsDate="1" containsBlank="1" containsMixedTypes="1" minDate="1935-11-27T00:00:00" maxDate="1935-11-28T00:00:00"/>
    </cacheField>
    <cacheField name="Date Invoice Created" numFmtId="0">
      <sharedItems containsDate="1" containsBlank="1" containsMixedTypes="1" minDate="2017-01-08T00:00:00" maxDate="2018-12-22T00:00:00"/>
    </cacheField>
    <cacheField name="Date Project Completions handed over" numFmtId="0">
      <sharedItems containsNonDate="0" containsDate="1" containsString="0" containsBlank="1" minDate="2017-02-14T00:00:00" maxDate="2018-10-11T00:00:00"/>
    </cacheField>
    <cacheField name="PC Request Date Submitted" numFmtId="0">
      <sharedItems containsNonDate="0" containsDate="1" containsString="0" containsBlank="1" minDate="2017-05-02T00:00:00" maxDate="2018-12-01T00:00:00"/>
    </cacheField>
    <cacheField name="Variation Request submitted" numFmtId="0">
      <sharedItems containsDate="1" containsBlank="1" containsMixedTypes="1" minDate="2017-01-10T00:00:00" maxDate="2028-04-25T00:00:00"/>
    </cacheField>
    <cacheField name="Variation Approval" numFmtId="0">
      <sharedItems containsNonDate="0" containsDate="1" containsString="0" containsBlank="1" minDate="2017-01-02T00:00:00" maxDate="2028-05-25T00:00:00"/>
    </cacheField>
    <cacheField name="PC Due" numFmtId="0">
      <sharedItems containsDate="1" containsBlank="1" containsMixedTypes="1" minDate="2017-01-02T00:00:00" maxDate="2018-11-26T00:00:00"/>
    </cacheField>
    <cacheField name="Payment Date" numFmtId="0">
      <sharedItems containsNonDate="0" containsDate="1" containsString="0" containsBlank="1" minDate="2017-03-27T00:00:00" maxDate="2018-12-20T00:00:00"/>
    </cacheField>
    <cacheField name="PC, Variation &amp; Payment Comments" numFmtId="0">
      <sharedItems containsBlank="1"/>
    </cacheField>
    <cacheField name="Month Claimed" numFmtId="0">
      <sharedItems containsBlank="1" count="20">
        <s v="May-17"/>
        <s v="Jun-17"/>
        <s v="Feb-18"/>
        <s v="Sep-17"/>
        <s v="Aug-17"/>
        <s v="Jul-17"/>
        <s v="Oct-17"/>
        <s v="Apr-18"/>
        <s v="May-18"/>
        <s v="Jul-18"/>
        <s v="Nov-17"/>
        <s v="Mar-18"/>
        <s v="Dec-17"/>
        <s v="Jan-18"/>
        <s v="Jun-18"/>
        <s v="Aug-18"/>
        <s v="Nov-18"/>
        <m/>
        <s v="Oct-18"/>
        <s v="Sep-18"/>
      </sharedItems>
    </cacheField>
    <cacheField name="Actual Payment Date" numFmtId="0">
      <sharedItems containsBlank="1"/>
    </cacheField>
    <cacheField name="FSAM/MPS" numFmtId="0">
      <sharedItems containsBlank="1"/>
    </cacheField>
    <cacheField name="Suburb" numFmtId="0">
      <sharedItems containsBlank="1"/>
    </cacheField>
    <cacheField name="Amount" numFmtId="0">
      <sharedItems containsString="0" containsBlank="1" containsNumber="1" minValue="0" maxValue="2769146.8506100001"/>
    </cacheField>
    <cacheField name="Variation" numFmtId="0">
      <sharedItems containsString="0" containsBlank="1" containsNumber="1" minValue="-6944.3819999999796" maxValue="1425859.5521456583"/>
    </cacheField>
    <cacheField name="Total Revenue" numFmtId="0">
      <sharedItems containsString="0" containsBlank="1" containsNumber="1" minValue="128.13999999999999" maxValue="4195294.4027556572"/>
    </cacheField>
    <cacheField name="GST Inc" numFmtId="0">
      <sharedItems containsString="0" containsBlank="1" containsNumber="1" minValue="140.95400000000001" maxValue="4614823.8430312267"/>
    </cacheField>
    <cacheField name="DJC Cost" numFmtId="0">
      <sharedItems containsString="0" containsBlank="1" containsNumber="1" minValue="127.27272727272728" maxValue="1339260.7391136358"/>
    </cacheField>
    <cacheField name="Internat DJC Cost" numFmtId="0">
      <sharedItems containsString="0" containsBlank="1" containsNumber="1" minValue="41.14" maxValue="38780.697030000003"/>
    </cacheField>
    <cacheField name="Total Cost" numFmtId="0">
      <sharedItems containsString="0" containsBlank="1" containsNumber="1" minValue="0" maxValue="1245603.8953936363"/>
    </cacheField>
    <cacheField name="Margin" numFmtId="0">
      <sharedItems containsString="0" containsBlank="1" containsNumber="1" minValue="-18233.621999999999" maxValue="2311436.4803263107"/>
    </cacheField>
    <cacheField name="%" numFmtId="0">
      <sharedItems containsString="0" containsBlank="1" containsNumber="1" minValue="-4.3660145237078174" maxValue="2.7441080068674881"/>
    </cacheField>
    <cacheField name="Status" numFmtId="0">
      <sharedItems containsBlank="1"/>
    </cacheField>
    <cacheField name="Date Expected Payment" numFmtId="0">
      <sharedItems containsNonDate="0" containsDate="1" containsString="0" containsBlank="1" minDate="2017-05-16T00:00:00" maxDate="2018-12-15T00:00:00"/>
    </cacheField>
    <cacheField name="Comments" numFmtId="0">
      <sharedItems containsBlank="1"/>
    </cacheField>
    <cacheField name="NBN PO/PM" numFmtId="0">
      <sharedItems containsBlank="1"/>
    </cacheField>
    <cacheField name="Project Quote Submitted" numFmtId="0">
      <sharedItems containsDate="1" containsBlank="1" containsMixedTypes="1" minDate="2016-08-29T00:00:00" maxDate="2018-07-07T00:00:00"/>
    </cacheField>
    <cacheField name="Project Award Date" numFmtId="0">
      <sharedItems containsDate="1" containsBlank="1" containsMixedTypes="1" minDate="2016-09-22T00:00:00" maxDate="2018-12-14T00:00:00"/>
    </cacheField>
    <cacheField name="Days to Award" numFmtId="0">
      <sharedItems containsBlank="1" containsMixedTypes="1" containsNumber="1" containsInteger="1" minValue="-42986" maxValue="219"/>
    </cacheField>
    <cacheField name="Customer required date" numFmtId="0">
      <sharedItems containsDate="1" containsBlank="1" containsMixedTypes="1" minDate="2016-10-19T00:00:00" maxDate="2018-10-31T00:00:00"/>
    </cacheField>
    <cacheField name="Difference CRD to Award" numFmtId="0">
      <sharedItems containsBlank="1" containsMixedTypes="1" containsNumber="1" containsInteger="1" minValue="-43153" maxValue="2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84">
  <r>
    <s v="INV"/>
    <s v="NBN Sydney"/>
    <s v="621"/>
    <x v="0"/>
    <s v="NBN Minor Works DJC"/>
    <x v="0"/>
    <d v="2016-07-04T00:00:00"/>
    <s v="Jul-16"/>
    <s v="Mako Industries Pty Ltd - PO - 2LJT-04-06"/>
    <n v="14098.36"/>
    <m/>
    <m/>
  </r>
  <r>
    <s v="INV"/>
    <s v="NBN Sydney"/>
    <s v="608"/>
    <x v="0"/>
    <s v="Network Shortfall Central Coast"/>
    <x v="1"/>
    <d v="2016-07-05T00:00:00"/>
    <s v="Jul-16"/>
    <s v="Mako Industries Pty Ltd - LJT-09-11 MSS-095"/>
    <n v="225"/>
    <m/>
    <m/>
  </r>
  <r>
    <s v="INV"/>
    <s v="NBN Sydney"/>
    <s v="625"/>
    <x v="0"/>
    <s v="NBN Minor Works DJC"/>
    <x v="0"/>
    <d v="2016-07-08T00:00:00"/>
    <s v="Jul-16"/>
    <s v="Mako Industries Pty Ltd - BOORANA PL "/>
    <n v="756.36"/>
    <m/>
    <m/>
  </r>
  <r>
    <s v="INV"/>
    <s v="NBN Sydney"/>
    <s v="624"/>
    <x v="0"/>
    <s v="NBN Minor Works DJC"/>
    <x v="0"/>
    <d v="2016-07-08T00:00:00"/>
    <s v="Jul-16"/>
    <s v="Mako Industries Pty Ltd - 2LJT-04-12_x000d__x000a_2LJT-04-12_x000d__x000a_2LJT-04-16"/>
    <n v="2312.6"/>
    <m/>
    <m/>
  </r>
  <r>
    <s v="INV"/>
    <s v="NBN Sydney"/>
    <s v="00000061"/>
    <x v="0"/>
    <s v="NBN Minor Works DJC"/>
    <x v="0"/>
    <d v="2016-07-15T00:00:00"/>
    <s v="Jul-16"/>
    <s v="Openshore Drilling - DAMPIER ST KILLARNEY VALE - ADDITIONAL "/>
    <n v="6265"/>
    <m/>
    <m/>
  </r>
  <r>
    <s v="INV"/>
    <s v="NBN Sydney"/>
    <s v="16/855"/>
    <x v="0"/>
    <s v="NBN Greenfields DJC"/>
    <x v="2"/>
    <d v="2016-07-15T00:00:00"/>
    <s v="Jul-16"/>
    <s v="KSJDA Pty Ltd - NBN JOBS - 2CFS-03 AYCA 2KH14F THE VAULT HARBOUR DRIVE, COFFS HARBOUR "/>
    <n v="310"/>
    <m/>
    <m/>
  </r>
  <r>
    <s v="INV"/>
    <s v="NBN Sydney"/>
    <s v="INV-0076"/>
    <x v="1"/>
    <s v="Overhead"/>
    <x v="3"/>
    <d v="2016-07-18T00:00:00"/>
    <s v="Jul-16"/>
    <s v="Warriewood Consultancy - DATATEKS DAY RATE "/>
    <n v="9642.2999999999993"/>
    <m/>
    <m/>
  </r>
  <r>
    <s v="CN"/>
    <s v="NBN Canberra"/>
    <s v="9457331"/>
    <x v="0"/>
    <s v="Network Shortfall Canberra"/>
    <x v="4"/>
    <d v="2016-07-18T00:00:00"/>
    <s v="Jul-16"/>
    <s v="ALTUS Traffic - Credit of Invoice 9451735 Traffic Control plan_x000d__x000a__x000d__x000a_Credit note created 05/06/2016 only received on 18/07/2016"/>
    <m/>
    <s v="Network Shortfall Canberra"/>
    <n v="150"/>
  </r>
  <r>
    <s v="INV"/>
    <s v="NBN Sydney"/>
    <s v="1571"/>
    <x v="0"/>
    <s v="Network Shortfall Central Coast"/>
    <x v="1"/>
    <d v="2016-07-22T00:00:00"/>
    <s v="Jul-16"/>
    <s v="Schokman Pty Limited - JULY NBN GREENFIELDS AS PER SUPPLIED SUMMARY "/>
    <n v="704.64"/>
    <m/>
    <m/>
  </r>
  <r>
    <s v="INV"/>
    <s v="NBN Canberra"/>
    <s v="1573"/>
    <x v="0"/>
    <s v="Network Shortfall Canberra"/>
    <x v="4"/>
    <d v="2016-07-22T00:00:00"/>
    <s v="Jul-16"/>
    <s v="Schokman Pty Limited - JULY NBN GREENFIELDS AS PER SUPPLIED SUMMARY "/>
    <n v="305.16000000000003"/>
    <m/>
    <m/>
  </r>
  <r>
    <s v="INV"/>
    <s v="NBN Canberra"/>
    <s v="1573"/>
    <x v="0"/>
    <s v="Network Shortfall Canberra"/>
    <x v="4"/>
    <d v="2016-07-22T00:00:00"/>
    <s v="Jul-16"/>
    <s v="Schokman Pty Limited - JULY NBN GREENFIELDS AS PER SUPPLIED SUMMARY "/>
    <n v="2133.0700000000002"/>
    <m/>
    <m/>
  </r>
  <r>
    <s v="INV"/>
    <s v="NBN Canberra"/>
    <s v="1573"/>
    <x v="0"/>
    <s v="Network Shortfall Canberra"/>
    <x v="4"/>
    <d v="2016-07-22T00:00:00"/>
    <s v="Jul-16"/>
    <s v="Schokman Pty Limited - JULY NBN GREENFIELDS AS PER SUPPLIED SUMMARY "/>
    <n v="1879.6"/>
    <m/>
    <m/>
  </r>
  <r>
    <s v="INV"/>
    <s v="NBN Canberra"/>
    <s v="1573"/>
    <x v="0"/>
    <s v="Network Shortfall Canberra"/>
    <x v="4"/>
    <d v="2016-07-22T00:00:00"/>
    <s v="Jul-16"/>
    <s v="Schokman Pty Limited - JULY NBN GREENFIELDS AS PER SUPPLIED SUMMARY "/>
    <n v="12889.28"/>
    <m/>
    <m/>
  </r>
  <r>
    <s v="INV"/>
    <s v="NBN Sydney"/>
    <s v="1572"/>
    <x v="2"/>
    <s v="NBN Greenfields DJC"/>
    <x v="5"/>
    <d v="2016-07-22T00:00:00"/>
    <s v="Jul-16"/>
    <s v="Schokman Pty Limited - JULY NBN GREENFIELDS AS PER SUPPLIED SUMMARY "/>
    <n v="1097.04"/>
    <m/>
    <m/>
  </r>
  <r>
    <s v="INV"/>
    <s v="NBN Sydney"/>
    <s v="1572"/>
    <x v="2"/>
    <s v="NBN Greenfields DJC"/>
    <x v="6"/>
    <d v="2016-07-22T00:00:00"/>
    <s v="Jul-16"/>
    <s v="Schokman Pty Limited - JULY NBN GREENFIELDS AS PER SUPPLIED SUMMARY "/>
    <n v="1144.1400000000001"/>
    <m/>
    <m/>
  </r>
  <r>
    <s v="INV"/>
    <s v="NBN Sydney"/>
    <s v="1572"/>
    <x v="2"/>
    <s v="NBN Greenfields DJC"/>
    <x v="7"/>
    <d v="2016-07-22T00:00:00"/>
    <s v="Jul-16"/>
    <s v="Schokman Pty Limited - JULY NBN GREENFIELDS AS PER SUPPLIED SUMMARY "/>
    <n v="1016.97"/>
    <m/>
    <m/>
  </r>
  <r>
    <s v="INV"/>
    <s v="NBN Sydney"/>
    <s v="1572"/>
    <x v="2"/>
    <s v="NBN Greenfields DJC"/>
    <x v="8"/>
    <d v="2016-07-22T00:00:00"/>
    <s v="Jul-16"/>
    <s v="Schokman Pty Limited - JULY NBN GREENFIELDS AS PER SUPPLIED SUMMARY "/>
    <n v="42"/>
    <m/>
    <m/>
  </r>
  <r>
    <s v="INV"/>
    <s v="NBN Sydney"/>
    <s v="1572"/>
    <x v="2"/>
    <s v="NBN Greenfields DJC"/>
    <x v="9"/>
    <d v="2016-07-22T00:00:00"/>
    <s v="Jul-16"/>
    <s v="Schokman Pty Limited - JULY NBN GREENFIELDS AS PER SUPPLIED SUMMARY "/>
    <n v="1331.15"/>
    <m/>
    <m/>
  </r>
  <r>
    <s v="INV"/>
    <s v="NBN Sydney"/>
    <s v="1572"/>
    <x v="2"/>
    <s v="NBN Greenfields DJC"/>
    <x v="10"/>
    <d v="2016-07-22T00:00:00"/>
    <s v="Jul-16"/>
    <s v="Schokman Pty Limited - JULY NBN GREENFIELDS AS PER SUPPLIED SUMMARY "/>
    <n v="1138.71"/>
    <m/>
    <m/>
  </r>
  <r>
    <s v="INV"/>
    <s v="NBN Sydney"/>
    <s v="1572"/>
    <x v="2"/>
    <s v="NBN Greenfields DJC"/>
    <x v="11"/>
    <d v="2016-07-22T00:00:00"/>
    <s v="Jul-16"/>
    <s v="Schokman Pty Limited - JULY NBN GREENFIELDS AS PER SUPPLIED SUMMARY "/>
    <n v="2147.37"/>
    <m/>
    <m/>
  </r>
  <r>
    <s v="INV"/>
    <s v="NBN Sydney"/>
    <s v="1572"/>
    <x v="2"/>
    <s v="NBN Greenfields DJC"/>
    <x v="12"/>
    <d v="2016-07-22T00:00:00"/>
    <s v="Jul-16"/>
    <s v="Schokman Pty Limited - JULY NBN GREENFIELDS AS PER SUPPLIED SUMMARY "/>
    <n v="1520.94"/>
    <m/>
    <m/>
  </r>
  <r>
    <s v="INV"/>
    <s v="NBN Sydney"/>
    <s v="1572"/>
    <x v="0"/>
    <s v="NBN Greenfields DJC"/>
    <x v="13"/>
    <d v="2016-07-22T00:00:00"/>
    <s v="Jul-16"/>
    <s v="Schokman Pty Limited - JULY NBN GREENFIELDS AS PER SUPPLIED SUMMARY "/>
    <n v="1130.01"/>
    <m/>
    <m/>
  </r>
  <r>
    <s v="INV"/>
    <s v="NBN Sydney"/>
    <s v="1572"/>
    <x v="2"/>
    <s v="NBN Greenfields DJC"/>
    <x v="14"/>
    <d v="2016-07-22T00:00:00"/>
    <s v="Jul-16"/>
    <s v="Schokman Pty Limited - JULY NBN GREENFIELDS AS PER SUPPLIED SUMMARY "/>
    <n v="1784.7"/>
    <m/>
    <m/>
  </r>
  <r>
    <s v="INV"/>
    <s v="NBN Sydney"/>
    <s v="1573"/>
    <x v="2"/>
    <s v="NBN Greenfields DJC"/>
    <x v="15"/>
    <d v="2016-07-22T00:00:00"/>
    <s v="Jul-16"/>
    <s v="Schokman Pty Limited - JULY NBN GREENFIELDS AS PER SUPPLIED SUMMARY "/>
    <n v="2529.02"/>
    <m/>
    <m/>
  </r>
  <r>
    <s v="INV"/>
    <s v="NBN Sydney"/>
    <s v="INV-0078"/>
    <x v="1"/>
    <s v="Overhead"/>
    <x v="3"/>
    <d v="2016-07-24T00:00:00"/>
    <s v="Jul-16"/>
    <s v="Warriewood Consultancy - DATATEKS DAY RATE "/>
    <n v="9642.2999999999993"/>
    <m/>
    <m/>
  </r>
  <r>
    <s v="INV"/>
    <s v="NBN Sydney"/>
    <s v="INV-11225"/>
    <x v="3"/>
    <s v="NBN Greenfields"/>
    <x v="16"/>
    <d v="2016-07-01T00:00:00"/>
    <s v="Jul-16"/>
    <s v="NBN Co Sydney -NBN Greenfields AYCA-2GRPSA 2Barney St Kiama"/>
    <m/>
    <s v="NBN Greenfields - AYCA-2GRPSA - 2 Barney St Kiama"/>
    <n v="5541.7"/>
  </r>
  <r>
    <s v="INV"/>
    <s v="NBN Sydney"/>
    <s v="INV-11230"/>
    <x v="3"/>
    <s v="Network Shortfall Central Coast"/>
    <x v="1"/>
    <d v="2016-07-07T00:00:00"/>
    <s v="Jul-16"/>
    <s v="NBN Co Sydney -  2LJT-04 MPS038 - 1 Daniel Close _x000d__x000a__x000d__x000a__x000d__x000a_03010101_x000d__x000a_Pipe proving in existing occupied pipe._x000d__x000a_Pipe proving in existing occupied pipe._x000d__x000a_The prices shall include all costs associated with:_x000d__x000a_ Proving the pipe with an appropriate mandrel (as required) or by any_x000d__x000a_other means;_x000d__x000a_ Supply and installation of draw rope; and_x000d__x000a_ Any other preparation works necessary for cable installation"/>
    <m/>
    <s v="Network Shortfall Central Coast"/>
    <n v="6500.329999999999"/>
  </r>
  <r>
    <s v="INV"/>
    <s v="NBN Sydney"/>
    <s v="INV-11254"/>
    <x v="3"/>
    <s v="NBN Greenfields"/>
    <x v="17"/>
    <d v="2016-07-13T00:00:00"/>
    <s v="Jul-16"/>
    <s v="NBN Co Sydney - NBN Greenfield_x000d_ 2SIL-04 AYCA-26BG82 Breakfast Point - 7D3_x000d__x000a_Project Number:_x000d__x000a_PO Number:_x000d__x000a_Work Confirmation: MWA-2SIL-04 AYCA-26BG82 Breakfast Point - 7D3_x000d__x000a_Contract Sum"/>
    <m/>
    <s v="NBN Greenfields - AYCA-26BG82 - Breakfast Point"/>
    <n v="3386.6"/>
  </r>
  <r>
    <s v="INV"/>
    <s v="NBN Sydney"/>
    <s v="INV-11253"/>
    <x v="3"/>
    <s v="NBN Greenfields"/>
    <x v="13"/>
    <d v="2016-07-13T00:00:00"/>
    <s v="Jul-16"/>
    <s v="NBN Co Sydney - NBN Greenfield_x000d_ 2PKE-01 - AYCA-20KSI0 Redgum Ridge Estate_x000d__x000a_Project Number:_x000d__x000a_PO Number:_x000d__x000a_Work Confirmation: MWA-2PKE-01 - AYCA-20KSI0 Redgum Ridge Estate-14 _x000d__x000a_Contract Sum"/>
    <m/>
    <s v="NBN Greenfields - AYCA-20KSI0 Redgum Ridge Estate "/>
    <n v="3361.26"/>
  </r>
  <r>
    <s v="INV"/>
    <s v="NBN Sydney"/>
    <s v="INV-11252"/>
    <x v="3"/>
    <s v="NBN Greenfields"/>
    <x v="18"/>
    <d v="2016-07-13T00:00:00"/>
    <s v="Jul-16"/>
    <s v="NBN Co Sydney - NBN Greenfield_x000d_ AYCA-2I7RJL 135 Southern Cross Ave Middleton Grange_x000d__x000a_Project Number:_x000d__x000a_PO Number:_x000d__x000a_Work Confirmation: MWA- AYCA-2I7RJL 135 Southern Cross Ave Middleton Grange_x000d__x000a_Contract Sum"/>
    <m/>
    <s v="NBN Greenfields - AYCA-2I7RJL 135 Southern Cross Ave Middleton Grange_x000a__x000a_"/>
    <n v="6815.55"/>
  </r>
  <r>
    <s v="INV"/>
    <s v="NBN Sydney"/>
    <s v="INV-11255"/>
    <x v="3"/>
    <s v="2COR Drops Various FSAMs"/>
    <x v="19"/>
    <d v="2016-07-13T00:00:00"/>
    <s v="Jul-16"/>
    <s v="NBN Co Sydney - NBN Greenfield_x000d_ 2COR-08 SDU Tickets_x000d__x000a_Project Number:_x000d__x000a_PO Number:_x000d__x000a_Work Confirmation:_x000d__x000a_Contract Sum"/>
    <m/>
    <s v="NBN Minor Works - 2COR Drops"/>
    <n v="18636.88"/>
  </r>
  <r>
    <s v="INV"/>
    <s v="NBN Sydney"/>
    <s v="INV-11257"/>
    <x v="3"/>
    <s v="2COR Drops Various FSAMs"/>
    <x v="19"/>
    <d v="2016-07-13T00:00:00"/>
    <s v="Jul-16"/>
    <s v="NBN Co Sydney - NBN Greenfield_x000d_ 2COR-07 SDU Tickets_x000d_ "/>
    <m/>
    <s v="NBN Minor Works - 2COR Drops"/>
    <n v="20376.34"/>
  </r>
  <r>
    <s v="INV"/>
    <s v="NBN Sydney"/>
    <s v="INV-11258"/>
    <x v="3"/>
    <m/>
    <x v="19"/>
    <d v="2016-07-13T00:00:00"/>
    <s v="Jul-16"/>
    <s v="NBN Co Sydney - NBN Greenfield_x000d_ 2COR-08 SDU Tickets_x000d_, Duplicate Invoice with 11255_x000a_Project Number:_x000d__x000a_PO Number:308596_x000d__x000a_Work Confirmation: RCTI-228493-172991_x000d__x000a_Contract Sum"/>
    <m/>
    <s v="NBN Minor Works - 2COR Drops"/>
    <m/>
  </r>
  <r>
    <s v="INV"/>
    <s v="NBN Sydney"/>
    <s v="INV-11256"/>
    <x v="3"/>
    <s v="2COR Drops Various FSAMs"/>
    <x v="19"/>
    <s v="13/07/2016"/>
    <s v="Jul-16"/>
    <s v="NBN Co Sydney - NBN Greenfield_x000d_ 2COR-06 SDU Tickets_x000d__x000a_Project Number: 107060_x000d__x000a_PO Number:3085594_x000d__x000a_Work Confirmation:  RCTI-228492-172990_x000d__x000a_Contract Sum"/>
    <m/>
    <s v="NBN Minor Works - 2COR Drops"/>
    <n v="50927.55"/>
  </r>
  <r>
    <s v="INV"/>
    <s v="NBN Sydney"/>
    <s v="INV-11246"/>
    <x v="3"/>
    <s v="Network Shortfall Sydney"/>
    <x v="20"/>
    <d v="2016-07-13T00:00:00"/>
    <s v="Jul-16"/>
    <s v="NBN Co Sydney -  2PTH-11-13_33 Aldebaran St ,Cranebrook,NSW 2749_x000d__x000a__x000d__x000a__x000d__x000a_06050201 Install only to plastic wall underground multiports including the supply_x000d__x000a_and installation of all necessary connection materials"/>
    <m/>
    <s v="Network Shortfall Sydney"/>
    <n v="638.82000000000005"/>
  </r>
  <r>
    <s v="INV"/>
    <s v="NBN Sydney"/>
    <s v="INV-11247"/>
    <x v="3"/>
    <s v="NBN Greenfields"/>
    <x v="21"/>
    <d v="2016-07-13T00:00:00"/>
    <s v="Jul-16"/>
    <s v="NBN Co Sydney - Contract Sum  "/>
    <m/>
    <s v="NBN Greenfields - AYCA-2BM7CJ - Magnolia Estate_x000a__x000a_"/>
    <n v="11071.89"/>
  </r>
  <r>
    <s v="INV"/>
    <s v="NBN Sydney"/>
    <s v="INV-11250"/>
    <x v="3"/>
    <s v="NBN Greenfields"/>
    <x v="12"/>
    <d v="2016-07-13T00:00:00"/>
    <s v="Jul-16"/>
    <s v="NBN Co Sydney - NBN Greenfield_x000d__x000a_Payment Schedule Number: AYCA-2PBQFJ 102 Kanahooka road_x000d__x000a_Project Number:_x000d__x000a_PO Number:_x000d__x000a_Work Confirmation: MWA- AYCA-2PBQFJ 102 Kanahooka road_x000d__x000a_Contract Sum"/>
    <m/>
    <s v="NBN Greenfields - AYCA-2PBQFJ 102 Kanahooka Rd "/>
    <n v="3199.03"/>
  </r>
  <r>
    <s v="INV"/>
    <s v="NBN Sydney"/>
    <s v="INV-11249"/>
    <x v="3"/>
    <s v="NBN Greenfields"/>
    <x v="22"/>
    <d v="2016-07-13T00:00:00"/>
    <s v="Jul-16"/>
    <s v="NBN Co Sydney - NBN Greenfield_x000d_ Payment Schedule Number: AYCA-WWC93-Sugar Valley Lifestyle Estate-7C_x000d__x000a_Project Number:_x000d__x000a_PO Number:_x000d__x000a_Work Confirmation: AYCA-WWC93-Sugar Valley Lifestyle Estate-7C_x000d__x000a__x000d__x000a_Contract Sum"/>
    <m/>
    <s v="NBN Greenfields - AYCA-WWC93-Sugar Valley Lifestyle Estat"/>
    <n v="671.14"/>
  </r>
  <r>
    <s v="INV"/>
    <s v="NBN Sydney"/>
    <s v="INV-11248"/>
    <x v="3"/>
    <s v="NBN Greenfields"/>
    <x v="23"/>
    <d v="2016-07-13T00:00:00"/>
    <s v="Jul-16"/>
    <s v="NBN Co Sydney - NBN Greenfield_x000d_ Payment Schedule Number: 2DBB-01-AYCA-2BJH68-Southlakes Estate - CC11A_x000d__x000a_Project Number:_x000d__x000a_PO Number:_x000d__x000a_Work Confirmation: MWA for 2DBB-01-AYCA-2BJH68 Southlakes Estate_x000d__x000a__x000d__x000a_Contract Sum"/>
    <m/>
    <s v="NBN Greenfields - AYCA-2BJH68-Southlakes Estate"/>
    <n v="1256.19"/>
  </r>
  <r>
    <s v="INV"/>
    <s v="NBN Sydney"/>
    <s v="INV-11260"/>
    <x v="3"/>
    <s v="Network Shortfall Sydney"/>
    <x v="20"/>
    <d v="2016-07-15T00:00:00"/>
    <s v="Jul-16"/>
    <s v="NBN Co Sydney - PCD Workmanship 511066-208073794 - 22 Alanson Avenue Bulli_x000d__x000a__x000d__x000a_09010107 Advanced Telecommunications Technician fully equipped including_x000d__x000a_vehicle"/>
    <m/>
    <s v="Network Shortfall Sydney"/>
    <n v="384.42"/>
  </r>
  <r>
    <s v="INV"/>
    <s v="NBN Sydney"/>
    <s v="INV-11259"/>
    <x v="3"/>
    <s v="Network Shortfall Central Coast"/>
    <x v="1"/>
    <d v="2016-07-15T00:00:00"/>
    <s v="Jul-16"/>
    <s v="NBN Co Sydney - 2LJT04 MPS038_x000d__x000a_1 Daniel Close_x000d__x000a__x000d__x000a_PON Patching"/>
    <m/>
    <s v="Network Shortfall Central Coast"/>
    <n v="386"/>
  </r>
  <r>
    <s v="INV"/>
    <s v="NBN Canberra"/>
    <s v="INV-11277"/>
    <x v="3"/>
    <s v="Network Shortfall Canberra"/>
    <x v="4"/>
    <d v="2016-07-22T00:00:00"/>
    <s v="Jul-16"/>
    <s v="NBN Co Sydney - 9QBN05 MPS090_x000d__x000a_9QBN05 MPS090-Unit 6 -18 Gilmore Road_x000d__x000a__x000d__x000a_06070105_x000d__x000a_Build drops and Local Network OTDR testing per premise of the fibre_x000d__x000a_from the PCD through the leadin (aerial or underground) to the FDH_x000d__x000a_(used instead of LN SOR 06070102 or 06070104); testing in_x000d__x000a_accordance with NBN Co Optical Network Performance and Parameters_x000d__x000a_documents._x000d__x000a_Per Premise_x000d__x000a_connected"/>
    <m/>
    <s v="Network Shortfall Canberra"/>
    <n v="908.65"/>
  </r>
  <r>
    <s v="INV"/>
    <s v="NBN Sydney"/>
    <s v="INV-11282"/>
    <x v="3"/>
    <s v="SECNET"/>
    <x v="24"/>
    <d v="2016-07-22T00:00:00"/>
    <s v="Jul-16"/>
    <s v="SecNet Pty Ltd - Testing of Multi Mode Optical Fibre Cable"/>
    <m/>
    <s v="SECNET"/>
    <n v="475"/>
  </r>
  <r>
    <s v="INV"/>
    <s v="NBN Canberra"/>
    <s v="INV-11278"/>
    <x v="3"/>
    <s v="Network Shortfall Canberra"/>
    <x v="4"/>
    <d v="2016-07-22T00:00:00"/>
    <s v="Jul-16"/>
    <s v="NBN Co Sydney - 9QBN05 MPS119_x000d__x000a_9QBN05 MPS119-Unit 5 -83-85 Tharwa Road_x000d__x000a__x000d__x000a_06060103 Splicing of optic fibre ribbon cable Simplex jointing Per ribbon"/>
    <m/>
    <s v="Network Shortfall Canberra"/>
    <n v="1715.28"/>
  </r>
  <r>
    <s v="INV"/>
    <s v="NBN Canberra"/>
    <s v="INV-11275"/>
    <x v="3"/>
    <s v="Network Shortfall Canberra"/>
    <x v="4"/>
    <d v="2016-07-22T00:00:00"/>
    <s v="Jul-16"/>
    <s v="NBN Co Sydney - 9QBN08 MPS028_x000d__x000a_9QBN08 MPS028 - 189 Gilmore Road_x000d__x000a_06070105_x000d__x000a_Build drops and Local Network OTDR testing per premise of the fibre_x000d__x000a_from the PCD through the leadin (aerial or underground) to the FDH_x000d__x000a_(used instead of LN SOR 06070102 or 06070104); testing in_x000d__x000a_accordance with NBN Co Optical Network Performance and Parameters_x000d__x000a_documents._x000d__x000a_Per Premise_x000d__x000a_connected"/>
    <m/>
    <s v="Network Shortfall Canberra"/>
    <n v="3049.48"/>
  </r>
  <r>
    <s v="INV"/>
    <s v="NBN Canberra"/>
    <s v="INV-11276"/>
    <x v="3"/>
    <s v="Network Shortfall Canberra"/>
    <x v="4"/>
    <s v="23/07/2016"/>
    <s v="Jul-16"/>
    <s v="NBN Co Sydney - 9QBN03 MPS103_x000d__x000a_ 9QBN03 MPS103-TOW000012615895-U24 12 Morisset Street Queanbeyan 189 Gilmore Road_x000d__x000a__x000d__x000a_06070105_x000d__x000a_Build drops and Local Network OTDR testing per premise of the fibre_x000d__x000a_from the PCD through the leadin (aerial or underground) to the FDH_x000d__x000a_(used instead of LN SOR 06070102 or 06070104); testing in_x000d__x000a_accordance with NBN Co Optical Network Performance and Parameters_x000d__x000a_documents._x000d__x000a_Per Premise_x000d__x000a_connected"/>
    <m/>
    <s v="Network Shortfall Canberra"/>
    <n v="18981.32"/>
  </r>
  <r>
    <s v="INV"/>
    <s v="NBN Sydney"/>
    <s v="INV-11294"/>
    <x v="3"/>
    <s v="NBN Minor Works"/>
    <x v="25"/>
    <d v="2016-07-25T00:00:00"/>
    <s v="Jul-16"/>
    <s v="NBN Co Sydney - _x000d_Payment Schedule Number: RCTI-228872-173391 2LJT-05-Drop -Long Jetty 05_x000d__x000a_Project Number:_x000d__x000a_PO Number:312841_x000d__x000a_Work Confirmation:RCTI-228872-173391 _x000d__x000a_One off Minor works Instruction 2LJT-05 FDA 04,09,10,11,12,14"/>
    <m/>
    <s v="NBN Minor Works - 2LJT-05 Drops"/>
    <n v="117417.12"/>
  </r>
  <r>
    <s v="INV"/>
    <s v="PipeNetworks"/>
    <s v="INV-11299"/>
    <x v="3"/>
    <s v="PipeNetworks"/>
    <x v="26"/>
    <d v="2016-07-27T00:00:00"/>
    <s v="Jul-16"/>
    <s v="Pipe Network - PO: 62511 RT626797- Survey   201 Borella Road East Albury_x000d__x000a__x000d__x000a_Customer Project- RT626797-CN25126- Site survey to Albury "/>
    <m/>
    <s v="Pipe Networks"/>
    <m/>
  </r>
  <r>
    <s v="INV"/>
    <s v="NBN Sydney"/>
    <s v="INV-11297"/>
    <x v="3"/>
    <s v="NBN Minor Works"/>
    <x v="0"/>
    <d v="2016-07-27T00:00:00"/>
    <s v="Jul-16"/>
    <s v="NBN Co Sydney - _x000d_Payment Schedule Number: RCTI-228708-173219 2LJT-04-BF-Long Jetty 04_x000d__x000a_Project Number:_x000d__x000a_PO Number:314158_x000d__x000a_Work Confirmation:RCTI-228708-173219 _x000d__x000a_One off Minor works Instruction :2LJT-04-BF-Long Jetty 04_x000d__x000a_2LJT-04 LNDN FDA 03 06 and 12"/>
    <m/>
    <s v="NBN Minor Works - 2LJT-04 LNDN"/>
    <n v="379624.51"/>
  </r>
  <r>
    <s v="INV"/>
    <s v="NBN Sydney"/>
    <s v="840005"/>
    <x v="1"/>
    <s v="Overhead"/>
    <x v="3"/>
    <d v="2016-07-28T00:00:00"/>
    <s v="Jul-16"/>
    <s v="Mitronics - DIGITAL SUPPORT "/>
    <n v="39.950000000000003"/>
    <m/>
    <m/>
  </r>
  <r>
    <s v="INV"/>
    <s v="NBN Sydney"/>
    <s v="840005"/>
    <x v="1"/>
    <s v="Overhead"/>
    <x v="3"/>
    <d v="2016-07-29T00:00:00"/>
    <s v="Jul-16"/>
    <s v="Mitronics - S/N AO2E041005704"/>
    <n v="425.06"/>
    <m/>
    <m/>
  </r>
  <r>
    <s v="INV"/>
    <s v="NBN Sydney"/>
    <s v="50563"/>
    <x v="1"/>
    <s v="Test Equipment &amp; Tools"/>
    <x v="27"/>
    <d v="2016-07-30T00:00:00"/>
    <s v="Jul-16"/>
    <s v="AusOptic - HIRE OF EQUIPMENT - OTDR MTS-6000 (SN: 1238) + E8156SRL (SN: 995), PER DAY "/>
    <n v="350"/>
    <m/>
    <m/>
  </r>
  <r>
    <s v="INV"/>
    <s v="NBN Sydney"/>
    <s v="17509818"/>
    <x v="2"/>
    <s v="Network Shortfall Canberra"/>
    <x v="4"/>
    <d v="2016-07-31T00:00:00"/>
    <s v="Jul-16"/>
    <s v="Kennards Hire - PIPE/CABLE LOCATOR &amp; TRANSMITTER "/>
    <n v="185.45"/>
    <m/>
    <m/>
  </r>
  <r>
    <s v="INV"/>
    <s v="NBN Sydney"/>
    <s v="88990-7-2016"/>
    <x v="1"/>
    <s v="Overhead"/>
    <x v="3"/>
    <d v="2016-08-01T00:00:00"/>
    <s v="Aug-16"/>
    <s v="Supagas - MONTHLY RENTAL OF LPG 15KG CYLINDER "/>
    <n v="8"/>
    <m/>
    <m/>
  </r>
  <r>
    <s v="INV"/>
    <s v="NBN Sydney"/>
    <s v="88990-7-2016"/>
    <x v="1"/>
    <s v="Overhead"/>
    <x v="3"/>
    <d v="2016-08-02T00:00:00"/>
    <s v="Aug-16"/>
    <s v="Supagas - LPG 15KG CYLINDER "/>
    <n v="28.95"/>
    <m/>
    <m/>
  </r>
  <r>
    <s v="INV"/>
    <s v="NBN Sydney"/>
    <s v="50397"/>
    <x v="1"/>
    <s v="Overhead"/>
    <x v="3"/>
    <d v="2016-07-01T00:00:00"/>
    <s v="Jul-16"/>
    <s v="AusOptic - kim wipes"/>
    <n v="7"/>
    <m/>
    <m/>
  </r>
  <r>
    <s v="INV"/>
    <s v="NBN Sydney"/>
    <s v="50397"/>
    <x v="1"/>
    <s v="Overhead"/>
    <x v="3"/>
    <d v="2016-07-01T00:00:00"/>
    <s v="Jul-16"/>
    <s v="AusOptic - alcohol 99.8 % pure isopropyl "/>
    <n v="11.66"/>
    <m/>
    <m/>
  </r>
  <r>
    <s v="INV"/>
    <s v="NBN Sydney"/>
    <s v="50386"/>
    <x v="1"/>
    <s v="Test Equipment &amp; Tools"/>
    <x v="27"/>
    <d v="2016-07-01T00:00:00"/>
    <s v="Jul-16"/>
    <s v="AusOptic - 970003 JDSU OTDR Calibration: MTS4000 SN 8351 +_x000d__x000a_E4136FCOMP-MA SN 9974"/>
    <n v="995"/>
    <m/>
    <m/>
  </r>
  <r>
    <s v="INV"/>
    <s v="NBN Sydney"/>
    <s v="50386"/>
    <x v="1"/>
    <s v="Test Equipment &amp; Tools"/>
    <x v="27"/>
    <d v="2016-07-01T00:00:00"/>
    <s v="Jul-16"/>
    <s v="AusOptic - 999997 Repair: Replacement of Main Board + Pigtail"/>
    <n v="1978"/>
    <m/>
    <m/>
  </r>
  <r>
    <s v="INV"/>
    <s v="NBN Sydney"/>
    <s v="70/17"/>
    <x v="0"/>
    <s v="2BLK-11 LNDN + Variations"/>
    <x v="28"/>
    <d v="2016-07-08T00:00:00"/>
    <s v="Jul-16"/>
    <s v="Blacktown City Council - Blacktown FDA 12 Restoration "/>
    <n v="5359"/>
    <m/>
    <m/>
  </r>
  <r>
    <s v="INV"/>
    <s v="NBN Sydney"/>
    <s v="69/17"/>
    <x v="0"/>
    <s v="2BLK-11 LNDN + Variations"/>
    <x v="28"/>
    <d v="2016-07-08T00:00:00"/>
    <s v="Jul-16"/>
    <s v="Blacktown City Council - Blacktown Council restoration_x000d__x000a_2BLK-11 FDA05"/>
    <n v="10012"/>
    <m/>
    <m/>
  </r>
  <r>
    <s v="INV"/>
    <s v="NBN Sydney"/>
    <s v="348883"/>
    <x v="4"/>
    <s v="Network Shortfall Canberra"/>
    <x v="4"/>
    <d v="2016-07-27T00:00:00"/>
    <s v="Jul-16"/>
    <s v="Boral Bitupave Limited - CREDIT CARD SURCHARGE "/>
    <n v="5.52"/>
    <m/>
    <m/>
  </r>
  <r>
    <s v="INV"/>
    <s v="NBN Sydney"/>
    <s v="348883"/>
    <x v="4"/>
    <s v="Network Shortfall Canberra"/>
    <x v="4"/>
    <d v="2016-07-27T00:00:00"/>
    <s v="Jul-16"/>
    <s v="Boral Bitupave Limited - COULD MIX BULK "/>
    <n v="368.34"/>
    <m/>
    <m/>
  </r>
  <r>
    <s v="INV"/>
    <s v="NBN Sydney"/>
    <s v="M10031298"/>
    <x v="4"/>
    <s v="Network Shortfall Canberra"/>
    <x v="4"/>
    <d v="2016-07-29T00:00:00"/>
    <s v="Jul-16"/>
    <s v="Canberra Sand &amp; Gravel Pty Ltd - SANDY TOP SOIL"/>
    <n v="7.73"/>
    <m/>
    <m/>
  </r>
  <r>
    <s v="PE"/>
    <s v="NBN Sydney"/>
    <s v="Payroll Expense Journal - PD-289"/>
    <x v="5"/>
    <s v="NBN Minor Works DJC Internals"/>
    <x v="0"/>
    <d v="2016-07-04T00:00:00"/>
    <s v="Jul-16"/>
    <s v="Earnings tool Allowance Peter Hanley"/>
    <n v="4.5774999999999997"/>
    <m/>
    <m/>
  </r>
  <r>
    <s v="PE"/>
    <s v="NBN Sydney"/>
    <s v="Payroll Expense Journal - PD-290"/>
    <x v="5"/>
    <s v="NBN Greenfields DJC Internals"/>
    <x v="18"/>
    <d v="2016-07-04T00:00:00"/>
    <s v="Jul-16"/>
    <s v="Earnings tool Allowance Peter Hanley"/>
    <n v="4.5774999999999997"/>
    <m/>
    <m/>
  </r>
  <r>
    <s v="PE"/>
    <s v="NBN Sydney"/>
    <s v="Payroll Expense Journal - PD-291"/>
    <x v="5"/>
    <s v="Network Shortfall Sydney"/>
    <x v="20"/>
    <d v="2016-07-04T00:00:00"/>
    <s v="Jul-16"/>
    <s v="Earnings tool Allowance Peter Hanley"/>
    <n v="4.5774999999999997"/>
    <m/>
    <m/>
  </r>
  <r>
    <s v="PE"/>
    <s v="PipeNetworks"/>
    <s v="Payroll Expense Journal - PD-292"/>
    <x v="5"/>
    <s v="PipeNetworks"/>
    <x v="29"/>
    <d v="2016-07-04T00:00:00"/>
    <s v="Jul-16"/>
    <s v="Earnings tool Allowance Peter Hanley"/>
    <n v="4.5774999999999997"/>
    <m/>
    <m/>
  </r>
  <r>
    <s v="PE"/>
    <s v="NBN Sydney"/>
    <s v="Payroll Expense Journal - PD-290"/>
    <x v="5"/>
    <s v="NBN Greenfields DJC Internals"/>
    <x v="22"/>
    <d v="2016-07-11T00:00:00"/>
    <s v="Jul-16"/>
    <s v="Earnings tool Allowance Peter Hanley"/>
    <n v="4.6624999999999996"/>
    <m/>
    <m/>
  </r>
  <r>
    <s v="PE"/>
    <s v="NBN Sydney"/>
    <s v="Payroll Expense Journal - PD-291"/>
    <x v="5"/>
    <s v="Network Shortfall Central Coast"/>
    <x v="1"/>
    <d v="2016-07-11T00:00:00"/>
    <s v="Jul-16"/>
    <s v="Earnings tool Allowance Peter Hanley"/>
    <n v="4.6624999999999996"/>
    <m/>
    <m/>
  </r>
  <r>
    <s v="PE"/>
    <s v="PipeNetworks"/>
    <s v="Payroll Expense Journal - PD-292"/>
    <x v="5"/>
    <s v="PipeNetworks"/>
    <x v="29"/>
    <d v="2016-07-11T00:00:00"/>
    <s v="Jul-16"/>
    <s v="Earnings tool Allowance Peter Hanley"/>
    <n v="4.6624999999999996"/>
    <m/>
    <m/>
  </r>
  <r>
    <s v="PE"/>
    <s v="NBN Sydney"/>
    <s v="Payroll Expense Journal - PD-293"/>
    <x v="5"/>
    <s v="Network Shortfall Sydney"/>
    <x v="20"/>
    <d v="2016-07-11T00:00:00"/>
    <s v="Jul-16"/>
    <s v="Earnings tool Allowance Peter Hanley"/>
    <n v="4.6624999999999996"/>
    <m/>
    <m/>
  </r>
  <r>
    <s v="PE"/>
    <s v="NBN Sydney"/>
    <s v="Payroll Expense Journal - PD-294"/>
    <x v="1"/>
    <s v="Overhead"/>
    <x v="3"/>
    <d v="2016-07-18T00:00:00"/>
    <s v="Jul-16"/>
    <s v="Earnings tool Allowance Peter Hanley"/>
    <n v="4.6624999999999996"/>
    <m/>
    <m/>
  </r>
  <r>
    <s v="PE"/>
    <s v="NBN Sydney"/>
    <s v="Payroll Expense Journal - PD-295"/>
    <x v="5"/>
    <s v="NBN Greenfields DJC Internals"/>
    <x v="2"/>
    <d v="2016-07-18T00:00:00"/>
    <s v="Jul-16"/>
    <s v="Earnings tool Allowance Peter Hanley"/>
    <n v="4.6624999999999996"/>
    <m/>
    <m/>
  </r>
  <r>
    <s v="PE"/>
    <s v="NBN Sydney"/>
    <s v="Payroll Expense Journal - PD-296"/>
    <x v="5"/>
    <s v="Network Shortfall Central Coast"/>
    <x v="1"/>
    <d v="2016-07-18T00:00:00"/>
    <s v="Jul-16"/>
    <s v="Earnings tool Allowance Peter Hanley"/>
    <n v="4.6624999999999996"/>
    <m/>
    <m/>
  </r>
  <r>
    <s v="PE"/>
    <s v="NBN Sydney"/>
    <s v="Payroll Expense Journal - PD-297"/>
    <x v="5"/>
    <s v="Network Shortfall Sydney"/>
    <x v="20"/>
    <d v="2016-07-18T00:00:00"/>
    <s v="Jul-16"/>
    <s v="Earnings tool Allowance Peter Hanley"/>
    <n v="4.6624999999999996"/>
    <m/>
    <m/>
  </r>
  <r>
    <s v="PE"/>
    <s v="NBN Sydney"/>
    <s v="Payroll Expense Journal - PD-298"/>
    <x v="5"/>
    <s v="Network Shortfall Sydney"/>
    <x v="20"/>
    <d v="2016-07-25T00:00:00"/>
    <s v="Jul-16"/>
    <s v="Earnings tool Allowance Peter Hanley"/>
    <n v="9.3249999999999993"/>
    <m/>
    <m/>
  </r>
  <r>
    <s v="PE"/>
    <s v="NBN Sydney"/>
    <s v="Payroll Expense Journal - PD-299"/>
    <x v="5"/>
    <s v="NBN Minor Works DJC Internals"/>
    <x v="0"/>
    <d v="2016-07-25T00:00:00"/>
    <s v="Jul-16"/>
    <s v="Earnings tool Allowance Peter Hanley"/>
    <n v="9.3249999999999993"/>
    <m/>
    <m/>
  </r>
  <r>
    <s v="PE"/>
    <s v="NBN Canberra"/>
    <s v="Payroll Expense Journal - PD-304"/>
    <x v="5"/>
    <s v="Network Shortfall Canberra"/>
    <x v="4"/>
    <d v="2016-08-01T00:00:00"/>
    <s v="Aug-16"/>
    <s v="Earnings"/>
    <n v="18.649999999999999"/>
    <m/>
    <m/>
  </r>
  <r>
    <s v="PE"/>
    <s v="NBN Canberra"/>
    <s v="Payroll Expense Journal - PD-305"/>
    <x v="5"/>
    <s v="Network Shortfall Canberra"/>
    <x v="4"/>
    <d v="2016-08-01T00:00:00"/>
    <s v="Aug-16"/>
    <s v="Wagga Tools"/>
    <n v="93.25"/>
    <m/>
    <m/>
  </r>
  <r>
    <s v="PE"/>
    <s v="NBN Sydney"/>
    <s v="Payroll Expense Journal - PD-306"/>
    <x v="1"/>
    <s v="Overhead"/>
    <x v="3"/>
    <d v="2016-07-18T00:00:00"/>
    <s v="Jul-16"/>
    <s v="Reimbursements"/>
    <n v="299.74"/>
    <m/>
    <m/>
  </r>
  <r>
    <s v="PE"/>
    <s v="NBN Sydney"/>
    <s v="Payroll Expense Journal - PD-307"/>
    <x v="1"/>
    <s v="Overhead"/>
    <x v="3"/>
    <d v="2016-08-01T00:00:00"/>
    <s v="Aug-16"/>
    <s v="Reimbursements"/>
    <n v="1546.35"/>
    <m/>
    <m/>
  </r>
  <r>
    <s v="PE"/>
    <s v="NBN Canberra"/>
    <s v="Payroll Expense Journal - PD-308"/>
    <x v="5"/>
    <s v="Network Shortfall Canberra"/>
    <x v="4"/>
    <d v="2016-08-01T00:00:00"/>
    <s v="Aug-16"/>
    <s v="Reimbursements Peter Hanley TA x 4 Nights"/>
    <n v="748"/>
    <m/>
    <m/>
  </r>
  <r>
    <s v="PE"/>
    <s v="NBN Canberra"/>
    <s v="Payroll Expense Journal - PD-308"/>
    <x v="5"/>
    <s v="Network Shortfall Canberra"/>
    <x v="4"/>
    <d v="2016-08-01T00:00:00"/>
    <s v="Aug-16"/>
    <s v="OTTA NBN ACT"/>
    <n v="2264.61"/>
    <m/>
    <m/>
  </r>
  <r>
    <s v="PE"/>
    <s v="NBN Sydney"/>
    <s v="Payroll Expense Journal - PD-309"/>
    <x v="1"/>
    <s v="Overhead"/>
    <x v="3"/>
    <d v="2016-07-25T00:00:00"/>
    <s v="Jul-16"/>
    <s v="GC OTTA, Reduced from $1,6988.20 to $909.85 due to incorrect booking"/>
    <n v="909.85"/>
    <m/>
    <m/>
  </r>
  <r>
    <s v="PE"/>
    <s v="NBN Sydney"/>
    <s v="Payroll Expense Journal - PD-289"/>
    <x v="1"/>
    <s v="Overhead"/>
    <x v="3"/>
    <d v="2016-07-04T00:00:00"/>
    <s v="Jul-16"/>
    <s v="Earnings"/>
    <n v="8670.74"/>
    <m/>
    <m/>
  </r>
  <r>
    <s v="PE"/>
    <s v="NBN Sydney"/>
    <s v="Payroll Expense Journal - PD-290"/>
    <x v="5"/>
    <s v="NBN Minor Works DJC Internals"/>
    <x v="0"/>
    <d v="2016-07-04T00:00:00"/>
    <s v="Jul-16"/>
    <s v="Earnings Peter Hanley"/>
    <n v="260.67999999999995"/>
    <m/>
    <m/>
  </r>
  <r>
    <s v="PE"/>
    <s v="NBN Sydney"/>
    <s v="Payroll Expense Journal - PD-291"/>
    <x v="5"/>
    <s v="NBN Greenfields DJC Internals"/>
    <x v="18"/>
    <d v="2016-07-04T00:00:00"/>
    <s v="Jul-16"/>
    <s v="Earnings Peter Hanley"/>
    <n v="521.3599999999999"/>
    <m/>
    <m/>
  </r>
  <r>
    <s v="PE"/>
    <s v="NBN Sydney"/>
    <s v="Payroll Expense Journal - PD-292"/>
    <x v="5"/>
    <s v="Network Shortfall Sydney"/>
    <x v="20"/>
    <d v="2016-07-04T00:00:00"/>
    <s v="Jul-16"/>
    <s v="Earnings Peter Hanley"/>
    <n v="260.67999999999995"/>
    <m/>
    <m/>
  </r>
  <r>
    <s v="PE"/>
    <s v="PipeNetworks"/>
    <s v="Payroll Expense Journal - PD-293"/>
    <x v="5"/>
    <s v="PipeNetworks"/>
    <x v="29"/>
    <d v="2016-07-04T00:00:00"/>
    <s v="Jul-16"/>
    <s v="Earnings Peter Hanley"/>
    <n v="260.67999999999995"/>
    <m/>
    <m/>
  </r>
  <r>
    <s v="PE"/>
    <s v="NBN Sydney"/>
    <s v="Payroll Expense Journal - PD-294"/>
    <x v="1"/>
    <s v="Overhead"/>
    <x v="3"/>
    <d v="2016-07-11T00:00:00"/>
    <s v="Jul-16"/>
    <s v="Earnings"/>
    <n v="8796.2999999999993"/>
    <m/>
    <m/>
  </r>
  <r>
    <s v="PE"/>
    <s v="NBN Sydney"/>
    <s v="Payroll Expense Journal - PD-295"/>
    <x v="5"/>
    <s v="NBN Greenfields DJC Internals"/>
    <x v="22"/>
    <d v="2016-07-11T00:00:00"/>
    <s v="Jul-16"/>
    <s v="Earnings Peter Hanley"/>
    <n v="209.22999999999996"/>
    <m/>
    <m/>
  </r>
  <r>
    <s v="PE"/>
    <s v="NBN Sydney"/>
    <s v="Payroll Expense Journal - PD-296"/>
    <x v="5"/>
    <s v="Network Shortfall Central Coast"/>
    <x v="1"/>
    <d v="2016-07-11T00:00:00"/>
    <s v="Jul-16"/>
    <s v="Earnings Peter Hanley"/>
    <n v="102.89999999999999"/>
    <m/>
    <m/>
  </r>
  <r>
    <s v="PE"/>
    <s v="PipeNetworks"/>
    <s v="Payroll Expense Journal - PD-297"/>
    <x v="5"/>
    <s v="PipeNetworks"/>
    <x v="29"/>
    <d v="2016-07-11T00:00:00"/>
    <s v="Jul-16"/>
    <s v="Earnings Peter Hanley"/>
    <n v="758.03"/>
    <m/>
    <m/>
  </r>
  <r>
    <s v="PE"/>
    <s v="NBN Sydney"/>
    <s v="Payroll Expense Journal - PD-298"/>
    <x v="5"/>
    <s v="Network Shortfall Sydney"/>
    <x v="20"/>
    <d v="2016-07-11T00:00:00"/>
    <s v="Jul-16"/>
    <s v="Earnings Peter Hanley"/>
    <n v="260.67999999999995"/>
    <m/>
    <m/>
  </r>
  <r>
    <s v="PE"/>
    <s v="NBN Sydney"/>
    <s v="Payroll Expense Journal - PD-299"/>
    <x v="1"/>
    <s v="Overhead"/>
    <x v="3"/>
    <d v="2016-07-18T00:00:00"/>
    <s v="Jul-16"/>
    <s v="Earnings"/>
    <n v="9679.119999999999"/>
    <m/>
    <m/>
  </r>
  <r>
    <s v="PE"/>
    <s v="NBN Sydney"/>
    <s v="Payroll Expense Journal - PD-301"/>
    <x v="5"/>
    <s v="NBN Greenfields DJC Internals"/>
    <x v="2"/>
    <d v="2016-07-18T00:00:00"/>
    <s v="Jul-16"/>
    <s v="Earnings Peter Hanley"/>
    <n v="343"/>
    <m/>
    <m/>
  </r>
  <r>
    <s v="PE"/>
    <s v="NBN Sydney"/>
    <s v="Payroll Expense Journal - PD-302"/>
    <x v="5"/>
    <s v="Network Shortfall Central Coast"/>
    <x v="1"/>
    <d v="2016-07-18T00:00:00"/>
    <s v="Jul-16"/>
    <s v="Earnings Peter Hanley"/>
    <n v="277.83"/>
    <m/>
    <m/>
  </r>
  <r>
    <s v="PE"/>
    <s v="PipeNetworks"/>
    <s v="Payroll Expense Journal - PD-303"/>
    <x v="5"/>
    <s v="PipeNetworks"/>
    <x v="29"/>
    <d v="2016-07-18T00:00:00"/>
    <s v="Jul-16"/>
    <s v="Earnings Peter Hanley"/>
    <n v="68.599999999999994"/>
    <m/>
    <m/>
  </r>
  <r>
    <m/>
    <s v="NBN Sydney"/>
    <s v="Payroll Expense Journal - PD-304"/>
    <x v="5"/>
    <s v="Network Shortfall Sydney"/>
    <x v="20"/>
    <d v="2016-07-18T00:00:00"/>
    <s v="Jul-16"/>
    <s v="Earnings Peter Hanley"/>
    <n v="260.67999999999995"/>
    <m/>
    <m/>
  </r>
  <r>
    <s v="PE"/>
    <s v="NBN Sydney"/>
    <s v="Payroll Expense Journal - PD-304"/>
    <x v="1"/>
    <s v="Overhead"/>
    <x v="3"/>
    <d v="2016-07-25T00:00:00"/>
    <s v="Jul-16"/>
    <s v="Earnings"/>
    <n v="9168.2899999999991"/>
    <m/>
    <m/>
  </r>
  <r>
    <s v="PE"/>
    <s v="NBN Sydney"/>
    <s v="Payroll Expense Journal - PD-305"/>
    <x v="5"/>
    <s v="Network Shortfall Sydney"/>
    <x v="20"/>
    <d v="2016-07-25T00:00:00"/>
    <s v="Jul-16"/>
    <s v="Earnings Peter Hanley"/>
    <n v="816.33999999999992"/>
    <m/>
    <m/>
  </r>
  <r>
    <s v="PE"/>
    <s v="NBN Sydney"/>
    <s v="Payroll Expense Journal - PD-306"/>
    <x v="5"/>
    <s v="NBN Minor Works DJC Internals"/>
    <x v="0"/>
    <d v="2016-07-25T00:00:00"/>
    <s v="Jul-16"/>
    <s v="Earnings Peter Hanley"/>
    <n v="538.51"/>
    <m/>
    <m/>
  </r>
  <r>
    <s v="PE"/>
    <s v="NBN Sydney"/>
    <s v="Payroll Expense Journal - PD-305"/>
    <x v="1"/>
    <s v="Overhead"/>
    <x v="3"/>
    <d v="2016-08-01T00:00:00"/>
    <s v="Aug-16"/>
    <s v="Earnings Marks Termination"/>
    <n v="6114.97"/>
    <m/>
    <m/>
  </r>
  <r>
    <s v="PE"/>
    <s v="NBN Sydney"/>
    <s v="Payroll Expense Journal - PD-304"/>
    <x v="1"/>
    <s v="Overhead"/>
    <x v="3"/>
    <d v="2016-08-01T00:00:00"/>
    <s v="Aug-16"/>
    <s v="Earnings"/>
    <n v="8492.4700000000012"/>
    <m/>
    <m/>
  </r>
  <r>
    <s v="PE"/>
    <s v="NBN Sydney"/>
    <s v="Payroll Expense Journal - PD-305"/>
    <x v="5"/>
    <s v="Network Shortfall Canberra"/>
    <x v="4"/>
    <d v="2016-08-01T00:00:00"/>
    <s v="Aug-16"/>
    <s v="Earnings Peter Hanley"/>
    <n v="2557.0700000000002"/>
    <m/>
    <m/>
  </r>
  <r>
    <s v="PE"/>
    <s v="NBN Canberra"/>
    <s v="Payroll Expense Journal - PD-305"/>
    <x v="5"/>
    <s v="Network Shortfall Canberra"/>
    <x v="4"/>
    <d v="2016-08-01T00:00:00"/>
    <s v="Aug-16"/>
    <s v="Wagga Techs"/>
    <n v="7218.47"/>
    <m/>
    <m/>
  </r>
  <r>
    <s v="PE"/>
    <s v="NBN Sydney"/>
    <s v="Payroll Expense Journal - PD-289"/>
    <x v="1"/>
    <s v="Overhead"/>
    <x v="3"/>
    <d v="2016-07-04T00:00:00"/>
    <s v="Jul-16"/>
    <s v="Superannuation Expense"/>
    <n v="707.827"/>
    <m/>
    <m/>
  </r>
  <r>
    <s v="PE"/>
    <s v="NBN Sydney"/>
    <s v="Payroll Expense Journal - PD-290"/>
    <x v="5"/>
    <s v="NBN Minor Works DJC Internals"/>
    <x v="0"/>
    <d v="2016-07-04T00:00:00"/>
    <s v="Jul-16"/>
    <s v="Superannuation Expense Peter Hanley"/>
    <n v="24.764599999999994"/>
    <m/>
    <m/>
  </r>
  <r>
    <s v="PE"/>
    <s v="NBN Sydney"/>
    <s v="Payroll Expense Journal - PD-291"/>
    <x v="5"/>
    <s v="NBN Greenfields DJC Internals"/>
    <x v="18"/>
    <d v="2016-07-04T00:00:00"/>
    <s v="Jul-16"/>
    <s v="Superannuation Expense Peter Hanley"/>
    <n v="49.529199999999989"/>
    <m/>
    <m/>
  </r>
  <r>
    <s v="PE"/>
    <s v="NBN Sydney"/>
    <s v="Payroll Expense Journal - PD-292"/>
    <x v="5"/>
    <s v="Network Shortfall Sydney"/>
    <x v="20"/>
    <d v="2016-07-04T00:00:00"/>
    <s v="Jul-16"/>
    <s v="Superannuation Expense Peter Hanley"/>
    <n v="24.764599999999994"/>
    <m/>
    <m/>
  </r>
  <r>
    <s v="PE"/>
    <s v="PipeNetworks"/>
    <s v="Payroll Expense Journal - PD-293"/>
    <x v="5"/>
    <s v="PipeNetworks"/>
    <x v="29"/>
    <d v="2016-07-04T00:00:00"/>
    <s v="Jul-16"/>
    <s v="Superannuation Expense Peter Hanley"/>
    <n v="24.764599999999994"/>
    <m/>
    <m/>
  </r>
  <r>
    <s v="PE"/>
    <s v="NBN Sydney"/>
    <s v="Payroll Expense Journal - PD-294"/>
    <x v="1"/>
    <s v="PipeNetworks"/>
    <x v="29"/>
    <d v="2016-07-11T00:00:00"/>
    <s v="Jul-16"/>
    <s v="Superannuation Expense"/>
    <n v="705.22019999999998"/>
    <m/>
    <m/>
  </r>
  <r>
    <s v="PE"/>
    <s v="NBN Sydney"/>
    <s v="Payroll Expense Journal - PD-295"/>
    <x v="5"/>
    <s v="PipeNetworks"/>
    <x v="29"/>
    <d v="2016-07-11T00:00:00"/>
    <s v="Jul-16"/>
    <s v="Superannuation Expense Peter Hanley"/>
    <n v="19.876849999999997"/>
    <m/>
    <m/>
  </r>
  <r>
    <s v="PE"/>
    <s v="NBN Sydney"/>
    <s v="Payroll Expense Journal - PD-296"/>
    <x v="5"/>
    <s v="PipeNetworks"/>
    <x v="29"/>
    <d v="2016-07-11T00:00:00"/>
    <s v="Jul-16"/>
    <s v="Superannuation Expense Peter Hanley"/>
    <n v="9.7754999999999992"/>
    <m/>
    <m/>
  </r>
  <r>
    <s v="PE"/>
    <s v="PipeNetworks"/>
    <s v="Payroll Expense Journal - PD-297"/>
    <x v="5"/>
    <s v="PipeNetworks"/>
    <x v="29"/>
    <d v="2016-07-11T00:00:00"/>
    <s v="Jul-16"/>
    <s v="Superannuation Expense Peter Hanley"/>
    <n v="72.01285"/>
    <s v=" "/>
    <m/>
  </r>
  <r>
    <s v="PE"/>
    <s v="NBN Sydney"/>
    <s v="Payroll Expense Journal - PD-298"/>
    <x v="5"/>
    <s v="Network Shortfall Sydney"/>
    <x v="20"/>
    <d v="2016-07-11T00:00:00"/>
    <s v="Jul-16"/>
    <s v="Superannuation Expense Peter Hanley"/>
    <n v="24.764599999999994"/>
    <m/>
    <m/>
  </r>
  <r>
    <s v="PE"/>
    <s v="NBN Sydney"/>
    <s v="Payroll Expense Journal - PD-299"/>
    <x v="1"/>
    <s v="Overhead"/>
    <x v="3"/>
    <d v="2016-07-18T00:00:00"/>
    <s v="Jul-16"/>
    <s v="Superannuation Expense"/>
    <n v="741.38954999999999"/>
    <m/>
    <m/>
  </r>
  <r>
    <s v="PE"/>
    <s v="NBN Sydney"/>
    <s v="Payroll Expense Journal - PD-300"/>
    <x v="5"/>
    <s v="NBN Greenfields DJC Internals"/>
    <x v="2"/>
    <d v="2016-07-18T00:00:00"/>
    <s v="Jul-16"/>
    <s v="Superannuation Expense Peter Hanley"/>
    <n v="32.585000000000001"/>
    <m/>
    <m/>
  </r>
  <r>
    <s v="PE"/>
    <s v="NBN Sydney"/>
    <s v="Payroll Expense Journal - PD-301"/>
    <x v="5"/>
    <s v="Network Shortfall Central Coast"/>
    <x v="1"/>
    <d v="2016-07-18T00:00:00"/>
    <s v="Jul-16"/>
    <s v="Superannuation Expense Peter Hanley"/>
    <n v="26.39385"/>
    <m/>
    <m/>
  </r>
  <r>
    <s v="PE"/>
    <s v="PipeNetworks"/>
    <s v="Payroll Expense Journal - PD-302"/>
    <x v="5"/>
    <s v="PipeNetworks"/>
    <x v="29"/>
    <d v="2016-07-18T00:00:00"/>
    <s v="Jul-16"/>
    <s v="Superannuation Expense Peter Hanley"/>
    <n v="6.5169999999999995"/>
    <s v=" "/>
    <m/>
  </r>
  <r>
    <s v="PE"/>
    <s v="NBN Sydney"/>
    <s v="Payroll Expense Journal - PD-303"/>
    <x v="5"/>
    <s v="Network Shortfall Sydney"/>
    <x v="20"/>
    <d v="2016-07-18T00:00:00"/>
    <s v="Jul-16"/>
    <s v="Superannuation Expense Peter Hanley"/>
    <n v="24.764599999999994"/>
    <m/>
    <m/>
  </r>
  <r>
    <s v="PE"/>
    <s v="NBN Sydney"/>
    <s v="Payroll Expense Journal - PD-304"/>
    <x v="1"/>
    <s v="Overhead"/>
    <x v="3"/>
    <d v="2016-07-25T00:00:00"/>
    <s v="Jul-16"/>
    <s v="Superannuation Expense"/>
    <n v="702.93925000000002"/>
    <m/>
    <m/>
  </r>
  <r>
    <s v="PE"/>
    <s v="NBN Sydney"/>
    <s v="Payroll Expense Journal - PD-305"/>
    <x v="5"/>
    <s v="Network Shortfall Sydney"/>
    <x v="20"/>
    <d v="2016-07-25T00:00:00"/>
    <s v="Jul-16"/>
    <s v="Superannuation Expense Peter Hanley"/>
    <n v="77.552299999999988"/>
    <m/>
    <m/>
  </r>
  <r>
    <s v="PE"/>
    <s v="NBN Sydney"/>
    <s v="Payroll Expense Journal - PD-306"/>
    <x v="5"/>
    <s v="NBN Minor Works DJC Internals"/>
    <x v="0"/>
    <d v="2016-07-25T00:00:00"/>
    <s v="Jul-16"/>
    <s v="Superannuation Expense Peter Hanley"/>
    <n v="51.158449999999995"/>
    <m/>
    <m/>
  </r>
  <r>
    <s v="PE"/>
    <s v="NBN Canberra"/>
    <s v="Payroll Expense Journal - PD-299"/>
    <x v="5"/>
    <s v="Network Shortfall Canberra"/>
    <x v="4"/>
    <d v="2016-08-01T00:00:00"/>
    <s v="Aug-16"/>
    <s v="Wagga - techs"/>
    <n v="564.19000000000005"/>
    <m/>
    <m/>
  </r>
  <r>
    <s v="INV"/>
    <s v="NBN Sydney"/>
    <s v="B VISA E-TOLL July 2016"/>
    <x v="1"/>
    <s v="Overhead"/>
    <x v="3"/>
    <d v="2016-07-02T00:00:00"/>
    <s v="Jul-16"/>
    <s v="E-Toll Business Operations Centre - TAG NO 4088301 _x000d__x000a_PJ CHV14B Toyota Hilux SYD"/>
    <n v="218.34"/>
    <m/>
    <m/>
  </r>
  <r>
    <s v="INV"/>
    <s v="NBN Sydney"/>
    <s v="B VISA E-TOLL July 2016"/>
    <x v="5"/>
    <s v="Network Shortfall Sydney"/>
    <x v="20"/>
    <d v="2016-07-02T00:00:00"/>
    <s v="Jul-16"/>
    <s v="E-Toll Business Operations Centre - TAG NO 3665998 PHan BU59MS Toyota Hiace Van"/>
    <n v="33.223333333333336"/>
    <m/>
    <m/>
  </r>
  <r>
    <s v="INV"/>
    <s v="NBN Sydney"/>
    <s v="B VISA E-TOLL July 2017"/>
    <x v="5"/>
    <s v="NBN Greenfields DJC Internals"/>
    <x v="18"/>
    <d v="2016-07-02T00:00:00"/>
    <s v="Jul-16"/>
    <s v="E-Toll Business Operations Centre - TAG NO 3665998 PHan BU59MS Toyota Hiace Van"/>
    <n v="33.223333333333336"/>
    <m/>
    <m/>
  </r>
  <r>
    <s v="CN"/>
    <s v="NBN Sydney"/>
    <s v="I132156 - 14100230"/>
    <x v="1"/>
    <s v="Overhead Credit"/>
    <x v="3"/>
    <d v="2016-07-29T00:00:00"/>
    <s v="Jul-16"/>
    <s v="Arthur J. Gallagher - contract workers annual - adjustment period 2014-2015 insurance period"/>
    <m/>
    <s v="Overhead"/>
    <n v="334.67"/>
  </r>
  <r>
    <s v="CN"/>
    <s v="NBN Sydney"/>
    <s v="I132156 - 14100230"/>
    <x v="1"/>
    <s v="Overhead"/>
    <x v="3"/>
    <d v="2016-07-29T00:00:00"/>
    <s v="Jul-16"/>
    <s v="Arthur J. Gallagher - contract workers annual - adjustment period 2014-2015 insurance period"/>
    <n v="33.223333333333336"/>
    <s v="Overhead"/>
    <m/>
  </r>
  <r>
    <s v="INV"/>
    <s v="NBN Sydney"/>
    <s v="DM CARD 9055239003785706"/>
    <x v="1"/>
    <s v="Overhead"/>
    <x v="3"/>
    <d v="2016-07-11T00:00:00"/>
    <s v="Jul-16"/>
    <s v="Officeworks Superstores - BLACK PENS "/>
    <n v="7.73"/>
    <m/>
    <m/>
  </r>
  <r>
    <s v="INV"/>
    <s v="NBN Sydney"/>
    <s v="DM CARD 9055239003785706"/>
    <x v="1"/>
    <s v="Overhead"/>
    <x v="3"/>
    <d v="2016-07-11T00:00:00"/>
    <s v="Jul-16"/>
    <s v="Officeworks Superstores - REFLEX PAPER "/>
    <n v="20.64"/>
    <m/>
    <m/>
  </r>
  <r>
    <s v="INV"/>
    <s v="NBN Sydney"/>
    <s v="DM CARD 9055239003785706"/>
    <x v="1"/>
    <s v="Overhead"/>
    <x v="3"/>
    <d v="2016-07-11T00:00:00"/>
    <s v="Jul-16"/>
    <s v="Officeworks Superstores - STAPLES "/>
    <n v="2.38"/>
    <m/>
    <m/>
  </r>
  <r>
    <s v="INV"/>
    <s v="NBN Sydney"/>
    <s v="DM CARD 9055239003785706"/>
    <x v="1"/>
    <s v="Overhead"/>
    <x v="3"/>
    <d v="2016-07-11T00:00:00"/>
    <s v="Jul-16"/>
    <s v="Officeworks Superstores - PACKING TAPE "/>
    <n v="15.45"/>
    <m/>
    <m/>
  </r>
  <r>
    <s v="INV"/>
    <s v="NBN Sydney"/>
    <s v="DM CARD 9057239003407546"/>
    <x v="1"/>
    <s v="Overhead"/>
    <x v="3"/>
    <d v="2016-07-27T00:00:00"/>
    <s v="Jul-16"/>
    <s v="Officeworks Superstores - A4 RELFEX PAPER "/>
    <n v="68.05"/>
    <m/>
    <m/>
  </r>
  <r>
    <s v="INV"/>
    <s v="NBN Sydney"/>
    <s v="DM CARD 9057239003407546"/>
    <x v="1"/>
    <s v="Overhead"/>
    <x v="3"/>
    <d v="2016-07-27T00:00:00"/>
    <s v="Jul-16"/>
    <s v="Officeworks Superstores - A3 REFLEX PAPER "/>
    <n v="47.56"/>
    <m/>
    <m/>
  </r>
  <r>
    <s v="INV"/>
    <s v="NBN Sydney"/>
    <s v="0969"/>
    <x v="1"/>
    <s v="Overhead"/>
    <x v="3"/>
    <d v="2016-07-31T00:00:00"/>
    <s v="Jul-16"/>
    <s v="woolworths - SELECT TOILET PAPER 24PK "/>
    <n v="8.18"/>
    <m/>
    <m/>
  </r>
  <r>
    <s v="PE"/>
    <s v="NBN Sydney"/>
    <s v="Payroll Expense Journal - PD-304"/>
    <x v="1"/>
    <s v="Overhead"/>
    <x v="3"/>
    <d v="2016-08-01T00:00:00"/>
    <s v="Aug-16"/>
    <s v="Superannuation Expense - Admin"/>
    <n v="47.45"/>
    <m/>
    <m/>
  </r>
  <r>
    <s v="PE"/>
    <s v="NBN Sydney"/>
    <s v="Payroll Expense Journal - PD-305"/>
    <x v="1"/>
    <s v="Overhead"/>
    <x v="3"/>
    <d v="2016-08-01T00:00:00"/>
    <s v="Aug-16"/>
    <s v="Wagga Admin Super"/>
    <n v="188.9"/>
    <m/>
    <m/>
  </r>
  <r>
    <s v="INV"/>
    <s v="NBN Sydney"/>
    <s v="P 993 715 111-0"/>
    <x v="1"/>
    <s v="Overhead"/>
    <x v="3"/>
    <d v="2016-07-21T00:00:00"/>
    <s v="Jul-16"/>
    <s v="Telstra Acc # 898 8808 200 - SYDNEY"/>
    <n v="136.36000000000001"/>
    <m/>
    <m/>
  </r>
  <r>
    <s v="PE"/>
    <s v="NBN Sydney"/>
    <s v="Payroll Expense Journal - PD-289"/>
    <x v="1"/>
    <s v="Overhead"/>
    <x v="3"/>
    <d v="2016-07-04T00:00:00"/>
    <s v="Jul-16"/>
    <s v="Earnings Telephone Allowances"/>
    <n v="92.320000000000007"/>
    <m/>
    <m/>
  </r>
  <r>
    <s v="PE"/>
    <s v="NBN Sydney"/>
    <s v="Payroll Expense Journal - PD-290"/>
    <x v="5"/>
    <s v="NBN Minor Works DJC Internals"/>
    <x v="0"/>
    <d v="2016-07-04T00:00:00"/>
    <s v="Jul-16"/>
    <s v="Earnings Telephone Allowances Peter Hanley"/>
    <n v="5.7700000000000005"/>
    <m/>
    <m/>
  </r>
  <r>
    <s v="PE"/>
    <s v="NBN Sydney"/>
    <s v="Payroll Expense Journal - PD-291"/>
    <x v="5"/>
    <s v="NBN Greenfields DJC Internals"/>
    <x v="18"/>
    <d v="2016-07-04T00:00:00"/>
    <s v="Jul-16"/>
    <s v="Earnings Telephone Allowances Peter Hanley"/>
    <n v="5.7700000000000005"/>
    <m/>
    <m/>
  </r>
  <r>
    <s v="PE"/>
    <s v="NBN Sydney"/>
    <s v="Payroll Expense Journal - PD-292"/>
    <x v="5"/>
    <s v="Network Shortfall Sydney"/>
    <x v="20"/>
    <d v="2016-07-04T00:00:00"/>
    <s v="Jul-16"/>
    <s v="Earnings Telephone Allowances Peter Hanley"/>
    <n v="5.7700000000000005"/>
    <m/>
    <m/>
  </r>
  <r>
    <s v="PE"/>
    <s v="PipeNetworks"/>
    <s v="Payroll Expense Journal - PD-293"/>
    <x v="5"/>
    <s v="PipeNetworks"/>
    <x v="29"/>
    <d v="2016-07-04T00:00:00"/>
    <s v="Jul-16"/>
    <s v="Earnings Telephone Allowances Peter Hanley"/>
    <n v="5.7700000000000005"/>
    <m/>
    <m/>
  </r>
  <r>
    <s v="PE"/>
    <s v="NBN Sydney"/>
    <s v="Payroll Expense Journal - PD-294"/>
    <x v="1"/>
    <s v="Overhead"/>
    <x v="3"/>
    <d v="2016-07-11T00:00:00"/>
    <s v="Jul-16"/>
    <s v="Earnings Telephone Allowances"/>
    <n v="92.320000000000007"/>
    <m/>
    <m/>
  </r>
  <r>
    <s v="PE"/>
    <s v="NBN Sydney"/>
    <s v="Payroll Expense Journal - PD-295"/>
    <x v="5"/>
    <s v="NBN Greenfields DJC Internals"/>
    <x v="22"/>
    <d v="2016-07-11T00:00:00"/>
    <s v="Jul-16"/>
    <s v="Earnings Telephone Allowances Peter Hanley"/>
    <n v="5.7700000000000005"/>
    <m/>
    <m/>
  </r>
  <r>
    <s v="PE"/>
    <s v="NBN Sydney"/>
    <s v="Payroll Expense Journal - PD-296"/>
    <x v="5"/>
    <s v="Network Shortfall Central Coast"/>
    <x v="1"/>
    <d v="2016-07-11T00:00:00"/>
    <s v="Jul-16"/>
    <s v="Earnings Telephone Allowances Peter Hanley"/>
    <n v="5.7700000000000005"/>
    <m/>
    <m/>
  </r>
  <r>
    <s v="PE"/>
    <s v="PipeNetworks"/>
    <s v="Payroll Expense Journal - PD-297"/>
    <x v="5"/>
    <s v="PipeNetworks"/>
    <x v="29"/>
    <d v="2016-07-11T00:00:00"/>
    <s v="Jul-16"/>
    <s v="Earnings Telephone Allowances Peter Hanley"/>
    <n v="5.7700000000000005"/>
    <s v=" "/>
    <m/>
  </r>
  <r>
    <s v="PE"/>
    <s v="NBN Sydney"/>
    <s v="Payroll Expense Journal - PD-298"/>
    <x v="5"/>
    <s v="Network Shortfall Sydney"/>
    <x v="20"/>
    <d v="2016-07-11T00:00:00"/>
    <s v="Jul-16"/>
    <s v="Earnings Telephone Allowances Peter Hanley"/>
    <n v="5.7700000000000005"/>
    <m/>
    <m/>
  </r>
  <r>
    <s v="PE"/>
    <s v="NBN Sydney"/>
    <s v="Payroll Expense Journal - PD-299"/>
    <x v="1"/>
    <s v="Overhead"/>
    <x v="3"/>
    <d v="2016-07-18T00:00:00"/>
    <s v="Jul-16"/>
    <s v="Earnings Telephone Allowances"/>
    <n v="92.320000000000007"/>
    <m/>
    <m/>
  </r>
  <r>
    <s v="PE"/>
    <s v="NBN Sydney"/>
    <s v="Payroll Expense Journal - PD-300"/>
    <x v="5"/>
    <s v="NBN Greenfields DJC Internals"/>
    <x v="2"/>
    <d v="2016-07-18T00:00:00"/>
    <s v="Jul-16"/>
    <s v="Earnings Telephone Allowances Peter Hanley"/>
    <n v="5.7700000000000005"/>
    <m/>
    <m/>
  </r>
  <r>
    <s v="PE"/>
    <s v="NBN Sydney"/>
    <s v="Payroll Expense Journal - PD-301"/>
    <x v="5"/>
    <s v="Network Shortfall Central Coast"/>
    <x v="1"/>
    <d v="2016-07-18T00:00:00"/>
    <s v="Jul-16"/>
    <s v="Earnings Telephone Allowances Peter Hanley"/>
    <n v="5.7700000000000005"/>
    <m/>
    <m/>
  </r>
  <r>
    <s v="PE"/>
    <s v="PipeNetworks"/>
    <s v="Payroll Expense Journal - PD-302"/>
    <x v="5"/>
    <s v="PipeNetworks"/>
    <x v="29"/>
    <d v="2016-07-18T00:00:00"/>
    <s v="Jul-16"/>
    <s v="Earnings Telephone Allowances Peter Hanley"/>
    <n v="5.7700000000000005"/>
    <m/>
    <m/>
  </r>
  <r>
    <s v="PE"/>
    <s v="NBN Sydney"/>
    <s v="Payroll Expense Journal - PD-303"/>
    <x v="5"/>
    <s v="Network Shortfall Sydney"/>
    <x v="20"/>
    <d v="2016-07-18T00:00:00"/>
    <s v="Jul-16"/>
    <s v="Earnings Telephone Allowances Peter Hanley"/>
    <n v="5.7700000000000005"/>
    <m/>
    <m/>
  </r>
  <r>
    <s v="PE"/>
    <s v="NBN Sydney"/>
    <s v="Payroll Expense Journal - PD-304"/>
    <x v="1"/>
    <s v="Overhead"/>
    <x v="3"/>
    <d v="2016-07-25T00:00:00"/>
    <s v="Jul-16"/>
    <s v="Earnings Telephone Allowances"/>
    <n v="92.320000000000007"/>
    <m/>
    <m/>
  </r>
  <r>
    <s v="PE"/>
    <s v="NBN Sydney"/>
    <s v="Payroll Expense Journal - PD-305"/>
    <x v="5"/>
    <s v="Network Shortfall Sydney"/>
    <x v="20"/>
    <d v="2016-07-25T00:00:00"/>
    <s v="Jul-16"/>
    <s v="Earnings Telephone Allowances Peter Hanley"/>
    <n v="11.540000000000001"/>
    <m/>
    <m/>
  </r>
  <r>
    <s v="PE"/>
    <s v="NBN Sydney"/>
    <s v="Payroll Expense Journal - PD-306"/>
    <x v="5"/>
    <s v="NBN Minor Works DJC Internals"/>
    <x v="0"/>
    <d v="2016-07-25T00:00:00"/>
    <s v="Jul-16"/>
    <s v="Earnings Telephone Allowances Peter Hanley"/>
    <n v="11.540000000000001"/>
    <m/>
    <m/>
  </r>
  <r>
    <s v="PE"/>
    <s v="NBN Canberra"/>
    <s v="Payroll Expense Journal - PD-299"/>
    <x v="1"/>
    <s v="Overhead"/>
    <x v="3"/>
    <d v="2016-08-01T00:00:00"/>
    <s v="Aug-16"/>
    <s v="Wagga Telephone allowances"/>
    <n v="89.24"/>
    <m/>
    <m/>
  </r>
  <r>
    <s v="PE"/>
    <s v="NBN Sydney"/>
    <s v="01"/>
    <x v="1"/>
    <s v="Overhead"/>
    <x v="3"/>
    <d v="2016-07-29T00:00:00"/>
    <s v="Jul-16"/>
    <s v="Village of Snax Cafe - MARK BROWN FAREWELL LUNCH "/>
    <n v="18.64"/>
    <m/>
    <m/>
  </r>
  <r>
    <s v="PE"/>
    <s v="NBN Canberra"/>
    <s v="Payroll Expense Journal - PD-304"/>
    <x v="1"/>
    <s v="Overhead"/>
    <x v="3"/>
    <d v="2016-08-01T00:00:00"/>
    <s v="Aug-16"/>
    <s v="Earnings"/>
    <n v="499.5"/>
    <m/>
    <m/>
  </r>
  <r>
    <s v="PE"/>
    <s v="NBN Canberra"/>
    <s v="Payroll Expense Journal - PD-305"/>
    <x v="1"/>
    <s v="Overhead"/>
    <x v="3"/>
    <d v="2016-08-01T00:00:00"/>
    <s v="Aug-16"/>
    <s v="Wagga Admin Staff"/>
    <n v="2220.08"/>
    <m/>
    <m/>
  </r>
  <r>
    <s v="INV"/>
    <s v="NBN Sydney"/>
    <s v="11782454"/>
    <x v="1"/>
    <s v="Overhead"/>
    <x v="3"/>
    <d v="2016-07-31T00:00:00"/>
    <s v="Jul-16"/>
    <s v="Cleanaway - Waste Removal -  Sydney"/>
    <n v="200.76"/>
    <m/>
    <m/>
  </r>
  <r>
    <s v="INV"/>
    <s v="NBN Sydney"/>
    <s v="102659"/>
    <x v="1"/>
    <s v="Overhead"/>
    <x v="3"/>
    <d v="2016-08-01T00:00:00"/>
    <s v="Aug-16"/>
    <s v="Sydney Water - WATER "/>
    <n v="266.73"/>
    <m/>
    <m/>
  </r>
  <r>
    <s v="INV"/>
    <s v="NBN Sydney"/>
    <s v="2589068"/>
    <x v="1"/>
    <s v="Overhead"/>
    <x v="3"/>
    <d v="2016-07-26T00:00:00"/>
    <s v="Jul-16"/>
    <s v="Eureka Operations - DIESEL 156.12L 1.219     GC"/>
    <n v="173.01"/>
    <m/>
    <m/>
  </r>
  <r>
    <s v="INV"/>
    <s v="NBN Sydney"/>
    <s v="16779"/>
    <x v="1"/>
    <s v="Overhead"/>
    <x v="3"/>
    <d v="2016-07-28T00:00:00"/>
    <s v="Jul-16"/>
    <s v="Caltex Weston - DIESEL 133.39L 1.249  GC"/>
    <n v="151.44999999999999"/>
    <m/>
    <m/>
  </r>
  <r>
    <s v="INV"/>
    <s v="NBN Canberra"/>
    <s v="89253"/>
    <x v="5"/>
    <s v="Network Shortfall Canberra"/>
    <x v="4"/>
    <d v="2016-07-25T00:00:00"/>
    <s v="Jul-16"/>
    <s v="Caltex Hammond - DIESEL 52.08L 1.199  Wagga Civils"/>
    <n v="56.76"/>
    <m/>
    <m/>
  </r>
  <r>
    <s v="INV"/>
    <s v="NBN Canberra"/>
    <s v="24268"/>
    <x v="5"/>
    <s v="Network Shortfall Canberra"/>
    <x v="4"/>
    <d v="2016-07-25T00:00:00"/>
    <s v="Jul-16"/>
    <s v="Caltex Yass - DIESEL 83.95L 1.209     Wagga Civils"/>
    <n v="92.27"/>
    <m/>
    <m/>
  </r>
  <r>
    <s v="INV"/>
    <s v="NBN Canberra"/>
    <s v="46187"/>
    <x v="5"/>
    <s v="Network Shortfall Canberra"/>
    <x v="4"/>
    <d v="2016-07-29T00:00:00"/>
    <s v="Jul-16"/>
    <s v="Caltex Mitchell - DIESEL 88.10L 1.249      Wagga Civils"/>
    <n v="100.03"/>
    <m/>
    <m/>
  </r>
  <r>
    <s v="INV"/>
    <s v="NBN Sydney"/>
    <s v="00029228"/>
    <x v="5"/>
    <s v="NBN Greenfields DJC Internals"/>
    <x v="18"/>
    <d v="2016-07-01T00:00:00"/>
    <s v="Jul-16"/>
    <s v="BP Pymble - ULP 59.66L 1.269    Peter Hanley"/>
    <n v="68.83"/>
    <m/>
    <m/>
  </r>
  <r>
    <s v="INV"/>
    <s v="NBN Sydney"/>
    <s v="1693021"/>
    <x v="5"/>
    <s v="Network Shortfall Sydney"/>
    <x v="20"/>
    <d v="2016-07-06T00:00:00"/>
    <s v="Jul-16"/>
    <s v="Eureka Operations - ULP 52.46L 1.179  Peter Hanley"/>
    <n v="56.23"/>
    <m/>
    <m/>
  </r>
  <r>
    <s v="INV"/>
    <s v="PipeNetworks"/>
    <s v="000165076519"/>
    <x v="5"/>
    <s v="PipeNetworks"/>
    <x v="29"/>
    <d v="2016-07-08T00:00:00"/>
    <s v="Jul-16"/>
    <s v="BP Express Asquith - ULP 51.76L 1.139   Peter Hanley"/>
    <n v="53.59"/>
    <m/>
    <m/>
  </r>
  <r>
    <s v="INV"/>
    <s v="NBN Sydney"/>
    <s v="49861"/>
    <x v="1"/>
    <s v="Overhead"/>
    <x v="3"/>
    <d v="2016-07-14T00:00:00"/>
    <s v="Jul-16"/>
    <s v="CALTEX STARMART F3 NTHBOUND MSPIRIT - ULP 41.45L 1.259   Peter Hanley"/>
    <n v="47.45"/>
    <m/>
    <m/>
  </r>
  <r>
    <s v="INV"/>
    <s v="NBN Sydney"/>
    <s v="2564270"/>
    <x v="5"/>
    <s v="NBN Greenfields DJC Internals"/>
    <x v="22"/>
    <d v="2016-07-15T00:00:00"/>
    <s v="Jul-16"/>
    <s v="Eureka Operations - ULP 50.81L 1.264    Peter Hanley"/>
    <n v="58.38"/>
    <m/>
    <m/>
  </r>
  <r>
    <s v="INV"/>
    <s v="NBN Sydney"/>
    <s v="7589"/>
    <x v="5"/>
    <s v="Network Shortfall Central Coast"/>
    <x v="1"/>
    <d v="2016-07-15T00:00:00"/>
    <s v="Jul-16"/>
    <s v="BP Boambee - ULP 49.14L 1.249   Peter Hanley"/>
    <n v="55.8"/>
    <m/>
    <m/>
  </r>
  <r>
    <s v="INV"/>
    <s v="NBN Sydney"/>
    <s v="2677629"/>
    <x v="5"/>
    <s v="NBN Greenfields DJC Internals"/>
    <x v="2"/>
    <d v="2016-07-22T00:00:00"/>
    <s v="Jul-16"/>
    <s v="Eureka Operations - ULP 57.55L 1.249    Peter Hanley"/>
    <n v="65.349999999999994"/>
    <m/>
    <m/>
  </r>
  <r>
    <s v="INV"/>
    <s v="NBN Sydney"/>
    <s v="1640635"/>
    <x v="5"/>
    <s v="Network Shortfall Central Coast"/>
    <x v="1"/>
    <d v="2016-07-25T00:00:00"/>
    <s v="Jul-16"/>
    <s v="Eureka Operations - ULP 53.68L 1.279    Peter Hanley"/>
    <n v="62.42"/>
    <m/>
    <m/>
  </r>
  <r>
    <s v="INV"/>
    <s v="NBN Sydney"/>
    <s v="1728253"/>
    <x v="5"/>
    <s v="Network Shortfall Sydney"/>
    <x v="20"/>
    <d v="2016-07-29T00:00:00"/>
    <s v="Jul-16"/>
    <s v="Eureka Operations - ULP 46.25L 1.219    Peter Hanley"/>
    <n v="51.25"/>
    <m/>
    <m/>
  </r>
  <r>
    <s v="INV"/>
    <s v="NBN Sydney"/>
    <s v="1970441"/>
    <x v="5"/>
    <s v="NBN Minor Works DJC Internals"/>
    <x v="0"/>
    <d v="2016-07-02T00:00:00"/>
    <s v="Jul-16"/>
    <s v="7 Eleven Minchinbury - DIESEL 64.72L 1.179   Peter Jones"/>
    <n v="69.36"/>
    <m/>
    <m/>
  </r>
  <r>
    <s v="INV"/>
    <s v="NBN Sydney"/>
    <s v="5474"/>
    <x v="1"/>
    <s v="Overhead"/>
    <x v="3"/>
    <d v="2016-07-05T00:00:00"/>
    <s v="Jul-16"/>
    <s v="Woolworths Petrol - DIESEL 62.66L 1.199  Peter Jones"/>
    <n v="68.3"/>
    <m/>
    <m/>
  </r>
  <r>
    <s v="INV"/>
    <s v="NBN Sydney"/>
    <s v="32663"/>
    <x v="1"/>
    <s v="Overhead"/>
    <x v="3"/>
    <d v="2016-07-08T00:00:00"/>
    <s v="Jul-16"/>
    <s v="Caltex Eastern Creek - DIESEL 63.68L 1.209    Peter Jones"/>
    <n v="69.989999999999995"/>
    <m/>
    <m/>
  </r>
  <r>
    <s v="INV"/>
    <s v="NBN Sydney"/>
    <s v="28054567"/>
    <x v="1"/>
    <s v="Overhead"/>
    <x v="3"/>
    <d v="2016-07-13T00:00:00"/>
    <s v="Jul-16"/>
    <s v="Eureka Operations - DIESEL 61.99L 1.259    Peter Jones"/>
    <n v="70.95"/>
    <m/>
    <m/>
  </r>
  <r>
    <s v="INV"/>
    <s v="NBN Sydney"/>
    <s v="1249559"/>
    <x v="1"/>
    <s v="Overhead"/>
    <x v="3"/>
    <d v="2016-07-15T00:00:00"/>
    <s v="Jul-16"/>
    <s v="7 Eleven Regentville - DIESEL 63.26L 1.175    Peter Jones"/>
    <n v="67.569999999999993"/>
    <m/>
    <m/>
  </r>
  <r>
    <s v="INV"/>
    <s v="NBN Sydney"/>
    <s v="2420/0102"/>
    <x v="1"/>
    <s v="Overhead"/>
    <x v="3"/>
    <d v="2016-07-22T00:00:00"/>
    <s v="Jul-16"/>
    <s v="Shell Wilton - DIESEL 64.21L 1.209      Peter Jones"/>
    <n v="70.569999999999993"/>
    <m/>
    <m/>
  </r>
  <r>
    <s v="INV"/>
    <s v="NBN Sydney"/>
    <s v="654715"/>
    <x v="1"/>
    <s v="Overhead"/>
    <x v="3"/>
    <d v="2016-07-26T00:00:00"/>
    <s v="Jul-16"/>
    <s v="Eureka Operations - DIESEL 63.61L 119.9      Peter Jones"/>
    <n v="69.34"/>
    <m/>
    <m/>
  </r>
  <r>
    <s v="INV"/>
    <s v="NBN Sydney"/>
    <s v="2714861"/>
    <x v="1"/>
    <s v="Overhead"/>
    <x v="3"/>
    <d v="2016-07-29T00:00:00"/>
    <s v="Jul-16"/>
    <s v="Eureka Operations - DIESEL 62.03L 1.169    Peter Jones"/>
    <n v="65.92"/>
    <m/>
    <m/>
  </r>
  <r>
    <s v="INV"/>
    <s v="NBN Sydney"/>
    <s v="84407"/>
    <x v="5"/>
    <s v="Network Shortfall Canberra"/>
    <x v="4"/>
    <d v="2016-07-25T00:00:00"/>
    <s v="Jul-16"/>
    <s v="Caltex Hammond - DIESEL 55.88L 1.199    Dylan "/>
    <n v="60.91"/>
    <m/>
    <m/>
  </r>
  <r>
    <s v="INV"/>
    <s v="NBN Sydney"/>
    <s v="680033"/>
    <x v="5"/>
    <s v="Network Shortfall Canberra"/>
    <x v="4"/>
    <d v="2016-07-27T00:00:00"/>
    <s v="Jul-16"/>
    <s v="BP Queanbeyan - DIESEL 55.88L 1.199    Dylan "/>
    <n v="60.92"/>
    <m/>
    <m/>
  </r>
  <r>
    <s v="MJ"/>
    <s v="NBN Sydney"/>
    <s v="#21098"/>
    <x v="5"/>
    <s v="NBN Minor Works DJC Internals"/>
    <x v="0"/>
    <d v="2016-07-01T00:00:00"/>
    <s v="Jul-16"/>
    <s v="SYDNEY VEHICLE  AND TEST EQUIPMENT RENTAL - TEST EQUIPMENT MONTHLY RENTAL"/>
    <n v="64.428571428571431"/>
    <m/>
    <m/>
  </r>
  <r>
    <s v="MJ"/>
    <s v="NBN Sydney"/>
    <s v="#21098"/>
    <x v="5"/>
    <s v="NBN Greenfields DJC Internals"/>
    <x v="18"/>
    <d v="2016-07-01T00:00:00"/>
    <s v="Jul-16"/>
    <s v="SYDNEY VEHICLE  AND TEST EQUIPMENT RENTAL - TEST EQUIPMENT MONTHLY RENTAL"/>
    <n v="64.428571428571431"/>
    <m/>
    <m/>
  </r>
  <r>
    <s v="MJ"/>
    <s v="NBN Sydney"/>
    <s v="#21098"/>
    <x v="5"/>
    <s v="Network Shortfall Sydney"/>
    <x v="20"/>
    <d v="2016-07-01T00:00:00"/>
    <s v="Jul-16"/>
    <s v="SYDNEY VEHICLE  AND TEST EQUIPMENT RENTAL - TEST EQUIPMENT MONTHLY RENTAL"/>
    <n v="64.428571428571431"/>
    <m/>
    <m/>
  </r>
  <r>
    <s v="MJ"/>
    <s v="PipeNetworks"/>
    <s v="#21098"/>
    <x v="5"/>
    <s v="PipeNetworks"/>
    <x v="29"/>
    <d v="2016-07-01T00:00:00"/>
    <s v="Jul-16"/>
    <s v="SYDNEY VEHICLE  AND TEST EQUIPMENT RENTAL - TEST EQUIPMENT MONTHLY RENTAL"/>
    <n v="64.428571428571431"/>
    <m/>
    <m/>
  </r>
  <r>
    <s v="MJ"/>
    <s v="NBN Sydney"/>
    <s v="#21098"/>
    <x v="5"/>
    <s v="NBN Greenfields DJC Internals"/>
    <x v="22"/>
    <d v="2016-07-01T00:00:00"/>
    <s v="Jul-16"/>
    <s v="SYDNEY VEHICLE  AND TEST EQUIPMENT RENTAL - TEST EQUIPMENT MONTHLY RENTAL"/>
    <n v="64.428571428571431"/>
    <m/>
    <m/>
  </r>
  <r>
    <s v="MJ"/>
    <s v="NBN Sydney"/>
    <s v="#21098"/>
    <x v="5"/>
    <s v="Network Shortfall Central Coast"/>
    <x v="1"/>
    <d v="2016-07-01T00:00:00"/>
    <s v="Jul-16"/>
    <s v="SYDNEY VEHICLE  AND TEST EQUIPMENT RENTAL - TEST EQUIPMENT MONTHLY RENTAL"/>
    <n v="64.428571428571431"/>
    <m/>
    <m/>
  </r>
  <r>
    <s v="MJ"/>
    <s v="PipeNetworks"/>
    <s v="#21098"/>
    <x v="5"/>
    <s v="PipeNetworks"/>
    <x v="29"/>
    <d v="2016-07-01T00:00:00"/>
    <s v="Jul-16"/>
    <s v="SYDNEY VEHICLE  AND TEST EQUIPMENT RENTAL - TEST EQUIPMENT MONTHLY RENTAL"/>
    <n v="64.428571428571431"/>
    <s v=" "/>
    <m/>
  </r>
  <r>
    <s v="MJ"/>
    <s v="NBN Sydney"/>
    <s v="#21098"/>
    <x v="5"/>
    <s v="Network Shortfall Sydney"/>
    <x v="20"/>
    <d v="2016-07-01T00:00:00"/>
    <s v="Jul-16"/>
    <s v="SYDNEY VEHICLE  AND TEST EQUIPMENT RENTAL - TEST EQUIPMENT MONTHLY RENTAL"/>
    <n v="64.428571428571431"/>
    <m/>
    <m/>
  </r>
  <r>
    <s v="MJ"/>
    <s v="NBN Sydney"/>
    <s v="#21098"/>
    <x v="5"/>
    <s v="NBN Greenfields DJC Internals"/>
    <x v="2"/>
    <d v="2016-07-01T00:00:00"/>
    <s v="Jul-16"/>
    <s v="SYDNEY VEHICLE  AND TEST EQUIPMENT RENTAL - TEST EQUIPMENT MONTHLY RENTAL"/>
    <n v="64.428571428571431"/>
    <m/>
    <m/>
  </r>
  <r>
    <s v="MJ"/>
    <s v="NBN Sydney"/>
    <s v="#21098"/>
    <x v="5"/>
    <s v="Network Shortfall Central Coast"/>
    <x v="1"/>
    <d v="2016-07-01T00:00:00"/>
    <s v="Jul-16"/>
    <s v="SYDNEY VEHICLE  AND TEST EQUIPMENT RENTAL - TEST EQUIPMENT MONTHLY RENTAL"/>
    <n v="64.428571428571431"/>
    <m/>
    <m/>
  </r>
  <r>
    <s v="MJ"/>
    <s v="PipeNetworks"/>
    <s v="#21099"/>
    <x v="5"/>
    <s v="PipeNetworks"/>
    <x v="29"/>
    <d v="2016-07-01T00:00:00"/>
    <s v="Jul-16"/>
    <s v="SYDNEY VEHICLE  AND TEST EQUIPMENT RENTAL - TEST EQUIPMENT MONTHLY RENTAL"/>
    <n v="64.428571428571431"/>
    <m/>
    <m/>
  </r>
  <r>
    <s v="MJ"/>
    <s v="NBN Sydney"/>
    <s v="#21100"/>
    <x v="5"/>
    <s v="Network Shortfall Sydney"/>
    <x v="20"/>
    <d v="2016-07-01T00:00:00"/>
    <s v="Jul-16"/>
    <s v="SYDNEY VEHICLE  AND TEST EQUIPMENT RENTAL - TEST EQUIPMENT MONTHLY RENTAL"/>
    <n v="64.428571428571431"/>
    <m/>
    <m/>
  </r>
  <r>
    <s v="MJ"/>
    <s v="NBN Sydney"/>
    <s v="#21101"/>
    <x v="5"/>
    <s v="Network Shortfall Sydney"/>
    <x v="20"/>
    <d v="2016-07-01T00:00:00"/>
    <s v="Jul-16"/>
    <s v="SYDNEY VEHICLE  AND TEST EQUIPMENT RENTAL - TEST EQUIPMENT MONTHLY RENTAL"/>
    <n v="64.428571428571431"/>
    <m/>
    <m/>
  </r>
  <r>
    <s v="MJ"/>
    <s v="NBN Sydney"/>
    <s v="#21102"/>
    <x v="5"/>
    <s v="NBN Minor Works DJC Internals"/>
    <x v="0"/>
    <d v="2016-07-01T00:00:00"/>
    <s v="Jul-16"/>
    <s v="SYDNEY VEHICLE  AND TEST EQUIPMENT RENTAL - TEST EQUIPMENT MONTHLY RENTAL"/>
    <n v="64.428571428571431"/>
    <m/>
    <m/>
  </r>
  <r>
    <s v="MJ"/>
    <s v="NBN Sydney"/>
    <s v="#21098"/>
    <x v="1"/>
    <s v="Test Equipment &amp; Tools"/>
    <x v="27"/>
    <d v="2016-07-01T00:00:00"/>
    <s v="Jul-16"/>
    <s v="SYDNEY VEHICLE  AND TEST EQUIPMENT RENTAL - TEST EQUIPMENT MONTHLY RENTAL"/>
    <n v="487"/>
    <m/>
    <m/>
  </r>
  <r>
    <s v="MJ"/>
    <s v="NBN Sydney"/>
    <s v="#21098"/>
    <x v="1"/>
    <s v="Overhead"/>
    <x v="3"/>
    <d v="2016-07-01T00:00:00"/>
    <s v="Jul-16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833"/>
    <m/>
    <m/>
  </r>
  <r>
    <s v="MJ"/>
    <s v="NBN Sydney"/>
    <s v="#21098"/>
    <x v="5"/>
    <s v="NBN Minor Works DJC Internals"/>
    <x v="0"/>
    <d v="2016-07-01T00:00:00"/>
    <s v="Jul-16"/>
    <s v="SYDNEY VEHICLE  AND TEST EQUIPMENT RENTAL - BU59MS -HIACE RENTAL - "/>
    <n v="59.5"/>
    <m/>
    <m/>
  </r>
  <r>
    <s v="MJ"/>
    <s v="NBN Sydney"/>
    <s v="#21098"/>
    <x v="5"/>
    <s v="NBN Greenfields DJC Internals"/>
    <x v="18"/>
    <d v="2016-07-01T00:00:00"/>
    <s v="Jul-16"/>
    <s v="SYDNEY VEHICLE  AND TEST EQUIPMENT RENTAL - BU59MS -HIACE RENTAL - "/>
    <n v="59.5"/>
    <m/>
    <m/>
  </r>
  <r>
    <s v="MJ"/>
    <s v="NBN Sydney"/>
    <s v="#21098"/>
    <x v="5"/>
    <s v="Network Shortfall Sydney"/>
    <x v="20"/>
    <d v="2016-07-01T00:00:00"/>
    <s v="Jul-16"/>
    <s v="SYDNEY VEHICLE  AND TEST EQUIPMENT RENTAL - BU59MS -HIACE RENTAL - "/>
    <n v="59.5"/>
    <m/>
    <m/>
  </r>
  <r>
    <s v="MJ"/>
    <s v="PipeNetworks"/>
    <s v="#21098"/>
    <x v="5"/>
    <s v="PipeNetworks"/>
    <x v="29"/>
    <d v="2016-07-01T00:00:00"/>
    <s v="Jul-16"/>
    <s v="SYDNEY VEHICLE  AND TEST EQUIPMENT RENTAL - BU59MS -HIACE RENTAL - "/>
    <n v="59.5"/>
    <m/>
    <m/>
  </r>
  <r>
    <s v="MJ"/>
    <s v="NBN Sydney"/>
    <s v="#21098"/>
    <x v="5"/>
    <s v="NBN Greenfields DJC Internals"/>
    <x v="22"/>
    <d v="2016-07-01T00:00:00"/>
    <s v="Jul-16"/>
    <s v="SYDNEY VEHICLE  AND TEST EQUIPMENT RENTAL - BU59MS -HIACE RENTAL - "/>
    <n v="59.5"/>
    <m/>
    <m/>
  </r>
  <r>
    <s v="MJ"/>
    <s v="NBN Sydney"/>
    <s v="#21098"/>
    <x v="5"/>
    <s v="Network Shortfall Central Coast"/>
    <x v="1"/>
    <d v="2016-07-01T00:00:00"/>
    <s v="Jul-16"/>
    <s v="SYDNEY VEHICLE  AND TEST EQUIPMENT RENTAL - BU59MS -HIACE RENTAL - "/>
    <n v="59.5"/>
    <m/>
    <m/>
  </r>
  <r>
    <s v="MJ"/>
    <s v="PipeNetworks"/>
    <s v="#21098"/>
    <x v="5"/>
    <s v="PipeNetworks"/>
    <x v="29"/>
    <d v="2016-07-01T00:00:00"/>
    <s v="Jul-16"/>
    <s v="SYDNEY VEHICLE  AND TEST EQUIPMENT RENTAL - BU59MS -HIACE RENTAL - "/>
    <n v="59.5"/>
    <m/>
    <m/>
  </r>
  <r>
    <s v="MJ"/>
    <s v="NBN Sydney"/>
    <s v="#21098"/>
    <x v="5"/>
    <s v="Network Shortfall Sydney"/>
    <x v="20"/>
    <d v="2016-07-01T00:00:00"/>
    <s v="Jul-16"/>
    <s v="SYDNEY VEHICLE  AND TEST EQUIPMENT RENTAL - BU59MS -HIACE RENTAL - "/>
    <n v="59.5"/>
    <m/>
    <m/>
  </r>
  <r>
    <s v="MJ"/>
    <s v="NBN Sydney"/>
    <s v="#21098"/>
    <x v="5"/>
    <s v="NBN Greenfields DJC Internals"/>
    <x v="2"/>
    <d v="2016-07-01T00:00:00"/>
    <s v="Jul-16"/>
    <s v="SYDNEY VEHICLE  AND TEST EQUIPMENT RENTAL - BU59MS -HIACE RENTAL - "/>
    <n v="59.5"/>
    <m/>
    <m/>
  </r>
  <r>
    <s v="MJ"/>
    <s v="NBN Sydney"/>
    <s v="#21098"/>
    <x v="5"/>
    <s v="Network Shortfall Central Coast"/>
    <x v="1"/>
    <d v="2016-07-01T00:00:00"/>
    <s v="Jul-16"/>
    <s v="SYDNEY VEHICLE  AND TEST EQUIPMENT RENTAL - BU59MS -HIACE RENTAL - "/>
    <n v="59.5"/>
    <m/>
    <m/>
  </r>
  <r>
    <s v="MJ"/>
    <s v="PipeNetworks"/>
    <s v="#21098"/>
    <x v="5"/>
    <s v="PipeNetworks"/>
    <x v="29"/>
    <d v="2016-07-01T00:00:00"/>
    <s v="Jul-16"/>
    <s v="SYDNEY VEHICLE  AND TEST EQUIPMENT RENTAL - BU59MS -HIACE RENTAL - "/>
    <n v="59.5"/>
    <m/>
    <m/>
  </r>
  <r>
    <s v="MJ"/>
    <s v="NBN Sydney"/>
    <s v="#21098"/>
    <x v="5"/>
    <s v="Network Shortfall Sydney"/>
    <x v="20"/>
    <d v="2016-07-01T00:00:00"/>
    <s v="Jul-16"/>
    <s v="SYDNEY VEHICLE  AND TEST EQUIPMENT RENTAL - BU59MS -HIACE RENTAL - "/>
    <n v="59.5"/>
    <m/>
    <m/>
  </r>
  <r>
    <s v="MJ"/>
    <s v="NBN Sydney"/>
    <s v="#21099"/>
    <x v="5"/>
    <s v="Network Shortfall Sydney"/>
    <x v="20"/>
    <d v="2016-07-01T00:00:00"/>
    <s v="Jul-16"/>
    <s v="SYDNEY VEHICLE  AND TEST EQUIPMENT RENTAL - BU59MS -HIACE RENTAL - "/>
    <n v="59.5"/>
    <m/>
    <m/>
  </r>
  <r>
    <s v="MJ"/>
    <s v="NBN Sydney"/>
    <s v="#21100"/>
    <x v="5"/>
    <s v="NBN Minor Works DJC Internals"/>
    <x v="0"/>
    <d v="2016-07-01T00:00:00"/>
    <s v="Jul-16"/>
    <s v="SYDNEY VEHICLE  AND TEST EQUIPMENT RENTAL - BU59MS -HIACE RENTAL - "/>
    <n v="59.5"/>
    <m/>
    <m/>
  </r>
  <r>
    <s v="INV"/>
    <s v="NBN Canberra"/>
    <s v="84407"/>
    <x v="5"/>
    <s v="Network Shortfall Canberra"/>
    <x v="4"/>
    <d v="2016-07-25T00:00:00"/>
    <s v="Jul-16"/>
    <s v="Caltex Hammond - DIESEL 104.03L 1.199  Wagga Civils Vehicle"/>
    <n v="113.39"/>
    <m/>
    <m/>
  </r>
  <r>
    <s v="INV"/>
    <s v="NBN Canberra"/>
    <s v="1284"/>
    <x v="5"/>
    <s v="Network Shortfall Canberra"/>
    <x v="4"/>
    <d v="2016-07-27T00:00:00"/>
    <s v="Jul-16"/>
    <s v="BP Yass Road - DIESEL 92.56L 1.199        Wagga Civils Vehicle"/>
    <n v="100.89"/>
    <m/>
    <m/>
  </r>
  <r>
    <s v="INV"/>
    <s v="NBN Sydney"/>
    <s v="INV-11311"/>
    <x v="3"/>
    <s v="NBN Greenfields"/>
    <x v="2"/>
    <d v="2016-08-03T00:00:00"/>
    <s v="Aug-16"/>
    <s v="NBN Co Sydney - NBN Greenfield_x000d_ 2CFS-03 AYCA-2KHI4F The Vault_x000d__x000a_Project Number:_x000d__x000a_PO Number:_x000d__x000a_Work Confirmation:_x000d__x000a_Contract Sum"/>
    <m/>
    <s v="NBN Greenfields - AYCA-2KHI4F The Vault "/>
    <n v="3313.85"/>
  </r>
  <r>
    <s v="INV"/>
    <s v="NBN Sydney"/>
    <s v="INV-11312"/>
    <x v="3"/>
    <s v="NBN Greenfields"/>
    <x v="30"/>
    <d v="2016-08-03T00:00:00"/>
    <s v="Aug-16"/>
    <s v="NBN Co Sydney - NBN Greenfield_x000d__x000a_Payment Schedule Number: AYCA-1BGK5U - Project_x000d__x000a_Independence - 1_x000d__x000a_Project Number:121682_x000d__x000a_PO Number: RCTI-233051-178765_x000d__x000a_Work Confirmation:One off Minor Work Instruction - AYCA-1BGK5U - Project_x000d__x000a_Independence - _x000d__x000a_Contract Sum"/>
    <m/>
    <s v="NBN Greenfields - AYCA‐1BGK5U Project Independence"/>
    <n v="4006.99"/>
  </r>
  <r>
    <s v="INV"/>
    <s v="NBN Canberra"/>
    <s v="INV-11315"/>
    <x v="3"/>
    <s v="Network Shortfall Canberra"/>
    <x v="4"/>
    <d v="2016-08-04T00:00:00"/>
    <s v="Aug-16"/>
    <s v="NBN Co Sydney - 9CVI02 MPS095 - TOW000012997405- 17 Moore Street_x000d__x000a_09010107 Advanced Telecommunications Technician fully equipped including_x000d__x000a_vehicle Per hour"/>
    <m/>
    <s v="Network Shortfall Canberra"/>
    <n v="640.70000000000005"/>
  </r>
  <r>
    <s v="INV"/>
    <s v="NBN Canberra"/>
    <s v="INV-11316"/>
    <x v="3"/>
    <s v="Network Shortfall Canberra"/>
    <x v="4"/>
    <d v="2016-08-04T00:00:00"/>
    <s v="Aug-16"/>
    <s v="NBN Co Sydney - 9CVI02 MPS116 - TOW000011288252- 71 Northbourne Avenue_x000d__x000a_09010107 Advanced Telecommunications Technician fully equipped including_x000d__x000a_vehicle Per hour"/>
    <m/>
    <s v="Network Shortfall Canberra"/>
    <n v="3545.36"/>
  </r>
  <r>
    <s v="INV"/>
    <s v="NBN Canberra"/>
    <s v="INV-11317"/>
    <x v="3"/>
    <s v="Network Shortfall Canberra"/>
    <x v="4"/>
    <d v="2016-08-04T00:00:00"/>
    <s v="Aug-16"/>
    <s v="NBN Co Sydney - 9CVI02 MPS054 - TOW000013224012- 20 Genge Street_x000d__x000a_09010107 Advanced Telecommunications Technician fully equipped including_x000d__x000a_vehicle Per hour"/>
    <m/>
    <s v="Network Shortfall Canberra"/>
    <n v="875.7"/>
  </r>
  <r>
    <s v="INV"/>
    <s v="NBN Canberra"/>
    <s v="INV-11318"/>
    <x v="3"/>
    <s v="Network Shortfall Canberra"/>
    <x v="4"/>
    <d v="2016-08-04T00:00:00"/>
    <s v="Aug-16"/>
    <s v="NBN Co Sydney - 9CVI-02-14- MPT-001 serial MPT_x000d__x000a_06050201 Install only to plastic wall underground multiports including the supply_x000d__x000a_and installation of all necessary connection materials Per unit"/>
    <m/>
    <s v="Network Shortfall Canberra"/>
    <n v="899.48"/>
  </r>
  <r>
    <s v="INV"/>
    <s v="NBN Canberra"/>
    <s v="INV-11319"/>
    <x v="3"/>
    <s v="Network Shortfall Canberra"/>
    <x v="4"/>
    <d v="2016-08-04T00:00:00"/>
    <s v="Aug-16"/>
    <s v="NBN Co Sydney - 9QBN08 MPS044-45 - 8 &amp; 10 Nimmitabel street_x000d__x000a_02020101 Supply and install 1 x P50 PVC pipe in open trench in OTR (Other Than_x000d__x000a_Rock) Per metre"/>
    <m/>
    <s v="Network Shortfall Canberra"/>
    <n v="3391.2799999999997"/>
  </r>
  <r>
    <s v="INV"/>
    <s v="NBN Canberra"/>
    <s v="INV-11320"/>
    <x v="3"/>
    <s v="Network Shortfall Canberra"/>
    <x v="4"/>
    <d v="2016-08-04T00:00:00"/>
    <s v="Aug-16"/>
    <s v="NBN Co Sydney - 9CVI-02-19- Verity lane_x000d__x000a_02020101 Supply and install 1 x P50 PVC pipe in open trench in OTR (Other Than_x000d__x000a_Rock) Per metre"/>
    <m/>
    <s v="Network Shortfall Canberra"/>
    <n v="16869.239999999998"/>
  </r>
  <r>
    <s v="INV"/>
    <s v="NBN Canberra"/>
    <s v="INV-11321"/>
    <x v="3"/>
    <s v="Network Shortfall Canberra"/>
    <x v="4"/>
    <d v="2016-08-04T00:00:00"/>
    <s v="Aug-16"/>
    <s v="NBN Co Sydney - 9CVI01 MPS061- 108 Northbourne Avenue_x000d__x000a_03010101_x000d__x000a_Pipe proving in existing occupied pipe._x000d__x000a_Pipe proving in existing occupied pipe._x000d__x000a_The prices shall include all costs associated with:_x000d__x000a_ Proving the pipe with an appropriate mandrel (as required) or by any_x000d__x000a_other means;_x000d__x000a_ Supply and installation of draw rope; and_x000d__x000a_ Any other preparation works necessary for cable installation."/>
    <m/>
    <s v="Network Shortfall Canberra"/>
    <n v="3802.6300000000006"/>
  </r>
  <r>
    <s v="INV"/>
    <s v="NBN Canberra"/>
    <s v="INV-11322"/>
    <x v="3"/>
    <s v="Network Shortfall Canberra"/>
    <x v="4"/>
    <d v="2016-08-04T00:00:00"/>
    <s v="Aug-16"/>
    <s v="NBN Co Sydney - 9CVI02 MPS237- 188 London CCT_x000d__x000a_03010101_x000d__x000a_Pipe proving in existing occupied pipe._x000d__x000a_Pipe proving in existing occupied pipe._x000d__x000a_The prices shall include all costs associated with:_x000d__x000a_ Proving the pipe with an appropriate mandrel (as required) or by any_x000d__x000a_other means;_x000d__x000a_ Supply and installation of draw rope; and_x000d__x000a_ Any other preparation works necessary for cable installation."/>
    <m/>
    <s v="Network Shortfall Canberra"/>
    <n v="4683.28"/>
  </r>
  <r>
    <s v="INV"/>
    <s v="NBN Sydney"/>
    <s v="INV-11323"/>
    <x v="3"/>
    <s v="Network Shortfall Canberra"/>
    <x v="4"/>
    <d v="2016-08-04T00:00:00"/>
    <s v="Aug-16"/>
    <s v="NBN Co Sydney - Equipment Appearance 511066-209291405- 27 River Street_x000d__x000a_09010107 Advanced Telecommunications Technician fully equipped including_x000d__x000a_vehicle Per hour"/>
    <m/>
    <s v="Network Shortfall Canberra"/>
    <n v="256.27999999999997"/>
  </r>
  <r>
    <s v="INV"/>
    <s v="NBN Sydney"/>
    <s v="INV-11324"/>
    <x v="3"/>
    <s v="Network Shortfall Canberra"/>
    <x v="4"/>
    <d v="2016-08-04T00:00:00"/>
    <s v="Aug-16"/>
    <s v="NBN Co Sydney - ORD000055923288/TOW000013795979- 72 Alinga Street_x000d__x000a_09010107 Advanced Telecommunications Technician fully equipped including_x000d__x000a_vehicle Per hour"/>
    <m/>
    <s v="Network Shortfall Canberra"/>
    <n v="256.27999999999997"/>
  </r>
  <r>
    <s v="INV"/>
    <s v="NBN Sydney"/>
    <s v="INV-11335"/>
    <x v="3"/>
    <s v="Network Shortfall Central Coast"/>
    <x v="1"/>
    <d v="2016-08-10T00:00:00"/>
    <s v="Aug-16"/>
    <s v="NBN Co Sydney - Mobilise to Telstra exchange to undertake patching activities"/>
    <m/>
    <s v="Network Shortfall Central Coast"/>
    <n v="328.55"/>
  </r>
  <r>
    <s v="INV"/>
    <s v="NBN Sydney"/>
    <s v="INV-11339"/>
    <x v="3"/>
    <s v="NBN Greenfields"/>
    <x v="31"/>
    <d v="2016-08-09T00:00:00"/>
    <s v="Aug-16"/>
    <s v="NBN Co Sydney - RCTI-230818-175991_x000d_ AYCA-LYZ4T- PS-V1 Wallis Creek-3_x000d__x000a_Project Number:_x000d__x000a_2MAI-05-05-AYCA-LYZ4T- PS-V1 Wallis Creek-3_x000d__x000a_PO Number:_x000d__x000a_Work Confirmation: _x000d__x000a_Contract Sum"/>
    <m/>
    <s v="NBN Greenfields - AYCA-LYZ4T -Wallis Creek"/>
    <n v="966.94"/>
  </r>
  <r>
    <s v="INV"/>
    <s v="NBN Sydney"/>
    <s v="INV-11340"/>
    <x v="3"/>
    <s v="NBN Greenfields"/>
    <x v="32"/>
    <d v="2016-08-10T00:00:00"/>
    <s v="Aug-16"/>
    <s v="NBN Co Sydney - RCTI-230824-175995_x000d__x000a__x000d__x000a_Payment Schedule Number: 2TAM-08-05-AYCA-1F7EBL- PS-V1 Lampada-16_x000d__x000a_Project Number:_x000d__x000a_2TAM-08-05-AYCA-1F7EBL- PS-V1 Lampada-16_x000d__x000a_PO Number:_x000d__x000a_Work Confirmation: _x000d__x000a_Contract Sum"/>
    <m/>
    <s v="NBN Greenfield - AYCA‐1F7EBL ‐ Lampada"/>
    <n v="7731.44"/>
  </r>
  <r>
    <s v="INV"/>
    <s v="NBN Sydney"/>
    <s v="INV-11342"/>
    <x v="3"/>
    <s v="Network Shortfall Sydney"/>
    <x v="20"/>
    <d v="2016-08-15T00:00:00"/>
    <s v="Aug-16"/>
    <s v="NBN Co Sydney - 2PTH1111  HELD ORDER 14 Thuroong Pl Cranebrook_x000d__x000a__x000d__x000a_09010107 Advanced Telecommunications Technician fully equipped including_x000d__x000a_vehicle Per hour"/>
    <m/>
    <s v="Network Shortfall Sydney"/>
    <n v="768.84"/>
  </r>
  <r>
    <s v="INV"/>
    <s v="NBN Sydney"/>
    <s v="INV-11343"/>
    <x v="3"/>
    <s v="NBN Greenfields"/>
    <x v="10"/>
    <d v="2016-08-15T00:00:00"/>
    <s v="Aug-16"/>
    <s v="NBN Co Sydney - RCTI-231829-177325_x000d_ AYCA-24VUJT - Bunya Lot 6207_x000d__x000a__x000d__x000a_Contract sum + Variations_x000d__x000a_PON Patch_x000d__x000a_"/>
    <m/>
    <s v="NBN Greenfields - AYCA-24VUJT - Bunya Lot 6207"/>
    <n v="2348.67"/>
  </r>
  <r>
    <s v="INV"/>
    <s v="NBN Sydney"/>
    <s v="INV-11344"/>
    <x v="3"/>
    <s v="NBN Greenfields"/>
    <x v="33"/>
    <d v="2016-08-15T00:00:00"/>
    <s v="Aug-16"/>
    <s v="NBN Co Sydney - RCTI-231898-177443_x000d_ AYCA-24VUME - Bunya Lot 6208_x000d__x000a_Contract sum _x000d__x000a_"/>
    <m/>
    <s v="NBN Greenfields - AYCA-24VUME - Bunya Lot 6208 "/>
    <n v="5884.1"/>
  </r>
  <r>
    <s v="INV"/>
    <s v="NBN Sydney"/>
    <s v="INV-11345"/>
    <x v="3"/>
    <s v="NBN Greenfields"/>
    <x v="34"/>
    <d v="2016-08-15T00:00:00"/>
    <s v="Aug-16"/>
    <s v="NBN Co Sydney - RCTI-231828-177324_x000d_ AYCA-24VUGB - Bunya Lot 6000_x000d__x000a_Contract sum _x000d__x000a_"/>
    <m/>
    <s v="NBN Greenfields - AYCA-24VUGB - Bunya Lot 6000 "/>
    <n v="2736.89"/>
  </r>
  <r>
    <s v="INV"/>
    <s v="NBN Sydney"/>
    <s v="INV-11346"/>
    <x v="3"/>
    <s v="NBN Greenfields"/>
    <x v="35"/>
    <d v="2016-08-15T00:00:00"/>
    <s v="Aug-16"/>
    <s v="NBN Co Sydney - RCTI-231831-177327_x000d_ AYCA-24VU33 Bunya Lot 3075-3077_x000d__x000a_Contract sum _x000d__x000a_"/>
    <m/>
    <s v="NBN Greenfields - AYCA-24VU33 Bunya Lot 3075-3077 "/>
    <n v="771.34"/>
  </r>
  <r>
    <s v="INV"/>
    <s v="NBN Sydney"/>
    <s v="INV-11347"/>
    <x v="3"/>
    <s v="NBN Greenfields"/>
    <x v="7"/>
    <d v="2016-08-15T00:00:00"/>
    <s v="Aug-16"/>
    <s v="NBN Co Sydney - RCTI-231830-177326_x000d_ AYCA-24VUJT - Bunya Lot 6207_x000d__x000a__x000d__x000a_Contract sum "/>
    <m/>
    <s v="NBN Greenfields - AYCA-24VU9K - Bunya Lot 5055"/>
    <n v="2241.84"/>
  </r>
  <r>
    <s v="INV"/>
    <s v="NBN Sydney"/>
    <s v="INV-11348"/>
    <x v="3"/>
    <s v="NBN Greenfields"/>
    <x v="36"/>
    <d v="2016-08-15T00:00:00"/>
    <s v="Aug-16"/>
    <s v="NBN Co Sydney - RCTI-231819-177250 _x000d_ AYCA-24VU6N - Bunya Lot 5014_x000d__x000a__x000d__x000a_Contract sum + Variations PON Patch"/>
    <m/>
    <s v="NBN Greenfields - AYCA-24VU6N - Bunya Lot 5014 "/>
    <n v="2499.02"/>
  </r>
  <r>
    <s v="INV"/>
    <s v="NBN Sydney"/>
    <s v="INV-11349"/>
    <x v="3"/>
    <s v="NBN Greenfields"/>
    <x v="5"/>
    <d v="2016-08-15T00:00:00"/>
    <s v="Aug-16"/>
    <s v="NBN Co Sydney - RCTI-231897-177442_x000d_ AYCA-24VSRG - Bunya Lot 2272_x000d__x000a__x000d__x000a_Contract sum "/>
    <m/>
    <s v="NBN Greenfields - AYCA-24VSRG - Bunya Lot 2272"/>
    <n v="2528.1"/>
  </r>
  <r>
    <s v="INV"/>
    <s v="NBN Sydney"/>
    <s v="INV-11350"/>
    <x v="3"/>
    <s v="NBN Greenfields"/>
    <x v="37"/>
    <d v="2016-08-15T00:00:00"/>
    <s v="Aug-16"/>
    <s v="NBN Co Sydney - RCTI-232570-178124_x000d_ AYCA-24VUCQ - Bunya Lot 5999_x000d__x000a__x000d__x000a_Contract sum "/>
    <m/>
    <s v="NBN Greenfields - AYCA-24VU9K - Bunya Lot 5099"/>
    <n v="1033.8900000000001"/>
  </r>
  <r>
    <s v="INV"/>
    <s v="NBN Sydney"/>
    <s v="INV-11365"/>
    <x v="3"/>
    <s v="NBN Greenfields"/>
    <x v="15"/>
    <d v="2016-08-19T00:00:00"/>
    <s v="Aug-16"/>
    <s v="NBN Co Sydney - RCTI-232542-178040_x000d_ AYCA-2401QL - 85 Jamison Road_x000d__x000a__x000d__x000a_Contract sum _x000d__x000a_+ Variations"/>
    <m/>
    <s v="NBN Greenfields - AYCA-24O1QL - 85 Jamison Road "/>
    <n v="4704.7"/>
  </r>
  <r>
    <s v="INV"/>
    <s v="NBN Sydney"/>
    <s v="INV-11377"/>
    <x v="3"/>
    <s v="NBN Greenfields"/>
    <x v="38"/>
    <d v="2016-08-23T00:00:00"/>
    <s v="Aug-16"/>
    <s v="NBN Co Sydney - 9BON-02-AYCA-2BU21S-Block 7 Section 136 Casey_x000d__x000a_Contract sum _x000d__x000a_+ Approved variations"/>
    <m/>
    <s v="NBN Greenfields - AYCA-2BU21S-Block 7 Section 136 Casey"/>
    <n v="4399.92"/>
  </r>
  <r>
    <s v="INV"/>
    <s v="NBN Sydney"/>
    <s v="INV-11410"/>
    <x v="3"/>
    <s v="NBN Minor Works"/>
    <x v="39"/>
    <d v="2016-08-31T00:00:00"/>
    <s v="Aug-16"/>
    <s v="NBN Co Sydney - 2GOS-06-11 Grieve Close_x000d__x000a_Gosford Build drop_x000d__x000a_one off Minor Works Instruction"/>
    <m/>
    <s v="Minor Works - 2GOS-06-11 Grieve Close"/>
    <n v="3155.53"/>
  </r>
  <r>
    <s v="INV"/>
    <s v="PipeNetworks"/>
    <s v="DO144440"/>
    <x v="1"/>
    <s v="Test Equipment &amp; Tools"/>
    <x v="27"/>
    <d v="2016-08-18T00:00:00"/>
    <s v="Aug-16"/>
    <s v="Sika Technology Limited - FREIGHT "/>
    <n v="66"/>
    <m/>
    <m/>
  </r>
  <r>
    <s v="INV"/>
    <s v="NBN Sydney"/>
    <s v="844363"/>
    <x v="1"/>
    <s v="Overhead"/>
    <x v="3"/>
    <d v="2016-08-12T00:00:00"/>
    <s v="Aug-16"/>
    <s v="Mitronics - DIGITAL SUPPORT "/>
    <n v="39.950000000000003"/>
    <m/>
    <m/>
  </r>
  <r>
    <s v="INV"/>
    <s v="NBN Sydney"/>
    <s v="844363"/>
    <x v="1"/>
    <s v="Overhead"/>
    <x v="3"/>
    <d v="2016-08-12T00:00:00"/>
    <s v="Aug-16"/>
    <s v="Mitronics - S/N AO2E041005704"/>
    <n v="923.47"/>
    <m/>
    <m/>
  </r>
  <r>
    <s v="INV"/>
    <s v="PipeNetworks"/>
    <s v="57B5323E0CF9F"/>
    <x v="0"/>
    <s v="PipeNetworks"/>
    <x v="40"/>
    <d v="2016-08-18T00:00:00"/>
    <s v="Aug-16"/>
    <s v="Gosford City Council - MA -Gosford Council Road Occupancy License Application  "/>
    <n v="114.55"/>
    <m/>
    <m/>
  </r>
  <r>
    <s v="INV"/>
    <s v="NBN Canberra"/>
    <s v="9465943"/>
    <x v="0"/>
    <s v="Network Shortfall Canberra"/>
    <x v="4"/>
    <d v="2016-08-04T00:00:00"/>
    <s v="Aug-16"/>
    <s v="ALTUS Traffic - SUPPLY CONTROLS AT _x000d__x000a_JOB# 610447569-0727 _x000d__x000a_ORDER# TBA VERITY LANE CANBERRA"/>
    <n v="1351.49"/>
    <m/>
    <m/>
  </r>
  <r>
    <s v="INV"/>
    <s v="NBN Sydney"/>
    <s v="INV-0079"/>
    <x v="1"/>
    <s v="Overhead"/>
    <x v="3"/>
    <d v="2016-08-10T00:00:00"/>
    <s v="Aug-16"/>
    <s v="Warriewood Consultancy - DATATEKS DAY RATE "/>
    <n v="9642.2999999999993"/>
    <m/>
    <m/>
  </r>
  <r>
    <s v="INV"/>
    <s v="NBN Canberra"/>
    <s v="01803220"/>
    <x v="0"/>
    <s v="Network Shortfall Canberra"/>
    <x v="4"/>
    <d v="2016-08-12T00:00:00"/>
    <s v="Aug-16"/>
    <s v="Craig Comms Pty Ltd - 9QBNMPS119"/>
    <n v="810"/>
    <m/>
    <m/>
  </r>
  <r>
    <s v="INV"/>
    <s v="NBN Canberra"/>
    <s v="01803221"/>
    <x v="0"/>
    <s v="Network Shortfall Canberra"/>
    <x v="4"/>
    <d v="2016-08-12T00:00:00"/>
    <s v="Aug-16"/>
    <s v="Craig Comms Pty Ltd - 9CV102MPS116"/>
    <n v="260"/>
    <m/>
    <m/>
  </r>
  <r>
    <s v="INV"/>
    <s v="NBN Sydney"/>
    <s v="01803233"/>
    <x v="0"/>
    <s v="NBN Minor Works DJC"/>
    <x v="0"/>
    <d v="2016-08-22T00:00:00"/>
    <s v="Aug-16"/>
    <s v="Craig Comms Pty Ltd - 2LJT-04-12"/>
    <n v="2276"/>
    <m/>
    <m/>
  </r>
  <r>
    <s v="INV"/>
    <s v="NBN Sydney"/>
    <s v="INV-0081"/>
    <x v="1"/>
    <s v="Overhead"/>
    <x v="3"/>
    <d v="2016-08-22T00:00:00"/>
    <s v="Aug-16"/>
    <s v="Warriewood Consultancy - DATATEKS DAY RATE "/>
    <n v="9642.2999999999993"/>
    <m/>
    <m/>
  </r>
  <r>
    <s v="INV"/>
    <s v="NBN Sydney"/>
    <s v="01803235"/>
    <x v="0"/>
    <s v="Network Shortfall Central Coast"/>
    <x v="1"/>
    <d v="2016-08-24T00:00:00"/>
    <s v="Aug-16"/>
    <s v="Craig Comms Pty Ltd - 2LJT-04-MPS-038"/>
    <n v="925"/>
    <m/>
    <m/>
  </r>
  <r>
    <s v="INV"/>
    <s v="NBN Sydney"/>
    <s v="126"/>
    <x v="0"/>
    <s v="NBN Greenfields DJC"/>
    <x v="41"/>
    <d v="2016-08-24T00:00:00"/>
    <s v="Aug-16"/>
    <s v="K R and L G Ewerlin Pty Limited - REMOVE &amp; DISPOSAL OF ASBESTOS AT 19 BRAY STREET. _x000d__x000a__x000d__x000a_- ACM PIT REMOVAL _x000d__x000a_- P8 INSTALL _x000d__x000a_- P50 INSTALL"/>
    <n v="2385"/>
    <m/>
    <m/>
  </r>
  <r>
    <s v="INV"/>
    <s v="NBN Sydney"/>
    <s v="01803232"/>
    <x v="0"/>
    <s v="NBN Minor Works DJC"/>
    <x v="0"/>
    <d v="2016-08-24T00:00:00"/>
    <s v="Aug-16"/>
    <s v="Craig Comms Pty Ltd - 2LJT-04-06"/>
    <n v="5236"/>
    <m/>
    <m/>
  </r>
  <r>
    <s v="INV"/>
    <s v="NBN Sydney"/>
    <s v="01803234"/>
    <x v="0"/>
    <s v="NBN Minor Works DJC"/>
    <x v="0"/>
    <d v="2016-08-24T00:00:00"/>
    <s v="Aug-16"/>
    <s v="Craig Comms Pty Ltd - 2LJT-04-08"/>
    <n v="507"/>
    <m/>
    <m/>
  </r>
  <r>
    <s v="INV"/>
    <s v="NBN Sydney"/>
    <s v="1728"/>
    <x v="0"/>
    <s v="NBN Greenfields DJC"/>
    <x v="42"/>
    <d v="2016-08-26T00:00:00"/>
    <s v="Aug-16"/>
    <s v="Schokman Pty Limited - NBN GREENFIELDS AUGUST AS PER SUPPLIED SUMMARY "/>
    <n v="1264.3699999999999"/>
    <m/>
    <m/>
  </r>
  <r>
    <s v="INV"/>
    <s v="NBN Sydney"/>
    <s v="1728"/>
    <x v="2"/>
    <s v="NBN Greenfields DJC"/>
    <x v="12"/>
    <d v="2016-08-26T00:00:00"/>
    <s v="Aug-16"/>
    <s v="Schokman Pty Limited - NBN GREENFIELDS AUGUST AS PER SUPPLIED SUMMARY "/>
    <n v="829"/>
    <m/>
    <m/>
  </r>
  <r>
    <s v="INV"/>
    <s v="NBN Sydney"/>
    <s v="1728"/>
    <x v="0"/>
    <s v="NBN Minor Works DJC"/>
    <x v="43"/>
    <d v="2016-08-26T00:00:00"/>
    <s v="Aug-16"/>
    <s v="Schokman Pty Limited - NBN GREENFIELDS AUGUST AS PER SUPPLIED SUMMARY "/>
    <n v="2198.8999999999996"/>
    <m/>
    <m/>
  </r>
  <r>
    <s v="INV"/>
    <s v="NBN Sydney"/>
    <s v="1727"/>
    <x v="0"/>
    <s v="Network Shortfall Central Coast"/>
    <x v="1"/>
    <d v="2016-08-26T00:00:00"/>
    <s v="Aug-16"/>
    <s v="Schokman Pty Limited - NBN SHORTFALLS SYDNEY AUGUST AS PER SUPPLIED SUMMARY "/>
    <n v="2882.58"/>
    <m/>
    <m/>
  </r>
  <r>
    <s v="INV"/>
    <s v="NBN Canberra"/>
    <s v="1729"/>
    <x v="0"/>
    <s v="Network Shortfall Canberra"/>
    <x v="4"/>
    <d v="2016-08-26T00:00:00"/>
    <s v="Aug-16"/>
    <s v="Schokman Pty Limited - NBN SHORTFALLS CANBERRA AUGUST "/>
    <n v="1470"/>
    <m/>
    <m/>
  </r>
  <r>
    <s v="PE"/>
    <s v="NBN Sydney"/>
    <s v="Payroll Expense Journal - PD-311"/>
    <x v="5"/>
    <s v="NBN Greenfields DJC Internals"/>
    <x v="37"/>
    <d v="2016-08-08T00:00:00"/>
    <s v="Aug-16"/>
    <s v="Earnings Peter Hanley Tool Allowance"/>
    <n v="4.6624999999999996"/>
    <m/>
    <m/>
  </r>
  <r>
    <s v="PE"/>
    <s v="NBN Sydney"/>
    <s v="Payroll Expense Journal - PD-312"/>
    <x v="5"/>
    <s v="NBN Greenfields DJC Internals"/>
    <x v="2"/>
    <d v="2016-08-08T00:00:00"/>
    <s v="Aug-16"/>
    <s v="Earnings Peter Hanley Tool Allowance"/>
    <n v="4.6624999999999996"/>
    <m/>
    <m/>
  </r>
  <r>
    <s v="PE"/>
    <s v="NBN Sydney"/>
    <s v="Payroll Expense Journal - PD-313"/>
    <x v="5"/>
    <s v="NBN Greenfields DJC Internals"/>
    <x v="42"/>
    <d v="2016-08-08T00:00:00"/>
    <s v="Aug-16"/>
    <s v="Earnings Peter Hanley Tool Allowance"/>
    <n v="4.6624999999999996"/>
    <m/>
    <m/>
  </r>
  <r>
    <s v="PE"/>
    <s v="NBN Sydney"/>
    <s v="Payroll Expense Journal - PD-314"/>
    <x v="5"/>
    <s v="NBN Greenfields DJC Internals"/>
    <x v="12"/>
    <d v="2016-08-08T00:00:00"/>
    <s v="Aug-16"/>
    <s v="Earnings Peter Hanley Tool Allowance"/>
    <n v="4.6624999999999996"/>
    <m/>
    <m/>
  </r>
  <r>
    <s v="PE"/>
    <s v="NBN Sydney"/>
    <s v="Payroll Expense Journal - PD-316"/>
    <x v="1"/>
    <s v="Overhead"/>
    <x v="3"/>
    <d v="2016-08-15T00:00:00"/>
    <s v="Aug-16"/>
    <s v="Earnings Peter Hanley Tool Allowance"/>
    <n v="18.649999999999999"/>
    <m/>
    <m/>
  </r>
  <r>
    <s v="PE"/>
    <s v="NBN Canberra"/>
    <s v="Payroll Expense Journal - PD-321"/>
    <x v="5"/>
    <s v="Network Shortfall Canberra"/>
    <x v="4"/>
    <d v="2016-08-22T00:00:00"/>
    <s v="Aug-16"/>
    <s v="Earnings Peter Hanley Tool Allowance"/>
    <n v="6.2166666666666659"/>
    <m/>
    <m/>
  </r>
  <r>
    <s v="PE"/>
    <s v="NBN Sydney"/>
    <s v="Payroll Expense Journal - PD-322"/>
    <x v="5"/>
    <s v="NBN Greenfields DJC Internals"/>
    <x v="41"/>
    <d v="2016-08-22T00:00:00"/>
    <s v="Aug-16"/>
    <s v="Earnings Peter Hanley Tool Allowance"/>
    <n v="6.2166666666666659"/>
    <m/>
    <m/>
  </r>
  <r>
    <s v="PE"/>
    <s v="NBN Sydney"/>
    <s v="Payroll Expense Journal - PD-323"/>
    <x v="1"/>
    <s v="Overhead"/>
    <x v="3"/>
    <d v="2016-08-22T00:00:00"/>
    <s v="Aug-16"/>
    <s v="Earnings Peter Hanley Tool Allowance"/>
    <n v="6.2166666666666659"/>
    <m/>
    <m/>
  </r>
  <r>
    <s v="PE"/>
    <s v="NBN Sydney"/>
    <s v="Payroll Expense Journal - PD-326"/>
    <x v="5"/>
    <s v="Network Shortfall Central Coast"/>
    <x v="1"/>
    <d v="2016-08-29T00:00:00"/>
    <s v="Aug-16"/>
    <s v="Earnings Peter Hanley Tool Allowance"/>
    <n v="9.3249999999999993"/>
    <m/>
    <m/>
  </r>
  <r>
    <s v="PE"/>
    <s v="PipeNetworks"/>
    <s v="Payroll Expense Journal - PD-327"/>
    <x v="5"/>
    <s v="PipeNetworks"/>
    <x v="40"/>
    <d v="2016-08-29T00:00:00"/>
    <s v="Aug-16"/>
    <s v="Earnings Peter Hanley Tool Allowance"/>
    <n v="9.3249999999999993"/>
    <m/>
    <m/>
  </r>
  <r>
    <s v="PE"/>
    <s v="NBN Sydney"/>
    <s v="Payroll Expense Journal - PD-327"/>
    <x v="1"/>
    <s v="Overhead"/>
    <x v="3"/>
    <d v="2016-08-29T00:00:00"/>
    <s v="Aug-16"/>
    <s v="Earnings Wagga Tool Allowance GC"/>
    <n v="46.63"/>
    <m/>
    <m/>
  </r>
  <r>
    <s v="PE"/>
    <s v="NBN Sydney"/>
    <s v="Payroll Expense Journal - PD-311"/>
    <x v="1"/>
    <s v="Overhead"/>
    <x v="3"/>
    <d v="2016-08-08T00:00:00"/>
    <s v="Aug-16"/>
    <s v="Reimbursements"/>
    <n v="44.61"/>
    <m/>
    <m/>
  </r>
  <r>
    <s v="PE"/>
    <s v="NBN Sydney"/>
    <s v="Payroll Expense Journal - PD-312"/>
    <x v="1"/>
    <s v="Overhead"/>
    <x v="3"/>
    <d v="2016-08-29T00:00:00"/>
    <s v="Aug-16"/>
    <s v="Reimbursements  GC OTTA"/>
    <n v="414.59000000000003"/>
    <m/>
    <m/>
  </r>
  <r>
    <s v="PE"/>
    <s v="NBN Canberra"/>
    <s v="Payroll Expense Journal - PD-312"/>
    <x v="5"/>
    <s v="Network Shortfall Canberra"/>
    <x v="4"/>
    <d v="2016-08-29T00:00:00"/>
    <s v="Aug-16"/>
    <s v="Reimbursements Peter Hanley Otta"/>
    <n v="525"/>
    <m/>
    <m/>
  </r>
  <r>
    <s v="PE"/>
    <s v="NBN Sydney"/>
    <s v="Payroll Expense Journal - PD-311"/>
    <x v="1"/>
    <s v="Overhead"/>
    <x v="3"/>
    <d v="2016-08-08T00:00:00"/>
    <s v="Aug-16"/>
    <s v="Earnings Salary Staff"/>
    <n v="6341.89"/>
    <m/>
    <m/>
  </r>
  <r>
    <s v="PE"/>
    <s v="NBN Sydney"/>
    <s v="Payroll Expense Journal - PD-311"/>
    <x v="5"/>
    <s v="NBN Greenfields DJC Internals"/>
    <x v="37"/>
    <d v="2016-08-08T00:00:00"/>
    <s v="Aug-16"/>
    <s v="Earnings Peter Hanley"/>
    <n v="205.8"/>
    <m/>
    <m/>
  </r>
  <r>
    <s v="PE"/>
    <s v="NBN Sydney"/>
    <s v="Payroll Expense Journal - PD-311"/>
    <x v="5"/>
    <s v="NBN Greenfields DJC Internals"/>
    <x v="2"/>
    <d v="2016-08-08T00:00:00"/>
    <s v="Aug-16"/>
    <s v="Earnings Peter Hanley"/>
    <n v="483.63"/>
    <m/>
    <m/>
  </r>
  <r>
    <s v="PE"/>
    <s v="NBN Sydney"/>
    <s v="Payroll Expense Journal - PD-311"/>
    <x v="5"/>
    <s v="NBN Greenfields DJC Internals"/>
    <x v="12"/>
    <d v="2016-08-08T00:00:00"/>
    <s v="Aug-16"/>
    <s v="Earnings Peter Hanley"/>
    <n v="102.9"/>
    <m/>
    <m/>
  </r>
  <r>
    <s v="PE"/>
    <s v="NBN Sydney"/>
    <s v="Payroll Expense Journal - PD-311"/>
    <x v="5"/>
    <s v="Network Shortfall Sydney"/>
    <x v="20"/>
    <d v="2016-08-08T00:00:00"/>
    <s v="Aug-16"/>
    <s v="Earnings Peter Hanley"/>
    <n v="452.76"/>
    <m/>
    <m/>
  </r>
  <r>
    <s v="PE"/>
    <s v="NBN Sydney"/>
    <s v="Payroll Expense Journal - PD-311"/>
    <x v="5"/>
    <s v="NBN Greenfields DJC Internals"/>
    <x v="42"/>
    <d v="2016-08-08T00:00:00"/>
    <s v="Aug-16"/>
    <s v="Earnings Peter Hanley"/>
    <n v="950.11"/>
    <m/>
    <m/>
  </r>
  <r>
    <s v="PE"/>
    <s v="NBN Sydney"/>
    <s v="Payroll Expense Journal - PD-311"/>
    <x v="1"/>
    <s v="Overhead"/>
    <x v="3"/>
    <d v="2016-08-08T00:00:00"/>
    <s v="Aug-16"/>
    <s v="Earnings Peter Hanley"/>
    <n v="260.68"/>
    <m/>
    <m/>
  </r>
  <r>
    <s v="PE"/>
    <s v="NBN Sydney"/>
    <s v="Payroll Expense Journal - PD-316"/>
    <x v="1"/>
    <s v="Overhead"/>
    <x v="3"/>
    <d v="2016-08-15T00:00:00"/>
    <s v="Aug-16"/>
    <s v="Earnings Salary Staff"/>
    <n v="7749.98"/>
    <m/>
    <m/>
  </r>
  <r>
    <s v="PE"/>
    <s v="NBN Sydney"/>
    <s v="Payroll Expense Journal - PD-321"/>
    <x v="1"/>
    <s v="Overhead"/>
    <x v="3"/>
    <d v="2016-08-22T00:00:00"/>
    <s v="Aug-16"/>
    <s v="Earnings Salary Staff"/>
    <n v="6495.52"/>
    <m/>
    <m/>
  </r>
  <r>
    <s v="PE"/>
    <s v="NBN Canberra"/>
    <s v="Payroll Expense Journal - PD-321"/>
    <x v="5"/>
    <s v="Network Shortfall Canberra"/>
    <x v="4"/>
    <d v="2016-08-22T00:00:00"/>
    <s v="Aug-16"/>
    <s v="Earnings Peter Hanley"/>
    <n v="1661.84"/>
    <m/>
    <m/>
  </r>
  <r>
    <s v="PE"/>
    <s v="NBN Sydney"/>
    <s v="Payroll Expense Journal - PD-321"/>
    <x v="5"/>
    <s v="NBN Greenfields DJC Internals"/>
    <x v="41"/>
    <d v="2016-08-22T00:00:00"/>
    <s v="Aug-16"/>
    <s v="Earnings Peter Hanley"/>
    <n v="123.48"/>
    <m/>
    <m/>
  </r>
  <r>
    <s v="PE"/>
    <s v="NBN Sydney"/>
    <s v="Payroll Expense Journal - PD-326"/>
    <x v="1"/>
    <s v="Overhead"/>
    <x v="3"/>
    <d v="2016-08-29T00:00:00"/>
    <s v="Aug-16"/>
    <s v="Earnings Salary Staff"/>
    <n v="6395.1299999999992"/>
    <m/>
    <m/>
  </r>
  <r>
    <s v="PE"/>
    <s v="NBN Sydney"/>
    <s v="Payroll Expense Journal - PD-326"/>
    <x v="5"/>
    <s v="Network Shortfall Central Coast"/>
    <x v="1"/>
    <d v="2016-08-29T00:00:00"/>
    <s v="Aug-16"/>
    <s v="Earnings Peter Hanley"/>
    <n v="1042.72"/>
    <m/>
    <m/>
  </r>
  <r>
    <s v="PE"/>
    <s v="PipeNetworks"/>
    <s v="Payroll Expense Journal - PD-326"/>
    <x v="5"/>
    <s v="PipeNetworks"/>
    <x v="40"/>
    <d v="2016-08-29T00:00:00"/>
    <s v="Aug-16"/>
    <s v="Earnings Peter Hanley"/>
    <n v="312.13"/>
    <m/>
    <m/>
  </r>
  <r>
    <s v="PE"/>
    <s v="NBN Sydney"/>
    <s v="Payroll Expense Journal - PD-326"/>
    <x v="1"/>
    <s v="Overhead"/>
    <x v="3"/>
    <d v="2016-08-29T00:00:00"/>
    <s v="Aug-16"/>
    <s v="Earnings GC "/>
    <n v="4092.3"/>
    <m/>
    <m/>
  </r>
  <r>
    <s v="PE"/>
    <s v="NBN Sydney"/>
    <s v="Payroll Expense Journal - PD-311"/>
    <x v="1"/>
    <s v="Overhead"/>
    <x v="3"/>
    <d v="2016-08-08T00:00:00"/>
    <s v="Aug-16"/>
    <s v="Superannuation Expense"/>
    <n v="453.84999999999997"/>
    <m/>
    <m/>
  </r>
  <r>
    <s v="PE"/>
    <s v="NBN Sydney"/>
    <s v="Payroll Expense Journal - PD-311"/>
    <x v="5"/>
    <s v="NBN Greenfields DJC Internals"/>
    <x v="37"/>
    <d v="2016-08-08T00:00:00"/>
    <s v="Aug-16"/>
    <s v="Superannuation Expense Peter Hnaley"/>
    <n v="19.55"/>
    <m/>
    <m/>
  </r>
  <r>
    <s v="PE"/>
    <s v="NBN Sydney"/>
    <s v="Payroll Expense Journal - PD-311"/>
    <x v="5"/>
    <s v="NBN Greenfields DJC Internals"/>
    <x v="2"/>
    <d v="2016-08-08T00:00:00"/>
    <s v="Aug-16"/>
    <s v="Superannuation Expense Peter Hnaley"/>
    <n v="45.94"/>
    <m/>
    <m/>
  </r>
  <r>
    <s v="PE"/>
    <s v="NBN Sydney"/>
    <s v="Payroll Expense Journal - PD-311"/>
    <x v="5"/>
    <s v="NBN Greenfields DJC Internals"/>
    <x v="12"/>
    <d v="2016-08-08T00:00:00"/>
    <s v="Aug-16"/>
    <s v="Superannuation Expense Peter Hnaley"/>
    <n v="9.7799999999999994"/>
    <m/>
    <m/>
  </r>
  <r>
    <s v="PE"/>
    <s v="NBN Sydney"/>
    <s v="Payroll Expense Journal - PD-311"/>
    <x v="5"/>
    <s v="Network Shortfall Sydney"/>
    <x v="20"/>
    <d v="2016-08-08T00:00:00"/>
    <s v="Aug-16"/>
    <s v="Superannuation Expense Peter Hnaley"/>
    <n v="43.01"/>
    <m/>
    <m/>
  </r>
  <r>
    <s v="PE"/>
    <s v="NBN Sydney"/>
    <s v="Payroll Expense Journal - PD-311"/>
    <x v="5"/>
    <s v="NBN Greenfields DJC Internals"/>
    <x v="42"/>
    <d v="2016-08-08T00:00:00"/>
    <s v="Aug-16"/>
    <s v="Superannuation Expense Peter Hnaley"/>
    <n v="90.26"/>
    <m/>
    <m/>
  </r>
  <r>
    <s v="PE"/>
    <s v="NBN Sydney"/>
    <s v="Payroll Expense Journal - PD-316"/>
    <x v="1"/>
    <s v="Overhead"/>
    <x v="3"/>
    <d v="2016-08-15T00:00:00"/>
    <s v="Aug-16"/>
    <s v="Superannuation Expense"/>
    <n v="663.17"/>
    <m/>
    <m/>
  </r>
  <r>
    <s v="PE"/>
    <s v="NBN Sydney"/>
    <s v="Payroll Expense Journal - PD-321"/>
    <x v="1"/>
    <s v="Overhead"/>
    <x v="3"/>
    <d v="2016-08-22T00:00:00"/>
    <s v="Aug-16"/>
    <s v="Superannuation Expense"/>
    <n v="540.87"/>
    <m/>
    <m/>
  </r>
  <r>
    <s v="PE"/>
    <s v="NBN Canberra"/>
    <s v="Payroll Expense Journal - PD-321"/>
    <x v="5"/>
    <s v="Network Shortfall Canberra"/>
    <x v="4"/>
    <d v="2016-08-22T00:00:00"/>
    <s v="Aug-16"/>
    <s v="Superannuation Expense Peter Hnaley"/>
    <n v="111.98"/>
    <m/>
    <m/>
  </r>
  <r>
    <s v="PE"/>
    <s v="NBN Sydney"/>
    <s v="Payroll Expense Journal - PD-321"/>
    <x v="5"/>
    <s v="NBN Greenfields DJC Internals"/>
    <x v="41"/>
    <d v="2016-08-22T00:00:00"/>
    <s v="Aug-16"/>
    <s v="Superannuation Expense Peter Hnaley"/>
    <n v="11.73"/>
    <m/>
    <m/>
  </r>
  <r>
    <s v="PE"/>
    <s v="NBN Sydney"/>
    <s v="Payroll Expense Journal - PD-326"/>
    <x v="1"/>
    <s v="Overhead"/>
    <x v="3"/>
    <d v="2016-08-29T00:00:00"/>
    <s v="Aug-16"/>
    <s v="Superannuation Expense"/>
    <n v="534.45999999999992"/>
    <m/>
    <m/>
  </r>
  <r>
    <s v="PE"/>
    <s v="NBN Sydney"/>
    <s v="Payroll Expense Journal - PD-326"/>
    <x v="5"/>
    <s v="Network Shortfall Central Coast"/>
    <x v="1"/>
    <d v="2016-08-29T00:00:00"/>
    <s v="Aug-16"/>
    <s v="Superannuation Expense Peter Hnaley"/>
    <n v="99.06"/>
    <m/>
    <m/>
  </r>
  <r>
    <s v="PE"/>
    <s v="PipeNetworks"/>
    <s v="Payroll Expense Journal - PD-326"/>
    <x v="5"/>
    <s v="PipeNetworks"/>
    <x v="40"/>
    <d v="2016-08-29T00:00:00"/>
    <s v="Aug-16"/>
    <s v="Superannuation Expense Peter Hnaley"/>
    <n v="29.65"/>
    <m/>
    <m/>
  </r>
  <r>
    <s v="PE"/>
    <s v="NBN Sydney"/>
    <s v="Payroll Expense Journal - PD-327"/>
    <x v="1"/>
    <s v="Overhead"/>
    <x v="3"/>
    <d v="2016-08-29T00:00:00"/>
    <s v="Aug-16"/>
    <s v="Superannuation Expense  GC"/>
    <n v="382.34"/>
    <m/>
    <m/>
  </r>
  <r>
    <s v="INV"/>
    <s v="NBN Sydney"/>
    <s v="117142"/>
    <x v="1"/>
    <s v="Overhead"/>
    <x v="3"/>
    <d v="2016-08-04T00:00:00"/>
    <s v="Aug-16"/>
    <s v="Easdowns Business Specialists - MONTHLY INSTALLMENT ER 2017 SERVICE AGREEMENT  - AUG "/>
    <n v="451.36"/>
    <m/>
    <m/>
  </r>
  <r>
    <s v="INV"/>
    <s v="NBN Sydney"/>
    <s v="117008"/>
    <x v="1"/>
    <s v="Overhead"/>
    <x v="3"/>
    <d v="2016-08-08T00:00:00"/>
    <s v="Aug-16"/>
    <s v="Easdowns Business Specialists - MONTHLY INSTALLMENT ER 2017 SERVICE AGREEMENT  - JUL"/>
    <n v="451.36"/>
    <m/>
    <m/>
  </r>
  <r>
    <s v="INV"/>
    <s v="NBN Sydney"/>
    <s v="NAB"/>
    <x v="1"/>
    <s v="Overhead"/>
    <x v="3"/>
    <d v="2016-08-26T00:00:00"/>
    <s v="Aug-16"/>
    <s v="National Australia Bank - NBN CO Bank Guarantee"/>
    <n v="125"/>
    <m/>
    <m/>
  </r>
  <r>
    <s v="INV"/>
    <s v="NBN Sydney"/>
    <s v="NAB"/>
    <x v="1"/>
    <s v="Overhead"/>
    <x v="3"/>
    <d v="2016-08-26T00:00:00"/>
    <s v="Aug-16"/>
    <s v="National Australia Bank - NBN CO Bank Guarantee"/>
    <n v="125"/>
    <m/>
    <m/>
  </r>
  <r>
    <s v="INV"/>
    <s v="NBN Sydney"/>
    <s v="00022157"/>
    <x v="1"/>
    <s v="Overhead"/>
    <x v="3"/>
    <d v="2016-08-12T00:00:00"/>
    <s v="Aug-16"/>
    <s v="The Industrail Workwear and Safety Co - HARD HAT CHIN STRAP "/>
    <n v="21.64"/>
    <m/>
    <m/>
  </r>
  <r>
    <s v="INV"/>
    <s v="NBN Sydney"/>
    <s v="90602090037047"/>
    <x v="5"/>
    <s v="PipeNetworks"/>
    <x v="40"/>
    <d v="2016-08-29T00:00:00"/>
    <s v="Aug-16"/>
    <s v="Officeworks Superstores - BRO BLACK ON WHITE 12MM X 8MM TAPE "/>
    <n v="54.04"/>
    <m/>
    <m/>
  </r>
  <r>
    <s v="INV"/>
    <s v="NBN Sydney"/>
    <s v="DM CARD 9060222003781382"/>
    <x v="1"/>
    <s v="Overhead"/>
    <x v="3"/>
    <d v="2016-08-30T00:00:00"/>
    <s v="Aug-16"/>
    <s v="Officeworks Superstores - PP WHITE DIVIDER 1 - 12 "/>
    <n v="18.82"/>
    <m/>
    <m/>
  </r>
  <r>
    <s v="INV"/>
    <s v="NBN Sydney"/>
    <s v="DM CARD 9060222003781382"/>
    <x v="1"/>
    <s v="Overhead"/>
    <x v="3"/>
    <d v="2016-08-30T00:00:00"/>
    <s v="Aug-16"/>
    <s v="Officeworks Superstores - INSERT BINDER "/>
    <n v="45.65"/>
    <m/>
    <m/>
  </r>
  <r>
    <s v="INV"/>
    <s v="NBN Sydney"/>
    <s v="20178541003665"/>
    <x v="1"/>
    <s v="Overhead"/>
    <x v="3"/>
    <d v="2016-08-24T00:00:00"/>
    <s v="Aug-16"/>
    <s v="Australia Post - EP SOD LBL"/>
    <n v="2.68"/>
    <m/>
    <m/>
  </r>
  <r>
    <s v="INV"/>
    <s v="NBN Sydney"/>
    <s v="20178541003665"/>
    <x v="1"/>
    <s v="Overhead"/>
    <x v="3"/>
    <d v="2016-08-24T00:00:00"/>
    <s v="Aug-16"/>
    <s v="Australia Post - EP MEDIUM SATCHEL "/>
    <n v="13.45"/>
    <m/>
    <m/>
  </r>
  <r>
    <s v="INV"/>
    <s v="NBN Sydney"/>
    <s v="48596"/>
    <x v="1"/>
    <s v="Overhead"/>
    <x v="3"/>
    <d v="2016-08-07T00:00:00"/>
    <s v="Aug-16"/>
    <s v="SkillsAcq PTY LTD - TELSTRA NETWORK SITE INDUCTION - SY"/>
    <n v="36.36"/>
    <m/>
    <m/>
  </r>
  <r>
    <s v="PE"/>
    <s v="NBN Sydney"/>
    <s v="Payroll Expense Journal - PD-311"/>
    <x v="1"/>
    <s v="Overhead"/>
    <x v="3"/>
    <d v="2016-08-08T00:00:00"/>
    <s v="Aug-16"/>
    <s v="Superannuation Expense Donna Spackman"/>
    <n v="30.78"/>
    <m/>
    <m/>
  </r>
  <r>
    <s v="PE"/>
    <s v="NBN Sydney"/>
    <s v="Payroll Expense Journal - PD-316"/>
    <x v="1"/>
    <s v="Overhead"/>
    <x v="3"/>
    <d v="2016-08-15T00:00:00"/>
    <s v="Aug-16"/>
    <s v="Superannuation Expense Donna Spackman"/>
    <n v="46.17"/>
    <m/>
    <m/>
  </r>
  <r>
    <s v="PE"/>
    <s v="NBN Sydney"/>
    <s v="Payroll Expense Journal - PD-321"/>
    <x v="1"/>
    <s v="Overhead"/>
    <x v="3"/>
    <d v="2016-08-22T00:00:00"/>
    <s v="Aug-16"/>
    <s v="Superannuation Expense Donna Spackman"/>
    <n v="46.17"/>
    <m/>
    <m/>
  </r>
  <r>
    <s v="PE"/>
    <s v="NBN Sydney"/>
    <s v="Payroll Expense Journal - PD-326"/>
    <x v="1"/>
    <s v="Overhead"/>
    <x v="3"/>
    <d v="2016-08-29T00:00:00"/>
    <s v="Aug-16"/>
    <s v="Superannuation Expense Donna Spackman"/>
    <n v="46.17"/>
    <m/>
    <m/>
  </r>
  <r>
    <s v="PE"/>
    <s v="NBN Sydney"/>
    <s v="Payroll Expense Journal - PD-327"/>
    <x v="1"/>
    <s v="Overhead"/>
    <x v="3"/>
    <d v="2016-08-29T00:00:00"/>
    <s v="Aug-16"/>
    <s v="Superannuation Expense Wagga Admin"/>
    <n v="233.37"/>
    <m/>
    <m/>
  </r>
  <r>
    <s v="INV"/>
    <s v="NBN Sydney"/>
    <s v="P 139 717 511-9 "/>
    <x v="1"/>
    <s v="Overhead"/>
    <x v="3"/>
    <d v="2016-08-23T00:00:00"/>
    <s v="Aug-16"/>
    <s v="Telstra Acc # 898 8808 200 - SYDNEY"/>
    <n v="136.36000000000001"/>
    <m/>
    <m/>
  </r>
  <r>
    <s v="PE"/>
    <s v="NBN Sydney"/>
    <s v="Payroll Expense Journal - PD-316"/>
    <x v="1"/>
    <s v="Overhead"/>
    <x v="3"/>
    <d v="2016-08-15T00:00:00"/>
    <s v="Aug-16"/>
    <s v="Earnings Mobile Phone"/>
    <n v="23.08"/>
    <m/>
    <m/>
  </r>
  <r>
    <s v="PE"/>
    <s v="NBN Sydney"/>
    <s v="Payroll Expense Journal - PD-321"/>
    <x v="1"/>
    <s v="Overhead"/>
    <x v="3"/>
    <d v="2016-08-22T00:00:00"/>
    <s v="Aug-16"/>
    <s v="Earnings Mobile Phone"/>
    <n v="23.08"/>
    <m/>
    <m/>
  </r>
  <r>
    <s v="PE"/>
    <s v="NBN Sydney"/>
    <s v="Payroll Expense Journal - PD-326"/>
    <x v="1"/>
    <s v="Overhead"/>
    <x v="3"/>
    <d v="2016-08-29T00:00:00"/>
    <s v="Aug-16"/>
    <s v="Earnings Mobile Phone"/>
    <n v="23.08"/>
    <m/>
    <m/>
  </r>
  <r>
    <s v="PE"/>
    <s v="NBN Sydney"/>
    <s v="Payroll Expense Journal - PD-327"/>
    <x v="1"/>
    <s v="Overhead"/>
    <x v="3"/>
    <d v="2016-08-29T00:00:00"/>
    <s v="Aug-16"/>
    <s v="Earnings Mobile Phone, Wagga"/>
    <n v="23.34"/>
    <m/>
    <m/>
  </r>
  <r>
    <s v="INV"/>
    <s v="NBN Sydney"/>
    <s v="DO144440"/>
    <x v="1"/>
    <s v="Overhead"/>
    <x v="3"/>
    <d v="2016-08-18T00:00:00"/>
    <s v="Aug-16"/>
    <s v="Sika Technology Limited - B080-411-KL-1101-01 _x000d__x000a_B 80 KN KEY LIFTER FOR LOCK BLOCK - SINGLE HEAD NO. 01"/>
    <n v="127.36"/>
    <m/>
    <m/>
  </r>
  <r>
    <s v="INV"/>
    <s v="NBN Sydney"/>
    <s v="PO-0127"/>
    <x v="1"/>
    <s v="Overhead"/>
    <x v="3"/>
    <d v="2016-08-25T00:00:00"/>
    <s v="Aug-16"/>
    <s v="Jaybro - HJD Industries Pty Ltd - 34-BMPTSTKIT Bump Test Kit"/>
    <n v="495"/>
    <m/>
    <m/>
  </r>
  <r>
    <s v="PE"/>
    <s v="NBN Sydney"/>
    <s v="Payroll Expense Journal - PD-311"/>
    <x v="1"/>
    <s v="Overhead"/>
    <x v="3"/>
    <d v="2016-08-08T00:00:00"/>
    <s v="Aug-16"/>
    <s v="Earnings Donna Spackman"/>
    <n v="324"/>
    <m/>
    <m/>
  </r>
  <r>
    <s v="PE"/>
    <s v="NBN Sydney"/>
    <s v="Payroll Expense Journal - PD-316"/>
    <x v="1"/>
    <s v="Overhead"/>
    <x v="3"/>
    <d v="2016-08-15T00:00:00"/>
    <s v="Aug-16"/>
    <s v="Earnings Donna Spackman"/>
    <n v="486"/>
    <m/>
    <m/>
  </r>
  <r>
    <s v="PE"/>
    <s v="NBN Sydney"/>
    <s v="Payroll Expense Journal - PD-321"/>
    <x v="1"/>
    <s v="Overhead"/>
    <x v="3"/>
    <d v="2016-08-22T00:00:00"/>
    <s v="Aug-16"/>
    <s v="Earnings Donna Spackman"/>
    <n v="486"/>
    <m/>
    <m/>
  </r>
  <r>
    <s v="PE"/>
    <s v="NBN Sydney"/>
    <s v="Payroll Expense Journal - PD-326"/>
    <x v="1"/>
    <s v="Overhead"/>
    <x v="3"/>
    <d v="2016-08-29T00:00:00"/>
    <s v="Aug-16"/>
    <s v="Earnings Donna Spackman"/>
    <n v="486"/>
    <m/>
    <m/>
  </r>
  <r>
    <s v="PE"/>
    <s v="NBN Sydney"/>
    <s v="Payroll Expense Journal - PD-326"/>
    <x v="1"/>
    <s v="Overhead"/>
    <x v="3"/>
    <d v="2016-08-29T00:00:00"/>
    <s v="Aug-16"/>
    <s v="Earnings, Wagga Admin"/>
    <n v="2753.29"/>
    <m/>
    <m/>
  </r>
  <r>
    <s v="INV"/>
    <s v="NBN Sydney"/>
    <s v="3798887819"/>
    <x v="1"/>
    <s v="Overhead"/>
    <x v="3"/>
    <d v="2016-08-25T00:00:00"/>
    <s v="Aug-16"/>
    <s v="Energy Australia - ELECTRICITY from 27/5/2016 - 22/08/2016"/>
    <n v="656.39"/>
    <m/>
    <m/>
  </r>
  <r>
    <s v="INV"/>
    <s v="NBN Sydney"/>
    <s v="DM CARD 010-80691-7179"/>
    <x v="6"/>
    <s v="Smithfield De Mobilisation"/>
    <x v="44"/>
    <d v="2016-08-08T00:00:00"/>
    <s v="Aug-16"/>
    <s v="BUNNINGS - PINE TREATED "/>
    <n v="94.91"/>
    <m/>
    <m/>
  </r>
  <r>
    <s v="INV"/>
    <s v="NBN Sydney"/>
    <s v="DM CARD 010-80691-7179"/>
    <x v="6"/>
    <s v="Smithfield De Mobilisation"/>
    <x v="44"/>
    <d v="2016-08-08T00:00:00"/>
    <s v="Aug-16"/>
    <s v="BUNNINGS - BOLT AND NUT CUPHEAD "/>
    <n v="15.05"/>
    <m/>
    <m/>
  </r>
  <r>
    <s v="INV"/>
    <s v="NBN Sydney"/>
    <s v="DM CARD 010-80691-7179"/>
    <x v="6"/>
    <s v="Smithfield De Mobilisation"/>
    <x v="44"/>
    <d v="2016-08-08T00:00:00"/>
    <s v="Aug-16"/>
    <s v="BUNNINGS - DYNABOLT  "/>
    <n v="11.62"/>
    <m/>
    <m/>
  </r>
  <r>
    <s v="INV"/>
    <s v="NBN Sydney"/>
    <s v="00014096"/>
    <x v="6"/>
    <s v="Smithfield De Mobilisation"/>
    <x v="44"/>
    <d v="2016-08-09T00:00:00"/>
    <s v="Aug-16"/>
    <s v="Plymaster - MDF 24X12X32 "/>
    <n v="163.63999999999999"/>
    <m/>
    <m/>
  </r>
  <r>
    <s v="INV"/>
    <s v="NBN Sydney"/>
    <s v="DM CARD 010-81813-7179"/>
    <x v="6"/>
    <s v="Smithfield De Mobilisation"/>
    <x v="44"/>
    <d v="2016-08-10T00:00:00"/>
    <s v="Aug-16"/>
    <s v="Bunnings Warehouse - BOLT &amp; NUT CUPHEAD "/>
    <n v="3.18"/>
    <m/>
    <m/>
  </r>
  <r>
    <s v="INV"/>
    <s v="NBN Sydney"/>
    <s v="DM CARD 010-81813-7179"/>
    <x v="6"/>
    <s v="Smithfield De Mobilisation"/>
    <x v="44"/>
    <d v="2016-08-10T00:00:00"/>
    <s v="Aug-16"/>
    <s v="Bunnings Warehouse - PINE STRUCTURAL "/>
    <n v="15.24"/>
    <m/>
    <m/>
  </r>
  <r>
    <s v="INV"/>
    <s v="NBN Sydney"/>
    <s v="DM CARD 010-81813-7179"/>
    <x v="6"/>
    <s v="Smithfield De Mobilisation"/>
    <x v="44"/>
    <d v="2016-08-10T00:00:00"/>
    <s v="Aug-16"/>
    <s v="Bunnings Warehouse - ADHESIVE CONSTRUCTION BOND "/>
    <n v="21.49"/>
    <m/>
    <m/>
  </r>
  <r>
    <s v="INV"/>
    <s v="NBN Sydney"/>
    <s v="DM CARD 010-81813-7179"/>
    <x v="6"/>
    <s v="Smithfield De Mobilisation"/>
    <x v="44"/>
    <d v="2016-08-10T00:00:00"/>
    <s v="Aug-16"/>
    <s v="Bunnings Warehouse - CAULKING GUN "/>
    <n v="18.14"/>
    <m/>
    <m/>
  </r>
  <r>
    <s v="INV"/>
    <s v="NBN Sydney"/>
    <s v="DM CARD 010-81813-7179"/>
    <x v="6"/>
    <s v="Smithfield De Mobilisation"/>
    <x v="44"/>
    <d v="2016-08-10T00:00:00"/>
    <s v="Aug-16"/>
    <s v="Bunnings Warehouse - SCREWS BUGLE BATTEN "/>
    <n v="12.16"/>
    <m/>
    <m/>
  </r>
  <r>
    <s v="INV"/>
    <s v="NBN Sydney"/>
    <s v="010-82913-7179"/>
    <x v="6"/>
    <s v="Smithfield De Mobilisation"/>
    <x v="44"/>
    <d v="2016-08-12T00:00:00"/>
    <s v="Aug-16"/>
    <s v="BUNNINGS - PLASTER FILLER "/>
    <n v="36.450000000000003"/>
    <m/>
    <m/>
  </r>
  <r>
    <s v="INV"/>
    <s v="NBN Sydney"/>
    <s v="010-82913-7179"/>
    <x v="6"/>
    <s v="Smithfield De Mobilisation"/>
    <x v="44"/>
    <d v="2016-08-12T00:00:00"/>
    <s v="Aug-16"/>
    <s v="BUNNINGS - PLASTER BOARD "/>
    <n v="22.4"/>
    <m/>
    <m/>
  </r>
  <r>
    <s v="INV"/>
    <s v="NBN Sydney"/>
    <s v="010-82913-7179"/>
    <x v="6"/>
    <s v="Smithfield De Mobilisation"/>
    <x v="44"/>
    <d v="2016-08-12T00:00:00"/>
    <s v="Aug-16"/>
    <s v="BUNNINGS - PLASTER ACC JOINT "/>
    <n v="5.12"/>
    <m/>
    <m/>
  </r>
  <r>
    <s v="INV"/>
    <s v="NBN Sydney"/>
    <s v="010-82913-7179"/>
    <x v="6"/>
    <s v="Smithfield De Mobilisation"/>
    <x v="44"/>
    <d v="2016-08-12T00:00:00"/>
    <s v="Aug-16"/>
    <s v="BUNNINGS - PLASITC BUCKET "/>
    <n v="1.64"/>
    <m/>
    <m/>
  </r>
  <r>
    <s v="INV"/>
    <s v="NBN Sydney"/>
    <s v="010-82913-7179"/>
    <x v="6"/>
    <s v="Smithfield De Mobilisation"/>
    <x v="44"/>
    <d v="2016-08-12T00:00:00"/>
    <s v="Aug-16"/>
    <s v="BUNNINGS - DRILL MIXER "/>
    <n v="11.21"/>
    <m/>
    <m/>
  </r>
  <r>
    <s v="INV"/>
    <s v="NBN Sydney"/>
    <s v="5/0088"/>
    <x v="6"/>
    <s v="Smithfield De Mobilisation"/>
    <x v="44"/>
    <d v="2016-08-16T00:00:00"/>
    <s v="Aug-16"/>
    <s v="woolworths - Wish Gift Card Dragonfly"/>
    <n v="100"/>
    <m/>
    <m/>
  </r>
  <r>
    <s v="INV"/>
    <s v="NBN Sydney"/>
    <s v="011-12891-7342"/>
    <x v="6"/>
    <s v="Smithfield De Mobilisation"/>
    <x v="44"/>
    <d v="2016-08-18T00:00:00"/>
    <s v="Aug-16"/>
    <s v="BUNNINGS - PAINT ROLLER WITH POLE"/>
    <n v="20.95"/>
    <m/>
    <m/>
  </r>
  <r>
    <s v="INV"/>
    <s v="NBN Sydney"/>
    <s v="011-12891-7342"/>
    <x v="6"/>
    <s v="Smithfield De Mobilisation"/>
    <x v="44"/>
    <d v="2016-08-18T00:00:00"/>
    <s v="Aug-16"/>
    <s v="BUNNINGS - PAINTER ROLLER KIT "/>
    <n v="10.87"/>
    <m/>
    <m/>
  </r>
  <r>
    <s v="INV"/>
    <s v="NBN Sydney"/>
    <s v="011-12891-7342"/>
    <x v="6"/>
    <s v="Smithfield De Mobilisation"/>
    <x v="44"/>
    <d v="2016-08-18T00:00:00"/>
    <s v="Aug-16"/>
    <s v="BUNNINGS - DROP SHEET "/>
    <n v="6.14"/>
    <m/>
    <m/>
  </r>
  <r>
    <s v="INV"/>
    <s v="NBN Sydney"/>
    <s v="011-12891-7342"/>
    <x v="6"/>
    <s v="Smithfield De Mobilisation"/>
    <x v="44"/>
    <d v="2016-08-18T00:00:00"/>
    <s v="Aug-16"/>
    <s v="BUNNINGS - TRADEPRO INTERIOR PAINT 10L "/>
    <n v="60.73"/>
    <m/>
    <m/>
  </r>
  <r>
    <s v="INV"/>
    <s v="NBN Sydney"/>
    <s v="011-12891-7342"/>
    <x v="6"/>
    <s v="Smithfield De Mobilisation"/>
    <x v="44"/>
    <d v="2016-08-18T00:00:00"/>
    <s v="Aug-16"/>
    <s v="BUNNINGS - MASKING TAPE "/>
    <n v="29.02"/>
    <m/>
    <m/>
  </r>
  <r>
    <s v="INV"/>
    <s v="NBN Sydney"/>
    <s v="DM CARD 010-87303-7179"/>
    <x v="6"/>
    <s v="Smithfield De Mobilisation"/>
    <x v="44"/>
    <d v="2016-08-19T00:00:00"/>
    <s v="Aug-16"/>
    <s v="BUNNINGS - PLASTER SAND PAPER "/>
    <n v="1.73"/>
    <m/>
    <m/>
  </r>
  <r>
    <s v="INV"/>
    <s v="NBN Sydney"/>
    <s v="DM CARD 010-87303-7179"/>
    <x v="6"/>
    <s v="Smithfield De Mobilisation"/>
    <x v="44"/>
    <d v="2016-08-19T00:00:00"/>
    <s v="Aug-16"/>
    <s v="BUNNINGS - PANT BRUSH"/>
    <n v="8.5299999999999994"/>
    <m/>
    <m/>
  </r>
  <r>
    <s v="INV"/>
    <s v="NBN Sydney"/>
    <s v="DM CARD 010-87303-7179"/>
    <x v="6"/>
    <s v="Smithfield De Mobilisation"/>
    <x v="44"/>
    <d v="2016-08-19T00:00:00"/>
    <s v="Aug-16"/>
    <s v="BUNNINGS - PLASTER "/>
    <n v="14.73"/>
    <m/>
    <m/>
  </r>
  <r>
    <s v="INV"/>
    <s v="NBN Sydney"/>
    <s v="DM CARD 010-87303-7179"/>
    <x v="6"/>
    <s v="Smithfield De Mobilisation"/>
    <x v="44"/>
    <d v="2016-08-19T00:00:00"/>
    <s v="Aug-16"/>
    <s v="BUNNINGS - PLASTER FILLER "/>
    <n v="11.9"/>
    <m/>
    <m/>
  </r>
  <r>
    <s v="INV"/>
    <s v="NBN Sydney"/>
    <s v="DM CARD 010-87303-7179"/>
    <x v="6"/>
    <s v="Smithfield De Mobilisation"/>
    <x v="44"/>
    <d v="2016-08-19T00:00:00"/>
    <s v="Aug-16"/>
    <s v="BUNNINGS - PLASTER TOOL "/>
    <n v="6.91"/>
    <m/>
    <m/>
  </r>
  <r>
    <s v="INV"/>
    <s v="NBN Sydney"/>
    <s v="DM CARD 010-87303-7179"/>
    <x v="6"/>
    <s v="Smithfield De Mobilisation"/>
    <x v="44"/>
    <d v="2016-08-19T00:00:00"/>
    <s v="Aug-16"/>
    <s v="BUNNINGS - PLASTER TOOL SAND PAPER "/>
    <n v="8.2100000000000009"/>
    <m/>
    <m/>
  </r>
  <r>
    <s v="INV"/>
    <s v="NBN Sydney"/>
    <s v="001-40274-7306"/>
    <x v="6"/>
    <s v="Smithfield De Mobilisation"/>
    <x v="44"/>
    <d v="2016-08-22T00:00:00"/>
    <s v="Aug-16"/>
    <s v="Bunnings Warehouse - SWITCH WALL EXCEL 2 GANG WHITE "/>
    <n v="9.2899999999999991"/>
    <m/>
    <m/>
  </r>
  <r>
    <s v="INV"/>
    <s v="NBN Sydney"/>
    <s v="156542"/>
    <x v="6"/>
    <s v="Smithfield De Mobilisation"/>
    <x v="44"/>
    <d v="2016-08-23T00:00:00"/>
    <s v="Aug-16"/>
    <s v="Powerplus - GRID BLANK &amp; SURROUND "/>
    <n v="51.41"/>
    <m/>
    <m/>
  </r>
  <r>
    <s v="INV"/>
    <s v="NBN Sydney"/>
    <s v="11792308"/>
    <x v="1"/>
    <s v="Overhead"/>
    <x v="3"/>
    <d v="2016-08-31T00:00:00"/>
    <s v="Aug-16"/>
    <s v="Cleanaway - Waste Removal -  Sydney"/>
    <n v="200.76"/>
    <m/>
    <m/>
  </r>
  <r>
    <s v="INV"/>
    <s v="NBN Sydney"/>
    <s v="5521 624 0006"/>
    <x v="1"/>
    <s v="Overhead"/>
    <x v="3"/>
    <d v="2016-08-09T00:00:00"/>
    <s v="Aug-16"/>
    <s v="Sydney Water - WATER "/>
    <n v="140.55000000000001"/>
    <m/>
    <m/>
  </r>
  <r>
    <s v="INV"/>
    <s v="NBN Sydney"/>
    <s v="2326081"/>
    <x v="1"/>
    <s v="Overhead"/>
    <x v="3"/>
    <d v="2016-08-23T00:00:00"/>
    <s v="Aug-16"/>
    <s v="7 Eleven Burwood - ULP 57.66L 1.214   GC Commodore"/>
    <n v="63.64"/>
    <m/>
    <m/>
  </r>
  <r>
    <s v="INV"/>
    <s v="NBN Sydney"/>
    <s v="63561"/>
    <x v="1"/>
    <s v="Overhead"/>
    <x v="3"/>
    <d v="2016-08-24T00:00:00"/>
    <s v="Aug-16"/>
    <s v="Caltex Yass - ULP 55.31L 1.139  GC Commodore"/>
    <n v="57.27"/>
    <m/>
    <m/>
  </r>
  <r>
    <s v="INV"/>
    <s v="NBN Sydney"/>
    <s v="2351607"/>
    <x v="1"/>
    <s v="Overhead"/>
    <x v="3"/>
    <d v="2016-08-04T00:00:00"/>
    <s v="Aug-16"/>
    <s v="7 Eleven Pheasants Nest Nth - DIESEL 156.79L 1.149  GC Curiser"/>
    <n v="163.77000000000001"/>
    <m/>
    <m/>
  </r>
  <r>
    <s v="INV"/>
    <s v="NBN Sydney"/>
    <s v="89782"/>
    <x v="1"/>
    <s v="Overhead"/>
    <x v="3"/>
    <d v="2016-08-02T00:00:00"/>
    <s v="Aug-16"/>
    <s v="CALTEX STARMART F3 NTHBOUND MSPIRIT - ULP 48.75L 1.179"/>
    <n v="52.25"/>
    <m/>
    <m/>
  </r>
  <r>
    <s v="INV"/>
    <s v="NBN Sydney"/>
    <s v="7466"/>
    <x v="5"/>
    <s v="NBN Greenfields DJC Internals"/>
    <x v="37"/>
    <d v="2016-08-02T00:00:00"/>
    <s v="Aug-16"/>
    <s v="BP Boambee - ULP 48.45L 1.199"/>
    <n v="52.81"/>
    <m/>
    <m/>
  </r>
  <r>
    <s v="INV"/>
    <s v="NBN Sydney"/>
    <s v="65553"/>
    <x v="5"/>
    <s v="NBN Greenfields DJC Internals"/>
    <x v="2"/>
    <d v="2016-08-02T00:00:00"/>
    <s v="Aug-16"/>
    <s v="Caltex Starmart M1 SthBound - ULP 53.21L 1.169"/>
    <n v="56.55"/>
    <m/>
    <m/>
  </r>
  <r>
    <s v="INV"/>
    <s v="NBN Sydney"/>
    <s v="5313"/>
    <x v="5"/>
    <s v="NBN Greenfields DJC Internals"/>
    <x v="12"/>
    <d v="2016-08-04T00:00:00"/>
    <s v="Aug-16"/>
    <s v="Advance Fuel Kanahooka - ULP 50.38L 1.169"/>
    <n v="53.55"/>
    <m/>
    <m/>
  </r>
  <r>
    <s v="INV"/>
    <s v="NBN Sydney"/>
    <s v="6170"/>
    <x v="5"/>
    <s v="Network Shortfall Sydney"/>
    <x v="20"/>
    <d v="2016-08-12T00:00:00"/>
    <s v="Aug-16"/>
    <s v="Metro Petroleum Hornsby - ULP 46.48L 1.009"/>
    <n v="42.64"/>
    <m/>
    <m/>
  </r>
  <r>
    <s v="INV"/>
    <s v="NBN Sydney"/>
    <s v="13970"/>
    <x v="1"/>
    <s v="Overhead"/>
    <x v="3"/>
    <d v="2016-08-12T00:00:00"/>
    <s v="Aug-16"/>
    <s v="Thornleigh Auto Body Alignment Pty Ltd - REPAIR TO VEHICLE "/>
    <n v="727.27"/>
    <m/>
    <m/>
  </r>
  <r>
    <s v="INV"/>
    <s v="NBN Sydney"/>
    <s v="3550396"/>
    <x v="5"/>
    <s v="NBN Greenfields DJC Internals"/>
    <x v="41"/>
    <d v="2016-08-16T00:00:00"/>
    <s v="Aug-16"/>
    <s v="7 Eleven Pheasants Nest Nth - ULP 39.40L 1.049"/>
    <n v="37.57"/>
    <m/>
    <m/>
  </r>
  <r>
    <s v="INV"/>
    <s v="NBN Canberra"/>
    <s v="059622"/>
    <x v="5"/>
    <s v="Network Shortfall Canberra"/>
    <x v="4"/>
    <d v="2016-08-19T00:00:00"/>
    <s v="Aug-16"/>
    <s v="Eureka Operations - ULP 59.67L 1.184"/>
    <n v="64.23"/>
    <m/>
    <m/>
  </r>
  <r>
    <s v="INV"/>
    <s v="NBN Sydney"/>
    <s v="1418529"/>
    <x v="5"/>
    <s v="Network Shortfall Central Coast"/>
    <x v="1"/>
    <d v="2016-08-23T00:00:00"/>
    <s v="Aug-16"/>
    <s v="Eureka Operations - Coles Express - ULP 50.01L 1.239"/>
    <n v="56.33"/>
    <m/>
    <m/>
  </r>
  <r>
    <s v="INV"/>
    <s v="NBN Sydney"/>
    <s v="962"/>
    <x v="1"/>
    <s v="Overhead"/>
    <x v="3"/>
    <d v="2016-08-24T00:00:00"/>
    <s v="Aug-16"/>
    <s v="Mobilemec Automotive Services - CARRIED OUT 100,000 KM SERVICE "/>
    <n v="241.91"/>
    <m/>
    <m/>
  </r>
  <r>
    <s v="INV"/>
    <s v="NBN Sydney"/>
    <s v="R110705"/>
    <x v="5"/>
    <s v="NBN Greenfields DJC Internals"/>
    <x v="37"/>
    <d v="2016-08-25T00:00:00"/>
    <s v="Aug-16"/>
    <s v="Tyrepower - FRONT WHEEL ALIGNMENT "/>
    <n v="49.99"/>
    <m/>
    <m/>
  </r>
  <r>
    <s v="INV"/>
    <s v="NBN Sydney"/>
    <s v="R110705"/>
    <x v="5"/>
    <s v="NBN Greenfields DJC Internals"/>
    <x v="2"/>
    <d v="2016-08-25T00:00:00"/>
    <s v="Aug-16"/>
    <s v="Tyrepower - FITTING/SUPPLY OF NEW TYRES "/>
    <n v="527.28"/>
    <m/>
    <m/>
  </r>
  <r>
    <s v="INV"/>
    <s v="NBN Sydney"/>
    <s v="2274558"/>
    <x v="5"/>
    <s v="NBN Greenfields DJC Internals"/>
    <x v="12"/>
    <d v="2016-08-25T00:00:00"/>
    <s v="Aug-16"/>
    <s v="BP Express Asquith - ULP 52.18L 1.249"/>
    <n v="59.25"/>
    <m/>
    <m/>
  </r>
  <r>
    <s v="INV"/>
    <s v="NBN Sydney"/>
    <s v="3592591"/>
    <x v="5"/>
    <s v="Network Shortfall Sydney"/>
    <x v="20"/>
    <d v="2016-08-31T00:00:00"/>
    <s v="Aug-16"/>
    <s v="7 Eleven Pennant Hills - ULP 49.14L 1.049"/>
    <n v="46.86"/>
    <m/>
    <m/>
  </r>
  <r>
    <s v="INV"/>
    <s v="NBN Sydney"/>
    <s v="5775"/>
    <x v="5"/>
    <s v="NBN Greenfields DJC Internals"/>
    <x v="42"/>
    <d v="2016-08-11T00:00:00"/>
    <s v="Aug-16"/>
    <s v="Lake Village service station - ULP 40.03L 1.1249  GC RAV 4"/>
    <n v="45.45"/>
    <m/>
    <m/>
  </r>
  <r>
    <s v="INV"/>
    <s v="NBN Sydney"/>
    <s v="80128"/>
    <x v="5"/>
    <s v="NBN Greenfields DJC Internals"/>
    <x v="41"/>
    <d v="2016-08-12T00:00:00"/>
    <s v="Aug-16"/>
    <s v="Calstores Pty Ltd - ULP 43.14L 0.997  GC RAV 4"/>
    <n v="39.1"/>
    <m/>
    <m/>
  </r>
  <r>
    <s v="INV"/>
    <s v="NBN Sydney"/>
    <s v="#21098"/>
    <x v="5"/>
    <s v="NBN Greenfields DJC Internals"/>
    <x v="37"/>
    <d v="2016-08-02T00:00:00"/>
    <s v="Aug-16"/>
    <s v="SYDNEY VEHICLE  AND TEST EQUIPMENT RENTAL - TEST EQUIPMENT MONTHLY RENTAL"/>
    <n v="112.75"/>
    <m/>
    <m/>
  </r>
  <r>
    <s v="INV"/>
    <s v="NBN Sydney"/>
    <s v="#21098"/>
    <x v="5"/>
    <s v="NBN Greenfields DJC Internals"/>
    <x v="2"/>
    <d v="2016-08-02T00:00:00"/>
    <s v="Aug-16"/>
    <s v="SYDNEY VEHICLE  AND TEST EQUIPMENT RENTAL - TEST EQUIPMENT MONTHLY RENTAL"/>
    <n v="112.75"/>
    <m/>
    <m/>
  </r>
  <r>
    <s v="INV"/>
    <s v="NBN Sydney"/>
    <s v="#21098"/>
    <x v="5"/>
    <s v="NBN Greenfields DJC Internals"/>
    <x v="12"/>
    <d v="2016-08-02T00:00:00"/>
    <s v="Aug-16"/>
    <s v="SYDNEY VEHICLE  AND TEST EQUIPMENT RENTAL - TEST EQUIPMENT MONTHLY RENTAL"/>
    <n v="112.75"/>
    <m/>
    <m/>
  </r>
  <r>
    <s v="INV"/>
    <s v="NBN Sydney"/>
    <s v="#21098"/>
    <x v="5"/>
    <s v="Network Shortfall Sydney"/>
    <x v="20"/>
    <d v="2016-08-02T00:00:00"/>
    <s v="Aug-16"/>
    <s v="SYDNEY VEHICLE  AND TEST EQUIPMENT RENTAL - TEST EQUIPMENT MONTHLY RENTAL"/>
    <n v="112.75"/>
    <m/>
    <m/>
  </r>
  <r>
    <s v="INV"/>
    <s v="NBN Sydney"/>
    <s v="#21098"/>
    <x v="5"/>
    <s v="NBN Greenfields DJC Internals"/>
    <x v="42"/>
    <d v="2016-08-02T00:00:00"/>
    <s v="Aug-16"/>
    <s v="SYDNEY VEHICLE  AND TEST EQUIPMENT RENTAL - TEST EQUIPMENT MONTHLY RENTAL"/>
    <n v="112.75"/>
    <m/>
    <m/>
  </r>
  <r>
    <s v="INV"/>
    <s v="NBN Sydney"/>
    <s v="#21098"/>
    <x v="5"/>
    <s v="NBN Greenfields DJC Internals"/>
    <x v="41"/>
    <d v="2016-08-02T00:00:00"/>
    <s v="Aug-16"/>
    <s v="SYDNEY VEHICLE  AND TEST EQUIPMENT RENTAL - TEST EQUIPMENT MONTHLY RENTAL"/>
    <n v="112.75"/>
    <m/>
    <m/>
  </r>
  <r>
    <s v="INV"/>
    <s v="NBN Canberra"/>
    <s v="#21098"/>
    <x v="5"/>
    <s v="Network Shortfall Canberra"/>
    <x v="4"/>
    <d v="2016-08-02T00:00:00"/>
    <s v="Aug-16"/>
    <s v="SYDNEY VEHICLE  AND TEST EQUIPMENT RENTAL - TEST EQUIPMENT MONTHLY RENTAL"/>
    <n v="112.75"/>
    <m/>
    <m/>
  </r>
  <r>
    <s v="INV"/>
    <s v="NBN Sydney"/>
    <s v="#21098"/>
    <x v="5"/>
    <s v="Network Shortfall Central Coast"/>
    <x v="1"/>
    <d v="2016-08-02T00:00:00"/>
    <s v="Aug-16"/>
    <s v="SYDNEY VEHICLE  AND TEST EQUIPMENT RENTAL - TEST EQUIPMENT MONTHLY RENTAL"/>
    <n v="112.75"/>
    <m/>
    <m/>
  </r>
  <r>
    <s v="INV"/>
    <s v="NBN Sydney"/>
    <s v="#21098"/>
    <x v="1"/>
    <s v="Overhead"/>
    <x v="3"/>
    <d v="2016-08-02T00:00:00"/>
    <s v="Aug-16"/>
    <s v="SYDNEY VEHICLE  AND TEST EQUIPMENT RENTAL - Forklift"/>
    <n v="487"/>
    <m/>
    <m/>
  </r>
  <r>
    <s v="INV"/>
    <s v="NBN Sydney"/>
    <s v="#21098"/>
    <x v="1"/>
    <s v="Overhead"/>
    <x v="3"/>
    <d v="2016-08-02T00:00:00"/>
    <s v="Aug-16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833"/>
    <m/>
    <m/>
  </r>
  <r>
    <s v="INV"/>
    <s v="NBN Sydney"/>
    <s v="#21098"/>
    <x v="5"/>
    <s v="NBN Greenfields DJC Internals"/>
    <x v="37"/>
    <d v="2016-08-02T00:00:00"/>
    <s v="Aug-16"/>
    <s v="SYDNEY VEHICLE  AND TEST EQUIPMENT RENTAL - BU59MS -HIACE RENTAL - "/>
    <n v="104.125"/>
    <m/>
    <m/>
  </r>
  <r>
    <s v="INV"/>
    <s v="NBN Sydney"/>
    <s v="#21098"/>
    <x v="5"/>
    <s v="NBN Greenfields DJC Internals"/>
    <x v="2"/>
    <d v="2016-08-02T00:00:00"/>
    <s v="Aug-16"/>
    <s v="SYDNEY VEHICLE  AND TEST EQUIPMENT RENTAL - BU59MS -HIACE RENTAL - "/>
    <n v="104.125"/>
    <m/>
    <m/>
  </r>
  <r>
    <s v="INV"/>
    <s v="NBN Sydney"/>
    <s v="#21098"/>
    <x v="5"/>
    <s v="NBN Greenfields DJC Internals"/>
    <x v="12"/>
    <d v="2016-08-02T00:00:00"/>
    <s v="Aug-16"/>
    <s v="SYDNEY VEHICLE  AND TEST EQUIPMENT RENTAL - BU59MS -HIACE RENTAL - "/>
    <n v="104.125"/>
    <m/>
    <m/>
  </r>
  <r>
    <s v="INV"/>
    <s v="NBN Sydney"/>
    <s v="#21098"/>
    <x v="5"/>
    <s v="Network Shortfall Sydney"/>
    <x v="20"/>
    <d v="2016-08-02T00:00:00"/>
    <s v="Aug-16"/>
    <s v="SYDNEY VEHICLE  AND TEST EQUIPMENT RENTAL - BU59MS -HIACE RENTAL - "/>
    <n v="104.125"/>
    <m/>
    <m/>
  </r>
  <r>
    <s v="INV"/>
    <s v="NBN Sydney"/>
    <s v="#21098"/>
    <x v="5"/>
    <s v="NBN Greenfields DJC Internals"/>
    <x v="42"/>
    <d v="2016-08-02T00:00:00"/>
    <s v="Aug-16"/>
    <s v="SYDNEY VEHICLE  AND TEST EQUIPMENT RENTAL - BU59MS -HIACE RENTAL - "/>
    <n v="104.125"/>
    <m/>
    <m/>
  </r>
  <r>
    <s v="INV"/>
    <s v="NBN Sydney"/>
    <s v="#21098"/>
    <x v="5"/>
    <s v="NBN Greenfields DJC Internals"/>
    <x v="41"/>
    <d v="2016-08-02T00:00:00"/>
    <s v="Aug-16"/>
    <s v="SYDNEY VEHICLE  AND TEST EQUIPMENT RENTAL - BU59MS -HIACE RENTAL - "/>
    <n v="104.125"/>
    <m/>
    <m/>
  </r>
  <r>
    <s v="INV"/>
    <s v="NBN Canberra"/>
    <s v="#21098"/>
    <x v="5"/>
    <s v="Network Shortfall Canberra"/>
    <x v="4"/>
    <d v="2016-08-02T00:00:00"/>
    <s v="Aug-16"/>
    <s v="SYDNEY VEHICLE  AND TEST EQUIPMENT RENTAL - BU59MS -HIACE RENTAL - "/>
    <n v="104.125"/>
    <m/>
    <m/>
  </r>
  <r>
    <s v="INV"/>
    <s v="NBN Sydney"/>
    <s v="#21098"/>
    <x v="5"/>
    <s v="Network Shortfall Central Coast"/>
    <x v="1"/>
    <d v="2016-08-02T00:00:00"/>
    <s v="Aug-16"/>
    <s v="SYDNEY VEHICLE  AND TEST EQUIPMENT RENTAL - BU59MS -HIACE RENTAL - "/>
    <n v="104.125"/>
    <m/>
    <m/>
  </r>
  <r>
    <s v="INV"/>
    <s v="NBN Sydney"/>
    <s v="7989/0102"/>
    <x v="1"/>
    <s v="Overhead"/>
    <x v="3"/>
    <d v="2016-08-03T00:00:00"/>
    <s v="Aug-16"/>
    <s v="Shell Wilton - DIESEL 67.14L 1.189"/>
    <n v="72.569999999999993"/>
    <m/>
    <m/>
  </r>
  <r>
    <s v="INV"/>
    <s v="NBN Sydney"/>
    <s v="3026/3405"/>
    <x v="1"/>
    <s v="Overhead"/>
    <x v="3"/>
    <d v="2016-08-09T00:00:00"/>
    <s v="Aug-16"/>
    <s v="Speedway Petroleum - DIESEL 65.18L 0.999"/>
    <n v="59.2"/>
    <m/>
    <m/>
  </r>
  <r>
    <s v="INV"/>
    <s v="NBN Sydney"/>
    <s v="25125"/>
    <x v="1"/>
    <s v="Overhead"/>
    <x v="3"/>
    <d v="2016-08-15T00:00:00"/>
    <s v="Aug-16"/>
    <s v="Caltex Eastern Creek - DIESEL 63.88L 1.159"/>
    <n v="67.31"/>
    <m/>
    <m/>
  </r>
  <r>
    <s v="INV"/>
    <s v="NBN Sydney"/>
    <s v="011612"/>
    <x v="1"/>
    <s v="Overhead"/>
    <x v="3"/>
    <d v="2016-08-15T00:00:00"/>
    <s v="Aug-16"/>
    <s v="Secure Parking - PARKING "/>
    <n v="36.36"/>
    <m/>
    <m/>
  </r>
  <r>
    <s v="INV"/>
    <s v="NBN Sydney"/>
    <s v="558816"/>
    <x v="1"/>
    <s v="Overhead"/>
    <x v="3"/>
    <d v="2016-08-17T00:00:00"/>
    <s v="Aug-16"/>
    <s v="7 Eleven Casey - DIESEL 42.57L 1.197"/>
    <n v="46.32"/>
    <m/>
    <m/>
  </r>
  <r>
    <s v="INV"/>
    <s v="NBN Sydney"/>
    <s v="96814"/>
    <x v="1"/>
    <s v="Overhead"/>
    <x v="3"/>
    <d v="2016-08-21T00:00:00"/>
    <s v="Aug-16"/>
    <s v="Caltex Glenbrook - DIESEL 63.10L 1.179"/>
    <n v="67.63"/>
    <m/>
    <m/>
  </r>
  <r>
    <s v="INV"/>
    <s v="NBN Sydney"/>
    <s v="2030479"/>
    <x v="1"/>
    <s v="Overhead"/>
    <x v="3"/>
    <d v="2016-08-25T00:00:00"/>
    <s v="Aug-16"/>
    <s v="7 Eleven Minchinbury - DIESEL 63.95L 1.129"/>
    <n v="65.64"/>
    <m/>
    <m/>
  </r>
  <r>
    <s v="INV"/>
    <s v="NBN Sydney"/>
    <s v="88699"/>
    <x v="1"/>
    <s v="Overhead"/>
    <x v="3"/>
    <d v="2016-08-30T00:00:00"/>
    <s v="Aug-16"/>
    <s v="Caltex Wyoming - DIESEL 62.65L 1.165"/>
    <n v="66.349999999999994"/>
    <m/>
    <m/>
  </r>
  <r>
    <s v="INV"/>
    <s v="NBN Sydney"/>
    <s v="INV-11478"/>
    <x v="3"/>
    <s v="PipeNetworks"/>
    <x v="29"/>
    <d v="2016-09-23T00:00:00"/>
    <s v="Sep-16"/>
    <s v="Pipe Network - PO64642: RT622706 - CN24169 - Level 1, 28 George Street, Hornsby NSW to Level 1, 17-23 Talavera Rd, Macquarie Park NSW - Hornsby Shire Council – Splicing and Testing"/>
    <m/>
    <s v="PipeNetworks - RT622706 - 28 George St Hornsby"/>
    <n v="2040"/>
  </r>
  <r>
    <s v="INV"/>
    <s v="NBN Sydney"/>
    <s v="INV-11477"/>
    <x v="3"/>
    <s v="PipeNetworks"/>
    <x v="29"/>
    <d v="2016-09-23T00:00:00"/>
    <s v="Sep-16"/>
    <s v="Pipe Network - PO64008: RT622706 - CN24169 – IX4913C01 - Level 1, 28 George Street, Hornsby NSW to Level 1, 17-23 Talavera Rd, Macquarie Park NSW - Hornsby Shire Council – Civil and Hauling_x000d__x000a__x000d__x000a_"/>
    <m/>
    <s v="PipeNetworks - RT622706 - 28 George St Hornsby"/>
    <n v="48180.34"/>
  </r>
  <r>
    <s v="INV"/>
    <s v="NBN Sydney"/>
    <s v="INV-11407"/>
    <x v="3"/>
    <s v="NBN Greenfields"/>
    <x v="42"/>
    <d v="2016-09-01T00:00:00"/>
    <s v="Sep-16"/>
    <s v="NBN Co Sydney - AYCA‐2Q7AAG Land and Housing Penrith_x000a_2PTH-06-GF-AYCA-2Q7AAG_x000d__x000a_Payment Schedule Number: AYCA-2Q7AAG Land and Housing Penrith_x000d__x000a_Project Number:136454_x000d__x000a_PO Number:324808 Final_x000d__x000a_Work Confirmation: _x000d__x000a_Contract Sum"/>
    <m/>
    <s v="NBN Greenfields - AYCA‐2Q7AAG Land and Housing Penrith"/>
    <n v="3287.77"/>
  </r>
  <r>
    <s v="INV"/>
    <s v="NBN Sydney"/>
    <s v="INV-11411"/>
    <x v="3"/>
    <s v="Network Shortfall Canberra"/>
    <x v="4"/>
    <d v="2016-09-01T00:00:00"/>
    <s v="Sep-16"/>
    <s v="NBN Co Sydney - 9CRC10MPS013,   TOW000013903053 LOC000110936522 - UNIT 8, 15 FREDA BENNETT CCT NICHOLLS"/>
    <m/>
    <s v="Network Shortfall Canberra"/>
    <n v="1077.28"/>
  </r>
  <r>
    <s v="INV"/>
    <s v="NBN Sydney"/>
    <s v="INV-11412"/>
    <x v="3"/>
    <s v="Network Shortfall Canberra"/>
    <x v="4"/>
    <d v="2016-09-01T00:00:00"/>
    <s v="Sep-16"/>
    <s v="NBN Co Sydney - 9CRC10MPS019, TOW000013783470 LOC000112451193 - UNIT 24, 23 TEMPERLEY ST NICHOLLS"/>
    <m/>
    <s v="Network Shortfall Canberra"/>
    <n v="512.55999999999995"/>
  </r>
  <r>
    <s v="INV"/>
    <s v="NBN Sydney"/>
    <s v="INV-11413"/>
    <x v="3"/>
    <s v="Network Shortfall Canberra"/>
    <x v="4"/>
    <d v="2016-09-01T00:00:00"/>
    <s v="Sep-16"/>
    <s v="NBN Co Sydney - 9QBN03MPS034,  TOW000013432629 - SHOP 5, 251 CRAWFORD ST QUEANBEYAN"/>
    <m/>
    <s v="Network Shortfall Canberra"/>
    <n v="512.55999999999995"/>
  </r>
  <r>
    <s v="INV"/>
    <s v="NBN Sydney"/>
    <s v="INV-11414"/>
    <x v="3"/>
    <s v="Network Shortfall Canberra"/>
    <x v="4"/>
    <d v="2016-09-01T00:00:00"/>
    <s v="Sep-16"/>
    <s v="NBN Co Sydney - 9CRC10MPS018 TOW000013648577 LOC000110371504 - "/>
    <m/>
    <s v="Network Shortfall Canberra"/>
    <n v="512.55999999999995"/>
  </r>
  <r>
    <s v="INV"/>
    <s v="NBN Sydney"/>
    <s v="INV-11415"/>
    <x v="3"/>
    <s v="Network Shortfall Canberra"/>
    <x v="4"/>
    <d v="2016-09-01T00:00:00"/>
    <s v="Sep-16"/>
    <s v="NBN Co Sydney - 9CVI02MPS047 - MDU Variations_20160727 - 15 Edinburgh Ave"/>
    <m/>
    <s v="Network Shortfall Canberra"/>
    <n v="512.55999999999995"/>
  </r>
  <r>
    <s v="INV"/>
    <s v="NBN Sydney"/>
    <s v="INV-11416"/>
    <x v="3"/>
    <s v="Network Shortfall Canberra"/>
    <x v="4"/>
    <d v="2016-09-01T00:00:00"/>
    <s v="Sep-16"/>
    <s v="NBN Co Sydney - 9QBN08MPS078 52 MCCRAE ST"/>
    <m/>
    <s v="Network Shortfall Canberra"/>
    <n v="1213.08"/>
  </r>
  <r>
    <s v="INV"/>
    <s v="NBN Sydney"/>
    <s v="INV-11417"/>
    <x v="3"/>
    <s v="Network Shortfall Central Coast"/>
    <x v="1"/>
    <d v="2016-09-01T00:00:00"/>
    <s v="Sep-16"/>
    <s v="NBN Co Sydney - 2LJT01MPS014 5-25 Berkeley Road, Glenning Valley"/>
    <m/>
    <s v="Network Shortfall Central Coast"/>
    <n v="4497.58"/>
  </r>
  <r>
    <s v="INV"/>
    <s v="NBN Sydney"/>
    <s v="INV-11418"/>
    <x v="3"/>
    <s v="PipeNetworks"/>
    <x v="45"/>
    <d v="2016-09-01T00:00:00"/>
    <s v="Sep-16"/>
    <s v="Pipe Network - PN:64405 RT632496 RT632497_x000d__x000a_RT632496-RT632497-Cust ProjectCust - 30 Ross st to Harris-CN26291-CN26292-Supply of_x000d__x000a_Handovers/As Builds_x000d__x000a__x000d__x000a_RT632496-RT632497-Cust Project-CN26291-CN26292-OTDR_x000d__x000a_Testing of circuit bi-directional at 1310nm and 1550nm_x000d__x000a__x000d__x000a_RT632496-RT632497-Cust Project-CN26291-CN26292-Install_x000d__x000a_Patch Cords, Label and Clean Fibres Internal"/>
    <m/>
    <s v="PipeNetworks - RT632496 &amp; RT632497 - 30 Ross St to Global Switch"/>
    <n v="640"/>
  </r>
  <r>
    <s v="INV"/>
    <s v="NBN Sydney"/>
    <s v="INV-11419"/>
    <x v="3"/>
    <s v="PipeNetworks"/>
    <x v="45"/>
    <d v="2016-09-01T00:00:00"/>
    <s v="Sep-16"/>
    <s v="Pipe Network - PN:64787 RT632496 RT632497_x000d__x000a_RT632496-RT632497-Cust Project- 30 Ross st to Harris street- CN26291 CN26292 - Variations"/>
    <m/>
    <s v="PipeNetworks - RT632496 &amp; RT632497 - 30 Ross St to Global Switch"/>
    <n v="480"/>
  </r>
  <r>
    <s v="INV"/>
    <s v="NBN Sydney"/>
    <s v="INV-11423"/>
    <x v="3"/>
    <s v="2BLK-11 LNDN + Variations"/>
    <x v="28"/>
    <d v="2016-09-07T00:00:00"/>
    <s v="Sep-16"/>
    <s v="NBN Co Sydney - Variations to 2BLK-11 Council Restoration_x000d__x000a_FDA00 Notice 31"/>
    <m/>
    <s v="2BLK-11 LNDN + Variations"/>
    <n v="171661.01"/>
  </r>
  <r>
    <s v="INV"/>
    <s v="NBN Sydney"/>
    <s v="INV-11424"/>
    <x v="3"/>
    <s v="NBN Greenfields"/>
    <x v="31"/>
    <d v="2016-09-07T00:00:00"/>
    <s v="Sep-16"/>
    <s v="NBN Co Sydney - 2MAI-05-AYCA-LYZ4T- Wallis Creek- 3_x000d__x000a_Payment Schedule"/>
    <m/>
    <s v="NBN Greenfields - AYCA-LYZ4T -Wallis Creek"/>
    <n v="966.94"/>
  </r>
  <r>
    <s v="INV"/>
    <s v="NBN Sydney"/>
    <s v="INV-11425"/>
    <x v="3"/>
    <s v="2BLK-12 PMRWs "/>
    <x v="46"/>
    <d v="2016-09-07T00:00:00"/>
    <s v="Sep-16"/>
    <s v="NBN Co Sydney - 2BLK12 Council Permanent  restoration _x000d__x000a_Council Reinstatement Various FDA's"/>
    <m/>
    <s v="2BLK-12 PMRWs "/>
    <n v="1474.31"/>
  </r>
  <r>
    <s v="INV"/>
    <s v="NBN Sydney"/>
    <s v="INV-11426"/>
    <x v="3"/>
    <s v="Network Shortfall Central Coast"/>
    <x v="1"/>
    <d v="2016-09-08T00:00:00"/>
    <s v="Sep-16"/>
    <s v="NBN Co Sydney -ORD000056464722 / TOW000013947443 UNIT 5, 319 MANN ST  GOSFORD"/>
    <m/>
    <s v="Network Shortfall Central Coast"/>
    <n v="512.55999999999995"/>
  </r>
  <r>
    <s v="INV"/>
    <s v="NBN Sydney"/>
    <s v="INV-11438"/>
    <x v="3"/>
    <s v="Network Shortfall Central Coast"/>
    <x v="1"/>
    <d v="2016-09-14T00:00:00"/>
    <s v="Sep-16"/>
    <s v="NBN Co Sydney - TOW000014456761  25 Hutton Road Held Order"/>
    <m/>
    <s v="Network Shortfall Central Coast"/>
    <n v="839.48"/>
  </r>
  <r>
    <s v="INV"/>
    <s v="NBN Sydney"/>
    <s v="INV-11445"/>
    <x v="3"/>
    <s v="Network Shortfall Sydney"/>
    <x v="20"/>
    <d v="2016-09-15T00:00:00"/>
    <s v="Sep-16"/>
    <s v="NBN Co Sydney - 2WLG-08-00-MPS-201-Unit 7, 70-74 Smith Street"/>
    <m/>
    <s v="Network Shortfall Sydney"/>
    <n v="384.42"/>
  </r>
  <r>
    <s v="INV"/>
    <s v="NBN Sydney"/>
    <s v="INV-11446"/>
    <x v="3"/>
    <s v="Network Shortfall Sydney"/>
    <x v="20"/>
    <d v="2016-09-15T00:00:00"/>
    <s v="Sep-16"/>
    <s v="NBN Co Sydney - 2WLG-08-00-MPS-152-Unit 2, 4 Market Place"/>
    <m/>
    <s v="Network Shortfall Sydney"/>
    <n v="512.55999999999995"/>
  </r>
  <r>
    <s v="INV"/>
    <s v="NBN Sydney"/>
    <s v="INV-11474"/>
    <x v="3"/>
    <s v="NBN Greenfields"/>
    <x v="47"/>
    <d v="2016-09-22T00:00:00"/>
    <s v="Sep-16"/>
    <s v="NBN Co Sydney - AYCA-35B3CV- Schofield  "/>
    <m/>
    <s v="NBN Greenfields - AYCA-35B3CV- Schofield "/>
    <n v="2226.8000000000002"/>
  </r>
  <r>
    <s v="INV"/>
    <s v="NBN Sydney"/>
    <s v="INV-11475"/>
    <x v="3"/>
    <s v="Network Shortfall Sydney"/>
    <x v="20"/>
    <d v="2016-09-23T00:00:00"/>
    <s v="Sep-16"/>
    <s v="NBN Co Sydney - 2BLK09MPS011 - 171 Walters Road"/>
    <m/>
    <s v="Network Shortfall Sydney"/>
    <n v="608.1"/>
  </r>
  <r>
    <s v="INV"/>
    <s v="NBN Sydney"/>
    <s v="INV-11476"/>
    <x v="3"/>
    <s v="Network Shortfall Sydney"/>
    <x v="20"/>
    <d v="2016-09-23T00:00:00"/>
    <s v="Sep-16"/>
    <s v="NBN Co Sydney - 2BLK-09-02 - 175 Walters Road"/>
    <m/>
    <s v="Network Shortfall Sydney"/>
    <n v="5591.25"/>
  </r>
  <r>
    <s v="INV"/>
    <s v="NBN Sydney"/>
    <s v="INV-11496"/>
    <x v="3"/>
    <s v="Network Shortfall Sydney"/>
    <x v="20"/>
    <d v="2016-09-29T00:00:00"/>
    <s v="Sep-16"/>
    <s v="NBN Co Sydney - 2WLG-08-03- Flinders Street"/>
    <m/>
    <s v="Network Shortfall Sydney"/>
    <n v="19832.03"/>
  </r>
  <r>
    <s v="INV"/>
    <s v="NBN Sydney"/>
    <s v="INV-11502"/>
    <x v="3"/>
    <s v="Network Shortfall Canberra"/>
    <x v="4"/>
    <d v="2016-09-30T00:00:00"/>
    <s v="Sep-16"/>
    <s v="NBN Co Sydney - 9CRC-02 TOW000010473767  - ACTEW AGL Power Substation - Mirrabei Dr, Ngunnawal"/>
    <m/>
    <s v="Network Shortfall Canberra"/>
    <n v="4012.19"/>
  </r>
  <r>
    <s v="INV"/>
    <s v="NBN Sydney"/>
    <s v="INV-11503"/>
    <x v="3"/>
    <s v="Network Shortfall Canberra"/>
    <x v="4"/>
    <d v="2016-09-30T00:00:00"/>
    <s v="Sep-16"/>
    <s v="NBN Co Sydney - 9CVI02MPS166 TOW000014090216 - SE1 22 Garema Pl"/>
    <m/>
    <s v="Network Shortfall Canberra"/>
    <n v="1440.56"/>
  </r>
  <r>
    <s v="INV"/>
    <s v="NBN Sydney"/>
    <s v="INV-11504"/>
    <x v="3"/>
    <s v="Network Shortfall Canberra"/>
    <x v="4"/>
    <d v="2016-09-30T00:00:00"/>
    <s v="Sep-16"/>
    <s v="NBN Co Sydney - 9QBN03MPS106 - TOW000012704932- 7-9 Morriset St"/>
    <m/>
    <s v="Network Shortfall Canberra"/>
    <n v="3261.46"/>
  </r>
  <r>
    <s v="INV"/>
    <s v="NBN Sydney"/>
    <s v="846862"/>
    <x v="1"/>
    <s v="Overhead Credit"/>
    <x v="3"/>
    <d v="2016-09-07T00:00:00"/>
    <s v="Sep-16"/>
    <s v="Mitronics - ROUNDING "/>
    <m/>
    <m/>
    <n v="0.01"/>
  </r>
  <r>
    <s v="INV"/>
    <s v="NBN Sydney"/>
    <s v="846862"/>
    <x v="1"/>
    <s v="Overhead"/>
    <x v="3"/>
    <d v="2016-09-07T00:00:00"/>
    <s v="Sep-16"/>
    <s v="Mitronics - DIGITAL SUPPORT "/>
    <n v="39.950000000000003"/>
    <m/>
    <m/>
  </r>
  <r>
    <s v="INV"/>
    <s v="NBN Sydney"/>
    <s v="846862"/>
    <x v="1"/>
    <s v="Overhead"/>
    <x v="3"/>
    <d v="2016-09-07T00:00:00"/>
    <s v="Sep-16"/>
    <s v="Mitronics - S/N AO2E041005704"/>
    <n v="241.37"/>
    <m/>
    <m/>
  </r>
  <r>
    <s v="INV"/>
    <s v="NBN Sydney"/>
    <s v="8530/34 05"/>
    <x v="1"/>
    <s v="Smithfield De Mobilisation"/>
    <x v="44"/>
    <d v="2016-09-30T00:00:00"/>
    <s v="Sep-16"/>
    <s v="Speedway Petroleum - Diesel 55.68L 1.029"/>
    <n v="52.09"/>
    <m/>
    <m/>
  </r>
  <r>
    <s v="INV"/>
    <s v="NBN Sydney"/>
    <s v="88990-9-2016"/>
    <x v="1"/>
    <s v="Overhead"/>
    <x v="3"/>
    <d v="2016-09-30T00:00:00"/>
    <s v="Sep-16"/>
    <s v="Supagas - MONTHLY RENTAL OF LPG 15KG CYLINDER "/>
    <n v="16"/>
    <m/>
    <m/>
  </r>
  <r>
    <s v="INV"/>
    <s v="NBN Sydney"/>
    <s v="849374"/>
    <x v="1"/>
    <s v="Smithfield De Mobilisation"/>
    <x v="44"/>
    <d v="2016-09-30T00:00:00"/>
    <s v="Sep-16"/>
    <s v="Mitronics - RELOCATION FEE "/>
    <n v="350"/>
    <m/>
    <m/>
  </r>
  <r>
    <s v="INV"/>
    <s v="NBN Sydney"/>
    <s v="849374"/>
    <x v="1"/>
    <s v="Smithfield De Mobilisation"/>
    <x v="44"/>
    <d v="2016-09-30T00:00:00"/>
    <s v="Sep-16"/>
    <s v="Mitronics - STAIR CLIMER USE RELOCATION FEE "/>
    <n v="250"/>
    <m/>
    <m/>
  </r>
  <r>
    <s v="INV"/>
    <s v="NBN Sydney"/>
    <s v="01803239"/>
    <x v="0"/>
    <s v="NBN Minor Works DJC"/>
    <x v="0"/>
    <d v="2016-09-02T00:00:00"/>
    <s v="Sep-16"/>
    <s v="Craig Comms Pty Ltd - 2LJT-04-MPS-012 REHAUL "/>
    <n v="277"/>
    <m/>
    <m/>
  </r>
  <r>
    <s v="INV"/>
    <s v="NBN Sydney"/>
    <s v="INV-0082"/>
    <x v="1"/>
    <s v="Overhead"/>
    <x v="3"/>
    <d v="2016-09-05T00:00:00"/>
    <s v="Sep-16"/>
    <s v="Warriewood Consultancy - DATATEKS DAY RATE "/>
    <n v="9642.2999999999993"/>
    <m/>
    <m/>
  </r>
  <r>
    <s v="INV"/>
    <s v="NBN Sydney"/>
    <s v="01803241"/>
    <x v="0"/>
    <s v="Servicestream"/>
    <x v="48"/>
    <d v="2016-09-06T00:00:00"/>
    <s v="Sep-16"/>
    <s v="Craig Comms Pty Ltd - IPAC133_x000d__x000a_- SETUP, TEST, COMMS OF 1ST FIBRE_x000d__x000a_- TEST &amp; COMM OF 2ND ETC FIBRE_x000d__x000a_- SUPPLY AND FIT FIBRE ENCLOSED_x000d__x000a_- FIBRE SPLICING _x000d__x000a_- INSTALL COFTU_x000d__x000a_- SUPPLY INSTALL SINGLE PIGTAIL _x000d__x000a_- SUPPLY INSTALL 2ND ETC PIGTAIL _x000d__x000a_- FIBRE SPLICING "/>
    <n v="893.05"/>
    <m/>
    <m/>
  </r>
  <r>
    <s v="INV"/>
    <s v="NBN Sydney"/>
    <s v="INV-0084"/>
    <x v="1"/>
    <s v="Overhead"/>
    <x v="3"/>
    <d v="2016-09-18T00:00:00"/>
    <s v="Sep-16"/>
    <s v="Warriewood Consultancy - DATATEKS DAY RATE "/>
    <n v="9642.2999999999993"/>
    <m/>
    <m/>
  </r>
  <r>
    <s v="INV"/>
    <s v="NBN Sydney"/>
    <s v="1782"/>
    <x v="0"/>
    <s v="Network Shortfall Sydney"/>
    <x v="20"/>
    <d v="2016-09-24T00:00:00"/>
    <s v="Sep-16"/>
    <s v="Schokman Pty Limited - NBN SHORTFALLS SYDNEY SEPTEMBER "/>
    <n v="10476.51"/>
    <m/>
    <m/>
  </r>
  <r>
    <s v="INV"/>
    <s v="NBN Sydney"/>
    <s v="1781"/>
    <x v="0"/>
    <s v="NBN Minor Works DJC"/>
    <x v="49"/>
    <d v="2016-09-24T00:00:00"/>
    <s v="Sep-16"/>
    <s v="Schokman Pty Limited - 2GOS-05 AERIAL DROPS SEP"/>
    <n v="51980"/>
    <m/>
    <m/>
  </r>
  <r>
    <s v="INV"/>
    <s v="NBN Sydney"/>
    <s v="1784"/>
    <x v="0"/>
    <s v="PipeNetworks"/>
    <x v="29"/>
    <d v="2016-09-24T00:00:00"/>
    <s v="Sep-16"/>
    <s v="Schokman Pty Limited - TPG WORKS SEPTEMBER "/>
    <n v="27654.31"/>
    <m/>
    <m/>
  </r>
  <r>
    <s v="INV"/>
    <s v="NBN Sydney"/>
    <s v="1783"/>
    <x v="0"/>
    <s v="NBN Greenfields DJC"/>
    <x v="50"/>
    <d v="2016-09-24T00:00:00"/>
    <s v="Sep-16"/>
    <s v="Schokman Pty Limited - NBN GREENFIELDS SYDNEY SEPTEMBER "/>
    <n v="1698.5070000000001"/>
    <m/>
    <m/>
  </r>
  <r>
    <s v="INV"/>
    <s v="NBN Sydney"/>
    <s v="1783"/>
    <x v="0"/>
    <s v="NBN Greenfields DJC"/>
    <x v="51"/>
    <d v="2016-09-24T00:00:00"/>
    <s v="Sep-16"/>
    <s v="Schokman Pty Limited - NBN GREENFIELDS SYDNEY SEPTEMBER "/>
    <n v="4673.7"/>
    <m/>
    <m/>
  </r>
  <r>
    <s v="INV"/>
    <s v="NBN Sydney"/>
    <s v="1783"/>
    <x v="0"/>
    <s v="NBN Greenfields DJC"/>
    <x v="52"/>
    <d v="2016-09-24T00:00:00"/>
    <s v="Sep-16"/>
    <s v="Schokman Pty Limited - NBN GREENFIELDS SYDNEY SEPTEMBER "/>
    <n v="702"/>
    <m/>
    <m/>
  </r>
  <r>
    <s v="INV"/>
    <s v="NBN Sydney"/>
    <s v="00067475"/>
    <x v="1"/>
    <s v="Test Equipment &amp; Tools"/>
    <x v="27"/>
    <d v="2016-09-27T00:00:00"/>
    <s v="Sep-16"/>
    <s v="OSA Optical Solutions Australia - MILLER ACS ARMOURED CABLE SITTER "/>
    <n v="250"/>
    <m/>
    <m/>
  </r>
  <r>
    <s v="INV"/>
    <s v="NBN Sydney"/>
    <s v="00009122"/>
    <x v="4"/>
    <s v="NBN Minor Works DJC Internals"/>
    <x v="53"/>
    <d v="2016-09-29T00:00:00"/>
    <s v="Sep-16"/>
    <s v="Plasbon Pty Ltd - 20mm PVC Telstra Pipe "/>
    <n v="400"/>
    <m/>
    <m/>
  </r>
  <r>
    <s v="INV"/>
    <s v="NBN Sydney"/>
    <s v="00009122"/>
    <x v="4"/>
    <s v="NBN Minor Works DJC Internals"/>
    <x v="49"/>
    <d v="2016-09-29T00:00:00"/>
    <s v="Sep-16"/>
    <s v="Plasbon Pty Ltd - 20mm PVC Telstra Pipe "/>
    <n v="400"/>
    <m/>
    <m/>
  </r>
  <r>
    <s v="PE"/>
    <s v="NBN Sydney"/>
    <s v="Payroll Expense Journal - PD-335"/>
    <x v="5"/>
    <s v="PipeNetworks"/>
    <x v="40"/>
    <d v="2016-09-05T00:00:00"/>
    <s v="Sep-16"/>
    <s v="Earnings tool Allowance Peter Hanley"/>
    <n v="6.2166666666666659"/>
    <m/>
    <m/>
  </r>
  <r>
    <s v="PE"/>
    <s v="NBN Sydney"/>
    <s v="Payroll Expense Journal - PD-336"/>
    <x v="5"/>
    <s v="PipeNetworks"/>
    <x v="29"/>
    <d v="2016-09-05T00:00:00"/>
    <s v="Sep-16"/>
    <s v="Earnings tool Allowance Peter Hanley"/>
    <n v="6.2166666666666659"/>
    <m/>
    <m/>
  </r>
  <r>
    <s v="PE"/>
    <s v="NBN Sydney"/>
    <s v="Payroll Expense Journal - PD-337"/>
    <x v="5"/>
    <s v="Network Shortfall Canberra"/>
    <x v="4"/>
    <d v="2016-09-05T00:00:00"/>
    <s v="Sep-16"/>
    <s v="Earnings tool Allowance Peter Hanley"/>
    <n v="6.2166666666666659"/>
    <m/>
    <m/>
  </r>
  <r>
    <s v="PE"/>
    <s v="NBN Sydney"/>
    <s v="Payroll Expense Journal - PD-342"/>
    <x v="5"/>
    <s v="PipeNetworks"/>
    <x v="29"/>
    <d v="2016-09-12T00:00:00"/>
    <s v="Sep-16"/>
    <s v="Earnings tool Allowance Peter Hanley"/>
    <n v="2.6642857142857141"/>
    <m/>
    <m/>
  </r>
  <r>
    <s v="PE"/>
    <s v="NBN Sydney"/>
    <s v="Payroll Expense Journal - PD-342"/>
    <x v="5"/>
    <s v="Network Shortfall Central Coast"/>
    <x v="1"/>
    <d v="2016-09-12T00:00:00"/>
    <s v="Sep-16"/>
    <s v="Earnings tool Allowance Peter Hanley"/>
    <n v="2.6642857142857141"/>
    <m/>
    <m/>
  </r>
  <r>
    <s v="PE"/>
    <s v="NBN Sydney"/>
    <s v="Payroll Expense Journal - PD-342"/>
    <x v="5"/>
    <s v="NBN Greenfields DJC Internals"/>
    <x v="54"/>
    <d v="2016-09-12T00:00:00"/>
    <s v="Sep-16"/>
    <s v="Earnings tool Allowance Peter Hanley"/>
    <n v="2.6642857142857141"/>
    <m/>
    <m/>
  </r>
  <r>
    <s v="PE"/>
    <s v="NBN Sydney"/>
    <s v="Payroll Expense Journal - PD-342"/>
    <x v="5"/>
    <s v="Network Shortfall Central Coast"/>
    <x v="1"/>
    <d v="2016-09-12T00:00:00"/>
    <s v="Sep-16"/>
    <s v="Earnings tool Allowance Peter Hanley"/>
    <n v="2.6642857142857141"/>
    <m/>
    <m/>
  </r>
  <r>
    <s v="PE"/>
    <s v="NBN Sydney"/>
    <s v="Payroll Expense Journal - PD-342"/>
    <x v="5"/>
    <s v="NBN Minor Works DJC Internals"/>
    <x v="49"/>
    <d v="2016-09-12T00:00:00"/>
    <s v="Sep-16"/>
    <s v="Earnings tool Allowance Peter Hanley"/>
    <n v="2.6642857142857141"/>
    <m/>
    <m/>
  </r>
  <r>
    <s v="PE"/>
    <s v="NBN Sydney"/>
    <s v="Payroll Expense Journal - PD-342"/>
    <x v="5"/>
    <s v="NBN Greenfields DJC Internals"/>
    <x v="47"/>
    <d v="2016-09-12T00:00:00"/>
    <s v="Sep-16"/>
    <s v="Earnings tool Allowance Peter Hanley"/>
    <n v="2.6642857142857141"/>
    <m/>
    <m/>
  </r>
  <r>
    <s v="PE"/>
    <s v="NBN Sydney"/>
    <s v="Payroll Expense Journal - PD-342"/>
    <x v="5"/>
    <s v="Network Shortfall Sydney"/>
    <x v="20"/>
    <d v="2016-09-12T00:00:00"/>
    <s v="Sep-16"/>
    <s v="Earnings tool Allowance Peter Hanley"/>
    <n v="2.6642857142857141"/>
    <m/>
    <m/>
  </r>
  <r>
    <s v="PE"/>
    <s v="NBN Sydney"/>
    <s v="Payroll Expense Journal - PD-343"/>
    <x v="5"/>
    <s v="Network Shortfall Canberra"/>
    <x v="4"/>
    <d v="2016-09-19T00:00:00"/>
    <s v="Sep-16"/>
    <s v="Earnings tool Allowance Peter Hanley"/>
    <n v="3.7299999999999995"/>
    <m/>
    <m/>
  </r>
  <r>
    <s v="PE"/>
    <s v="NBN Sydney"/>
    <s v="Payroll Expense Journal - PD-343"/>
    <x v="5"/>
    <s v="NBN Minor Works DJC Internals"/>
    <x v="49"/>
    <d v="2016-09-19T00:00:00"/>
    <s v="Sep-16"/>
    <s v="Earnings tool Allowance Peter Hanley"/>
    <n v="3.7299999999999995"/>
    <m/>
    <m/>
  </r>
  <r>
    <s v="PE"/>
    <s v="NBN Sydney"/>
    <s v="Payroll Expense Journal - PD-343"/>
    <x v="5"/>
    <s v="NBN Greenfields DJC Internals"/>
    <x v="47"/>
    <d v="2016-09-19T00:00:00"/>
    <s v="Sep-16"/>
    <s v="Earnings tool Allowance Peter Hanley"/>
    <n v="3.7299999999999995"/>
    <m/>
    <m/>
  </r>
  <r>
    <s v="PE"/>
    <s v="NBN Sydney"/>
    <s v="Payroll Expense Journal - PD-343"/>
    <x v="5"/>
    <s v="Network Shortfall Sydney"/>
    <x v="20"/>
    <d v="2016-09-19T00:00:00"/>
    <s v="Sep-16"/>
    <s v="Earnings tool Allowance Peter Hanley"/>
    <n v="3.7299999999999995"/>
    <m/>
    <m/>
  </r>
  <r>
    <s v="PE"/>
    <s v="NBN Sydney"/>
    <s v="Payroll Expense Journal - PD-343"/>
    <x v="1"/>
    <s v="Overhead"/>
    <x v="3"/>
    <d v="2016-09-19T00:00:00"/>
    <s v="Sep-16"/>
    <s v="Earnings tool Allowance Peter Hanley"/>
    <n v="3.7299999999999995"/>
    <m/>
    <m/>
  </r>
  <r>
    <s v="PE"/>
    <s v="NBN Sydney"/>
    <s v="Payroll Expense Journal - PD-346"/>
    <x v="5"/>
    <s v="NBN Minor Works DJC Internals"/>
    <x v="49"/>
    <d v="2016-09-26T00:00:00"/>
    <s v="Sep-16"/>
    <s v="Earnings tool Allowance Peter Hanley"/>
    <n v="4.6624999999999996"/>
    <m/>
    <m/>
  </r>
  <r>
    <s v="PE"/>
    <s v="NBN Sydney"/>
    <s v="Payroll Expense Journal - PD-346"/>
    <x v="5"/>
    <s v="NBN Greenfields DJC Internals"/>
    <x v="47"/>
    <d v="2016-09-26T00:00:00"/>
    <s v="Sep-16"/>
    <s v="Earnings tool Allowance Peter Hanley"/>
    <n v="4.6624999999999996"/>
    <m/>
    <m/>
  </r>
  <r>
    <s v="PE"/>
    <s v="NBN Sydney"/>
    <s v="Payroll Expense Journal - PD-346"/>
    <x v="5"/>
    <s v="NBN Greenfields DJC Internals"/>
    <x v="55"/>
    <d v="2016-09-26T00:00:00"/>
    <s v="Sep-16"/>
    <s v="Earnings tool Allowance Peter Hanley"/>
    <n v="4.6624999999999996"/>
    <m/>
    <m/>
  </r>
  <r>
    <s v="PE"/>
    <s v="NBN Sydney"/>
    <s v="Payroll Expense Journal - PD-346"/>
    <x v="5"/>
    <s v="NBN Greenfields DJC Internals"/>
    <x v="50"/>
    <d v="2016-09-26T00:00:00"/>
    <s v="Sep-16"/>
    <s v="Earnings tool Allowance Peter Hanley"/>
    <n v="4.6624999999999996"/>
    <m/>
    <m/>
  </r>
  <r>
    <n v="0.5"/>
    <s v="NBN Sydney"/>
    <s v="Payroll Expense Journal - PD-347"/>
    <x v="1"/>
    <s v="Overhead"/>
    <x v="3"/>
    <d v="2016-09-26T00:00:00"/>
    <s v="Sep-16"/>
    <s v="Earnings tool Allowance Gilbert Cook"/>
    <n v="37.299999999999997"/>
    <m/>
    <m/>
  </r>
  <r>
    <s v="PE"/>
    <s v="NBN Sydney"/>
    <s v="Payroll Expense Journal - PD-335"/>
    <x v="5"/>
    <s v="Network Shortfall Canberra"/>
    <x v="4"/>
    <d v="2016-09-05T00:00:00"/>
    <s v="Sep-16"/>
    <s v="Reimbursements   Peter Hanley"/>
    <n v="199.87"/>
    <m/>
    <m/>
  </r>
  <r>
    <s v="PE"/>
    <s v="NBN Sydney"/>
    <s v="Payroll Expense Journal - PD-343"/>
    <x v="5"/>
    <s v="Network Shortfall Canberra"/>
    <x v="4"/>
    <d v="2016-09-19T00:00:00"/>
    <s v="Sep-16"/>
    <s v="Reimbursements   Peter Hanley"/>
    <n v="214.74"/>
    <m/>
    <m/>
  </r>
  <r>
    <s v="PE"/>
    <s v="NBN Sydney"/>
    <s v="Payroll Expense Journal - PD-344"/>
    <x v="1"/>
    <s v="Overhead"/>
    <x v="3"/>
    <d v="2016-09-26T00:00:00"/>
    <s v="Sep-16"/>
    <s v="TA Gilbert Cook"/>
    <n v="1819.7"/>
    <m/>
    <m/>
  </r>
  <r>
    <s v="PE"/>
    <s v="NBN Sydney"/>
    <s v="Payroll Expense Journal - PD-335"/>
    <x v="1"/>
    <s v="Overhead"/>
    <x v="3"/>
    <d v="2016-09-05T00:00:00"/>
    <s v="Sep-16"/>
    <s v="Earnings, Salary"/>
    <n v="6307.09"/>
    <m/>
    <m/>
  </r>
  <r>
    <s v="PE"/>
    <s v="NBN Sydney"/>
    <s v="Payroll Expense Journal - PD-335"/>
    <x v="5"/>
    <s v="PipeNetworks"/>
    <x v="40"/>
    <d v="2016-09-05T00:00:00"/>
    <s v="Sep-16"/>
    <s v="Earnings, Wages Peter Hanley"/>
    <n v="521.3599999999999"/>
    <m/>
    <m/>
  </r>
  <r>
    <s v="PE"/>
    <s v="NBN Sydney"/>
    <s v="Payroll Expense Journal - PD-335"/>
    <x v="5"/>
    <s v="PipeNetworks"/>
    <x v="29"/>
    <d v="2016-09-05T00:00:00"/>
    <s v="Sep-16"/>
    <s v="Earnings, Wages Peter Hanley"/>
    <n v="476.77"/>
    <m/>
    <m/>
  </r>
  <r>
    <s v="PE"/>
    <s v="NBN Sydney"/>
    <s v="Payroll Expense Journal - PD-335"/>
    <x v="5"/>
    <s v="Network Shortfall Canberra"/>
    <x v="4"/>
    <d v="2016-09-05T00:00:00"/>
    <s v="Sep-16"/>
    <s v="Earnings, Wages Peter Hanley"/>
    <n v="795.76"/>
    <m/>
    <m/>
  </r>
  <r>
    <s v="PE"/>
    <s v="NBN Sydney"/>
    <s v="Payroll Expense Journal - PD-342"/>
    <x v="1"/>
    <s v="Overhead"/>
    <x v="3"/>
    <d v="2016-09-12T00:00:00"/>
    <s v="Sep-16"/>
    <s v="Earnings, Salary"/>
    <n v="6460.68"/>
    <m/>
    <m/>
  </r>
  <r>
    <s v="PE"/>
    <s v="NBN Sydney"/>
    <s v="Payroll Expense Journal - PD-335"/>
    <x v="5"/>
    <s v="PipeNetworks"/>
    <x v="29"/>
    <d v="2016-09-12T00:00:00"/>
    <s v="Sep-16"/>
    <s v="Earnings, Wages Peter Hanley"/>
    <n v="346.42999999999995"/>
    <m/>
    <m/>
  </r>
  <r>
    <s v="PE"/>
    <s v="NBN Sydney"/>
    <s v="Payroll Expense Journal - PD-335"/>
    <x v="5"/>
    <s v="Network Shortfall Central Coast"/>
    <x v="1"/>
    <d v="2016-09-12T00:00:00"/>
    <s v="Sep-16"/>
    <s v="Earnings, Wages Peter Hanley"/>
    <n v="209.22999999999996"/>
    <m/>
    <m/>
  </r>
  <r>
    <s v="PE"/>
    <s v="NBN Sydney"/>
    <s v="Payroll Expense Journal - PD-335"/>
    <x v="5"/>
    <s v="NBN Greenfields DJC Internals"/>
    <x v="54"/>
    <d v="2016-09-12T00:00:00"/>
    <s v="Sep-16"/>
    <s v="Earnings, Wages Peter Hanley"/>
    <n v="157.77999999999997"/>
    <m/>
    <m/>
  </r>
  <r>
    <s v="PE"/>
    <s v="NBN Sydney"/>
    <s v="Payroll Expense Journal - PD-335"/>
    <x v="5"/>
    <s v="Network Shortfall Central Coast"/>
    <x v="1"/>
    <d v="2016-09-12T00:00:00"/>
    <s v="Sep-16"/>
    <s v="Earnings, Wages Peter Hanley"/>
    <n v="137.19999999999999"/>
    <m/>
    <m/>
  </r>
  <r>
    <s v="PE"/>
    <s v="NBN Sydney"/>
    <s v="Payroll Expense Journal - PD-335"/>
    <x v="5"/>
    <s v="NBN Minor Works DJC Internals"/>
    <x v="49"/>
    <d v="2016-09-12T00:00:00"/>
    <s v="Sep-16"/>
    <s v="Earnings, Wages Peter Hanley"/>
    <n v="260.67999999999995"/>
    <m/>
    <m/>
  </r>
  <r>
    <s v="PE"/>
    <s v="NBN Sydney"/>
    <s v="Payroll Expense Journal - PD-335"/>
    <x v="5"/>
    <s v="NBN Greenfields DJC Internals"/>
    <x v="47"/>
    <d v="2016-09-12T00:00:00"/>
    <s v="Sep-16"/>
    <s v="Earnings, Wages Peter Hanley"/>
    <n v="157.77999999999997"/>
    <m/>
    <m/>
  </r>
  <r>
    <s v="PE"/>
    <s v="NBN Sydney"/>
    <s v="Payroll Expense Journal - PD-343"/>
    <x v="5"/>
    <s v="Network Shortfall Sydney"/>
    <x v="20"/>
    <d v="2016-09-12T00:00:00"/>
    <s v="Sep-16"/>
    <s v="Earnings, Wages Peter Hanley"/>
    <n v="137.19999999999999"/>
    <m/>
    <m/>
  </r>
  <r>
    <s v="PE"/>
    <s v="NBN Sydney"/>
    <s v="Payroll Expense Journal - PD-346"/>
    <x v="1"/>
    <s v="Overhead"/>
    <x v="3"/>
    <d v="2016-09-19T00:00:00"/>
    <s v="Sep-16"/>
    <s v="Earnings, Salary"/>
    <n v="6530.13"/>
    <m/>
    <m/>
  </r>
  <r>
    <s v="PE"/>
    <s v="NBN Sydney"/>
    <s v="Payroll Expense Journal - PD-346"/>
    <x v="5"/>
    <s v="Network Shortfall Canberra"/>
    <x v="4"/>
    <d v="2016-09-19T00:00:00"/>
    <s v="Sep-16"/>
    <s v="Earnings, Wages Peter Hanley"/>
    <n v="517.92999999999995"/>
    <m/>
    <m/>
  </r>
  <r>
    <s v="PE"/>
    <s v="NBN Sydney"/>
    <s v="Payroll Expense Journal - PD-346"/>
    <x v="5"/>
    <s v="NBN Minor Works DJC Internals"/>
    <x v="49"/>
    <d v="2016-09-19T00:00:00"/>
    <s v="Sep-16"/>
    <s v="Earnings, Wages Peter Hanley"/>
    <n v="555.66"/>
    <m/>
    <m/>
  </r>
  <r>
    <s v="PE"/>
    <s v="NBN Sydney"/>
    <s v="Payroll Expense Journal - PD-346"/>
    <x v="5"/>
    <s v="NBN Greenfields DJC Internals"/>
    <x v="47"/>
    <d v="2016-09-19T00:00:00"/>
    <s v="Sep-16"/>
    <s v="Earnings, Wages Peter Hanley"/>
    <n v="123.47999999999999"/>
    <m/>
    <m/>
  </r>
  <r>
    <s v="PE"/>
    <s v="NBN Sydney"/>
    <s v="Payroll Expense Journal - PD-346"/>
    <x v="5"/>
    <s v="Network Shortfall Sydney"/>
    <x v="20"/>
    <d v="2016-09-19T00:00:00"/>
    <s v="Sep-16"/>
    <s v="Earnings, Wages Peter Hanley"/>
    <n v="157.77999999999997"/>
    <m/>
    <m/>
  </r>
  <r>
    <s v="PE"/>
    <s v="NBN Sydney"/>
    <s v="Payroll Expense Journal - PD-346"/>
    <x v="1"/>
    <s v="Overhead"/>
    <x v="3"/>
    <d v="2016-09-26T00:00:00"/>
    <s v="Sep-16"/>
    <s v="Earnings, Salary"/>
    <n v="6538.53"/>
    <m/>
    <m/>
  </r>
  <r>
    <s v="PE"/>
    <s v="NBN Sydney"/>
    <s v="Payroll Expense Journal - PD-346"/>
    <x v="5"/>
    <s v="NBN Minor Works DJC Internals"/>
    <x v="49"/>
    <d v="2016-09-26T00:00:00"/>
    <s v="Sep-16"/>
    <s v="Earnings, Wages Peter Hanley"/>
    <n v="730.58999999999992"/>
    <m/>
    <m/>
  </r>
  <r>
    <s v="PE"/>
    <s v="NBN Sydney"/>
    <s v="Payroll Expense Journal - PD-346"/>
    <x v="5"/>
    <s v="NBN Greenfields DJC Internals"/>
    <x v="47"/>
    <d v="2016-09-26T00:00:00"/>
    <s v="Sep-16"/>
    <s v="Earnings, Wages Peter Hanley"/>
    <n v="157.77999999999997"/>
    <m/>
    <m/>
  </r>
  <r>
    <s v="PE"/>
    <s v="NBN Sydney"/>
    <s v="Payroll Expense Journal - PD-346"/>
    <x v="5"/>
    <s v="NBN Greenfields DJC Internals"/>
    <x v="55"/>
    <d v="2016-09-26T00:00:00"/>
    <s v="Sep-16"/>
    <s v="Earnings, Wages Peter Hanley"/>
    <n v="102.89999999999999"/>
    <m/>
    <m/>
  </r>
  <r>
    <s v="PE"/>
    <s v="NBN Sydney"/>
    <s v="Payroll Expense Journal - PD-346"/>
    <x v="5"/>
    <s v="NBN Greenfields DJC Internals"/>
    <x v="50"/>
    <d v="2016-09-26T00:00:00"/>
    <s v="Sep-16"/>
    <s v="Earnings, Wages Peter Hanley"/>
    <n v="260.67999999999995"/>
    <m/>
    <m/>
  </r>
  <r>
    <s v="PE"/>
    <s v="NBN Sydney"/>
    <s v="Payroll Expense Journal - PD-347"/>
    <x v="1"/>
    <s v="Overhead"/>
    <x v="3"/>
    <d v="2016-09-26T00:00:00"/>
    <s v="Sep-16"/>
    <s v="Wages Gilbert Cook"/>
    <n v="3255.38"/>
    <m/>
    <m/>
  </r>
  <r>
    <s v="PE"/>
    <s v="NBN Sydney"/>
    <s v="Payroll Expense Journal - PD-335"/>
    <x v="1"/>
    <s v="Overhead"/>
    <x v="3"/>
    <d v="2016-09-05T00:00:00"/>
    <s v="Sep-16"/>
    <s v="Superannuation Expense"/>
    <n v="538.04359999999997"/>
    <m/>
    <m/>
  </r>
  <r>
    <s v="PE"/>
    <s v="NBN Sydney"/>
    <s v="Payroll Expense Journal - PD-335"/>
    <x v="5"/>
    <s v="PipeNetworks"/>
    <x v="40"/>
    <d v="2016-09-05T00:00:00"/>
    <s v="Sep-16"/>
    <s v="Superannuation Expense Peter Hanley"/>
    <n v="49.529199999999989"/>
    <m/>
    <m/>
  </r>
  <r>
    <s v="PE"/>
    <s v="NBN Sydney"/>
    <s v="Payroll Expense Journal - PD-335"/>
    <x v="5"/>
    <s v="Network Shortfall Canberra"/>
    <x v="4"/>
    <d v="2016-09-05T00:00:00"/>
    <s v="Sep-16"/>
    <s v="Superannuation Expense Peter Hanley"/>
    <n v="75.597199999999987"/>
    <m/>
    <m/>
  </r>
  <r>
    <s v="PE"/>
    <s v="NBN Sydney"/>
    <s v="Payroll Expense Journal - PD-342"/>
    <x v="1"/>
    <s v="Overhead"/>
    <x v="3"/>
    <d v="2016-09-12T00:00:00"/>
    <s v="Sep-16"/>
    <s v="Superannuation Expense"/>
    <n v="493.06999999999982"/>
    <m/>
    <m/>
  </r>
  <r>
    <s v="PE"/>
    <s v="NBN Sydney"/>
    <s v="Payroll Expense Journal - PD-342"/>
    <x v="5"/>
    <s v="PipeNetworks"/>
    <x v="29"/>
    <d v="2016-09-12T00:00:00"/>
    <s v="Sep-16"/>
    <s v="Superannuation Expense Peter Hanley"/>
    <n v="29.106666666666666"/>
    <m/>
    <m/>
  </r>
  <r>
    <s v="PE"/>
    <s v="NBN Sydney"/>
    <s v="Payroll Expense Journal - PD-342"/>
    <x v="5"/>
    <s v="Network Shortfall Central Coast"/>
    <x v="1"/>
    <d v="2016-09-12T00:00:00"/>
    <s v="Sep-16"/>
    <s v="Superannuation Expense Peter Hanley"/>
    <n v="14.553333333333333"/>
    <m/>
    <m/>
  </r>
  <r>
    <s v="PE"/>
    <s v="NBN Sydney"/>
    <s v="Payroll Expense Journal - PD-342"/>
    <x v="5"/>
    <s v="NBN Greenfields DJC Internals"/>
    <x v="54"/>
    <d v="2016-09-12T00:00:00"/>
    <s v="Sep-16"/>
    <s v="Superannuation Expense Peter Hanley"/>
    <n v="18.573333333333334"/>
    <m/>
    <m/>
  </r>
  <r>
    <s v="PE"/>
    <s v="NBN Sydney"/>
    <s v="Payroll Expense Journal - PD-342"/>
    <x v="5"/>
    <s v="Network Shortfall Central Coast"/>
    <x v="1"/>
    <d v="2016-09-12T00:00:00"/>
    <s v="Sep-16"/>
    <s v="Superannuation Expense Peter Hanley"/>
    <n v="18.573333333333334"/>
    <m/>
    <m/>
  </r>
  <r>
    <s v="PE"/>
    <s v="NBN Sydney"/>
    <s v="Payroll Expense Journal - PD-342"/>
    <x v="5"/>
    <s v="NBN Minor Works DJC Internals"/>
    <x v="49"/>
    <d v="2016-09-12T00:00:00"/>
    <s v="Sep-16"/>
    <s v="Superannuation Expense Peter Hanley"/>
    <n v="18.573333333333334"/>
    <m/>
    <m/>
  </r>
  <r>
    <s v="PE"/>
    <s v="NBN Sydney"/>
    <s v="Payroll Expense Journal - PD-342"/>
    <x v="5"/>
    <s v="NBN Greenfields DJC Internals"/>
    <x v="47"/>
    <d v="2016-09-12T00:00:00"/>
    <s v="Sep-16"/>
    <s v="Superannuation Expense Peter Hanley"/>
    <n v="23.573333333333334"/>
    <m/>
    <m/>
  </r>
  <r>
    <s v="PE"/>
    <s v="NBN Sydney"/>
    <s v="Payroll Expense Journal - PD-342"/>
    <x v="5"/>
    <s v="Network Shortfall Sydney"/>
    <x v="20"/>
    <d v="2016-09-12T00:00:00"/>
    <s v="Sep-16"/>
    <s v="Superannuation Expense Peter Hanley"/>
    <n v="47.146666666666668"/>
    <m/>
    <m/>
  </r>
  <r>
    <s v="PE"/>
    <s v="NBN Sydney"/>
    <s v="Payroll Expense Journal - PD-343"/>
    <x v="1"/>
    <s v="Overhead"/>
    <x v="3"/>
    <d v="2016-09-19T00:00:00"/>
    <s v="Sep-16"/>
    <s v="Superannuation Expense"/>
    <n v="548.67499999999984"/>
    <m/>
    <m/>
  </r>
  <r>
    <s v="PE"/>
    <s v="NBN Sydney"/>
    <s v="Payroll Expense Journal - PD-343"/>
    <x v="5"/>
    <s v="Network Shortfall Canberra"/>
    <x v="4"/>
    <d v="2016-09-19T00:00:00"/>
    <s v="Sep-16"/>
    <s v="Superannuation Expense Peter Hanley"/>
    <n v="42.47"/>
    <m/>
    <m/>
  </r>
  <r>
    <s v="PE"/>
    <s v="NBN Sydney"/>
    <s v="Payroll Expense Journal - PD-343"/>
    <x v="5"/>
    <s v="NBN Minor Works DJC Internals"/>
    <x v="49"/>
    <d v="2016-09-19T00:00:00"/>
    <s v="Sep-16"/>
    <s v="Superannuation Expense Peter Hanley"/>
    <n v="42.47"/>
    <m/>
    <m/>
  </r>
  <r>
    <s v="PE"/>
    <s v="NBN Sydney"/>
    <s v="Payroll Expense Journal - PD-343"/>
    <x v="5"/>
    <s v="NBN Greenfields DJC Internals"/>
    <x v="47"/>
    <d v="2016-09-19T00:00:00"/>
    <s v="Sep-16"/>
    <s v="Superannuation Expense Peter Hanley"/>
    <n v="17.074999999999999"/>
    <m/>
    <m/>
  </r>
  <r>
    <s v="PE"/>
    <s v="NBN Sydney"/>
    <s v="Payroll Expense Journal - PD-343"/>
    <x v="5"/>
    <s v="Network Shortfall Sydney"/>
    <x v="20"/>
    <d v="2016-09-19T00:00:00"/>
    <s v="Sep-16"/>
    <s v="Superannuation Expense Peter Hanley"/>
    <n v="12.48"/>
    <m/>
    <m/>
  </r>
  <r>
    <s v="PE"/>
    <s v="NBN Sydney"/>
    <s v="Payroll Expense Journal - PD-346"/>
    <x v="1"/>
    <s v="Overhead"/>
    <x v="3"/>
    <d v="2016-09-26T00:00:00"/>
    <s v="Sep-16"/>
    <s v="Superannuation Expense"/>
    <n v="663.17"/>
    <m/>
    <m/>
  </r>
  <r>
    <s v="PE"/>
    <s v="NBN Sydney"/>
    <s v="Payroll Expense Journal - PD-346"/>
    <x v="5"/>
    <s v="NBN Minor Works DJC Internals"/>
    <x v="49"/>
    <d v="2016-09-26T00:00:00"/>
    <s v="Sep-16"/>
    <s v="Superannuation Expense Peter Hanley"/>
    <n v="78.075000000000003"/>
    <m/>
    <m/>
  </r>
  <r>
    <s v="PE"/>
    <s v="NBN Sydney"/>
    <s v="Payroll Expense Journal - PD-346"/>
    <x v="5"/>
    <s v="NBN Greenfields DJC Internals"/>
    <x v="47"/>
    <d v="2016-09-26T00:00:00"/>
    <s v="Sep-16"/>
    <s v="Superannuation Expense Peter Hanley"/>
    <n v="17.074999999999999"/>
    <m/>
    <m/>
  </r>
  <r>
    <s v="PE"/>
    <s v="NBN Sydney"/>
    <s v="Payroll Expense Journal - PD-346"/>
    <x v="5"/>
    <s v="NBN Greenfields DJC Internals"/>
    <x v="55"/>
    <d v="2016-09-26T00:00:00"/>
    <s v="Sep-16"/>
    <s v="Superannuation Expense Peter Hanley"/>
    <n v="17.074999999999999"/>
    <m/>
    <m/>
  </r>
  <r>
    <s v="PE"/>
    <s v="NBN Sydney"/>
    <s v="Payroll Expense Journal - PD-346"/>
    <x v="5"/>
    <s v="NBN Greenfields DJC Internals"/>
    <x v="50"/>
    <d v="2016-09-26T00:00:00"/>
    <s v="Sep-16"/>
    <s v="Superannuation Expense Peter Hanley"/>
    <n v="28.545000000000002"/>
    <m/>
    <m/>
  </r>
  <r>
    <s v="PE"/>
    <s v="NBN Sydney"/>
    <s v="Payroll Expense Journal - PD-347"/>
    <x v="1"/>
    <s v="Overhead"/>
    <x v="3"/>
    <d v="2016-09-26T00:00:00"/>
    <s v="Sep-16"/>
    <s v="Gilbert Cook Superannuation"/>
    <n v="309.26"/>
    <m/>
    <m/>
  </r>
  <r>
    <s v="PAY"/>
    <s v="NBN Sydney"/>
    <s v="0004336875735163638"/>
    <x v="1"/>
    <s v="Overhead"/>
    <x v="3"/>
    <d v="2016-09-05T00:00:00"/>
    <s v="Sep-16"/>
    <s v="E-Toll Business Operations Centre - Surcharge on Top- up account per transaction"/>
    <n v="0.4"/>
    <m/>
    <m/>
  </r>
  <r>
    <s v="PAY"/>
    <s v="NBN Sydney"/>
    <s v="0004336875735163638"/>
    <x v="1"/>
    <s v="Overhead"/>
    <x v="3"/>
    <d v="2016-09-12T00:00:00"/>
    <s v="Sep-16"/>
    <s v="E-Toll Business Operations Centre - Surcharge on Top- up account per transaction"/>
    <n v="0.4"/>
    <m/>
    <m/>
  </r>
  <r>
    <s v="PAY"/>
    <s v="NBN Sydney"/>
    <s v="0004336875735163638"/>
    <x v="1"/>
    <s v="Overhead"/>
    <x v="3"/>
    <d v="2016-09-16T00:00:00"/>
    <s v="Sep-16"/>
    <s v="E-Toll Business Operations Centre - Surcharge on Top- up account per transaction"/>
    <n v="0.4"/>
    <m/>
    <m/>
  </r>
  <r>
    <s v="PAY"/>
    <s v="NBN Sydney"/>
    <s v="0004336875735163638"/>
    <x v="1"/>
    <s v="Overhead"/>
    <x v="3"/>
    <d v="2016-09-22T00:00:00"/>
    <s v="Sep-16"/>
    <s v="E-Toll Business Operations Centre - Surcharge on Top- up account per transaction"/>
    <n v="0.4"/>
    <m/>
    <m/>
  </r>
  <r>
    <s v="PAY"/>
    <s v="NBN Sydney"/>
    <s v="0004336875735163638"/>
    <x v="1"/>
    <s v="Overhead"/>
    <x v="3"/>
    <d v="2016-09-29T00:00:00"/>
    <s v="Sep-16"/>
    <s v="E-Toll Business Operations Centre - Surcharge on Top- up account per transaction"/>
    <n v="0.4"/>
    <m/>
    <m/>
  </r>
  <r>
    <s v="INV"/>
    <s v="NBN Sydney"/>
    <s v="117571"/>
    <x v="1"/>
    <s v="Overhead"/>
    <x v="3"/>
    <d v="2016-09-01T00:00:00"/>
    <s v="Sep-16"/>
    <s v="Easdowns Business Specialists - MONTHLY INSTALLMENT ER 2017 SERVICE AGREEMENT  - AUG"/>
    <n v="451.36"/>
    <m/>
    <m/>
  </r>
  <r>
    <s v="INV"/>
    <s v="NBN Sydney"/>
    <s v="Fee"/>
    <x v="1"/>
    <s v="Overhead"/>
    <x v="3"/>
    <d v="2016-09-30T00:00:00"/>
    <s v="Sep-16"/>
    <s v="National Australia Bank - Bank Guarantee Service fee"/>
    <n v="125"/>
    <m/>
    <m/>
  </r>
  <r>
    <s v="INV"/>
    <s v="NBN Sydney"/>
    <s v="B VISA E-TOLL SEPT 2016"/>
    <x v="1"/>
    <s v="Overhead"/>
    <x v="3"/>
    <d v="2016-09-01T00:00:00"/>
    <s v="Sep-16"/>
    <s v="E-Toll Business Operations Centre - TAG NO 4088301 _x000d__x000a_PJ CHV14B Toyota Hilux SYD"/>
    <n v="283.67"/>
    <m/>
    <m/>
  </r>
  <r>
    <s v="INV"/>
    <s v="NBN Sydney"/>
    <s v="B VISA E-TOLL SEPT 2016"/>
    <x v="5"/>
    <s v="PipeNetworks"/>
    <x v="40"/>
    <d v="2016-09-01T00:00:00"/>
    <s v="Sep-16"/>
    <s v="E-Toll Business Operations Centre - TAG NO 3665998 PHan BU59MS Toyota Hiace Van"/>
    <n v="8.0563636363636366"/>
    <m/>
    <m/>
  </r>
  <r>
    <s v="INV"/>
    <s v="NBN Sydney"/>
    <s v="B VISA E-TOLL SEPT 2017"/>
    <x v="5"/>
    <s v="Network Shortfall Canberra"/>
    <x v="4"/>
    <d v="2016-09-01T00:00:00"/>
    <s v="Sep-16"/>
    <s v="E-Toll Business Operations Centre - TAG NO 3665998 PHan BU59MS Toyota Hiace Van"/>
    <n v="8.0563636363636366"/>
    <m/>
    <m/>
  </r>
  <r>
    <s v="INV"/>
    <s v="NBN Sydney"/>
    <s v="B VISA E-TOLL SEPT 2018"/>
    <x v="5"/>
    <s v="PipeNetworks"/>
    <x v="29"/>
    <d v="2016-09-01T00:00:00"/>
    <s v="Sep-16"/>
    <s v="E-Toll Business Operations Centre - TAG NO 3665998 PHan BU59MS Toyota Hiace Van"/>
    <n v="8.0563636363636366"/>
    <m/>
    <m/>
  </r>
  <r>
    <s v="INV"/>
    <s v="NBN Sydney"/>
    <s v="B VISA E-TOLL SEPT 2019"/>
    <x v="5"/>
    <s v="Network Shortfall Central Coast"/>
    <x v="1"/>
    <d v="2016-09-01T00:00:00"/>
    <s v="Sep-16"/>
    <s v="E-Toll Business Operations Centre - TAG NO 3665998 PHan BU59MS Toyota Hiace Van"/>
    <n v="8.0563636363636366"/>
    <m/>
    <m/>
  </r>
  <r>
    <s v="INV"/>
    <s v="NBN Sydney"/>
    <s v="B VISA E-TOLL SEPT 2020"/>
    <x v="5"/>
    <s v="NBN Greenfields DJC Internals"/>
    <x v="54"/>
    <d v="2016-09-01T00:00:00"/>
    <s v="Sep-16"/>
    <s v="E-Toll Business Operations Centre - TAG NO 3665998 PHan BU59MS Toyota Hiace Van"/>
    <n v="8.0563636363636366"/>
    <m/>
    <m/>
  </r>
  <r>
    <s v="INV"/>
    <s v="NBN Sydney"/>
    <s v="B VISA E-TOLL SEPT 2021"/>
    <x v="5"/>
    <s v="Network Shortfall Central Coast"/>
    <x v="1"/>
    <d v="2016-09-01T00:00:00"/>
    <s v="Sep-16"/>
    <s v="E-Toll Business Operations Centre - TAG NO 3665998 PHan BU59MS Toyota Hiace Van"/>
    <n v="8.0563636363636366"/>
    <m/>
    <m/>
  </r>
  <r>
    <s v="INV"/>
    <s v="NBN Sydney"/>
    <s v="B VISA E-TOLL SEPT 2022"/>
    <x v="5"/>
    <s v="NBN Minor Works DJC Internals"/>
    <x v="49"/>
    <d v="2016-09-01T00:00:00"/>
    <s v="Sep-16"/>
    <s v="E-Toll Business Operations Centre - TAG NO 3665998 PHan BU59MS Toyota Hiace Van"/>
    <n v="8.0563636363636366"/>
    <m/>
    <m/>
  </r>
  <r>
    <s v="INV"/>
    <s v="NBN Sydney"/>
    <s v="B VISA E-TOLL SEPT 2023"/>
    <x v="5"/>
    <s v="NBN Greenfields DJC Internals"/>
    <x v="47"/>
    <d v="2016-09-01T00:00:00"/>
    <s v="Sep-16"/>
    <s v="E-Toll Business Operations Centre - TAG NO 3665998 PHan BU59MS Toyota Hiace Van"/>
    <n v="8.0563636363636366"/>
    <m/>
    <m/>
  </r>
  <r>
    <s v="INV"/>
    <s v="NBN Sydney"/>
    <s v="B VISA E-TOLL SEPT 2024"/>
    <x v="5"/>
    <s v="Network Shortfall Sydney"/>
    <x v="20"/>
    <d v="2016-09-01T00:00:00"/>
    <s v="Sep-16"/>
    <s v="E-Toll Business Operations Centre - TAG NO 3665998 PHan BU59MS Toyota Hiace Van"/>
    <n v="8.0563636363636366"/>
    <m/>
    <m/>
  </r>
  <r>
    <s v="INV"/>
    <s v="NBN Sydney"/>
    <s v="B VISA E-TOLL SEPT 2025"/>
    <x v="5"/>
    <s v="NBN Greenfields DJC Internals"/>
    <x v="55"/>
    <d v="2016-09-01T00:00:00"/>
    <s v="Sep-16"/>
    <s v="E-Toll Business Operations Centre - TAG NO 3665998 PHan BU59MS Toyota Hiace Van"/>
    <n v="8.0563636363636366"/>
    <m/>
    <m/>
  </r>
  <r>
    <s v="INV"/>
    <s v="NBN Sydney"/>
    <s v="B VISA E-TOLL SEPT 2026"/>
    <x v="5"/>
    <s v="NBN Greenfields DJC Internals"/>
    <x v="50"/>
    <d v="2016-09-01T00:00:00"/>
    <s v="Sep-16"/>
    <s v="E-Toll Business Operations Centre - TAG NO 3665998 PHan BU59MS Toyota Hiace Van"/>
    <n v="8.0563636363636366"/>
    <m/>
    <m/>
  </r>
  <r>
    <s v="INV"/>
    <s v="NBN Sydney"/>
    <s v="B VISA E-TOLL SEPT 2016"/>
    <x v="1"/>
    <s v="Overhead"/>
    <x v="3"/>
    <d v="2016-09-01T00:00:00"/>
    <s v="Sep-16"/>
    <s v="E-Toll Business Operations Centre - TAG NO 3166280 _x000d__x000a_GC BE38NA Toyota cruiser Gilbert"/>
    <n v="7.05"/>
    <m/>
    <m/>
  </r>
  <r>
    <s v="INV"/>
    <s v="NBN Sydney"/>
    <s v="bbbcaac2"/>
    <x v="1"/>
    <s v="Overhead"/>
    <x v="3"/>
    <d v="2016-09-20T00:00:00"/>
    <s v="Sep-16"/>
    <s v="Dropbox Australia Pty Ltd - Dropbox upgrade for Marshall"/>
    <n v="126.36"/>
    <m/>
    <m/>
  </r>
  <r>
    <s v="INV"/>
    <s v="NBN Sydney"/>
    <s v="DM CARD 9063239003680351"/>
    <x v="1"/>
    <s v="Overhead"/>
    <x v="3"/>
    <d v="2016-09-28T00:00:00"/>
    <s v="Sep-16"/>
    <s v="Officeworks Superstores - PK10 KEJI ARCHIVE BOX "/>
    <n v="72.650000000000006"/>
    <m/>
    <m/>
  </r>
  <r>
    <s v="PE"/>
    <s v="NBN Sydney"/>
    <s v="Payroll Expense Journal - PD-335"/>
    <x v="1"/>
    <s v="Overhead"/>
    <x v="3"/>
    <d v="2016-09-05T00:00:00"/>
    <s v="Sep-16"/>
    <s v="Superannuation Expense"/>
    <n v="46.17"/>
    <m/>
    <m/>
  </r>
  <r>
    <s v="PE"/>
    <s v="NBN Sydney"/>
    <s v="Payroll Expense Journal - PD-336"/>
    <x v="1"/>
    <s v="Overhead"/>
    <x v="3"/>
    <d v="2016-09-05T00:00:00"/>
    <s v="Sep-16"/>
    <s v="Superannuation Expense Rosie &amp; Bec"/>
    <n v="182.25"/>
    <m/>
    <m/>
  </r>
  <r>
    <s v="INV"/>
    <s v="NBN Sydney"/>
    <s v="P 246 905 711-0"/>
    <x v="1"/>
    <s v="Overhead"/>
    <x v="3"/>
    <d v="2016-09-21T00:00:00"/>
    <s v="Sep-16"/>
    <s v="Telstra Acc # 898 8808 200 - SYDNEY"/>
    <n v="136.36000000000001"/>
    <m/>
    <m/>
  </r>
  <r>
    <s v="Earnings"/>
    <s v="NBN Sydney"/>
    <s v="3.4 Telephone Allowance  "/>
    <x v="5"/>
    <s v="PipeNetworks"/>
    <x v="40"/>
    <d v="2016-09-05T00:00:00"/>
    <s v="Sep-16"/>
    <s v="Peter  Hanley, Telephone allowance"/>
    <n v="7.6933333333333325"/>
    <m/>
    <m/>
  </r>
  <r>
    <s v="Earnings"/>
    <s v="NBN Sydney"/>
    <s v="3.4 Telephone Allowance  "/>
    <x v="5"/>
    <s v="PipeNetworks"/>
    <x v="29"/>
    <d v="2016-09-05T00:00:00"/>
    <s v="Sep-16"/>
    <s v="Peter  Hanley, Telephone allowance"/>
    <n v="7.6933333333333325"/>
    <m/>
    <m/>
  </r>
  <r>
    <s v="Earnings"/>
    <s v="NBN Sydney"/>
    <s v="3.4 Telephone Allowance  "/>
    <x v="5"/>
    <s v="Network Shortfall Canberra"/>
    <x v="4"/>
    <d v="2016-09-05T00:00:00"/>
    <s v="Sep-16"/>
    <s v="Peter  Hanley, Telephone allowance"/>
    <n v="7.6933333333333325"/>
    <m/>
    <m/>
  </r>
  <r>
    <s v="Earnings"/>
    <s v="NBN Sydney"/>
    <s v="3.4 Telephone Allowance  "/>
    <x v="5"/>
    <s v="PipeNetworks"/>
    <x v="29"/>
    <d v="2016-09-12T00:00:00"/>
    <s v="Sep-16"/>
    <s v="Peter  Hanley, Telephone allowance"/>
    <n v="3.2971428571428567"/>
    <m/>
    <m/>
  </r>
  <r>
    <s v="Earnings"/>
    <s v="NBN Sydney"/>
    <s v="3.4 Telephone Allowance  "/>
    <x v="5"/>
    <s v="Network Shortfall Central Coast"/>
    <x v="1"/>
    <d v="2016-09-12T00:00:00"/>
    <s v="Sep-16"/>
    <s v="Peter  Hanley, Telephone allowance"/>
    <n v="3.2971428571428567"/>
    <m/>
    <m/>
  </r>
  <r>
    <s v="Earnings"/>
    <s v="NBN Sydney"/>
    <s v="3.4 Telephone Allowance  "/>
    <x v="5"/>
    <s v="NBN Greenfields DJC Internals"/>
    <x v="54"/>
    <d v="2016-09-12T00:00:00"/>
    <s v="Sep-16"/>
    <s v="Peter  Hanley, Telephone allowance"/>
    <n v="3.2971428571428567"/>
    <m/>
    <m/>
  </r>
  <r>
    <s v="Earnings"/>
    <s v="NBN Sydney"/>
    <s v="3.4 Telephone Allowance  "/>
    <x v="5"/>
    <s v="Network Shortfall Central Coast"/>
    <x v="1"/>
    <d v="2016-09-12T00:00:00"/>
    <s v="Sep-16"/>
    <s v="Peter  Hanley, Telephone allowance"/>
    <n v="3.2971428571428567"/>
    <m/>
    <m/>
  </r>
  <r>
    <s v="Earnings"/>
    <s v="NBN Sydney"/>
    <s v="3.4 Telephone Allowance  "/>
    <x v="5"/>
    <s v="NBN Minor Works DJC Internals"/>
    <x v="49"/>
    <d v="2016-09-12T00:00:00"/>
    <s v="Sep-16"/>
    <s v="Peter  Hanley, Telephone allowance"/>
    <n v="3.2971428571428567"/>
    <m/>
    <m/>
  </r>
  <r>
    <s v="Earnings"/>
    <s v="NBN Sydney"/>
    <s v="3.4 Telephone Allowance  "/>
    <x v="5"/>
    <s v="NBN Greenfields DJC Internals"/>
    <x v="47"/>
    <d v="2016-09-12T00:00:00"/>
    <s v="Sep-16"/>
    <s v="Peter  Hanley, Telephone allowance"/>
    <n v="3.2971428571428567"/>
    <m/>
    <m/>
  </r>
  <r>
    <s v="Earnings"/>
    <s v="NBN Sydney"/>
    <s v="3.4 Telephone Allowance  "/>
    <x v="5"/>
    <s v="Network Shortfall Sydney"/>
    <x v="20"/>
    <d v="2016-09-12T00:00:00"/>
    <s v="Sep-16"/>
    <s v="Peter  Hanley, Telephone allowance"/>
    <n v="3.2971428571428567"/>
    <m/>
    <m/>
  </r>
  <r>
    <s v="Earnings"/>
    <s v="NBN Sydney"/>
    <s v="3.4 Telephone Allowance  "/>
    <x v="5"/>
    <s v="Network Shortfall Canberra"/>
    <x v="4"/>
    <d v="2016-09-19T00:00:00"/>
    <s v="Sep-16"/>
    <s v="Peter  Hanley, Telephone allowance"/>
    <n v="5.77"/>
    <m/>
    <m/>
  </r>
  <r>
    <s v="Earnings"/>
    <s v="NBN Sydney"/>
    <s v="3.4 Telephone Allowance  "/>
    <x v="5"/>
    <s v="NBN Minor Works DJC Internals"/>
    <x v="49"/>
    <d v="2016-09-19T00:00:00"/>
    <s v="Sep-16"/>
    <s v="Peter  Hanley, Telephone allowance"/>
    <n v="5.77"/>
    <m/>
    <m/>
  </r>
  <r>
    <s v="Earnings"/>
    <s v="NBN Sydney"/>
    <s v="3.4 Telephone Allowance  "/>
    <x v="5"/>
    <s v="NBN Greenfields DJC Internals"/>
    <x v="47"/>
    <d v="2016-09-19T00:00:00"/>
    <s v="Sep-16"/>
    <s v="Peter  Hanley, Telephone allowance"/>
    <n v="5.77"/>
    <m/>
    <m/>
  </r>
  <r>
    <s v="Earnings"/>
    <s v="NBN Sydney"/>
    <s v="3.4 Telephone Allowance  "/>
    <x v="5"/>
    <s v="Network Shortfall Sydney"/>
    <x v="20"/>
    <d v="2016-09-19T00:00:00"/>
    <s v="Sep-16"/>
    <s v="Peter  Hanley, Telephone allowance"/>
    <n v="5.77"/>
    <m/>
    <m/>
  </r>
  <r>
    <s v="Earnings"/>
    <s v="NBN Sydney"/>
    <s v="3.4 Telephone Allowance  "/>
    <x v="5"/>
    <s v="NBN Minor Works DJC Internals"/>
    <x v="49"/>
    <d v="2016-09-26T00:00:00"/>
    <s v="Sep-16"/>
    <s v="Peter  Hanley, Telephone allowance"/>
    <n v="5.77"/>
    <m/>
    <m/>
  </r>
  <r>
    <s v="Earnings"/>
    <s v="NBN Sydney"/>
    <s v="3.4 Telephone Allowance  "/>
    <x v="5"/>
    <s v="NBN Greenfields DJC Internals"/>
    <x v="47"/>
    <d v="2016-09-26T00:00:00"/>
    <s v="Sep-16"/>
    <s v="Peter  Hanley, Telephone allowance"/>
    <n v="5.77"/>
    <m/>
    <m/>
  </r>
  <r>
    <s v="Earnings"/>
    <s v="NBN Sydney"/>
    <s v="3.4 Telephone Allowance  "/>
    <x v="5"/>
    <s v="NBN Greenfields DJC Internals"/>
    <x v="55"/>
    <d v="2016-09-26T00:00:00"/>
    <s v="Sep-16"/>
    <s v="Peter  Hanley, Telephone allowance"/>
    <n v="5.77"/>
    <m/>
    <m/>
  </r>
  <r>
    <s v="Earnings"/>
    <s v="NBN Sydney"/>
    <s v="3.4 Telephone Allowance  "/>
    <x v="5"/>
    <s v="NBN Greenfields DJC Internals"/>
    <x v="50"/>
    <d v="2016-09-26T00:00:00"/>
    <s v="Sep-16"/>
    <s v="Peter  Hanley, Telephone allowance"/>
    <n v="5.77"/>
    <m/>
    <m/>
  </r>
  <r>
    <s v="Earnings"/>
    <s v="NBN Sydney"/>
    <s v="Wagga Telephone"/>
    <x v="1"/>
    <s v="Overhead"/>
    <x v="3"/>
    <d v="2016-09-26T00:00:00"/>
    <s v="Sep-16"/>
    <s v="Gilbert Cook"/>
    <n v="92.32"/>
    <m/>
    <m/>
  </r>
  <r>
    <s v="Earnings"/>
    <s v="NBN Sydney"/>
    <s v="Wagga Telephone"/>
    <x v="1"/>
    <s v="Overhead"/>
    <x v="3"/>
    <d v="2016-09-26T00:00:00"/>
    <s v="Sep-16"/>
    <s v="RS &amp; RM "/>
    <n v="20"/>
    <m/>
    <m/>
  </r>
  <r>
    <s v="INV"/>
    <s v="NBN Sydney"/>
    <s v="8764 DM CARD"/>
    <x v="4"/>
    <s v="PipeNetworks"/>
    <x v="29"/>
    <d v="2016-09-23T00:00:00"/>
    <s v="Sep-16"/>
    <s v="Dan Murphy's - JOHNIE WALKER BLUE SCOTCH WHISKY "/>
    <n v="181.81"/>
    <m/>
    <m/>
  </r>
  <r>
    <s v="INV"/>
    <s v="NBN Sydney"/>
    <s v="29/9/16 14.29"/>
    <x v="1"/>
    <s v="Smithfield De Mobilisation"/>
    <x v="44"/>
    <d v="2016-09-29T00:00:00"/>
    <s v="Sep-16"/>
    <s v="Eddie Road Lunch Shop - Lunch supplied for Depot move"/>
    <n v="59.09"/>
    <m/>
    <m/>
  </r>
  <r>
    <s v="PE"/>
    <s v="NBN Sydney"/>
    <s v="Payroll Expense Journal - PD-335"/>
    <x v="1"/>
    <s v="Overhead"/>
    <x v="3"/>
    <d v="2016-09-05T00:00:00"/>
    <s v="Sep-16"/>
    <s v="Earnings"/>
    <n v="486"/>
    <m/>
    <m/>
  </r>
  <r>
    <s v="PE"/>
    <s v="NBN Sydney"/>
    <s v="Payroll Expense Journal - PD-336"/>
    <x v="1"/>
    <s v="Overhead"/>
    <x v="3"/>
    <d v="2016-09-05T00:00:00"/>
    <s v="Sep-16"/>
    <s v="RM &amp; RS Wages Sept 2016"/>
    <n v="2141.52"/>
    <m/>
    <m/>
  </r>
  <r>
    <s v="INV"/>
    <s v="NBN Sydney"/>
    <s v="5323"/>
    <x v="4"/>
    <s v="PipeNetworks"/>
    <x v="29"/>
    <d v="2016-09-07T00:00:00"/>
    <s v="Sep-16"/>
    <s v="Aldi Stores - Recharg Batt AAA/AA 4pk"/>
    <n v="21.88"/>
    <m/>
    <m/>
  </r>
  <r>
    <s v="INV"/>
    <s v="NBN Sydney"/>
    <m/>
    <x v="1"/>
    <s v="Smithfield De Mobilisation"/>
    <x v="44"/>
    <d v="2016-09-29T00:00:00"/>
    <s v="Sep-16"/>
    <s v="Hertz - Truck rental"/>
    <n v="855.55"/>
    <m/>
    <m/>
  </r>
  <r>
    <s v="INV"/>
    <s v="NBN Sydney"/>
    <s v="02083"/>
    <x v="1"/>
    <s v="Smithfield De Mobilisation"/>
    <x v="44"/>
    <d v="2016-09-30T00:00:00"/>
    <s v="Sep-16"/>
    <s v="2Fresh Carpet Cleaning - Cleaning of 6 x office spaces, hallway and steps"/>
    <n v="600"/>
    <m/>
    <m/>
  </r>
  <r>
    <s v="INV"/>
    <s v="NBN Sydney"/>
    <s v="11797753"/>
    <x v="1"/>
    <s v="Smithfield De Mobilisation"/>
    <x v="44"/>
    <d v="2016-09-30T00:00:00"/>
    <s v="Sep-16"/>
    <s v="Cleanaway - Waste Removal -  Sydney"/>
    <n v="212.35"/>
    <m/>
    <m/>
  </r>
  <r>
    <s v="INV"/>
    <s v="NBN Sydney"/>
    <s v="3318528"/>
    <x v="1"/>
    <s v="Overhead"/>
    <x v="3"/>
    <d v="2016-09-14T00:00:00"/>
    <s v="Sep-16"/>
    <s v="Eureka Operations - Coles Express - ULP 62.77L 1.179"/>
    <n v="67.28"/>
    <m/>
    <m/>
  </r>
  <r>
    <s v="INV"/>
    <s v="NBN Sydney"/>
    <s v="2308882"/>
    <x v="1"/>
    <s v="Overhead"/>
    <x v="3"/>
    <d v="2016-09-16T00:00:00"/>
    <s v="Sep-16"/>
    <s v="BP Marulan - ULP 62.46L 1.249"/>
    <n v="70.92"/>
    <m/>
    <m/>
  </r>
  <r>
    <s v="INV"/>
    <s v="NBN Sydney"/>
    <s v="1984737"/>
    <x v="1"/>
    <s v="Overhead"/>
    <x v="3"/>
    <d v="2016-09-28T00:00:00"/>
    <s v="Sep-16"/>
    <s v="Eureka Operations - Coles Express - Diesel 159.62L 1.159"/>
    <n v="168.18"/>
    <m/>
    <m/>
  </r>
  <r>
    <s v="INV"/>
    <s v="NBN Sydney"/>
    <s v="6150"/>
    <x v="5"/>
    <s v="Network Shortfall Canberra"/>
    <x v="4"/>
    <d v="2016-09-01T00:00:00"/>
    <s v="Sep-16"/>
    <s v="Woolworths Petrol - ULP 34.28L 1.179"/>
    <n v="36.75"/>
    <m/>
    <m/>
  </r>
  <r>
    <s v="INV"/>
    <s v="NBN Sydney"/>
    <s v="1303280"/>
    <x v="5"/>
    <s v="Network Shortfall Canberra"/>
    <x v="4"/>
    <d v="2016-09-07T00:00:00"/>
    <s v="Sep-16"/>
    <s v="Eureka Operations - Coles Express - ULP 50.75L 1.098"/>
    <n v="50.65"/>
    <m/>
    <m/>
  </r>
  <r>
    <s v="INV"/>
    <s v="NBN Sydney"/>
    <s v="42331"/>
    <x v="5"/>
    <s v="Network Shortfall Canberra"/>
    <x v="4"/>
    <d v="2016-09-09T00:00:00"/>
    <s v="Sep-16"/>
    <s v="Caltex Woolongong North - ULP 53.90L 1.299"/>
    <n v="63.65"/>
    <m/>
    <m/>
  </r>
  <r>
    <s v="INV"/>
    <s v="NBN Sydney"/>
    <s v="3627043"/>
    <x v="5"/>
    <s v="Network Shortfall Central Coast"/>
    <x v="1"/>
    <d v="2016-09-12T00:00:00"/>
    <s v="Sep-16"/>
    <s v="7 Eleven Pennant Hills - ULP 42.06L 1.249"/>
    <n v="47.75"/>
    <m/>
    <m/>
  </r>
  <r>
    <s v="INV"/>
    <s v="NBN Sydney"/>
    <s v="2427072"/>
    <x v="5"/>
    <s v="Network Shortfall Central Coast"/>
    <x v="1"/>
    <d v="2016-09-13T00:00:00"/>
    <s v="Sep-16"/>
    <s v="7 Eleven Pennant Hills - ULP 52.40L 1.199"/>
    <n v="56.73"/>
    <m/>
    <m/>
  </r>
  <r>
    <s v="INV"/>
    <s v="NBN Sydney"/>
    <s v="801980"/>
    <x v="5"/>
    <s v="NBN Greenfields DJC Internals"/>
    <x v="47"/>
    <d v="2016-09-16T00:00:00"/>
    <s v="Sep-16"/>
    <s v="BP Dural - ULP 57.93L 1.179"/>
    <n v="62.09"/>
    <m/>
    <m/>
  </r>
  <r>
    <s v="INV"/>
    <s v="NBN Sydney"/>
    <s v="2825488"/>
    <x v="5"/>
    <s v="NBN Greenfields DJC Internals"/>
    <x v="55"/>
    <d v="2016-09-21T00:00:00"/>
    <s v="Sep-16"/>
    <s v="7 Eleven Jamisontown - ULP 54.42L 1.049"/>
    <n v="51.9"/>
    <m/>
    <m/>
  </r>
  <r>
    <s v="INV"/>
    <s v="NBN Sydney"/>
    <s v="1862039"/>
    <x v="5"/>
    <s v="NBN Minor Works DJC Internals"/>
    <x v="49"/>
    <d v="2016-09-27T00:00:00"/>
    <s v="Sep-16"/>
    <s v="Eureka Operations - Coles Express - ULP 44.26L 1.019"/>
    <n v="41"/>
    <m/>
    <m/>
  </r>
  <r>
    <s v="INV"/>
    <s v="NBN Sydney"/>
    <s v="2918991"/>
    <x v="5"/>
    <s v="NBN Minor Works DJC Internals"/>
    <x v="49"/>
    <d v="2016-09-30T00:00:00"/>
    <s v="Sep-16"/>
    <s v="Eureka Operations - Coles Express - ULP 49.27L 1.019"/>
    <n v="45.65"/>
    <m/>
    <m/>
  </r>
  <r>
    <s v="INV"/>
    <s v="NBN Sydney"/>
    <s v="1019434"/>
    <x v="1"/>
    <s v="Overhead"/>
    <x v="3"/>
    <d v="2016-09-02T00:00:00"/>
    <s v="Sep-16"/>
    <s v="Eureka Operations - Coles Express - DIESEL 64.69L 1.169"/>
    <n v="68.75"/>
    <m/>
    <m/>
  </r>
  <r>
    <s v="INV"/>
    <s v="NBN Sydney"/>
    <s v="17222"/>
    <x v="1"/>
    <s v="Overhead"/>
    <x v="3"/>
    <d v="2016-09-02T00:00:00"/>
    <s v="Sep-16"/>
    <s v="Eddie's Mobile Mechanic Services - LOG BOOK SERVICE 110,000KM "/>
    <n v="237.68"/>
    <m/>
    <m/>
  </r>
  <r>
    <s v="INV"/>
    <s v="NBN Sydney"/>
    <s v="26654"/>
    <x v="1"/>
    <s v="Overhead"/>
    <x v="3"/>
    <d v="2016-09-07T00:00:00"/>
    <s v="Sep-16"/>
    <s v="Caltex West Gosford - DIESEL 64.40L 1.179"/>
    <n v="69.03"/>
    <m/>
    <m/>
  </r>
  <r>
    <s v="INV"/>
    <s v="NBN Sydney"/>
    <s v="972573"/>
    <x v="1"/>
    <s v="Overhead"/>
    <x v="3"/>
    <d v="2016-09-10T00:00:00"/>
    <s v="Sep-16"/>
    <s v="BP Seven Hills - Diesel 63.48L 1.159"/>
    <n v="66.89"/>
    <m/>
    <m/>
  </r>
  <r>
    <s v="INV"/>
    <s v="NBN Sydney"/>
    <s v="00166768"/>
    <x v="1"/>
    <s v="Overhead"/>
    <x v="3"/>
    <d v="2016-09-14T00:00:00"/>
    <s v="Sep-16"/>
    <s v="United Wyong - DIESEL 64.42L 1.089"/>
    <n v="63.77"/>
    <m/>
    <m/>
  </r>
  <r>
    <s v="INV"/>
    <s v="NBN Sydney"/>
    <s v="28023083"/>
    <x v="1"/>
    <s v="Overhead"/>
    <x v="3"/>
    <d v="2016-09-16T00:00:00"/>
    <s v="Sep-16"/>
    <s v="Eureka Operations - Coles Express - St Clair_x000d__x000a__x000d__x000a_DIESEL 64.82L 1.169"/>
    <n v="68.89"/>
    <m/>
    <m/>
  </r>
  <r>
    <s v="INV"/>
    <s v="NBN Sydney"/>
    <s v="2910534"/>
    <x v="1"/>
    <s v="Overhead"/>
    <x v="3"/>
    <d v="2016-09-20T00:00:00"/>
    <s v="Sep-16"/>
    <s v="Eureka Operations - Coles Express - DIESEL 59.20L 1.149"/>
    <n v="61.84"/>
    <m/>
    <m/>
  </r>
  <r>
    <s v="INV"/>
    <s v="NBN Sydney"/>
    <s v="1033520"/>
    <x v="1"/>
    <s v="Overhead"/>
    <x v="3"/>
    <d v="2016-09-23T00:00:00"/>
    <s v="Sep-16"/>
    <s v="Eureka Operations - Coles Express - DIESEL 63.62L 1.179"/>
    <n v="68.19"/>
    <m/>
    <m/>
  </r>
  <r>
    <s v="INV"/>
    <s v="NBN Sydney"/>
    <s v="2967200"/>
    <x v="1"/>
    <s v="Overhead"/>
    <x v="3"/>
    <d v="2016-09-28T00:00:00"/>
    <s v="Sep-16"/>
    <s v="7 Eleven St Clair - DIESEL 65.45L L 1.149/L"/>
    <n v="68.36"/>
    <m/>
    <m/>
  </r>
  <r>
    <s v="MJ"/>
    <s v="NBN Sydney"/>
    <s v="#24079"/>
    <x v="5"/>
    <s v="PipeNetworks"/>
    <x v="45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PipeNetworks"/>
    <x v="29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etwork Shortfall Canberra"/>
    <x v="4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PipeNetworks"/>
    <x v="29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etwork Shortfall Central Coast"/>
    <x v="1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BN Greenfields DJC Internals"/>
    <x v="54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etwork Shortfall Central Coast"/>
    <x v="1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BN Minor Works DJC Internals"/>
    <x v="49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BN Greenfields DJC Internals"/>
    <x v="47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etwork Shortfall Sydney"/>
    <x v="20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etwork Shortfall Canberra"/>
    <x v="4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BN Minor Works DJC Internals"/>
    <x v="49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BN Greenfields DJC Internals"/>
    <x v="47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etwork Shortfall Sydney"/>
    <x v="20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BN Minor Works DJC Internals"/>
    <x v="49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BN Greenfields DJC Internals"/>
    <x v="47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BN Greenfields DJC Internals"/>
    <x v="55"/>
    <d v="2016-09-01T00:00:00"/>
    <s v="Sep-16"/>
    <s v="SYDNEY VEHICLE  AND TEST EQUIPMENT RENTAL - TEST EQUIPMENT MONTHLY RENTAL"/>
    <n v="50.111111111111114"/>
    <m/>
    <m/>
  </r>
  <r>
    <s v="MJ"/>
    <s v="NBN Sydney"/>
    <s v="#24079"/>
    <x v="5"/>
    <s v="NBN Greenfields DJC Internals"/>
    <x v="50"/>
    <d v="2016-09-01T00:00:00"/>
    <s v="Sep-16"/>
    <s v="SYDNEY VEHICLE  AND TEST EQUIPMENT RENTAL - TEST EQUIPMENT MONTHLY RENTAL"/>
    <n v="50.111111111111114"/>
    <m/>
    <m/>
  </r>
  <r>
    <s v="MJ"/>
    <s v="NBN Sydney"/>
    <s v="#24079"/>
    <x v="1"/>
    <s v="Test Equipment &amp; Tools"/>
    <x v="27"/>
    <d v="2016-09-01T00:00:00"/>
    <s v="Sep-16"/>
    <s v="SYDNEY VEHICLE  AND TEST EQUIPMENT RENTAL - Forklift"/>
    <n v="487"/>
    <m/>
    <m/>
  </r>
  <r>
    <s v="MJ"/>
    <s v="NBN Sydney"/>
    <s v="#24079"/>
    <x v="1"/>
    <s v="Overhead"/>
    <x v="3"/>
    <d v="2016-09-01T00:00:00"/>
    <s v="Sep-16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833"/>
    <m/>
    <m/>
  </r>
  <r>
    <s v="MJ"/>
    <s v="NBN Sydney"/>
    <s v="#24079"/>
    <x v="5"/>
    <s v="PipeNetworks"/>
    <x v="45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PipeNetworks"/>
    <x v="29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etwork Shortfall Canberra"/>
    <x v="4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PipeNetworks"/>
    <x v="29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etwork Shortfall Central Coast"/>
    <x v="1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BN Greenfields DJC Internals"/>
    <x v="54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etwork Shortfall Central Coast"/>
    <x v="1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BN Minor Works DJC Internals"/>
    <x v="49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BN Greenfields DJC Internals"/>
    <x v="47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etwork Shortfall Sydney"/>
    <x v="20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etwork Shortfall Canberra"/>
    <x v="4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BN Minor Works DJC Internals"/>
    <x v="49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BN Greenfields DJC Internals"/>
    <x v="47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etwork Shortfall Sydney"/>
    <x v="20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BN Minor Works DJC Internals"/>
    <x v="49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BN Greenfields DJC Internals"/>
    <x v="47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BN Greenfields DJC Internals"/>
    <x v="55"/>
    <d v="2016-09-01T00:00:00"/>
    <s v="Sep-16"/>
    <s v="SYDNEY VEHICLE  AND TEST EQUIPMENT RENTAL - BU59MS -HIACE RENTAL - "/>
    <n v="46.277777777777779"/>
    <m/>
    <m/>
  </r>
  <r>
    <s v="MJ"/>
    <s v="NBN Sydney"/>
    <s v="#24079"/>
    <x v="5"/>
    <s v="NBN Greenfields DJC Internals"/>
    <x v="50"/>
    <d v="2016-09-01T00:00:00"/>
    <s v="Sep-16"/>
    <s v="SYDNEY VEHICLE  AND TEST EQUIPMENT RENTAL - BU59MS -HIACE RENTAL - "/>
    <n v="46.277777777777779"/>
    <m/>
    <m/>
  </r>
  <r>
    <s v="INV"/>
    <s v="NBN Sydney"/>
    <s v="INV-11511"/>
    <x v="3"/>
    <s v="NBN Greenfields"/>
    <x v="55"/>
    <d v="2016-10-04T00:00:00"/>
    <s v="Oct-16"/>
    <s v="NBN Co Sydney - RCTI-237062-184461 _x000d_ AYCA-1780KC - Johns Road Wadalba_x000d__x000a_Contract sum"/>
    <m/>
    <s v="NBN Greenfields - AYCA 1780KC Johns Road Wadalba"/>
    <n v="1458.73"/>
  </r>
  <r>
    <s v="INV"/>
    <s v="NBN Sydney"/>
    <s v="INV-11514"/>
    <x v="3"/>
    <s v="NBN Greenfields"/>
    <x v="54"/>
    <d v="2016-10-05T00:00:00"/>
    <s v="Oct-16"/>
    <s v="NBN Co Sydney - RCTI-237078-184462 _x000d_ AYCA-2LWX4U-2MAI-02-Finch Crescent."/>
    <m/>
    <s v="NBN Greenfields - AYCA-2LWX4U-2MAI-02-Finch"/>
    <n v="951.94"/>
  </r>
  <r>
    <s v="INV"/>
    <s v="NBN Sydney"/>
    <s v="INV-11552"/>
    <x v="3"/>
    <s v="NBN Greenfields"/>
    <x v="52"/>
    <d v="2016-10-17T00:00:00"/>
    <s v="Oct-16"/>
    <s v="NBN Co Sydney - RCTI-238719-187177_x000d_ AYCA-1WQ908-McCauleys Beach - Lots 607-619"/>
    <m/>
    <s v="NBN Greenfields - AYCA-1WQ908 McCauleys Beach - Lots 600-619"/>
    <n v="4454.72"/>
  </r>
  <r>
    <s v="INV"/>
    <s v="NBN Sydney"/>
    <s v="INV-11551"/>
    <x v="3"/>
    <s v="NBN Greenfields"/>
    <x v="14"/>
    <d v="2016-10-17T00:00:00"/>
    <s v="Oct-16"/>
    <s v="NBN Co Sydney - RCTI-238997-187628 _x000d_ AYCA-2R1JTT- Greenway"/>
    <m/>
    <s v="NBN Greenfields - AYCA-2R1JTT - Greenway"/>
    <n v="3438.46"/>
  </r>
  <r>
    <s v="INV"/>
    <s v="NBN Sydney"/>
    <s v="INV-11553"/>
    <x v="3"/>
    <s v="NBN Greenfields"/>
    <x v="56"/>
    <d v="2016-10-17T00:00:00"/>
    <s v="Oct-16"/>
    <s v="NBN Co Sydney - RCTI-238719-187175 _x000d_ AYCA-NGFYK- Wentworth Point Lot 9"/>
    <m/>
    <s v="NBN Greenfields - AYCA-NGFYK-Wentworth Point LOT 9"/>
    <n v="3430.64"/>
  </r>
  <r>
    <s v="INV"/>
    <s v="NBN Sydney"/>
    <s v="INV-11550"/>
    <x v="3"/>
    <s v="NBN Greenfields"/>
    <x v="41"/>
    <d v="2016-10-17T00:00:00"/>
    <s v="Oct-16"/>
    <s v="NBN Co Sydney - AYCA-2PFFWC-19 Brae Street, Prospect"/>
    <m/>
    <s v="NBN Greenfields - AYCA-2PFFWC - 19 Brae Street, Prospect "/>
    <n v="5464.56"/>
  </r>
  <r>
    <s v="INV"/>
    <s v="NBN Sydney"/>
    <s v="INV-11549"/>
    <x v="3"/>
    <s v="NBN Greenfields"/>
    <x v="51"/>
    <d v="2016-10-17T00:00:00"/>
    <s v="Oct-16"/>
    <s v="NBN Co Sydney - AYCA-1QR3ND Hillview Rise"/>
    <m/>
    <s v="NBN Greenfields - AYCA-1QR3ND Hillview Rise"/>
    <n v="9048.0400000000009"/>
  </r>
  <r>
    <s v="INV"/>
    <s v="PipeNetworks"/>
    <s v="INV-11567"/>
    <x v="3"/>
    <s v="PipeNetworks"/>
    <x v="40"/>
    <d v="2016-10-21T00:00:00"/>
    <s v="Oct-16"/>
    <s v="Pipe Network - PO64065 _x000d__x000a_IX5257C01 Duct Access Study Request - CA3777096 - Dark Fibre link between Ground Floor, 21 Vidler Avenue Woy Woy NSW and 42 Mann Street, Gosford NSW"/>
    <m/>
    <s v="PipeNetworks - RT625696 - 51 Mcmasters Rd to 21 Vidler Ave"/>
    <n v="26995.05"/>
  </r>
  <r>
    <s v="INV"/>
    <s v="PipeNetworks"/>
    <s v="INV-11568"/>
    <x v="3"/>
    <s v="PipeNetworks"/>
    <x v="40"/>
    <d v="2016-10-21T00:00:00"/>
    <s v="Oct-16"/>
    <s v="Pipe Network - PO 66187,  RT625696, CN25786 (External/Internal Hauling, Splicing) 21 Vidler Avenue Woy Woy NSW and 42 Mann Street, Gosford NSW.  "/>
    <m/>
    <s v="PipeNetworks - RT625696 - 51 Mcmasters Rd to 21 Vidler Ave"/>
    <n v="6659.3"/>
  </r>
  <r>
    <s v="INV"/>
    <s v="NBN Sydney"/>
    <s v="INV-11588"/>
    <x v="3"/>
    <s v="NBN Greenfields"/>
    <x v="57"/>
    <d v="2016-10-31T00:00:00"/>
    <s v="Oct-16"/>
    <s v="NBN Co Sydney - AYCA-2DSDBP - 3 Glenfield Road, Glenfield - 1"/>
    <m/>
    <s v="NBN Greenfields - AYCA-2DSDBP - 3 Glenfield Road, Glenfield - 1"/>
    <n v="7931.68"/>
  </r>
  <r>
    <s v="INV"/>
    <s v="NBN Sydney"/>
    <s v="INV-11587"/>
    <x v="3"/>
    <s v="NBN Greenfields"/>
    <x v="58"/>
    <d v="2016-10-31T00:00:00"/>
    <s v="Oct-16"/>
    <s v="NBN Co Sydney - AYCA-2N2GYJ – Tatton Park -6"/>
    <m/>
    <s v="NBN Greenfields - AYCA-2N2GYJ – Tatton Park -6"/>
    <n v="3768.8"/>
  </r>
  <r>
    <s v="INV"/>
    <s v="NBN Sydney"/>
    <s v="INV-11586"/>
    <x v="3"/>
    <s v="NBN Greenfields"/>
    <x v="59"/>
    <d v="2016-10-31T00:00:00"/>
    <s v="Oct-16"/>
    <s v="NBN Co Sydney - AYCA-1RX8QD Redgum Ridge Estate"/>
    <m/>
    <s v="NBN Greenfields - AYCA-1RX8QD Redgum Ridge Estate"/>
    <n v="3514.09"/>
  </r>
  <r>
    <s v="INV"/>
    <s v="NBN Sydney"/>
    <s v="INV-11583"/>
    <x v="3"/>
    <s v="NBN Greenfields"/>
    <x v="60"/>
    <d v="2016-10-31T00:00:00"/>
    <s v="Oct-16"/>
    <s v="NBN Co Sydney - AYCA-2E2WXJ - Shallows 6 - Datateks Request for Completion"/>
    <m/>
    <s v="NBN Greenfields - AYCA-2E2WXJ - Shallows 6 "/>
    <n v="4450.93"/>
  </r>
  <r>
    <s v="INV"/>
    <s v="NBN Sydney"/>
    <s v="INV-11585"/>
    <x v="3"/>
    <s v="NBN Minor Works"/>
    <x v="61"/>
    <d v="2016-10-31T00:00:00"/>
    <s v="Oct-16"/>
    <s v="NBN Co Sydney - 2GOS-06 LNDN and MDU Activities "/>
    <m/>
    <s v="Minor Works - 2GOS-06 LNDN and MDU"/>
    <n v="93323.34"/>
  </r>
  <r>
    <s v="INV"/>
    <s v="NBN Sydney"/>
    <s v="INV-11581"/>
    <x v="3"/>
    <s v="NBN Greenfields"/>
    <x v="62"/>
    <d v="2016-10-31T00:00:00"/>
    <s v="Oct-16"/>
    <s v="NBN Co Sydney - 2GOS-04-AYCA-3B3VXN-Mann Street Gosford "/>
    <m/>
    <s v="NBN Greenfields - AYCA-3B3VXN-Mann Street Gosford "/>
    <n v="1278.97"/>
  </r>
  <r>
    <s v="INV"/>
    <s v="NBN Sydney"/>
    <s v="INV-11580"/>
    <x v="3"/>
    <s v="NBN Greenfields"/>
    <x v="50"/>
    <d v="2016-10-31T00:00:00"/>
    <s v="Oct-16"/>
    <s v="NBN Co Sydney - 2ORC-06- AYCA-2CZWG0-ARV Kingswood"/>
    <m/>
    <s v="NBN Greenfields - AYCA-2CZWG0 - ARV Kingswood"/>
    <n v="7275.03"/>
  </r>
  <r>
    <s v="INV"/>
    <s v="NBN Sydney"/>
    <s v="INV-11584"/>
    <x v="3"/>
    <s v="NBN Minor Works"/>
    <x v="63"/>
    <d v="2016-10-31T00:00:00"/>
    <s v="Oct-16"/>
    <s v="NBN Co Sydney - 2BLK-07    396 Ferrers Road, Eastern Creek, Dragway"/>
    <m/>
    <s v="Minor Works - 2BLK-07  396 Ferrers Road, Eastern Creek"/>
    <n v="699.29"/>
  </r>
  <r>
    <s v="INV"/>
    <s v="NBN Sydney"/>
    <s v="INV-11582"/>
    <x v="3"/>
    <s v="NBN Greenfields"/>
    <x v="64"/>
    <d v="2016-10-31T00:00:00"/>
    <s v="Oct-16"/>
    <s v="NBN Co Sydney - AYCA-2DJ6MC Peterson Estate Stage 3 - 3B - "/>
    <m/>
    <s v="NBN Greenfields - AYCA-2DJ6MC Peterson Estate Stage 3 - 3B"/>
    <n v="4679.17"/>
  </r>
  <r>
    <s v="INV"/>
    <s v="NBN Sydney"/>
    <s v="00020405"/>
    <x v="4"/>
    <s v="NBN Minor Works DJC Internals"/>
    <x v="61"/>
    <d v="2016-10-20T00:00:00"/>
    <s v="Oct-16"/>
    <s v="Inscribe Australia Pty Ltd - freight"/>
    <n v="13.64"/>
    <m/>
    <m/>
  </r>
  <r>
    <s v="INV"/>
    <s v="NBN Sydney"/>
    <s v="850139"/>
    <x v="1"/>
    <s v="Overhead Credit"/>
    <x v="3"/>
    <d v="2016-10-07T00:00:00"/>
    <s v="Oct-16"/>
    <s v="Mitronics - ROUNDING "/>
    <m/>
    <s v="Overhead"/>
    <n v="0.01"/>
  </r>
  <r>
    <s v="INV"/>
    <s v="NBN Sydney"/>
    <s v="850139"/>
    <x v="1"/>
    <s v="Overhead"/>
    <x v="3"/>
    <d v="2016-10-07T00:00:00"/>
    <s v="Oct-16"/>
    <s v="Mitronics - DIGITAL SUPPORT "/>
    <n v="39.950000000000003"/>
    <m/>
    <m/>
  </r>
  <r>
    <s v="INV"/>
    <s v="NBN Sydney"/>
    <s v="850139"/>
    <x v="1"/>
    <s v="Overhead"/>
    <x v="3"/>
    <d v="2016-10-07T00:00:00"/>
    <s v="Oct-16"/>
    <s v="Mitronics - S/N AO2E041005704"/>
    <n v="246.54"/>
    <m/>
    <m/>
  </r>
  <r>
    <s v="INV"/>
    <s v="NBN Sydney"/>
    <s v="88990-10-2016"/>
    <x v="1"/>
    <s v="Overhead"/>
    <x v="3"/>
    <d v="2016-10-26T00:00:00"/>
    <s v="Oct-16"/>
    <s v="Supagas - LPG 15kg CYLINDER "/>
    <n v="28.95"/>
    <m/>
    <m/>
  </r>
  <r>
    <s v="INV"/>
    <s v="NBN Sydney"/>
    <s v="88990-10-2016"/>
    <x v="1"/>
    <s v="Overhead"/>
    <x v="3"/>
    <d v="2016-10-26T00:00:00"/>
    <s v="Oct-16"/>
    <s v="Supagas - MONTHLY RENTAL OF LPG 15KG CYLINDER "/>
    <n v="8"/>
    <m/>
    <m/>
  </r>
  <r>
    <s v="INV"/>
    <s v="NBN Sydney"/>
    <s v="71A85767"/>
    <x v="4"/>
    <s v="NBN Minor Works DJC Internals"/>
    <x v="61"/>
    <d v="2016-10-05T00:00:00"/>
    <s v="Oct-16"/>
    <s v="Middy's Data &amp; Electrical - P5 PIT "/>
    <n v="94.29"/>
    <m/>
    <m/>
  </r>
  <r>
    <s v="INV"/>
    <s v="NBN Sydney"/>
    <s v="1499"/>
    <x v="4"/>
    <s v="Minchinbury Mobilisation"/>
    <x v="61"/>
    <d v="2016-10-06T00:00:00"/>
    <s v="Oct-16"/>
    <s v="Affordable Lock &amp; Key - Domestic Key"/>
    <n v="24.55"/>
    <m/>
    <m/>
  </r>
  <r>
    <s v="INV"/>
    <s v="NBN Sydney"/>
    <s v="4166"/>
    <x v="4"/>
    <s v="Minchinbury Mobilisation"/>
    <x v="61"/>
    <d v="2016-10-09T00:00:00"/>
    <s v="Oct-16"/>
    <s v="Lockson - SUPPLY DC1B RESTRICTED KEY SYSTEM D20 "/>
    <n v="150"/>
    <m/>
    <m/>
  </r>
  <r>
    <s v="INV"/>
    <s v="NBN Sydney"/>
    <s v="4166"/>
    <x v="4"/>
    <s v="Minchinbury Mobilisation"/>
    <x v="61"/>
    <d v="2016-10-09T00:00:00"/>
    <s v="Oct-16"/>
    <s v="Lockson - LABOUR TO FIT DC1B OVAL CYLINDER TO UNIT ENTRY DOOR "/>
    <n v="20"/>
    <m/>
    <m/>
  </r>
  <r>
    <s v="INV"/>
    <s v="NBN Sydney"/>
    <s v="4166"/>
    <x v="4"/>
    <s v="Minchinbury Mobilisation"/>
    <x v="61"/>
    <d v="2016-10-09T00:00:00"/>
    <s v="Oct-16"/>
    <s v="Lockson - SERVICE CALL"/>
    <n v="59.09"/>
    <m/>
    <m/>
  </r>
  <r>
    <s v="INV"/>
    <s v="NBN Sydney"/>
    <s v="4166"/>
    <x v="4"/>
    <s v="Minchinbury Mobilisation"/>
    <x v="61"/>
    <d v="2016-10-09T00:00:00"/>
    <s v="Oct-16"/>
    <s v="Lockson - SUPPLY OVAL CYLINDER WITH RESTRICTED DC1B BARREL KEYED TO NEW SYSTEM D20 "/>
    <n v="44.09"/>
    <m/>
    <m/>
  </r>
  <r>
    <s v="INV"/>
    <s v="NBN Sydney"/>
    <s v="298900-228"/>
    <x v="4"/>
    <s v="Syndeticom"/>
    <x v="61"/>
    <d v="2016-10-13T00:00:00"/>
    <s v="Oct-16"/>
    <s v="TLE Electrical - SELF AMALGAMATING TAPE 20.0MM 1.2MM 5M BLACK "/>
    <n v="38.46"/>
    <m/>
    <m/>
  </r>
  <r>
    <s v="INV"/>
    <s v="NBN Sydney"/>
    <s v="00020405"/>
    <x v="4"/>
    <s v="NBN Minor Works DJC Internals"/>
    <x v="61"/>
    <d v="2016-10-20T00:00:00"/>
    <s v="Oct-16"/>
    <s v="Inscribe Australia Pty Ltd - 1 x NBN FDH cabinet kit"/>
    <n v="36.36"/>
    <m/>
    <m/>
  </r>
  <r>
    <s v="INV"/>
    <s v="NBN Sydney"/>
    <s v="00067991"/>
    <x v="4"/>
    <s v="NBN Greenfields DJC Internals"/>
    <x v="58"/>
    <d v="2016-10-31T00:00:00"/>
    <s v="Oct-16"/>
    <s v="Optical Solutions Australia - SC TO SC/APC SM SIMPLEX 2MM YELLOW JACKET 2M P/C"/>
    <n v="12.72"/>
    <m/>
    <m/>
  </r>
  <r>
    <s v="INV"/>
    <s v="NBN Sydney"/>
    <s v="INV-0086"/>
    <x v="1"/>
    <s v="Overhead"/>
    <x v="3"/>
    <d v="2016-10-03T00:00:00"/>
    <s v="Oct-16"/>
    <s v="Warriewood Consultancy - DATATEKS DAY RATE "/>
    <n v="9642.2999999999993"/>
    <m/>
    <m/>
  </r>
  <r>
    <s v="INV"/>
    <s v="NBN Sydney"/>
    <s v="INV-0087"/>
    <x v="1"/>
    <s v="Overhead"/>
    <x v="3"/>
    <d v="2016-10-16T00:00:00"/>
    <s v="Oct-16"/>
    <s v="Warriewood Consultancy - DATATEKS DAY RATE "/>
    <n v="8678.07"/>
    <m/>
    <m/>
  </r>
  <r>
    <s v="INV"/>
    <s v="NBN Sydney"/>
    <s v="16/907"/>
    <x v="0"/>
    <s v="NBN Greenfields DJC"/>
    <x v="64"/>
    <d v="2016-10-23T00:00:00"/>
    <s v="Oct-16"/>
    <s v="KSJDA Pty Ltd - NBN Jobs - 2ARM-AYCA-2DJ6MC, Peterson Estate 3 Stage 3B, Armidale "/>
    <n v="1623.8"/>
    <m/>
    <m/>
  </r>
  <r>
    <s v="INV"/>
    <s v="NBN Sydney"/>
    <s v="1881"/>
    <x v="0"/>
    <s v="NBN Minor Works DJC"/>
    <x v="49"/>
    <d v="2016-10-28T00:00:00"/>
    <s v="Oct-16"/>
    <s v="Schokman Pty Limited - 2GOS-05 AERIAL OCT LUMP _x000d__x000a__x000d__x000a_2GOS-05 AERIAL DROPS OCTOBER LUMP SUM. TO BE RECONCILED WITH NOVEMBER "/>
    <n v="50000"/>
    <m/>
    <m/>
  </r>
  <r>
    <s v="INV"/>
    <s v="NBN Sydney"/>
    <s v="128B"/>
    <x v="0"/>
    <s v="NBN Minor Works DJC"/>
    <x v="65"/>
    <d v="2016-10-28T00:00:00"/>
    <s v="Oct-16"/>
    <s v="K R and L G Ewerlin Pty Limited - REMOVAL &amp; DISPOSAL OF ASBESTOS AT OPP 19 ALTONA AVENUE, BATEAU BAY._x000d__x000a__x000d__x000a_SUPPLY &amp; INSTALL P100 PIPE IN OTR_x000d__x000a_INTALL XL PIT OVER EXISTING IN OTR_x000d__x000a_ACCOMMODATION COST_x000d__x000a_INSTALL CONCRETE PLINTH   "/>
    <n v="4262.8999999999996"/>
    <m/>
    <m/>
  </r>
  <r>
    <s v="INV"/>
    <s v="NBN Sydney"/>
    <s v="128A"/>
    <x v="0"/>
    <s v="NBN Minor Works DJC"/>
    <x v="65"/>
    <d v="2016-10-28T00:00:00"/>
    <s v="Oct-16"/>
    <s v="K R and L G Ewerlin Pty Limited - REMOVAL &amp; DISPOSAL OF ASBESTOS AT OPP 19 ALTONA AVENUE, BATEAU BAY._x000d__x000a__x000d__x000a_ACM PIT REMOVAL "/>
    <n v="850"/>
    <m/>
    <m/>
  </r>
  <r>
    <s v="INV"/>
    <s v="NBN Sydney"/>
    <s v="00000121"/>
    <x v="0"/>
    <s v="NBN Minor Works DJC"/>
    <x v="61"/>
    <d v="2016-10-31T00:00:00"/>
    <s v="Oct-16"/>
    <s v="Openshore Drilling Pty Ltd - Koala Cresent, West Gosford 2GOS-06 LNDN"/>
    <n v="49477.1"/>
    <m/>
    <m/>
  </r>
  <r>
    <s v="INV"/>
    <s v="NBN Sydney"/>
    <s v="00000131"/>
    <x v="0"/>
    <s v="NBN Minor Works DJC"/>
    <x v="61"/>
    <d v="2016-10-31T00:00:00"/>
    <s v="Oct-16"/>
    <s v="Openshore Drilling Pty Ltd - Rock Testing 2GOS-06"/>
    <n v="495"/>
    <m/>
    <m/>
  </r>
  <r>
    <s v="INV"/>
    <s v="NBN Sydney"/>
    <s v="INV-0089"/>
    <x v="1"/>
    <s v="Overhead"/>
    <x v="3"/>
    <d v="2016-10-31T00:00:00"/>
    <s v="Oct-16"/>
    <s v="Warriewood Consultancy - DATATEKS DAY RATE "/>
    <n v="6267.5"/>
    <m/>
    <m/>
  </r>
  <r>
    <s v="PE"/>
    <s v="NBN Sydney"/>
    <s v="Payroll Expense Journal - PD-347"/>
    <x v="5"/>
    <s v="NBN Minor Works DJC Internals"/>
    <x v="49"/>
    <d v="2016-10-03T00:00:00"/>
    <s v="Oct-16"/>
    <s v="Earnings Peter Hanley Tool Allowance"/>
    <n v="18.649999999999999"/>
    <m/>
    <m/>
  </r>
  <r>
    <s v="PE"/>
    <s v="NBN Sydney"/>
    <s v="Payroll Expense Journal - PD-349"/>
    <x v="5"/>
    <s v="Syndeticom"/>
    <x v="66"/>
    <d v="2016-10-10T00:00:00"/>
    <s v="Oct-16"/>
    <s v="Earnings Peter Hanley Tool Allowance"/>
    <n v="18.649999999999999"/>
    <m/>
    <m/>
  </r>
  <r>
    <s v="PE"/>
    <s v="NBN Sydney"/>
    <s v="Payroll Expense Journal - PD-350"/>
    <x v="5"/>
    <s v="NBN Minor Works DJC Internals"/>
    <x v="49"/>
    <d v="2016-10-17T00:00:00"/>
    <s v="Oct-16"/>
    <s v="Earnings Peter Hanley Tool Allowance"/>
    <n v="18.649999999999999"/>
    <m/>
    <m/>
  </r>
  <r>
    <s v="PE"/>
    <s v="NBN Sydney"/>
    <s v="Payroll Expense Journal - PD-352"/>
    <x v="5"/>
    <s v="Syndeticom"/>
    <x v="66"/>
    <d v="2016-10-24T00:00:00"/>
    <s v="Oct-16"/>
    <s v="Earnings Peter Hanley Tool Allowance"/>
    <n v="18.649999999999999"/>
    <m/>
    <m/>
  </r>
  <r>
    <s v="PE"/>
    <s v="NBN Sydney"/>
    <s v="Payroll Expense Journal - PD-360"/>
    <x v="5"/>
    <s v="Syndeticom"/>
    <x v="66"/>
    <d v="2016-10-31T00:00:00"/>
    <s v="Oct-16"/>
    <s v="Earnings Peter Hanley Tool Allowance"/>
    <n v="18.649999999999999"/>
    <m/>
    <m/>
  </r>
  <r>
    <s v="PE"/>
    <s v="NBN Sydney"/>
    <s v="Payroll Expense Journal - PD-347"/>
    <x v="1"/>
    <s v="Overhead"/>
    <x v="3"/>
    <d v="2016-10-03T00:00:00"/>
    <s v="Oct-16"/>
    <s v="Earnings  TA/OTTA"/>
    <n v="14.87"/>
    <m/>
    <m/>
  </r>
  <r>
    <s v="PE"/>
    <s v="NBN Sydney"/>
    <s v="Payroll Expense Journal - PD-352"/>
    <x v="1"/>
    <s v="Overhead"/>
    <x v="3"/>
    <d v="2016-10-24T00:00:00"/>
    <s v="Oct-16"/>
    <s v="Earnings  TA/OTTA"/>
    <n v="29.74"/>
    <m/>
    <m/>
  </r>
  <r>
    <s v="PE"/>
    <s v="NBN Sydney"/>
    <s v="OTTA"/>
    <x v="1"/>
    <s v="Overhead"/>
    <x v="3"/>
    <d v="2016-10-24T00:00:00"/>
    <s v="Oct-16"/>
    <s v="Earnings  TA/OTTA"/>
    <n v="909.85"/>
    <m/>
    <m/>
  </r>
  <r>
    <s v="PE"/>
    <s v="NBN Sydney"/>
    <s v="Payroll Expense Journal - PD-347"/>
    <x v="1"/>
    <s v="Overhead"/>
    <x v="3"/>
    <d v="2016-10-03T00:00:00"/>
    <s v="Oct-16"/>
    <s v="Earnings Salary and Wages"/>
    <n v="6417.69"/>
    <m/>
    <m/>
  </r>
  <r>
    <s v="PE"/>
    <s v="NBN Sydney"/>
    <s v="Payroll Expense Journal - PD-347"/>
    <x v="5"/>
    <s v="NBN Greenfields DJC Internals"/>
    <x v="52"/>
    <d v="2016-10-03T00:00:00"/>
    <s v="Oct-16"/>
    <s v="Earnings Salary and Wages Peter Hanley"/>
    <n v="397.88"/>
    <m/>
    <m/>
  </r>
  <r>
    <s v="PE"/>
    <s v="NBN Sydney"/>
    <s v="Payroll Expense Journal - PD-347"/>
    <x v="5"/>
    <s v="NBN Minor Works DJC Internals"/>
    <x v="49"/>
    <d v="2016-10-03T00:00:00"/>
    <s v="Oct-16"/>
    <s v="Earnings Salary and Wages Peter Hanley"/>
    <n v="939.82"/>
    <m/>
    <m/>
  </r>
  <r>
    <s v="PE"/>
    <s v="NBN Sydney"/>
    <s v="Payroll Expense Journal - PD-347"/>
    <x v="5"/>
    <s v="NBN Greenfields DJC Internals"/>
    <x v="56"/>
    <d v="2016-10-03T00:00:00"/>
    <s v="Oct-16"/>
    <s v="Earnings Salary and Wages Peter Hanley"/>
    <n v="603.67999999999995"/>
    <m/>
    <m/>
  </r>
  <r>
    <s v="PE"/>
    <s v="NBN Sydney"/>
    <s v="Payroll Expense Journal - PD-347"/>
    <x v="5"/>
    <s v="NBN Greenfields DJC Internals"/>
    <x v="51"/>
    <d v="2016-10-03T00:00:00"/>
    <s v="Oct-16"/>
    <s v="Earnings Salary and Wages Peter Hanley"/>
    <n v="123.48"/>
    <m/>
    <m/>
  </r>
  <r>
    <s v="PE"/>
    <s v="NBN Sydney"/>
    <s v="Payroll Expense Journal - PD-349"/>
    <x v="1"/>
    <s v="Overhead"/>
    <x v="3"/>
    <d v="2016-10-10T00:00:00"/>
    <s v="Oct-16"/>
    <s v="Earnings Salary and Wages"/>
    <n v="6552.5999999999995"/>
    <m/>
    <m/>
  </r>
  <r>
    <s v="PE"/>
    <s v="NBN Sydney"/>
    <s v="Payroll Expense Journal - PD-349"/>
    <x v="5"/>
    <s v="NBN Minor Works DJC Internals"/>
    <x v="49"/>
    <d v="2016-10-10T00:00:00"/>
    <s v="Oct-16"/>
    <s v="Earnings Salary and Wages Peter Hanley"/>
    <n v="277.83"/>
    <m/>
    <m/>
  </r>
  <r>
    <s v="PE"/>
    <s v="NBN Sydney"/>
    <s v="Payroll Expense Journal - PD-349"/>
    <x v="5"/>
    <s v="Syndeticom"/>
    <x v="66"/>
    <d v="2016-10-10T00:00:00"/>
    <s v="Oct-16"/>
    <s v="Earnings Salary and Wages Peter Hanley"/>
    <n v="102.9"/>
    <m/>
    <m/>
  </r>
  <r>
    <s v="PE"/>
    <s v="NBN Sydney"/>
    <s v="Payroll Expense Journal - PD-349"/>
    <x v="5"/>
    <s v="NBN Greenfields DJC Internals"/>
    <x v="67"/>
    <d v="2016-10-10T00:00:00"/>
    <s v="Oct-16"/>
    <s v="Earnings Salary and Wages Peter Hanley"/>
    <n v="205.8"/>
    <m/>
    <m/>
  </r>
  <r>
    <s v="PE"/>
    <s v="NBN Sydney"/>
    <s v="Payroll Expense Journal - PD-349"/>
    <x v="5"/>
    <s v="PipeNetworks"/>
    <x v="40"/>
    <d v="2016-10-10T00:00:00"/>
    <s v="Oct-16"/>
    <s v="Earnings Salary and Wages Peter Hanley"/>
    <n v="840.35"/>
    <m/>
    <m/>
  </r>
  <r>
    <s v="PE"/>
    <s v="NBN Sydney"/>
    <s v="Payroll Expense Journal - PD-350"/>
    <x v="1"/>
    <s v="Overhead"/>
    <x v="3"/>
    <d v="2016-10-17T00:00:00"/>
    <s v="Oct-16"/>
    <s v="Earnings Salary and Wages"/>
    <n v="6778.4299999999994"/>
    <m/>
    <m/>
  </r>
  <r>
    <s v="PE"/>
    <s v="NBN Sydney"/>
    <s v="Payroll Expense Journal - PD-350"/>
    <x v="5"/>
    <s v="NBN Minor Works DJC Internals"/>
    <x v="49"/>
    <d v="2016-10-17T00:00:00"/>
    <s v="Oct-16"/>
    <s v="Earnings Salary and Wages Peter Hanley"/>
    <n v="432.18"/>
    <m/>
    <m/>
  </r>
  <r>
    <s v="PE"/>
    <s v="NBN Sydney"/>
    <s v="Payroll Expense Journal - PD-350"/>
    <x v="5"/>
    <s v="PipeNetworks"/>
    <x v="40"/>
    <d v="2016-10-17T00:00:00"/>
    <s v="Oct-16"/>
    <s v="Earnings Salary and Wages Peter Hanley"/>
    <n v="209.23"/>
    <m/>
    <m/>
  </r>
  <r>
    <s v="PE"/>
    <s v="NBN Sydney"/>
    <s v="Payroll Expense Journal - PD-350"/>
    <x v="5"/>
    <s v="NBN Greenfields DJC Internals"/>
    <x v="50"/>
    <d v="2016-10-17T00:00:00"/>
    <s v="Oct-16"/>
    <s v="Earnings Salary and Wages Peter Hanley"/>
    <n v="154.35"/>
    <m/>
    <m/>
  </r>
  <r>
    <s v="PE"/>
    <s v="NBN Sydney"/>
    <s v="Payroll Expense Journal - PD-350"/>
    <x v="5"/>
    <s v="NBN Greenfields DJC Internals"/>
    <x v="57"/>
    <d v="2016-10-17T00:00:00"/>
    <s v="Oct-16"/>
    <s v="Earnings Salary and Wages Peter Hanley"/>
    <n v="315.56"/>
    <m/>
    <m/>
  </r>
  <r>
    <s v="PE"/>
    <s v="NBN Sydney"/>
    <s v="Payroll Expense Journal - PD-350"/>
    <x v="5"/>
    <s v="NBN Minor Works DJC Internals"/>
    <x v="63"/>
    <d v="2016-10-17T00:00:00"/>
    <s v="Oct-16"/>
    <s v="Earnings Salary and Wages Peter Hanley"/>
    <n v="102.9"/>
    <m/>
    <m/>
  </r>
  <r>
    <s v="PE"/>
    <s v="NBN Sydney"/>
    <s v="Payroll Expense Journal - PD-352"/>
    <x v="1"/>
    <s v="Overhead"/>
    <x v="3"/>
    <d v="2016-10-24T00:00:00"/>
    <s v="Oct-16"/>
    <s v="Earnings Salary and Wages"/>
    <n v="6487.0099999999993"/>
    <m/>
    <m/>
  </r>
  <r>
    <s v="PE"/>
    <s v="NBN Sydney"/>
    <s v="Payroll Expense Journal - PD-352"/>
    <x v="5"/>
    <s v="NBN Minor Works DJC Internals"/>
    <x v="49"/>
    <d v="2016-10-24T00:00:00"/>
    <s v="Oct-16"/>
    <s v="Earnings Salary and Wages Peter Hanley"/>
    <n v="140.63"/>
    <m/>
    <m/>
  </r>
  <r>
    <s v="PE"/>
    <s v="NBN Sydney"/>
    <s v="Payroll Expense Journal - PD-352"/>
    <x v="5"/>
    <s v="Syndeticom"/>
    <x v="66"/>
    <d v="2016-10-24T00:00:00"/>
    <s v="Oct-16"/>
    <s v="Earnings Salary and Wages Peter Hanley"/>
    <n v="816.34"/>
    <m/>
    <m/>
  </r>
  <r>
    <s v="PE"/>
    <s v="NBN Sydney"/>
    <s v="Payroll Expense Journal - PD-352"/>
    <x v="5"/>
    <s v="NBN Greenfields DJC Internals"/>
    <x v="59"/>
    <d v="2016-10-24T00:00:00"/>
    <s v="Oct-16"/>
    <s v="Earnings Salary and Wages Peter Hanley"/>
    <n v="210"/>
    <m/>
    <m/>
  </r>
  <r>
    <s v="PE"/>
    <s v="NBN Sydney"/>
    <s v="Payroll Expense Journal - PD-352"/>
    <x v="5"/>
    <s v="NBN Greenfields DJC Internals"/>
    <x v="60"/>
    <d v="2016-10-24T00:00:00"/>
    <s v="Oct-16"/>
    <s v="Earnings Salary and Wages Peter Hanley"/>
    <n v="210"/>
    <m/>
    <m/>
  </r>
  <r>
    <s v="PE"/>
    <s v="NBN Sydney"/>
    <s v="Payroll Expense Journal - PD-352"/>
    <x v="5"/>
    <s v="NBN Minor Works DJC Internals"/>
    <x v="68"/>
    <d v="2016-10-24T00:00:00"/>
    <s v="Oct-16"/>
    <s v="Earnings Salary and Wages Peter Hanley"/>
    <n v="210"/>
    <m/>
    <m/>
  </r>
  <r>
    <s v="PE"/>
    <s v="NBN Sydney"/>
    <s v="Payroll Expense Journal - PD-360"/>
    <x v="1"/>
    <s v="Overhead"/>
    <x v="3"/>
    <d v="2016-10-31T00:00:00"/>
    <s v="Oct-16"/>
    <s v="Earnings Salary and Wages"/>
    <n v="6741.91"/>
    <m/>
    <m/>
  </r>
  <r>
    <s v="PE"/>
    <s v="NBN Sydney"/>
    <s v="Payroll Expense Journal - PD-360"/>
    <x v="5"/>
    <s v="Syndeticom"/>
    <x v="66"/>
    <d v="2016-10-31T00:00:00"/>
    <s v="Oct-16"/>
    <s v="Earnings Salary and Wages Peter Hanley"/>
    <n v="1094.17"/>
    <m/>
    <m/>
  </r>
  <r>
    <s v="PE"/>
    <s v="NBN Sydney"/>
    <s v="Payroll Expense Journal - PD-360"/>
    <x v="5"/>
    <s v="NBN Minor Works DJC Internals"/>
    <x v="69"/>
    <d v="2016-10-31T00:00:00"/>
    <s v="Oct-16"/>
    <s v="Earnings Salary and Wages Peter Hanley"/>
    <n v="102.9"/>
    <m/>
    <m/>
  </r>
  <r>
    <s v="PE"/>
    <s v="NBN Sydney"/>
    <s v="Payroll Expense Journal - PD-361"/>
    <x v="1"/>
    <s v="Overhead"/>
    <x v="3"/>
    <d v="2016-10-31T00:00:00"/>
    <s v="Oct-16"/>
    <s v="Earnings Salary and Wages Gilbert Cook"/>
    <n v="4069.23"/>
    <m/>
    <m/>
  </r>
  <r>
    <s v="PE"/>
    <s v="NBN Sydney"/>
    <s v="Payroll Expense Journal - PD-347"/>
    <x v="1"/>
    <s v="Overhead"/>
    <x v="3"/>
    <d v="2016-10-03T00:00:00"/>
    <s v="Oct-16"/>
    <s v="Superannuation Expense"/>
    <n v="509.36"/>
    <m/>
    <m/>
  </r>
  <r>
    <s v="PE"/>
    <s v="NBN Sydney"/>
    <s v="Payroll Expense Journal - PD-347"/>
    <x v="5"/>
    <s v="NBN Greenfields DJC Internals"/>
    <x v="52"/>
    <d v="2016-10-03T00:00:00"/>
    <s v="Oct-16"/>
    <s v="Superannuation Expense Peter Hanley"/>
    <n v="37.799999999999997"/>
    <m/>
    <m/>
  </r>
  <r>
    <s v="PE"/>
    <s v="NBN Sydney"/>
    <s v="Payroll Expense Journal - PD-347"/>
    <x v="5"/>
    <s v="NBN Minor Works DJC Internals"/>
    <x v="49"/>
    <d v="2016-10-03T00:00:00"/>
    <s v="Oct-16"/>
    <s v="Superannuation Expense Peter Hanley"/>
    <n v="46.92"/>
    <m/>
    <m/>
  </r>
  <r>
    <s v="PE"/>
    <s v="NBN Sydney"/>
    <s v="Payroll Expense Journal - PD-347"/>
    <x v="5"/>
    <s v="NBN Greenfields DJC Internals"/>
    <x v="56"/>
    <d v="2016-10-03T00:00:00"/>
    <s v="Oct-16"/>
    <s v="Superannuation Expense Peter Hanley"/>
    <n v="57.35"/>
    <m/>
    <m/>
  </r>
  <r>
    <s v="PE"/>
    <s v="NBN Sydney"/>
    <s v="Payroll Expense Journal - PD-347"/>
    <x v="5"/>
    <s v="NBN Greenfields DJC Internals"/>
    <x v="51"/>
    <d v="2016-10-03T00:00:00"/>
    <s v="Oct-16"/>
    <s v="Superannuation Expense Peter Hanley"/>
    <n v="11.73"/>
    <m/>
    <m/>
  </r>
  <r>
    <s v="PE"/>
    <s v="NBN Sydney"/>
    <s v="Payroll Expense Journal - PD-349"/>
    <x v="1"/>
    <s v="Overhead"/>
    <x v="3"/>
    <d v="2016-10-10T00:00:00"/>
    <s v="Oct-16"/>
    <s v="Superannuation Expense"/>
    <n v="561.83000000000004"/>
    <m/>
    <m/>
  </r>
  <r>
    <s v="PE"/>
    <s v="NBN Sydney"/>
    <s v="Payroll Expense Journal - PD-349"/>
    <x v="5"/>
    <s v="NBN Minor Works DJC Internals"/>
    <x v="49"/>
    <d v="2016-10-10T00:00:00"/>
    <s v="Oct-16"/>
    <s v="Superannuation Expense Peter Hanley"/>
    <n v="26.39"/>
    <m/>
    <m/>
  </r>
  <r>
    <s v="PE"/>
    <s v="NBN Sydney"/>
    <s v="Payroll Expense Journal - PD-349"/>
    <x v="5"/>
    <s v="Syndeticom"/>
    <x v="66"/>
    <d v="2016-10-10T00:00:00"/>
    <s v="Oct-16"/>
    <s v="Superannuation Expense Peter Hanley"/>
    <n v="9.7799999999999994"/>
    <m/>
    <m/>
  </r>
  <r>
    <s v="PE"/>
    <s v="NBN Sydney"/>
    <s v="Payroll Expense Journal - PD-349"/>
    <x v="5"/>
    <s v="NBN Greenfields DJC Internals"/>
    <x v="67"/>
    <d v="2016-10-10T00:00:00"/>
    <s v="Oct-16"/>
    <s v="Superannuation Expense Peter Hanley"/>
    <n v="9.7799999999999994"/>
    <m/>
    <m/>
  </r>
  <r>
    <s v="PE"/>
    <s v="NBN Sydney"/>
    <s v="Payroll Expense Journal - PD-349"/>
    <x v="5"/>
    <s v="PipeNetworks"/>
    <x v="40"/>
    <d v="2016-10-10T00:00:00"/>
    <s v="Oct-16"/>
    <s v="Superannuation Expense Peter Hanley"/>
    <n v="55.39"/>
    <m/>
    <m/>
  </r>
  <r>
    <s v="PE"/>
    <s v="NBN Sydney"/>
    <s v="Payroll Expense Journal - PD-350"/>
    <x v="1"/>
    <s v="Overhead"/>
    <x v="3"/>
    <d v="2016-10-17T00:00:00"/>
    <s v="Oct-16"/>
    <s v="Superannuation Expense"/>
    <n v="561.54999999999995"/>
    <m/>
    <m/>
  </r>
  <r>
    <s v="PE"/>
    <s v="NBN Sydney"/>
    <s v="Payroll Expense Journal - PD-350"/>
    <x v="5"/>
    <s v="NBN Minor Works DJC Internals"/>
    <x v="49"/>
    <d v="2016-10-17T00:00:00"/>
    <s v="Oct-16"/>
    <s v="Superannuation Expense Peter Hanley"/>
    <n v="41.06"/>
    <m/>
    <m/>
  </r>
  <r>
    <s v="PE"/>
    <s v="NBN Sydney"/>
    <s v="Payroll Expense Journal - PD-350"/>
    <x v="5"/>
    <s v="PipeNetworks"/>
    <x v="40"/>
    <d v="2016-10-17T00:00:00"/>
    <s v="Oct-16"/>
    <s v="Superannuation Expense Peter Hanley"/>
    <n v="19.88"/>
    <m/>
    <m/>
  </r>
  <r>
    <s v="PE"/>
    <s v="NBN Sydney"/>
    <s v="Payroll Expense Journal - PD-350"/>
    <x v="5"/>
    <s v="NBN Greenfields DJC Internals"/>
    <x v="50"/>
    <d v="2016-10-17T00:00:00"/>
    <s v="Oct-16"/>
    <s v="Superannuation Expense Peter Hanley"/>
    <n v="14.66"/>
    <m/>
    <m/>
  </r>
  <r>
    <s v="PE"/>
    <s v="NBN Sydney"/>
    <s v="Payroll Expense Journal - PD-350"/>
    <x v="5"/>
    <s v="NBN Greenfields DJC Internals"/>
    <x v="57"/>
    <d v="2016-10-17T00:00:00"/>
    <s v="Oct-16"/>
    <s v="Superannuation Expense Peter Hanley"/>
    <n v="14.99"/>
    <m/>
    <m/>
  </r>
  <r>
    <s v="PE"/>
    <s v="NBN Sydney"/>
    <s v="Payroll Expense Journal - PD-350"/>
    <x v="5"/>
    <s v="NBN Minor Works DJC Internals"/>
    <x v="63"/>
    <d v="2016-10-17T00:00:00"/>
    <s v="Oct-16"/>
    <s v="Superannuation Expense Peter Hanley"/>
    <n v="9.7799999999999994"/>
    <m/>
    <m/>
  </r>
  <r>
    <s v="PE"/>
    <s v="NBN Sydney"/>
    <s v="Payroll Expense Journal - PD-352"/>
    <x v="1"/>
    <s v="Overhead"/>
    <x v="3"/>
    <d v="2016-10-24T00:00:00"/>
    <s v="Oct-16"/>
    <s v="Superannuation Expense"/>
    <n v="663.17"/>
    <m/>
    <m/>
  </r>
  <r>
    <s v="PE"/>
    <s v="NBN Sydney"/>
    <s v="Payroll Expense Journal - PD-352"/>
    <x v="5"/>
    <s v="Syndeticom"/>
    <x v="69"/>
    <d v="2016-10-24T00:00:00"/>
    <s v="Oct-16"/>
    <s v="Superannuation Expense Peter Hanley"/>
    <n v="77.55"/>
    <m/>
    <m/>
  </r>
  <r>
    <s v="PE"/>
    <s v="NBN Sydney"/>
    <s v="Payroll Expense Journal - PD-352"/>
    <x v="5"/>
    <s v="NBN Greenfields DJC Internals"/>
    <x v="59"/>
    <d v="2016-10-24T00:00:00"/>
    <s v="Oct-16"/>
    <s v="Superannuation Expense Peter Hanley"/>
    <n v="19.09"/>
    <m/>
    <m/>
  </r>
  <r>
    <s v="PE"/>
    <s v="NBN Sydney"/>
    <s v="Payroll Expense Journal - PD-352"/>
    <x v="5"/>
    <s v="NBN Greenfields DJC Internals"/>
    <x v="60"/>
    <d v="2016-10-24T00:00:00"/>
    <s v="Oct-16"/>
    <s v="Superannuation Expense Peter Hanley"/>
    <n v="19.09"/>
    <m/>
    <m/>
  </r>
  <r>
    <s v="PE"/>
    <s v="NBN Sydney"/>
    <s v="Payroll Expense Journal - PD-352"/>
    <x v="5"/>
    <s v="NBN Minor Works DJC Internals"/>
    <x v="68"/>
    <d v="2016-10-24T00:00:00"/>
    <s v="Oct-16"/>
    <s v="Superannuation Expense Peter Hanley"/>
    <n v="19.09"/>
    <m/>
    <m/>
  </r>
  <r>
    <s v="PE"/>
    <s v="NBN Sydney"/>
    <s v="Payroll Expense Journal - PD-360"/>
    <x v="1"/>
    <s v="Overhead"/>
    <x v="3"/>
    <d v="2016-10-31T00:00:00"/>
    <s v="Oct-16"/>
    <s v="Superannuation Expense"/>
    <n v="663.17"/>
    <m/>
    <m/>
  </r>
  <r>
    <s v="PE"/>
    <s v="NBN Sydney"/>
    <s v="Payroll Expense Journal - PD-360"/>
    <x v="5"/>
    <s v="Syndeticom"/>
    <x v="66"/>
    <d v="2016-10-31T00:00:00"/>
    <s v="Oct-16"/>
    <s v="Superannuation Expense Peter Hanley"/>
    <n v="103.95"/>
    <m/>
    <m/>
  </r>
  <r>
    <s v="PE"/>
    <s v="NBN Sydney"/>
    <s v="Payroll Expense Journal - PD-360"/>
    <x v="5"/>
    <s v="NBN Minor Works DJC Internals"/>
    <x v="69"/>
    <d v="2016-10-31T00:00:00"/>
    <s v="Oct-16"/>
    <s v="Superannuation Expense Peter Hanley"/>
    <n v="9.7799999999999994"/>
    <m/>
    <m/>
  </r>
  <r>
    <s v="PE"/>
    <s v="NBN Sydney"/>
    <s v="Super"/>
    <x v="1"/>
    <s v="Overhead"/>
    <x v="3"/>
    <d v="2016-10-31T00:00:00"/>
    <s v="Oct-16"/>
    <s v="Superannuation Expense Gilbert Cook"/>
    <n v="386.58"/>
    <m/>
    <m/>
  </r>
  <r>
    <s v="PAY"/>
    <s v="NBN Sydney"/>
    <s v="E Toll"/>
    <x v="1"/>
    <s v="Overhead"/>
    <x v="3"/>
    <d v="2016-10-13T00:00:00"/>
    <s v="Oct-16"/>
    <s v="E-Toll Business Operations Centre - Surcharge on Top- up account per transaction"/>
    <n v="0.4"/>
    <m/>
    <m/>
  </r>
  <r>
    <s v="PAY"/>
    <s v="NBN Sydney"/>
    <s v="E Toll"/>
    <x v="1"/>
    <s v="Overhead"/>
    <x v="3"/>
    <d v="2016-10-17T00:00:00"/>
    <s v="Oct-16"/>
    <s v="E-Toll Business Operations Centre - Surcharge on Top- up account per transaction"/>
    <n v="0.4"/>
    <m/>
    <m/>
  </r>
  <r>
    <s v="PAY"/>
    <s v="NBN Sydney"/>
    <s v="E Toll"/>
    <x v="1"/>
    <s v="Overhead"/>
    <x v="3"/>
    <d v="2016-10-24T00:00:00"/>
    <s v="Oct-16"/>
    <s v="E-Toll Business Operations Centre - Surcharge on Top- up account per transaction"/>
    <n v="0.4"/>
    <m/>
    <m/>
  </r>
  <r>
    <s v="PAY"/>
    <s v="NBN Sydney"/>
    <s v="E Toll"/>
    <x v="1"/>
    <s v="Overhead"/>
    <x v="3"/>
    <d v="2016-10-27T00:00:00"/>
    <s v="Oct-16"/>
    <s v="E-Toll Business Operations Centre - Surcharge on Top- up account per transaction"/>
    <n v="0.4"/>
    <m/>
    <m/>
  </r>
  <r>
    <s v="PAY"/>
    <s v="NBN Sydney"/>
    <s v="Internet Expense"/>
    <x v="1"/>
    <s v="Overhead"/>
    <x v="3"/>
    <d v="2016-10-30T00:00:00"/>
    <s v="Oct-16"/>
    <s v="Seek Limited - JOB ADVERTISEMENT "/>
    <n v="270"/>
    <m/>
    <m/>
  </r>
  <r>
    <s v="PAY"/>
    <s v="NBN Sydney"/>
    <s v="Banking BG"/>
    <x v="1"/>
    <s v="Overhead"/>
    <x v="3"/>
    <d v="2016-10-14T00:00:00"/>
    <s v="Oct-16"/>
    <s v="National Australia Bank - Bank Guarantee fee"/>
    <n v="162.78"/>
    <m/>
    <m/>
  </r>
  <r>
    <s v="PAY"/>
    <s v="NBN Sydney"/>
    <s v="Banking BG"/>
    <x v="1"/>
    <s v="Overhead"/>
    <x v="3"/>
    <d v="2016-10-28T00:00:00"/>
    <s v="Oct-16"/>
    <s v="National Australia Bank - NBN CO Bank Guarantee "/>
    <n v="326.62"/>
    <m/>
    <m/>
  </r>
  <r>
    <s v="PAY"/>
    <s v="NBN Sydney"/>
    <s v="Banking BG"/>
    <x v="1"/>
    <s v="Overhead"/>
    <x v="3"/>
    <d v="2016-10-28T00:00:00"/>
    <s v="Oct-16"/>
    <s v="National Australia Bank - Bank Guarantee NBN CO"/>
    <n v="305.02"/>
    <m/>
    <m/>
  </r>
  <r>
    <s v="INV"/>
    <s v="NBN Sydney"/>
    <s v="B VISA E-TOLL OCT 2016"/>
    <x v="1"/>
    <s v="Overhead"/>
    <x v="3"/>
    <d v="2016-10-31T00:00:00"/>
    <s v="Oct-16"/>
    <s v="E-Toll Business Operations Centre - TAG NO 3829695 _x000d__x000a_GC GCC00K F250 Ford"/>
    <n v="17.649999999999999"/>
    <m/>
    <m/>
  </r>
  <r>
    <s v="INV"/>
    <s v="NBN Sydney"/>
    <s v="B VISA E-TOLL OCT 2016"/>
    <x v="1"/>
    <s v="Overhead"/>
    <x v="3"/>
    <d v="2016-10-31T00:00:00"/>
    <s v="Oct-16"/>
    <s v="E-Toll Business Operations Centre - TAG NO 4088301 _x000d__x000a_PJ CHV14B Toyota Hilux SYD"/>
    <n v="299.14999999999998"/>
    <m/>
    <m/>
  </r>
  <r>
    <s v="INV"/>
    <s v="NBN Sydney"/>
    <s v="B VISA E-TOLL OCT 2016"/>
    <x v="1"/>
    <s v="Overhead"/>
    <x v="3"/>
    <d v="2016-10-31T00:00:00"/>
    <s v="Oct-16"/>
    <s v="E-Toll Business Operations Centre - TAG NO 3166280 _x000d__x000a_GC BE38NA Toyota cruiser Gilbert"/>
    <n v="25.2"/>
    <m/>
    <m/>
  </r>
  <r>
    <s v="INV"/>
    <s v="NBN Sydney"/>
    <s v="B VISA E-TOLL OCT 2016"/>
    <x v="5"/>
    <s v="NBN Greenfields DJC Internals"/>
    <x v="52"/>
    <d v="2016-10-31T00:00:00"/>
    <s v="Oct-16"/>
    <s v="E-Toll Business Operations Centre - TAG NO 3665998 PHan BU59MS Toyota Hiace Van"/>
    <n v="15.4575"/>
    <m/>
    <m/>
  </r>
  <r>
    <s v="INV"/>
    <s v="NBN Sydney"/>
    <s v="B VISA E-TOLL OCT 2017"/>
    <x v="5"/>
    <s v="NBN Greenfields DJC Internals"/>
    <x v="50"/>
    <d v="2016-10-31T00:00:00"/>
    <s v="Oct-16"/>
    <s v="E-Toll Business Operations Centre - TAG NO 3665998 PHan BU59MS Toyota Hiace Van"/>
    <n v="15.4575"/>
    <m/>
    <m/>
  </r>
  <r>
    <s v="INV"/>
    <s v="NBN Sydney"/>
    <s v="B VISA E-TOLL OCT 2018"/>
    <x v="5"/>
    <s v="NBN Greenfields DJC Internals"/>
    <x v="59"/>
    <d v="2016-10-31T00:00:00"/>
    <s v="Oct-16"/>
    <s v="E-Toll Business Operations Centre - TAG NO 3665998 PHan BU59MS Toyota Hiace Van"/>
    <n v="15.4575"/>
    <m/>
    <m/>
  </r>
  <r>
    <s v="INV"/>
    <s v="NBN Sydney"/>
    <s v="B VISA E-TOLL OCT 2018"/>
    <x v="5"/>
    <s v="NBN Greenfields DJC Internals"/>
    <x v="60"/>
    <d v="2016-10-31T00:00:00"/>
    <s v="Oct-16"/>
    <s v="E-Toll Business Operations Centre - TAG NO 3665998 PHan BU59MS Toyota Hiace Van"/>
    <n v="15.4575"/>
    <m/>
    <m/>
  </r>
  <r>
    <s v="INV"/>
    <s v="NBN Sydney"/>
    <s v="202"/>
    <x v="1"/>
    <s v="Overhead"/>
    <x v="3"/>
    <d v="2016-10-10T00:00:00"/>
    <s v="Oct-16"/>
    <s v="Wade Ryan Contracting - consultancy Fees for the month of SEPTEMBER"/>
    <n v="400"/>
    <m/>
    <m/>
  </r>
  <r>
    <s v="INV"/>
    <s v="NBN Sydney"/>
    <s v="0005222 DM CARD"/>
    <x v="1"/>
    <s v="Overhead"/>
    <x v="3"/>
    <d v="2016-10-21T00:00:00"/>
    <s v="Oct-16"/>
    <s v="in2fix Computers Pty Ltd - Cat6 Lan Cables 10m"/>
    <n v="27.72"/>
    <m/>
    <m/>
  </r>
  <r>
    <s v="PE"/>
    <s v="NBN Sydney"/>
    <s v="Payroll Expense Journal - PD-335"/>
    <x v="1"/>
    <s v="Overhead"/>
    <x v="3"/>
    <d v="2016-10-31T00:00:00"/>
    <s v="Oct-16"/>
    <s v="Wagga ADMIN SuperRM &amp; RS"/>
    <n v="274.52999999999997"/>
    <m/>
    <m/>
  </r>
  <r>
    <s v="INV"/>
    <s v="NBN Sydney"/>
    <s v="P 735 394 911-2"/>
    <x v="1"/>
    <s v="Overhead"/>
    <x v="3"/>
    <d v="2016-10-15T00:00:00"/>
    <s v="Oct-16"/>
    <s v="Telstra - ACCOUNT NO. 097 1491 700 _x000d__x000a__x000d__x000a_TELEPHONE CHARGES "/>
    <n v="32.18"/>
    <m/>
    <m/>
  </r>
  <r>
    <s v="PE"/>
    <s v="NBN Sydney"/>
    <s v="3.4 Telephone Allowance "/>
    <x v="5"/>
    <s v="NBN Minor Works DJC Internals"/>
    <x v="49"/>
    <d v="2016-10-03T00:00:00"/>
    <s v="Oct-16"/>
    <s v="Peter  Hanley"/>
    <n v="23.08"/>
    <m/>
    <m/>
  </r>
  <r>
    <s v="PE"/>
    <s v="NBN Sydney"/>
    <s v="3.4 Telephone Allowance "/>
    <x v="5"/>
    <s v="Syndeticom"/>
    <x v="66"/>
    <d v="2016-10-10T00:00:00"/>
    <s v="Oct-16"/>
    <s v="Peter  Hanley"/>
    <n v="23.08"/>
    <m/>
    <m/>
  </r>
  <r>
    <s v="PE"/>
    <s v="NBN Sydney"/>
    <s v="3.4 Telephone Allowance "/>
    <x v="5"/>
    <s v="NBN Minor Works DJC Internals"/>
    <x v="49"/>
    <d v="2016-10-17T00:00:00"/>
    <s v="Oct-16"/>
    <s v="Peter  Hanley"/>
    <n v="23.08"/>
    <m/>
    <m/>
  </r>
  <r>
    <s v="PE"/>
    <s v="NBN Sydney"/>
    <s v="3.4 Telephone Allowance "/>
    <x v="5"/>
    <s v="Syndeticom"/>
    <x v="66"/>
    <d v="2016-10-24T00:00:00"/>
    <s v="Oct-16"/>
    <s v="Peter  Hanley"/>
    <n v="23.08"/>
    <m/>
    <m/>
  </r>
  <r>
    <s v="PE"/>
    <s v="NBN Sydney"/>
    <s v="3.4 Telephone Allowance "/>
    <x v="5"/>
    <s v="Syndeticom"/>
    <x v="66"/>
    <d v="2016-10-31T00:00:00"/>
    <s v="Oct-16"/>
    <s v="Peter  Hanley"/>
    <n v="23.08"/>
    <m/>
    <m/>
  </r>
  <r>
    <s v="PE"/>
    <s v="NBN Sydney"/>
    <s v="3.4 Telephone Allowance "/>
    <x v="1"/>
    <s v="Overhead"/>
    <x v="3"/>
    <d v="2016-10-31T00:00:00"/>
    <s v="Oct-16"/>
    <s v="RS &amp; RM "/>
    <n v="20"/>
    <m/>
    <m/>
  </r>
  <r>
    <s v="INV"/>
    <s v="NBN Sydney"/>
    <s v="92036202"/>
    <x v="1"/>
    <s v="Overhead"/>
    <x v="3"/>
    <d v="2016-10-03T00:00:00"/>
    <s v="Oct-16"/>
    <s v="Corning Optical Communications Pty Ltd - RST ribbon splitting tool"/>
    <n v="375"/>
    <m/>
    <m/>
  </r>
  <r>
    <s v="PE"/>
    <s v="NBN Sydney"/>
    <s v="Payroll Expense Journal - PD-335"/>
    <x v="1"/>
    <s v="Overhead"/>
    <x v="3"/>
    <d v="2016-10-31T00:00:00"/>
    <s v="Oct-16"/>
    <s v="Earnings"/>
    <n v="2677.78"/>
    <m/>
    <m/>
  </r>
  <r>
    <s v="INV"/>
    <s v="NBN Sydney"/>
    <s v="11810219"/>
    <x v="1"/>
    <s v="Overhead"/>
    <x v="3"/>
    <d v="2016-10-31T00:00:00"/>
    <s v="Oct-16"/>
    <s v="Cleanaway - Waste Removal -  Sydney"/>
    <n v="93.8"/>
    <m/>
    <m/>
  </r>
  <r>
    <s v="INV"/>
    <s v="NBN Sydney"/>
    <s v="20435"/>
    <x v="1"/>
    <s v="Overhead"/>
    <x v="3"/>
    <d v="2016-10-01T00:00:00"/>
    <s v="Oct-16"/>
    <s v="I.T. Solutions &amp; Services Pty Ltd - JOB #3333_x000d__x000a__x000d__x000a_02/09/2016 - SCOTT_x000d__x000a__x000d__x000a_REMOVED CRY PTOLOCKER INFECTION. RESTORED FILES FROM SHADOW COPIES. REMOVED ENCRYPTED FILES _x000d__x000a__x000d__x000a_MA LAPTOP "/>
    <n v="50"/>
    <m/>
    <m/>
  </r>
  <r>
    <s v="INV"/>
    <s v="NBN Sydney"/>
    <s v="001-24937-7016"/>
    <x v="4"/>
    <s v="Minchinbury Mobilisation"/>
    <x v="70"/>
    <d v="2016-10-01T00:00:00"/>
    <s v="Oct-16"/>
    <s v="Bunnings Warehouse - TOILET SEAT TASMAN, WHITE "/>
    <n v="17.170000000000002"/>
    <m/>
    <m/>
  </r>
  <r>
    <s v="CN"/>
    <s v="NBN Sydney"/>
    <m/>
    <x v="1"/>
    <s v="Overhead Credit"/>
    <x v="44"/>
    <d v="2016-10-03T00:00:00"/>
    <s v="Oct-16"/>
    <s v="Hertz - Truck rental"/>
    <m/>
    <s v="Overhead"/>
    <n v="561.48"/>
  </r>
  <r>
    <s v="INV"/>
    <s v="NBN Sydney"/>
    <s v="11817246"/>
    <x v="1"/>
    <s v="Overhead"/>
    <x v="3"/>
    <d v="2016-10-31T00:00:00"/>
    <s v="Oct-16"/>
    <s v="Cleanaway - Waste Removal -  Sydney"/>
    <n v="16.57"/>
    <m/>
    <m/>
  </r>
  <r>
    <s v="INV"/>
    <s v="NBN Sydney"/>
    <s v="11810219"/>
    <x v="1"/>
    <s v="Overhead"/>
    <x v="3"/>
    <d v="2016-10-31T00:00:00"/>
    <s v="Oct-16"/>
    <s v="Cleanaway - Waste Removal -  Sydney"/>
    <n v="93.8"/>
    <m/>
    <m/>
  </r>
  <r>
    <s v="INV"/>
    <s v="NBN Sydney"/>
    <s v="3375/1418"/>
    <x v="1"/>
    <s v="Overhead"/>
    <x v="3"/>
    <d v="2016-10-16T00:00:00"/>
    <s v="Oct-16"/>
    <s v="Regus Australia Management - RETAINER/DEPOSIT "/>
    <n v="4510"/>
    <m/>
    <m/>
  </r>
  <r>
    <s v="INV"/>
    <s v="NBN Sydney"/>
    <s v="3375/1418"/>
    <x v="1"/>
    <s v="Overhead"/>
    <x v="3"/>
    <d v="2016-10-16T00:00:00"/>
    <s v="Oct-16"/>
    <s v="Regus Australia Management - OFFICE "/>
    <n v="1018.39"/>
    <m/>
    <m/>
  </r>
  <r>
    <s v="INV"/>
    <s v="NBN Sydney"/>
    <s v="3375/1419"/>
    <x v="1"/>
    <s v="Overhead"/>
    <x v="3"/>
    <d v="2016-10-16T00:00:00"/>
    <s v="Oct-16"/>
    <s v="Regus Australia Management - ONE OFF CHARGE INCURRED "/>
    <n v="2255"/>
    <m/>
    <m/>
  </r>
  <r>
    <s v="INV"/>
    <s v="NBN Sydney"/>
    <s v="1874"/>
    <x v="1"/>
    <s v="Overhead"/>
    <x v="3"/>
    <d v="2016-10-25T00:00:00"/>
    <s v="Oct-16"/>
    <s v="Schokman Pty Limited - OFFICE USE, $100.00 PER WEEK"/>
    <n v="300"/>
    <m/>
    <m/>
  </r>
  <r>
    <s v="INV"/>
    <s v="NBN Sydney"/>
    <s v="3375/1439"/>
    <x v="1"/>
    <s v="Overhead"/>
    <x v="3"/>
    <d v="2016-10-31T00:00:00"/>
    <s v="Oct-16"/>
    <s v="Regus Australia Management - Office"/>
    <n v="2255"/>
    <m/>
    <m/>
  </r>
  <r>
    <s v="INV"/>
    <s v="NBN Sydney"/>
    <s v="61466"/>
    <x v="1"/>
    <s v="Overhead"/>
    <x v="3"/>
    <d v="2016-10-16T00:00:00"/>
    <s v="Oct-16"/>
    <s v="Caltex Wagga Wagga - Lake Albert Road - ULP 62.99L 1.159"/>
    <n v="66.37"/>
    <m/>
    <m/>
  </r>
  <r>
    <s v="INV"/>
    <s v="NBN Sydney"/>
    <s v="1801061"/>
    <x v="1"/>
    <s v="Overhead"/>
    <x v="3"/>
    <d v="2016-10-25T00:00:00"/>
    <s v="Oct-16"/>
    <s v="BP Seven Hills - ULP 63.27L 1.149"/>
    <n v="66.09"/>
    <m/>
    <m/>
  </r>
  <r>
    <s v="INV"/>
    <s v="NBN Sydney"/>
    <s v="76828"/>
    <x v="5"/>
    <s v="NBN Minor Works DJC Internals"/>
    <x v="49"/>
    <d v="2016-10-06T00:00:00"/>
    <s v="Oct-16"/>
    <s v="Eureka Operations - Coles Express - ULP 53.65L 1.299"/>
    <n v="63.35"/>
    <m/>
    <m/>
  </r>
  <r>
    <s v="INV"/>
    <s v="NBN Sydney"/>
    <s v="14/10/16 14.51"/>
    <x v="5"/>
    <s v="NBN Greenfields DJC Internals"/>
    <x v="56"/>
    <d v="2016-10-12T00:00:00"/>
    <s v="Oct-16"/>
    <s v="Caltex Seven Hills - ULP 53.28L 1.019"/>
    <n v="49.36"/>
    <m/>
    <m/>
  </r>
  <r>
    <s v="INV"/>
    <s v="NBN Sydney"/>
    <s v="1640509"/>
    <x v="5"/>
    <s v="Syndeticom"/>
    <x v="66"/>
    <d v="2016-10-14T00:00:00"/>
    <s v="Oct-16"/>
    <s v="BP Express Asquith - ULP 56.14L 1.299"/>
    <n v="66.3"/>
    <m/>
    <m/>
  </r>
  <r>
    <s v="INV"/>
    <s v="NBN Sydney"/>
    <s v="098351"/>
    <x v="5"/>
    <s v="NBN Minor Works DJC Internals"/>
    <x v="63"/>
    <d v="2016-10-20T00:00:00"/>
    <s v="Oct-16"/>
    <s v="Eureka Operations - Coles Express - ULP 50.12L 1.299"/>
    <n v="59.19"/>
    <m/>
    <m/>
  </r>
  <r>
    <s v="INV"/>
    <s v="NBN Sydney"/>
    <s v="2664478"/>
    <x v="1"/>
    <s v="Overhead"/>
    <x v="3"/>
    <d v="2016-10-04T00:00:00"/>
    <s v="Oct-16"/>
    <s v="Eureka Operations - Coles Express - DIESEL 58.19L 1.209"/>
    <n v="63.95"/>
    <m/>
    <m/>
  </r>
  <r>
    <s v="INV"/>
    <s v="NBN Sydney"/>
    <s v="374113"/>
    <x v="1"/>
    <s v="Overhead"/>
    <x v="3"/>
    <d v="2016-10-07T00:00:00"/>
    <s v="Oct-16"/>
    <s v="Eureka Operations - Coles Express - Diesel 63.26L 1.189"/>
    <n v="68.38"/>
    <m/>
    <m/>
  </r>
  <r>
    <s v="INV"/>
    <s v="NBN Sydney"/>
    <s v="1045927"/>
    <x v="1"/>
    <s v="Overhead"/>
    <x v="3"/>
    <d v="2016-10-11T00:00:00"/>
    <s v="Oct-16"/>
    <s v="Eureka Operations - Coles Express - Diesel 63.99L 1.199"/>
    <n v="69.75"/>
    <m/>
    <m/>
  </r>
  <r>
    <s v="INV"/>
    <s v="NBN Sydney"/>
    <s v="1048618"/>
    <x v="1"/>
    <s v="Overhead"/>
    <x v="3"/>
    <d v="2016-10-15T00:00:00"/>
    <s v="Oct-16"/>
    <s v="Eureka Operations - Coles Express - Diesel 64.05L 1.219"/>
    <n v="70.98"/>
    <m/>
    <m/>
  </r>
  <r>
    <s v="INV"/>
    <s v="NBN Sydney"/>
    <s v="27124"/>
    <x v="1"/>
    <s v="Overhead"/>
    <x v="3"/>
    <d v="2016-10-18T00:00:00"/>
    <s v="Oct-16"/>
    <s v="Caltex Wyoming - DIESEL 62.24L 1.239"/>
    <n v="70.099999999999994"/>
    <m/>
    <m/>
  </r>
  <r>
    <s v="INV"/>
    <s v="NBN Sydney"/>
    <s v="500754"/>
    <x v="1"/>
    <s v="Overhead"/>
    <x v="3"/>
    <d v="2016-10-20T00:00:00"/>
    <s v="Oct-16"/>
    <s v="BP Chatsworth - Diesel 63.39L 1.199"/>
    <n v="69.09"/>
    <m/>
    <m/>
  </r>
  <r>
    <s v="INV"/>
    <s v="NBN Sydney"/>
    <s v="24.10.16 06.46"/>
    <x v="1"/>
    <s v="Overhead"/>
    <x v="3"/>
    <d v="2016-10-24T00:00:00"/>
    <s v="Oct-16"/>
    <s v="BP Connect Thornleigh - Diesel 61.10L 1.249"/>
    <n v="69.37"/>
    <m/>
    <m/>
  </r>
  <r>
    <s v="INV"/>
    <s v="NBN Sydney"/>
    <s v="33348"/>
    <x v="1"/>
    <s v="Overhead"/>
    <x v="3"/>
    <d v="2016-10-26T00:00:00"/>
    <s v="Oct-16"/>
    <s v="Caltex Wyoming - DIESEL 62.98L 1.279"/>
    <n v="73.23"/>
    <m/>
    <m/>
  </r>
  <r>
    <s v="INV"/>
    <s v="NBN Sydney"/>
    <s v="5708/0101"/>
    <x v="1"/>
    <s v="Overhead"/>
    <x v="3"/>
    <d v="2016-10-28T00:00:00"/>
    <s v="Oct-16"/>
    <s v="BP Sunnyholt - Diesel 46.48L 1.159"/>
    <n v="48.97"/>
    <m/>
    <m/>
  </r>
  <r>
    <s v="INV"/>
    <s v="NBN Sydney"/>
    <s v="#25316"/>
    <x v="5"/>
    <s v="NBN Minor Works DJC Internals"/>
    <x v="68"/>
    <d v="2016-10-01T00:00:00"/>
    <s v="Oct-16"/>
    <s v="SYDNEY VEHICLE  AND TEST EQUIPMENT RENTAL - TEST EQUIPMENT MONTHLY RENTAL"/>
    <n v="75.166666666666671"/>
    <m/>
    <m/>
  </r>
  <r>
    <s v="INV"/>
    <s v="NBN Sydney"/>
    <s v="#25316"/>
    <x v="5"/>
    <s v="NBN Minor Works DJC Internals"/>
    <x v="69"/>
    <d v="2016-10-01T00:00:00"/>
    <s v="Oct-16"/>
    <s v="SYDNEY VEHICLE  AND TEST EQUIPMENT RENTAL - TEST EQUIPMENT MONTHLY RENTAL"/>
    <n v="75.166666666666671"/>
    <m/>
    <m/>
  </r>
  <r>
    <s v="INV"/>
    <s v="NBN Sydney"/>
    <s v="#25316"/>
    <x v="5"/>
    <s v="NBN Greenfields DJC Internals"/>
    <x v="56"/>
    <d v="2016-10-01T00:00:00"/>
    <s v="Oct-16"/>
    <s v="SYDNEY VEHICLE  AND TEST EQUIPMENT RENTAL - TEST EQUIPMENT MONTHLY RENTAL"/>
    <n v="75.166666666666671"/>
    <m/>
    <m/>
  </r>
  <r>
    <s v="INV"/>
    <s v="NBN Sydney"/>
    <s v="#25316"/>
    <x v="5"/>
    <s v="NBN Minor Works DJC Internals"/>
    <x v="68"/>
    <d v="2016-10-01T00:00:00"/>
    <s v="Oct-16"/>
    <s v="SYDNEY VEHICLE  AND TEST EQUIPMENT RENTAL - TEST EQUIPMENT MONTHLY RENTAL"/>
    <n v="75.166666666666671"/>
    <m/>
    <m/>
  </r>
  <r>
    <s v="INV"/>
    <s v="NBN Sydney"/>
    <s v="#25316"/>
    <x v="5"/>
    <s v="Syndeticom"/>
    <x v="66"/>
    <d v="2016-10-01T00:00:00"/>
    <s v="Oct-16"/>
    <s v="SYDNEY VEHICLE  AND TEST EQUIPMENT RENTAL - TEST EQUIPMENT MONTHLY RENTAL"/>
    <n v="75.166666666666671"/>
    <m/>
    <m/>
  </r>
  <r>
    <s v="INV"/>
    <s v="NBN Sydney"/>
    <s v="#25316"/>
    <x v="5"/>
    <s v="NBN Greenfields DJC Internals"/>
    <x v="63"/>
    <d v="2016-10-01T00:00:00"/>
    <s v="Oct-16"/>
    <s v="SYDNEY VEHICLE  AND TEST EQUIPMENT RENTAL - TEST EQUIPMENT MONTHLY RENTAL"/>
    <n v="75.166666666666671"/>
    <m/>
    <m/>
  </r>
  <r>
    <s v="INV"/>
    <s v="NBN Sydney"/>
    <s v="#25316"/>
    <x v="5"/>
    <s v="PipeNetworks"/>
    <x v="40"/>
    <d v="2016-10-01T00:00:00"/>
    <s v="Oct-16"/>
    <s v="SYDNEY VEHICLE  AND TEST EQUIPMENT RENTAL - TEST EQUIPMENT MONTHLY RENTAL"/>
    <n v="75.166666666666671"/>
    <m/>
    <m/>
  </r>
  <r>
    <s v="INV"/>
    <s v="NBN Sydney"/>
    <s v="#25316"/>
    <x v="5"/>
    <s v="NBN Minor Works DJC Internals"/>
    <x v="69"/>
    <d v="2016-10-01T00:00:00"/>
    <s v="Oct-16"/>
    <s v="SYDNEY VEHICLE  AND TEST EQUIPMENT RENTAL - TEST EQUIPMENT MONTHLY RENTAL"/>
    <n v="75.166666666666671"/>
    <m/>
    <m/>
  </r>
  <r>
    <s v="INV"/>
    <s v="NBN Sydney"/>
    <s v="#25316"/>
    <x v="5"/>
    <s v="NBN Minor Works DJC Internals"/>
    <x v="68"/>
    <d v="2016-10-01T00:00:00"/>
    <s v="Oct-16"/>
    <s v="SYDNEY VEHICLE  AND TEST EQUIPMENT RENTAL - TEST EQUIPMENT MONTHLY RENTAL"/>
    <n v="75.166666666666671"/>
    <m/>
    <m/>
  </r>
  <r>
    <s v="INV"/>
    <s v="NBN Sydney"/>
    <s v="#25316"/>
    <x v="5"/>
    <s v="NBN Minor Works DJC Internals"/>
    <x v="68"/>
    <d v="2016-10-01T00:00:00"/>
    <s v="Oct-16"/>
    <s v="SYDNEY VEHICLE  AND TEST EQUIPMENT RENTAL - TEST EQUIPMENT MONTHLY RENTAL"/>
    <n v="75.166666666666671"/>
    <m/>
    <m/>
  </r>
  <r>
    <s v="INV"/>
    <s v="NBN Sydney"/>
    <s v="#25316"/>
    <x v="5"/>
    <s v="NBN Minor Works DJC Internals"/>
    <x v="69"/>
    <d v="2016-10-01T00:00:00"/>
    <s v="Oct-16"/>
    <s v="SYDNEY VEHICLE  AND TEST EQUIPMENT RENTAL - TEST EQUIPMENT MONTHLY RENTAL"/>
    <n v="75.166666666666671"/>
    <m/>
    <m/>
  </r>
  <r>
    <s v="INV"/>
    <s v="NBN Sydney"/>
    <s v="#25316"/>
    <x v="5"/>
    <s v="Syndeticom"/>
    <x v="66"/>
    <d v="2016-10-01T00:00:00"/>
    <s v="Oct-16"/>
    <s v="SYDNEY VEHICLE  AND TEST EQUIPMENT RENTAL - TEST EQUIPMENT MONTHLY RENTAL"/>
    <n v="75.166666666666671"/>
    <m/>
    <m/>
  </r>
  <r>
    <s v="INV"/>
    <s v="NBN Sydney"/>
    <s v="#25316"/>
    <x v="1"/>
    <s v="Test Equipment &amp; Tools"/>
    <x v="27"/>
    <d v="2016-10-01T00:00:00"/>
    <s v="Oct-16"/>
    <s v="SYDNEY VEHICLE  AND TEST EQUIPMENT RENTAL - Forklift"/>
    <n v="487"/>
    <m/>
    <m/>
  </r>
  <r>
    <s v="INV"/>
    <s v="NBN Sydney"/>
    <s v="#25316"/>
    <x v="1"/>
    <s v="Overhead"/>
    <x v="3"/>
    <d v="2016-10-01T00:00:00"/>
    <s v="Oct-16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833"/>
    <m/>
    <m/>
  </r>
  <r>
    <s v="INV"/>
    <s v="NBN Sydney"/>
    <s v="#25316"/>
    <x v="5"/>
    <s v="NBN Greenfields DJC Internals"/>
    <x v="52"/>
    <d v="2016-10-01T00:00:00"/>
    <s v="Oct-16"/>
    <s v="SYDNEY VEHICLE  AND TEST EQUIPMENT RENTAL - BU59MS -HIACE RENTAL - "/>
    <n v="69.416666666666671"/>
    <m/>
    <m/>
  </r>
  <r>
    <s v="INV"/>
    <s v="NBN Sydney"/>
    <s v="#25316"/>
    <x v="5"/>
    <s v="NBN Minor Works DJC Internals"/>
    <x v="68"/>
    <d v="2016-10-01T00:00:00"/>
    <s v="Oct-16"/>
    <s v="SYDNEY VEHICLE  AND TEST EQUIPMENT RENTAL - BU59MS -HIACE RENTAL - "/>
    <n v="69.416666666666671"/>
    <m/>
    <m/>
  </r>
  <r>
    <s v="INV"/>
    <s v="NBN Sydney"/>
    <s v="#25316"/>
    <x v="5"/>
    <s v="NBN Minor Works DJC Internals"/>
    <x v="69"/>
    <d v="2016-10-01T00:00:00"/>
    <s v="Oct-16"/>
    <s v="SYDNEY VEHICLE  AND TEST EQUIPMENT RENTAL - BU59MS -HIACE RENTAL - "/>
    <n v="69.416666666666671"/>
    <m/>
    <m/>
  </r>
  <r>
    <s v="INV"/>
    <s v="NBN Sydney"/>
    <s v="#25316"/>
    <x v="5"/>
    <s v="NBN Greenfields DJC Internals"/>
    <x v="56"/>
    <d v="2016-10-01T00:00:00"/>
    <s v="Oct-16"/>
    <s v="SYDNEY VEHICLE  AND TEST EQUIPMENT RENTAL - BU59MS -HIACE RENTAL - "/>
    <n v="69.416666666666671"/>
    <m/>
    <m/>
  </r>
  <r>
    <s v="INV"/>
    <s v="NBN Sydney"/>
    <s v="#25316"/>
    <x v="5"/>
    <s v="Syndeticom"/>
    <x v="66"/>
    <d v="2016-10-01T00:00:00"/>
    <s v="Oct-16"/>
    <s v="SYDNEY VEHICLE  AND TEST EQUIPMENT RENTAL - BU59MS -HIACE RENTAL - "/>
    <n v="69.416666666666671"/>
    <m/>
    <m/>
  </r>
  <r>
    <s v="INV"/>
    <s v="NBN Sydney"/>
    <s v="#25316"/>
    <x v="5"/>
    <s v="NBN Minor Works DJC Internals"/>
    <x v="69"/>
    <d v="2016-10-01T00:00:00"/>
    <s v="Oct-16"/>
    <s v="SYDNEY VEHICLE  AND TEST EQUIPMENT RENTAL - BU59MS -HIACE RENTAL - "/>
    <n v="69.416666666666671"/>
    <m/>
    <m/>
  </r>
  <r>
    <s v="INV"/>
    <s v="NBN Sydney"/>
    <s v="#25316"/>
    <x v="5"/>
    <s v="PipeNetworks"/>
    <x v="40"/>
    <d v="2016-10-01T00:00:00"/>
    <s v="Oct-16"/>
    <s v="SYDNEY VEHICLE  AND TEST EQUIPMENT RENTAL - BU59MS -HIACE RENTAL - "/>
    <n v="69.416666666666671"/>
    <m/>
    <m/>
  </r>
  <r>
    <s v="INV"/>
    <s v="NBN Sydney"/>
    <s v="#25316"/>
    <x v="5"/>
    <s v="NBN Minor Works DJC Internals"/>
    <x v="68"/>
    <d v="2016-10-01T00:00:00"/>
    <s v="Oct-16"/>
    <s v="SYDNEY VEHICLE  AND TEST EQUIPMENT RENTAL - BU59MS -HIACE RENTAL - "/>
    <n v="69.416666666666671"/>
    <m/>
    <m/>
  </r>
  <r>
    <s v="INV"/>
    <s v="NBN Sydney"/>
    <s v="#25316"/>
    <x v="5"/>
    <s v="NBN Minor Works DJC Internals"/>
    <x v="69"/>
    <d v="2016-10-01T00:00:00"/>
    <s v="Oct-16"/>
    <s v="SYDNEY VEHICLE  AND TEST EQUIPMENT RENTAL - BU59MS -HIACE RENTAL - "/>
    <n v="69.416666666666671"/>
    <m/>
    <m/>
  </r>
  <r>
    <s v="INV"/>
    <s v="NBN Sydney"/>
    <s v="#25316"/>
    <x v="5"/>
    <s v="NBN Greenfields DJC Internals"/>
    <x v="50"/>
    <d v="2016-10-01T00:00:00"/>
    <s v="Oct-16"/>
    <s v="SYDNEY VEHICLE  AND TEST EQUIPMENT RENTAL - BU59MS -HIACE RENTAL - "/>
    <n v="69.416666666666671"/>
    <m/>
    <m/>
  </r>
  <r>
    <s v="INV"/>
    <s v="NBN Sydney"/>
    <s v="#25316"/>
    <x v="5"/>
    <s v="NBN Greenfields DJC Internals"/>
    <x v="57"/>
    <d v="2016-10-01T00:00:00"/>
    <s v="Oct-16"/>
    <s v="SYDNEY VEHICLE  AND TEST EQUIPMENT RENTAL - BU59MS -HIACE RENTAL - "/>
    <n v="69.416666666666671"/>
    <m/>
    <m/>
  </r>
  <r>
    <s v="INV"/>
    <s v="NBN Sydney"/>
    <s v="#25316"/>
    <x v="5"/>
    <s v="Syndeticom"/>
    <x v="66"/>
    <d v="2016-10-01T00:00:00"/>
    <s v="Oct-16"/>
    <s v="SYDNEY VEHICLE  AND TEST EQUIPMENT RENTAL - BU59MS -HIACE RENTAL - "/>
    <n v="69.416666666666671"/>
    <m/>
    <m/>
  </r>
  <r>
    <s v="INV"/>
    <s v="NBN Sydney"/>
    <s v="3723461"/>
    <x v="1"/>
    <s v="Overhead"/>
    <x v="3"/>
    <d v="2016-10-12T00:00:00"/>
    <s v="Oct-16"/>
    <s v="Eureka Operations - Coles Express - Diesel 90.08L 1.199"/>
    <n v="98.19"/>
    <m/>
    <m/>
  </r>
  <r>
    <s v="INV"/>
    <s v="NBN Sydney"/>
    <s v="2329346"/>
    <x v="1"/>
    <s v="Overhead"/>
    <x v="3"/>
    <d v="2016-10-13T00:00:00"/>
    <s v="Oct-16"/>
    <s v="BP Marulan - Diesel 100.98L 1.179"/>
    <n v="108.24"/>
    <m/>
    <m/>
  </r>
  <r>
    <s v="INV"/>
    <s v="NBN Sydney"/>
    <s v="CN-11588a"/>
    <x v="3"/>
    <s v="NBN Greenfields"/>
    <x v="57"/>
    <d v="2016-11-01T00:00:00"/>
    <s v="Nov-16"/>
    <s v="NBN Co Sydney - AYCA-2DSDBP - 3 Glenfield Road, Glenfield - 1"/>
    <n v="7931.68"/>
    <s v="NBN Greenfields - AYCA-2DSDBP - 3 Glenfield Road, Glenfield - 1"/>
    <m/>
  </r>
  <r>
    <s v="INV"/>
    <s v="NBN Sydney"/>
    <s v="INV-11660"/>
    <x v="3"/>
    <s v="NBN Greenfields"/>
    <x v="57"/>
    <d v="2016-11-01T00:00:00"/>
    <s v="Nov-16"/>
    <s v="NBN Co Sydney - AYCA-2DSDBP - 3 Glenfield Road, Glenfield - 1"/>
    <m/>
    <s v="NBN Greenfields - AYCA-2DSDBP - 3 Glenfield Road, Glenfield - 1"/>
    <n v="7726.87"/>
  </r>
  <r>
    <s v="INV"/>
    <s v="NBN Sydney"/>
    <s v="INV-11661"/>
    <x v="3"/>
    <s v="NBN Greenfields"/>
    <x v="41"/>
    <d v="2016-11-01T00:00:00"/>
    <s v="Nov-16"/>
    <s v="NBN Co Sydney - AYCA-2PFFWC-19 Brae Street, Prospect"/>
    <m/>
    <s v="NBN Greenfields - AYCA-2PFFWC - 19 Brae Street, Prospect "/>
    <n v="4953.0600000000004"/>
  </r>
  <r>
    <s v="INV"/>
    <s v="NBN Sydney"/>
    <s v="CN-11656"/>
    <x v="3"/>
    <s v="Servicestream"/>
    <x v="48"/>
    <d v="2016-11-01T00:00:00"/>
    <s v="Nov-16"/>
    <s v="Service Stream Communications Pty Ltd - 5 x W5852"/>
    <m/>
    <s v="ServiceStream"/>
    <n v="-232.45"/>
  </r>
  <r>
    <s v="INV"/>
    <s v="NBN Sydney"/>
    <s v="INV-11657"/>
    <x v="3"/>
    <s v="Servicestream"/>
    <x v="48"/>
    <d v="2016-11-01T00:00:00"/>
    <s v="Nov-16"/>
    <s v="Service Stream Communications Pty Ltd - 1 x W5290"/>
    <m/>
    <s v="ServiceStream"/>
    <n v="119.88"/>
  </r>
  <r>
    <s v="INV"/>
    <s v="NBN Sydney"/>
    <s v="CN-11550a"/>
    <x v="3"/>
    <s v="NBN Greenfields"/>
    <x v="41"/>
    <d v="2016-11-01T00:00:00"/>
    <s v="Nov-16"/>
    <s v="NBN Co Sydney - AYCA-2PFFWC-19 Brae Street, Prospect"/>
    <n v="5464.56"/>
    <s v="NBN Greenfields - AYCA-2PFFWC - 19 Brae Street, Prospect "/>
    <m/>
  </r>
  <r>
    <s v="INV"/>
    <s v="NBN Sydney"/>
    <s v="INV-11624"/>
    <x v="3"/>
    <s v="NBN Minor Works"/>
    <x v="71"/>
    <d v="2016-11-10T00:00:00"/>
    <s v="Nov-16"/>
    <s v="NBN Co Sydney - 9CRC-05-00-MPS-115 – 20 Federal Highway "/>
    <m/>
    <s v="Minor Works - 9CRC-05-00-MPS-115 – 20 Federal Highway "/>
    <n v="3061.29"/>
  </r>
  <r>
    <s v="INV"/>
    <s v="NBN Sydney"/>
    <s v="INV-11623"/>
    <x v="3"/>
    <s v="NBN Minor Works"/>
    <x v="72"/>
    <d v="2016-11-10T00:00:00"/>
    <s v="Nov-16"/>
    <s v="NBN Co Sydney - 9QBN-03-00-MPS-190 "/>
    <m/>
    <s v="Minor Works - 9QBN-03-00-MPS-190, 41 Campbell St"/>
    <n v="1675"/>
  </r>
  <r>
    <s v="INV"/>
    <s v="NBN Sydney"/>
    <s v="INV-11638"/>
    <x v="3"/>
    <s v="NBN Minor Works"/>
    <x v="0"/>
    <d v="2016-11-15T00:00:00"/>
    <s v="Nov-16"/>
    <s v="NBN Co Sydney - 2LJT-04 Council Restoration"/>
    <m/>
    <s v="Minor Works - 2LJT-04 LNDN"/>
    <n v="14553"/>
  </r>
  <r>
    <s v="INV"/>
    <s v="NBN Sydney"/>
    <s v="INV-11646"/>
    <x v="3"/>
    <s v="NBN Minor Works"/>
    <x v="73"/>
    <d v="2016-11-16T00:00:00"/>
    <s v="Nov-16"/>
    <s v="NBN Co Sydney - 2GOS-03, MPS-193 - Unit 1, 10 Willow Road. Gosford"/>
    <m/>
    <s v="Minor Works - 2GOS-03 MPS 193  Willow Rd"/>
    <n v="2401.09"/>
  </r>
  <r>
    <s v="INV"/>
    <s v="NBN Sydney"/>
    <s v="INV-11682"/>
    <x v="3"/>
    <s v="NBN Minor Works"/>
    <x v="74"/>
    <d v="2016-11-28T00:00:00"/>
    <s v="Nov-16"/>
    <s v="NBN Co Sydney - The Venue conference Centre, 18 Cawley St, Bellambi"/>
    <m/>
    <s v="Minor Works - The Venue conference Centre"/>
    <n v="3486.48"/>
  </r>
  <r>
    <s v="INV"/>
    <s v="NBN Sydney"/>
    <s v="INV-11691"/>
    <x v="3"/>
    <s v="NBN Minor Works"/>
    <x v="75"/>
    <d v="2016-11-30T00:00:00"/>
    <s v="Nov-16"/>
    <s v="NBN Co Sydney - 9QBN-03-00-MPS-034 251 CRAWFORD ST QUEANBEYAN"/>
    <m/>
    <s v="Minor Works - 9QBN-03-00-MPS-034 251 CRAWFORD ST"/>
    <n v="1787.94"/>
  </r>
  <r>
    <s v="INV"/>
    <s v="NBN Sydney"/>
    <s v="INV-11688"/>
    <x v="3"/>
    <s v="NBN Minor Works"/>
    <x v="65"/>
    <d v="2016-11-30T00:00:00"/>
    <s v="Nov-16"/>
    <s v="NBN Co Sydney - 2LJT-06-11 19-21 Bias Ave, Bateau Bay"/>
    <m/>
    <s v="Minor Works - 2LJT-06-11 - 19-21 Bias Ave"/>
    <n v="18243.02"/>
  </r>
  <r>
    <s v="INV"/>
    <s v="NBN Sydney"/>
    <s v="INV-11692"/>
    <x v="3"/>
    <s v="NBN Minor Works"/>
    <x v="49"/>
    <d v="2016-11-30T00:00:00"/>
    <s v="Nov-16"/>
    <s v="NBN Co Sydney - 2GOS-05 Drops"/>
    <m/>
    <s v="Minor Works - 2GOS-05 Drops"/>
    <n v="227123.89"/>
  </r>
  <r>
    <s v="INV"/>
    <s v="NBN Sydney"/>
    <s v="INV-11690"/>
    <x v="3"/>
    <s v="NBN Minor Works"/>
    <x v="76"/>
    <d v="2016-11-30T00:00:00"/>
    <s v="Nov-16"/>
    <s v="NBN Co Sydney - 9CVI02MPS159 Held Order - 128 Bunda"/>
    <m/>
    <s v="Minor Works - 9CVI02MPS159 Held Order - 128 Bunda"/>
    <n v="2040.57"/>
  </r>
  <r>
    <s v="INV"/>
    <s v="NBN Sydney"/>
    <s v="INV-11687"/>
    <x v="3"/>
    <s v="NBN Minor Works"/>
    <x v="77"/>
    <d v="2016-11-30T00:00:00"/>
    <s v="Nov-16"/>
    <s v="NBN Co Sydney - 2GOS-06-11 - 26 MDUs"/>
    <m/>
    <s v="Minor Works - 2GOS-06-11 MDU x 26"/>
    <n v="11888.1"/>
  </r>
  <r>
    <s v="INV"/>
    <s v="NBN Sydney"/>
    <s v="INV-11686 "/>
    <x v="3"/>
    <s v="NBN Minor Works"/>
    <x v="61"/>
    <d v="2016-11-30T00:00:00"/>
    <s v="Nov-16"/>
    <s v="NBN Co Sydney - 2GOS-06 LNDN and MDU Activities "/>
    <m/>
    <s v="Minor Works - 2GOS-06 LNDN and MDU"/>
    <n v="6600.2"/>
  </r>
  <r>
    <s v="INV"/>
    <s v="NBN Sydney"/>
    <s v="INV-11689"/>
    <x v="3"/>
    <s v="NBN Minor Works"/>
    <x v="78"/>
    <d v="2016-11-30T00:00:00"/>
    <s v="Nov-16"/>
    <s v="NBN Co Sydney - 9CVI-02-00-MPS-068  TNCY 17 180 London CCT"/>
    <m/>
    <s v="Minor Works - 9CVI02MPS068 180 London CCT Canberra"/>
    <n v="1930.77"/>
  </r>
  <r>
    <s v="INV"/>
    <s v="NBN Sydney"/>
    <s v="853053"/>
    <x v="1"/>
    <s v="Overhead"/>
    <x v="3"/>
    <d v="2016-11-03T00:00:00"/>
    <s v="Nov-16"/>
    <s v="Mitronics - MINIMUM CHARGE"/>
    <n v="16.75"/>
    <m/>
    <m/>
  </r>
  <r>
    <s v="INV"/>
    <s v="NBN Sydney"/>
    <s v="853053"/>
    <x v="1"/>
    <s v="Overhead"/>
    <x v="3"/>
    <d v="2016-11-03T00:00:00"/>
    <s v="Nov-16"/>
    <s v="Mitronics - DIGITAL SUPPORT "/>
    <n v="39.950000000000003"/>
    <m/>
    <m/>
  </r>
  <r>
    <s v="INV"/>
    <s v="NBN Sydney"/>
    <s v="853053"/>
    <x v="1"/>
    <s v="Overhead"/>
    <x v="3"/>
    <d v="2016-11-03T00:00:00"/>
    <s v="Nov-16"/>
    <s v="Mitronics - S/N AO2E041005704"/>
    <n v="33.25"/>
    <m/>
    <m/>
  </r>
  <r>
    <s v="INV"/>
    <s v="NBN Sydney"/>
    <s v="88990-11-2016"/>
    <x v="1"/>
    <s v="Overhead"/>
    <x v="3"/>
    <d v="2016-11-30T00:00:00"/>
    <s v="Nov-16"/>
    <s v="Supagas - Rental Gas Cylinder Fees"/>
    <n v="8"/>
    <m/>
    <m/>
  </r>
  <r>
    <s v="INV"/>
    <s v="NBN Sydney"/>
    <s v="230339"/>
    <x v="0"/>
    <s v="NBN Minor Works DJC"/>
    <x v="0"/>
    <d v="2016-11-07T00:00:00"/>
    <s v="Nov-16"/>
    <s v="Central Coast Council - NBN RE-REINSTATEMENT "/>
    <n v="14553"/>
    <m/>
    <m/>
  </r>
  <r>
    <s v="INV"/>
    <s v="NBN Sydney"/>
    <s v="10.11.16"/>
    <x v="4"/>
    <s v="NBN Minor Works DJC Internals"/>
    <x v="65"/>
    <d v="2016-11-10T00:00:00"/>
    <s v="Nov-16"/>
    <s v="Woolworths Limited - Energizer Max AA 16Pk"/>
    <n v="8.85"/>
    <m/>
    <m/>
  </r>
  <r>
    <s v="INV"/>
    <s v="NBN Sydney"/>
    <s v="73 A93566"/>
    <x v="4"/>
    <s v="NBN Minor Works DJC Internals"/>
    <x v="71"/>
    <d v="2016-11-23T00:00:00"/>
    <s v="Nov-16"/>
    <s v="Middy's Data &amp; Electrical - Push pull rod set (4x1.5m)- skilled CatV"/>
    <n v="53.41"/>
    <m/>
    <m/>
  </r>
  <r>
    <s v="INV"/>
    <s v="NBN Sydney"/>
    <s v="51332"/>
    <x v="1"/>
    <s v="Test Equipment &amp; Tools"/>
    <x v="27"/>
    <d v="2016-11-23T00:00:00"/>
    <s v="Nov-16"/>
    <s v="AusOptic - UPP adapter for FC, SC, ST, DIN (d-2.5mm)"/>
    <n v="58.12"/>
    <m/>
    <m/>
  </r>
  <r>
    <s v="INV"/>
    <s v="NBN Sydney"/>
    <s v="01803286"/>
    <x v="0"/>
    <s v="NBN Minor Works DJC"/>
    <x v="65"/>
    <d v="2016-11-07T00:00:00"/>
    <s v="Nov-16"/>
    <s v="Craig Comms Pty Ltd - 2LJT-06-11 _x000d__x000a__x000d__x000a_- INSTALL OF LFN FIBRE JOINT ENCLOSURE _x000d__x000a_- PREPARE 144 FIBRE RIBBON CABLE_x000d__x000a_- PREPARE 576 FIBRE RIBBON CABLE_x000d__x000a_-PREPARE 72 FIBRE RIBBON CABLE _x000d__x000a_- SUPPLY AND INSTALL PATCHING CABLE FOR PON PATCHING _x000d__x000a_- SPLICING - RIBBON SIMPLEX _x000d__x000a_- OTDR TESTING - LOCAL _x000d__x000a_OTDR TESTING - DISTRIBUTION _x000d__x000a__x000d__x000a_"/>
    <n v="5057"/>
    <m/>
    <m/>
  </r>
  <r>
    <s v="INV"/>
    <s v="NBN Sydney"/>
    <s v="1882"/>
    <x v="0"/>
    <s v="NBN Greenfields DJC"/>
    <x v="51"/>
    <d v="2016-11-07T00:00:00"/>
    <s v="Nov-16"/>
    <s v="Schokman Pty Limited - NBN GREENFIELDS AND MINOR _x000d__x000a__x000d__x000a_NBN GREENFIELDS AND MINOR WORKS OCTOBER AS PER SUPPLIED SUMMARY "/>
    <n v="1300"/>
    <m/>
    <m/>
  </r>
  <r>
    <s v="INV"/>
    <s v="NBN Sydney"/>
    <s v="1882"/>
    <x v="0"/>
    <s v="NBN Greenfields DJC"/>
    <x v="57"/>
    <d v="2016-11-07T00:00:00"/>
    <s v="Nov-16"/>
    <s v="Schokman Pty Limited - NBN GREENFIELDS AND MINOR _x000d__x000a__x000d__x000a_NBN GREENFIELDS AND MINOR WORKS OCTOBER AS PER SUPPLIED SUMMARY "/>
    <n v="3868.34"/>
    <m/>
    <m/>
  </r>
  <r>
    <s v="INV"/>
    <s v="NBN Sydney"/>
    <s v="1882"/>
    <x v="0"/>
    <s v="NBN Greenfields DJC"/>
    <x v="50"/>
    <d v="2016-11-07T00:00:00"/>
    <s v="Nov-16"/>
    <s v="Schokman Pty Limited - NBN GREENFIELDS AND MINOR _x000d__x000a__x000d__x000a_NBN GREENFIELDS AND MINOR WORKS OCTOBER AS PER SUPPLIED SUMMARY "/>
    <n v="1698.51"/>
    <m/>
    <m/>
  </r>
  <r>
    <s v="INV"/>
    <s v="NBN Sydney"/>
    <s v="1882"/>
    <x v="0"/>
    <s v="NBN Greenfields DJC"/>
    <x v="60"/>
    <d v="2016-11-07T00:00:00"/>
    <s v="Nov-16"/>
    <s v="Schokman Pty Limited - NBN GREENFIELDS AND MINOR _x000d__x000a__x000d__x000a_NBN GREENFIELDS AND MINOR WORKS OCTOBER AS PER SUPPLIED SUMMARY "/>
    <n v="3214"/>
    <m/>
    <m/>
  </r>
  <r>
    <s v="INV"/>
    <s v="NBN Sydney"/>
    <s v="1882"/>
    <x v="0"/>
    <s v="NBN Greenfields DJC"/>
    <x v="59"/>
    <d v="2016-11-07T00:00:00"/>
    <s v="Nov-16"/>
    <s v="Schokman Pty Limited - NBN GREENFIELDS AND MINOR _x000d__x000a__x000d__x000a_NBN GREENFIELDS AND MINOR WORKS OCTOBER AS PER SUPPLIED SUMMARY "/>
    <n v="571.65"/>
    <m/>
    <m/>
  </r>
  <r>
    <s v="INV"/>
    <s v="NBN Sydney"/>
    <s v="1882"/>
    <x v="0"/>
    <s v="NBN Greenfields DJC"/>
    <x v="56"/>
    <d v="2016-11-07T00:00:00"/>
    <s v="Nov-16"/>
    <s v="Schokman Pty Limited - NBN GREENFIELDS AND MINOR _x000d__x000a__x000d__x000a_NBN GREENFIELDS AND MINOR WORKS OCTOBER AS PER SUPPLIED SUMMARY "/>
    <n v="1268.73"/>
    <m/>
    <m/>
  </r>
  <r>
    <s v="INV"/>
    <s v="NBN Sydney"/>
    <s v="1882"/>
    <x v="0"/>
    <s v="NBN Minor Works DJC"/>
    <x v="79"/>
    <d v="2016-11-07T00:00:00"/>
    <s v="Nov-16"/>
    <s v="Schokman Pty Limited - NBN GREENFIELDS AND MINOR _x000d__x000a__x000d__x000a_NBN GREENFIELDS AND MINOR WORKS OCTOBER AS PER SUPPLIED SUMMARY "/>
    <n v="4245.8500000000004"/>
    <m/>
    <m/>
  </r>
  <r>
    <s v="INV"/>
    <s v="NBN Sydney"/>
    <s v="1882"/>
    <x v="0"/>
    <s v="NBN Minor Works DJC"/>
    <x v="49"/>
    <d v="2016-11-07T00:00:00"/>
    <s v="Nov-16"/>
    <s v="Schokman Pty Limited - NBN GREENFIELDS AND MINOR _x000d__x000a__x000d__x000a_NBN GREENFIELDS AND MINOR WORKS OCTOBER AS PER SUPPLIED SUMMARY "/>
    <n v="164"/>
    <m/>
    <m/>
  </r>
  <r>
    <s v="INV"/>
    <s v="NBN Sydney"/>
    <s v="1882"/>
    <x v="0"/>
    <s v="NBN Minor Works DJC"/>
    <x v="65"/>
    <d v="2016-11-07T00:00:00"/>
    <s v="Nov-16"/>
    <s v="Schokman Pty Limited - NBN GREENFIELDS AND MINOR _x000d__x000a__x000d__x000a_NBN GREENFIELDS AND MINOR WORKS OCTOBER AS PER SUPPLIED SUMMARY "/>
    <n v="2534.4699999999998"/>
    <m/>
    <m/>
  </r>
  <r>
    <s v="INV"/>
    <s v="NBN Sydney"/>
    <s v="1882"/>
    <x v="0"/>
    <s v="NBN Minor Works DJC"/>
    <x v="73"/>
    <d v="2016-11-07T00:00:00"/>
    <s v="Nov-16"/>
    <s v="Schokman Pty Limited - NBN GREENFIELDS AND MINOR _x000d__x000a__x000d__x000a_NBN GREENFIELDS AND MINOR WORKS OCTOBER AS PER SUPPLIED SUMMARY "/>
    <n v="1307.55"/>
    <m/>
    <m/>
  </r>
  <r>
    <s v="INV"/>
    <s v="NBN Sydney"/>
    <s v="1882"/>
    <x v="0"/>
    <s v="NBN Minor Works DJC"/>
    <x v="61"/>
    <d v="2016-11-07T00:00:00"/>
    <s v="Nov-16"/>
    <s v="Schokman Pty Limited - NBN GREENFIELDS AND MINOR _x000d__x000a__x000d__x000a_NBN GREENFIELDS AND MINOR WORKS OCTOBER AS PER SUPPLIED SUMMARY "/>
    <n v="6068.81"/>
    <m/>
    <m/>
  </r>
  <r>
    <s v="INV"/>
    <s v="NBN Sydney"/>
    <s v="1882"/>
    <x v="0"/>
    <s v="NBN Minor Works DJC"/>
    <x v="77"/>
    <d v="2016-11-07T00:00:00"/>
    <s v="Nov-16"/>
    <s v="Schokman Pty Limited - NBN GREENFIELDS AND MINOR _x000d__x000a__x000d__x000a_NBN GREENFIELDS AND MINOR WORKS OCTOBER AS PER SUPPLIED SUMMARY "/>
    <n v="164"/>
    <m/>
    <m/>
  </r>
  <r>
    <s v="INV"/>
    <s v="NBN Sydney"/>
    <s v="1883"/>
    <x v="0"/>
    <s v="PipeNetworks"/>
    <x v="40"/>
    <d v="2016-11-07T00:00:00"/>
    <s v="Nov-16"/>
    <s v="Schokman Pty Limited - TPG WOY WOY - RT625696_x000d__x000a__x000d__x000a_TPG WOY WOY EXTERNAL AND INTERNAL HAULING R "/>
    <n v="3471.98"/>
    <m/>
    <m/>
  </r>
  <r>
    <s v="INV"/>
    <s v="NBN Sydney"/>
    <s v="16/915"/>
    <x v="0"/>
    <s v="NBN Greenfields DJC"/>
    <x v="80"/>
    <d v="2016-11-08T00:00:00"/>
    <s v="Nov-16"/>
    <s v="KSJDA Pty Ltd - NBN WORK - AYCA-3FV0PQ-60 INDUSTRIAL DRIVE 1 &amp; 2 COFFS HARBOUR  "/>
    <n v="1300"/>
    <m/>
    <m/>
  </r>
  <r>
    <s v="INV"/>
    <s v="NBN Sydney"/>
    <s v="01803295"/>
    <x v="0"/>
    <s v="PipeNetworks"/>
    <x v="40"/>
    <d v="2016-11-14T00:00:00"/>
    <s v="Nov-16"/>
    <s v="Craig Comms Pty Ltd - TPG Woy Woy Hourly - Advanced Tech BH_x000d__x000a__x000d__x000a_"/>
    <n v="130"/>
    <m/>
    <m/>
  </r>
  <r>
    <s v="INV"/>
    <s v="NBN Sydney"/>
    <s v="01803291"/>
    <x v="0"/>
    <s v="NBN Greenfields DJC"/>
    <x v="81"/>
    <d v="2016-11-14T00:00:00"/>
    <s v="Nov-16"/>
    <s v="Craig Comms Pty Ltd - ROUNDING "/>
    <n v="-0.01"/>
    <m/>
    <m/>
  </r>
  <r>
    <s v="INV"/>
    <s v="NBN Sydney"/>
    <s v="01803296"/>
    <x v="0"/>
    <s v="NBN Greenfields DJC"/>
    <x v="81"/>
    <d v="2016-11-14T00:00:00"/>
    <s v="Nov-16"/>
    <s v="Craig Comms Pty Ltd - MIMA 2TAM-08-01"/>
    <n v="3209"/>
    <m/>
    <m/>
  </r>
  <r>
    <s v="INV"/>
    <s v="NBN Sydney"/>
    <s v="01803297"/>
    <x v="0"/>
    <s v="NBN Greenfields DJC"/>
    <x v="80"/>
    <d v="2016-11-14T00:00:00"/>
    <s v="Nov-16"/>
    <s v="Craig Comms Pty Ltd - Coffs Harbour - NBN, Greenfields_x000d__x000a__x000d__x000a_"/>
    <n v="1364"/>
    <m/>
    <m/>
  </r>
  <r>
    <s v="INV"/>
    <s v="NBN Sydney"/>
    <s v="01803293"/>
    <x v="0"/>
    <s v="NBN Greenfields DJC"/>
    <x v="64"/>
    <d v="2016-11-14T00:00:00"/>
    <s v="Nov-16"/>
    <s v="Craig Comms Pty Ltd - 2ARM-AYCA-2DJ6MC_x000d__x000a__x000d__x000a_"/>
    <n v="1360"/>
    <m/>
    <m/>
  </r>
  <r>
    <s v="INV"/>
    <s v="NBN Sydney"/>
    <s v="INV-0091"/>
    <x v="1"/>
    <s v="Overhead"/>
    <x v="3"/>
    <d v="2016-11-14T00:00:00"/>
    <s v="Nov-16"/>
    <s v="Warriewood Consultancy - DATATEKS DAY RATE "/>
    <n v="9642.2999999999993"/>
    <m/>
    <m/>
  </r>
  <r>
    <s v="INV"/>
    <s v="NBN Sydney"/>
    <s v="01803291"/>
    <x v="0"/>
    <s v="Syndeticom"/>
    <x v="66"/>
    <d v="2016-11-14T00:00:00"/>
    <s v="Nov-16"/>
    <s v="Craig Comms Pty Ltd - MACQUARIE DATA CENTRE_x000d__x000a__x000d__x000a_"/>
    <n v="7316.75"/>
    <m/>
    <m/>
  </r>
  <r>
    <s v="INV"/>
    <s v="NBN Sydney"/>
    <s v="01803292"/>
    <x v="0"/>
    <s v="NBN Greenfields DJC"/>
    <x v="50"/>
    <d v="2016-11-14T00:00:00"/>
    <s v="Nov-16"/>
    <s v="Craig Comms Pty Ltd - 2ORC-06-AYCS-2CZGO_x000d__x000a__x000d__x000a_"/>
    <n v="2229.56"/>
    <m/>
    <m/>
  </r>
  <r>
    <s v="INV"/>
    <s v="NBN Sydney"/>
    <s v="16/921"/>
    <x v="0"/>
    <s v="NBN Greenfields DJC"/>
    <x v="81"/>
    <d v="2016-11-15T00:00:00"/>
    <s v="Nov-16"/>
    <s v="KSJDA Pty Ltd - NBN WORK - TAMWORTH REDBANK ESTATE, TAMWORTH  "/>
    <n v="5994.94"/>
    <m/>
    <m/>
  </r>
  <r>
    <s v="INV"/>
    <s v="NBN Sydney"/>
    <s v="INV-0092"/>
    <x v="1"/>
    <s v="Overhead"/>
    <x v="3"/>
    <d v="2016-11-27T00:00:00"/>
    <s v="Nov-16"/>
    <s v="Warriewood Consultancy - Datateks Day Rate"/>
    <n v="9642.2999999999993"/>
    <m/>
    <m/>
  </r>
  <r>
    <s v="INV"/>
    <s v="NBN Sydney"/>
    <s v="1954"/>
    <x v="0"/>
    <s v="NBN Minor Works DJC"/>
    <x v="82"/>
    <d v="2016-11-29T00:00:00"/>
    <s v="Nov-16"/>
    <s v="Schokman Pty Limited - NBN MWA November"/>
    <n v="2360.14"/>
    <m/>
    <m/>
  </r>
  <r>
    <s v="INV"/>
    <s v="NBN Sydney"/>
    <s v="1954"/>
    <x v="0"/>
    <s v="NBN Minor Works DJC"/>
    <x v="73"/>
    <d v="2016-11-29T00:00:00"/>
    <s v="Nov-16"/>
    <s v="Schokman Pty Limited - NBN MWA November"/>
    <n v="1610.15"/>
    <m/>
    <m/>
  </r>
  <r>
    <s v="INV"/>
    <s v="NBN Sydney"/>
    <s v="1954"/>
    <x v="0"/>
    <s v="NBN Minor Works DJC"/>
    <x v="77"/>
    <d v="2016-11-29T00:00:00"/>
    <s v="Nov-16"/>
    <s v="Schokman Pty Limited - NBN MWA November"/>
    <n v="5361.57"/>
    <m/>
    <m/>
  </r>
  <r>
    <s v="INV"/>
    <s v="NBN Sydney"/>
    <s v="1954"/>
    <x v="0"/>
    <s v="NBN Minor Works DJC"/>
    <x v="71"/>
    <d v="2016-11-29T00:00:00"/>
    <s v="Nov-16"/>
    <s v="Schokman Pty Limited - NBN MWA November"/>
    <n v="1042"/>
    <m/>
    <m/>
  </r>
  <r>
    <s v="INV"/>
    <s v="NBN Sydney"/>
    <s v="1954"/>
    <x v="0"/>
    <s v="NBN Minor Works DJC"/>
    <x v="72"/>
    <d v="2016-11-29T00:00:00"/>
    <s v="Nov-16"/>
    <s v="Schokman Pty Limited - NBN MWA November"/>
    <n v="842"/>
    <m/>
    <m/>
  </r>
  <r>
    <s v="INV"/>
    <s v="NBN Sydney"/>
    <s v="1954"/>
    <x v="0"/>
    <s v="NBN Greenfields DJC"/>
    <x v="83"/>
    <d v="2016-11-29T00:00:00"/>
    <s v="Nov-16"/>
    <s v="Schokman Pty Limited - NBN MWA November"/>
    <n v="2883.42"/>
    <m/>
    <m/>
  </r>
  <r>
    <s v="INV"/>
    <s v="NBN Sydney"/>
    <s v="1954"/>
    <x v="0"/>
    <s v="NBN Minor Works DJC"/>
    <x v="84"/>
    <d v="2016-11-29T00:00:00"/>
    <s v="Nov-16"/>
    <s v="Schokman Pty Limited - NBN MWA November"/>
    <n v="3870.9"/>
    <m/>
    <m/>
  </r>
  <r>
    <s v="INV"/>
    <s v="NBN Sydney"/>
    <s v="1955"/>
    <x v="0"/>
    <s v="NBN A417 MDU DJC"/>
    <x v="85"/>
    <d v="2016-11-29T00:00:00"/>
    <s v="Nov-16"/>
    <s v="Schokman Pty Limited - NBN MDU Greenfield Nov 1-5 Greenhill St, Croydon"/>
    <n v="6048"/>
    <m/>
    <m/>
  </r>
  <r>
    <s v="INV"/>
    <s v="NBN Sydney"/>
    <s v="1953"/>
    <x v="0"/>
    <s v="NBN Minor Works DJC"/>
    <x v="49"/>
    <d v="2016-11-29T00:00:00"/>
    <s v="Nov-16"/>
    <s v="Schokman Pty Limited - 2Gos-5 Aerial Final Claim"/>
    <n v="56241.91"/>
    <m/>
    <m/>
  </r>
  <r>
    <s v="INV"/>
    <s v="NBN Sydney"/>
    <s v="0000121B"/>
    <x v="0"/>
    <s v="NBN Minor Works DJC"/>
    <x v="61"/>
    <d v="2016-11-29T00:00:00"/>
    <s v="Nov-16"/>
    <s v="Openshore Drilling Pty Ltd - 2GOS-06 Koala Cres, West Gosford"/>
    <n v="6000"/>
    <m/>
    <m/>
  </r>
  <r>
    <s v="INV"/>
    <s v="NBN Sydney"/>
    <s v="1956"/>
    <x v="0"/>
    <s v="NBN Minor Works DJC"/>
    <x v="53"/>
    <d v="2016-11-29T00:00:00"/>
    <s v="Nov-16"/>
    <s v="Schokman Pty Limited - 2-Gos-04 Aerial NBN Nov"/>
    <n v="28120"/>
    <m/>
    <m/>
  </r>
  <r>
    <s v="PE"/>
    <s v="NBN Sydney"/>
    <s v="Payroll Expense Journal - PD-368"/>
    <x v="5"/>
    <s v="Syndeticom"/>
    <x v="66"/>
    <d v="2016-11-07T00:00:00"/>
    <s v="Nov-16"/>
    <s v="Earnings Tool Allowance Peter Hanley"/>
    <n v="18.649999999999999"/>
    <m/>
    <m/>
  </r>
  <r>
    <s v="PE"/>
    <s v="NBN Sydney"/>
    <s v="Payroll Expense Journal - PD-370"/>
    <x v="5"/>
    <s v="Syndeticom"/>
    <x v="66"/>
    <d v="2016-11-14T00:00:00"/>
    <s v="Nov-16"/>
    <s v="Earnings Tool Allowance Peter Hanley"/>
    <n v="18.649999999999999"/>
    <m/>
    <m/>
  </r>
  <r>
    <s v="PE"/>
    <s v="NBN Sydney"/>
    <s v="Payroll Expense Journal - PD-376"/>
    <x v="5"/>
    <s v="Syndeticom"/>
    <x v="66"/>
    <d v="2016-11-28T00:00:00"/>
    <s v="Nov-16"/>
    <s v="Earnings Tool Allowance Peter Hanley"/>
    <n v="18.649999999999999"/>
    <m/>
    <m/>
  </r>
  <r>
    <s v="PE"/>
    <s v="NBN Sydney"/>
    <s v="Payroll Expense Journal - PD-377"/>
    <x v="1"/>
    <s v="Overhead"/>
    <x v="3"/>
    <d v="2016-11-28T00:00:00"/>
    <s v="Nov-16"/>
    <s v="Earnings Tool Allowance Gilbert Cook"/>
    <n v="37.299999999999997"/>
    <m/>
    <m/>
  </r>
  <r>
    <s v="PE"/>
    <s v="NBN Sydney"/>
    <s v="Payroll Expense Journal - PD-370"/>
    <x v="1"/>
    <s v="Overhead"/>
    <x v="3"/>
    <d v="2016-11-14T00:00:00"/>
    <s v="Nov-16"/>
    <s v="Reimbursements Travel Allowance Marshell"/>
    <n v="44.61"/>
    <m/>
    <m/>
  </r>
  <r>
    <s v="PE"/>
    <s v="NBN Sydney"/>
    <s v="Payroll Expense Journal - PD-376"/>
    <x v="1"/>
    <s v="Overhead"/>
    <x v="3"/>
    <d v="2016-11-28T00:00:00"/>
    <s v="Nov-16"/>
    <s v="Reimbursements Travel Allowance Marshell"/>
    <n v="199.87"/>
    <m/>
    <m/>
  </r>
  <r>
    <s v="PE"/>
    <s v="NBN Sydney"/>
    <s v="Payroll Expense Journal - PD-377"/>
    <x v="1"/>
    <s v="Overhead"/>
    <x v="3"/>
    <d v="2016-11-28T00:00:00"/>
    <s v="Nov-16"/>
    <s v="Reimbursements Travel Allowance Gilbert Cook"/>
    <n v="2062.6"/>
    <m/>
    <m/>
  </r>
  <r>
    <s v="PE"/>
    <s v="NBN Sydney"/>
    <s v="Payroll Expense Journal - PD-368"/>
    <x v="1"/>
    <s v="Overhead"/>
    <x v="3"/>
    <d v="2016-11-07T00:00:00"/>
    <s v="Nov-16"/>
    <s v="Earnings Salary &amp; Wages Sydney"/>
    <n v="6206.1800000000012"/>
    <m/>
    <m/>
  </r>
  <r>
    <s v="PE"/>
    <s v="NBN Sydney"/>
    <s v="Payroll Expense Journal - PD-368"/>
    <x v="5"/>
    <s v="NBN Minor Works DJC Internals"/>
    <x v="79"/>
    <d v="2016-11-07T00:00:00"/>
    <s v="Nov-16"/>
    <s v="Earnings Salary &amp; Wages Sydney Peter Hanley"/>
    <n v="205.79999999999998"/>
    <m/>
    <m/>
  </r>
  <r>
    <s v="PE"/>
    <s v="NBN Sydney"/>
    <s v="Payroll Expense Journal - PD-368"/>
    <x v="5"/>
    <s v="NBN Greenfields DJC Internals"/>
    <x v="83"/>
    <d v="2016-11-07T00:00:00"/>
    <s v="Nov-16"/>
    <s v="Earnings Salary &amp; Wages Sydney Peter Hanley"/>
    <n v="209.22999999999996"/>
    <m/>
    <m/>
  </r>
  <r>
    <s v="PE"/>
    <s v="NBN Sydney"/>
    <s v="Payroll Expense Journal - PD-368"/>
    <x v="5"/>
    <s v="Syndeticom"/>
    <x v="66"/>
    <d v="2016-11-07T00:00:00"/>
    <s v="Nov-16"/>
    <s v="Earnings Salary &amp; Wages Sydney Peter Hanley"/>
    <n v="1848.7699999999998"/>
    <m/>
    <m/>
  </r>
  <r>
    <s v="PE"/>
    <s v="NBN Sydney"/>
    <s v="Payroll Expense Journal - PD-370"/>
    <x v="1"/>
    <s v="Overhead"/>
    <x v="3"/>
    <d v="2016-11-14T00:00:00"/>
    <s v="Nov-16"/>
    <s v="Earnings Salary &amp; Wages Sydney"/>
    <n v="6757.8799999999992"/>
    <m/>
    <m/>
  </r>
  <r>
    <s v="PE"/>
    <s v="NBN Sydney"/>
    <s v="Payroll Expense Journal - PD-368"/>
    <x v="5"/>
    <s v="Syndeticom"/>
    <x v="66"/>
    <d v="2016-11-14T00:00:00"/>
    <s v="Nov-16"/>
    <s v="Earnings Salary &amp; Wages Sydney Peter Hanley"/>
    <n v="1162.77"/>
    <m/>
    <m/>
  </r>
  <r>
    <s v="PE"/>
    <s v="NBN Sydney"/>
    <s v="Payroll Expense Journal - PD-372"/>
    <x v="1"/>
    <s v="Overhead"/>
    <x v="3"/>
    <d v="2016-11-21T00:00:00"/>
    <s v="Nov-16"/>
    <s v="Earnings Salary &amp; Wages Sydney"/>
    <n v="7860.28"/>
    <m/>
    <m/>
  </r>
  <r>
    <s v="PE"/>
    <s v="NBN Sydney"/>
    <s v="Payroll Expense Journal - PD-376"/>
    <x v="1"/>
    <s v="Overhead"/>
    <x v="3"/>
    <d v="2016-11-28T00:00:00"/>
    <s v="Nov-16"/>
    <s v="Earnings Salary &amp; Wages Sydney"/>
    <n v="8181.55"/>
    <m/>
    <m/>
  </r>
  <r>
    <s v="PE"/>
    <s v="NBN Sydney"/>
    <s v="Payroll Expense Journal - PD-368"/>
    <x v="5"/>
    <s v="Syndeticom"/>
    <x v="66"/>
    <d v="2016-11-28T00:00:00"/>
    <s v="Nov-16"/>
    <s v="Earnings Salary &amp; Wages Sydney Peter Hanley"/>
    <n v="624.26"/>
    <m/>
    <m/>
  </r>
  <r>
    <s v="PE"/>
    <s v="NBN Sydney"/>
    <s v="Payroll Expense Journal - PD-368"/>
    <x v="5"/>
    <s v="NBN Minor Works DJC Internals"/>
    <x v="84"/>
    <d v="2016-11-28T00:00:00"/>
    <s v="Nov-16"/>
    <s v="Earnings Salary &amp; Wages Sydney Peter Hanley"/>
    <n v="329.28"/>
    <m/>
    <m/>
  </r>
  <r>
    <s v="PE"/>
    <s v="NBN Sydney"/>
    <s v="Payroll Expense Journal - PD-368"/>
    <x v="5"/>
    <s v="NBN Minor Works DJC Internals"/>
    <x v="65"/>
    <d v="2016-11-28T00:00:00"/>
    <s v="Nov-16"/>
    <s v="Earnings Salary &amp; Wages Sydney Peter Hanley"/>
    <n v="720.3"/>
    <m/>
    <m/>
  </r>
  <r>
    <s v="PE"/>
    <s v="NBN Sydney"/>
    <s v="Payroll Expense Journal - PD-377"/>
    <x v="1"/>
    <s v="Overhead"/>
    <x v="3"/>
    <d v="2016-11-28T00:00:00"/>
    <s v="Nov-16"/>
    <s v="Earnings Salary &amp; Wages Gilbert Cook"/>
    <n v="3255.38"/>
    <m/>
    <m/>
  </r>
  <r>
    <s v="PE"/>
    <s v="NBN Sydney"/>
    <s v="Payroll Expense Journal - PD-368"/>
    <x v="1"/>
    <s v="Overhead"/>
    <x v="3"/>
    <d v="2016-11-07T00:00:00"/>
    <s v="Nov-16"/>
    <s v="Superannuation Expense"/>
    <n v="539.34699999999998"/>
    <m/>
    <m/>
  </r>
  <r>
    <s v="PE"/>
    <s v="NBN Sydney"/>
    <s v="Payroll Expense Journal - PD-368"/>
    <x v="5"/>
    <s v="NBN Minor Works DJC Internals"/>
    <x v="79"/>
    <d v="2016-11-07T00:00:00"/>
    <s v="Nov-16"/>
    <s v="Superannuation Expense Peter Haney"/>
    <n v="19.550999999999998"/>
    <m/>
    <m/>
  </r>
  <r>
    <s v="PE"/>
    <s v="NBN Sydney"/>
    <s v="Payroll Expense Journal - PD-368"/>
    <x v="5"/>
    <s v="NBN Greenfields DJC Internals"/>
    <x v="83"/>
    <d v="2016-11-07T00:00:00"/>
    <s v="Nov-16"/>
    <s v="Superannuation Expense Peter Haney"/>
    <n v="19.876849999999997"/>
    <m/>
    <m/>
  </r>
  <r>
    <s v="PE"/>
    <s v="NBN Sydney"/>
    <s v="Payroll Expense Journal - PD-368"/>
    <x v="5"/>
    <s v="Syndeticom"/>
    <x v="66"/>
    <d v="2016-11-07T00:00:00"/>
    <s v="Nov-16"/>
    <s v="Superannuation Expense Peter Haney"/>
    <n v="84.395150000000001"/>
    <m/>
    <m/>
  </r>
  <r>
    <s v="PE"/>
    <s v="NBN Sydney"/>
    <s v="Payroll Expense Journal - PD-370"/>
    <x v="1"/>
    <s v="Overhead"/>
    <x v="3"/>
    <d v="2016-11-14T00:00:00"/>
    <s v="Nov-16"/>
    <s v="Superannuation Expense"/>
    <n v="551.45999999999992"/>
    <m/>
    <m/>
  </r>
  <r>
    <s v="PE"/>
    <s v="NBN Sydney"/>
    <s v="Payroll Expense Journal - PD-368"/>
    <x v="5"/>
    <s v="Syndeticom"/>
    <x v="66"/>
    <d v="2016-11-14T00:00:00"/>
    <s v="Nov-16"/>
    <s v="Superannuation Expense Peter Haney"/>
    <n v="110.46"/>
    <m/>
    <m/>
  </r>
  <r>
    <s v="PE"/>
    <s v="NBN Sydney"/>
    <s v="Payroll Expense Journal - PD-372"/>
    <x v="1"/>
    <s v="Overhead"/>
    <x v="3"/>
    <d v="2016-11-21T00:00:00"/>
    <s v="Nov-16"/>
    <s v="Superannuation Expense"/>
    <n v="654.70000000000005"/>
    <m/>
    <m/>
  </r>
  <r>
    <s v="PE"/>
    <s v="NBN Sydney"/>
    <s v="Payroll Expense Journal - PD-376"/>
    <x v="1"/>
    <s v="Overhead"/>
    <x v="3"/>
    <d v="2016-11-28T00:00:00"/>
    <s v="Nov-16"/>
    <s v="Superannuation Expense"/>
    <n v="568.38269999999989"/>
    <m/>
    <m/>
  </r>
  <r>
    <s v="PE"/>
    <s v="NBN Sydney"/>
    <s v="Payroll Expense Journal - PD-368"/>
    <x v="5"/>
    <s v="Syndeticom"/>
    <x v="66"/>
    <d v="2016-11-28T00:00:00"/>
    <s v="Nov-16"/>
    <s v="Superannuation Expense Peter Haney"/>
    <n v="59.304699999999997"/>
    <m/>
    <m/>
  </r>
  <r>
    <s v="PE"/>
    <s v="NBN Sydney"/>
    <s v="Payroll Expense Journal - PD-368"/>
    <x v="5"/>
    <s v="NBN Minor Works DJC Internals"/>
    <x v="84"/>
    <d v="2016-11-28T00:00:00"/>
    <s v="Nov-16"/>
    <s v="Superannuation Expense Peter Haney"/>
    <n v="31.281599999999997"/>
    <m/>
    <m/>
  </r>
  <r>
    <s v="PE"/>
    <s v="NBN Sydney"/>
    <s v="Payroll Expense Journal - PD-368"/>
    <x v="5"/>
    <s v="NBN Minor Works DJC Internals"/>
    <x v="65"/>
    <d v="2016-11-28T00:00:00"/>
    <s v="Nov-16"/>
    <s v="Superannuation Expense Peter Haney"/>
    <n v="19.550999999999998"/>
    <m/>
    <m/>
  </r>
  <r>
    <s v="PE"/>
    <s v="NBN Sydney"/>
    <s v="Payroll Expense Journal - PD-376"/>
    <x v="1"/>
    <s v="Overhead"/>
    <x v="3"/>
    <d v="2016-11-28T00:00:00"/>
    <s v="Nov-16"/>
    <s v="Superannuation Expense Gilbert Cook "/>
    <n v="309.26"/>
    <m/>
    <m/>
  </r>
  <r>
    <s v="INV"/>
    <s v="NBN Sydney"/>
    <s v="PAY"/>
    <x v="1"/>
    <s v="Overhead"/>
    <x v="3"/>
    <d v="2016-11-07T00:00:00"/>
    <s v="Nov-16"/>
    <s v="E-Toll Business Operations Centre - Surcharge on Top- up account per transaction"/>
    <n v="0.4"/>
    <m/>
    <m/>
  </r>
  <r>
    <s v="INV"/>
    <s v="NBN Sydney"/>
    <s v="PAY"/>
    <x v="1"/>
    <s v="Overhead"/>
    <x v="3"/>
    <d v="2016-11-17T00:00:00"/>
    <s v="Nov-16"/>
    <s v="E-Toll Business Operations Centre - Surcharge on Top- up account per transaction"/>
    <n v="0.4"/>
    <m/>
    <m/>
  </r>
  <r>
    <s v="INV"/>
    <s v="NBN Sydney"/>
    <s v="PAY"/>
    <x v="1"/>
    <s v="Overhead"/>
    <x v="3"/>
    <d v="2016-11-25T00:00:00"/>
    <s v="Nov-16"/>
    <s v="E-Toll Business Operations Centre - Surcharge on Top- up account per transaction"/>
    <n v="0.4"/>
    <m/>
    <m/>
  </r>
  <r>
    <s v="INV"/>
    <s v="NBN Sydney"/>
    <s v="118557"/>
    <x v="1"/>
    <s v="Overhead"/>
    <x v="3"/>
    <d v="2016-11-01T00:00:00"/>
    <s v="Nov-16"/>
    <s v="Easdowns Business Specialists - MONTHLY INSTALLMENT ER 2017 SERVICE AGREEMENT  - AUG"/>
    <n v="451.36"/>
    <m/>
    <m/>
  </r>
  <r>
    <s v="INV"/>
    <s v="NBN Sydney"/>
    <s v="PAY"/>
    <x v="1"/>
    <s v="Overhead"/>
    <x v="3"/>
    <d v="2016-11-15T00:00:00"/>
    <s v="Nov-16"/>
    <s v="National Australia Bank - Bank Guarantees fee"/>
    <n v="125"/>
    <m/>
    <m/>
  </r>
  <r>
    <s v="INV"/>
    <s v="NBN Sydney"/>
    <s v="PAY"/>
    <x v="1"/>
    <s v="Overhead"/>
    <x v="3"/>
    <d v="2016-11-15T00:00:00"/>
    <s v="Nov-16"/>
    <s v="National Australia Bank - Bank Guarantee fee"/>
    <n v="158.91"/>
    <m/>
    <m/>
  </r>
  <r>
    <s v="INV"/>
    <s v="NBN Sydney"/>
    <s v="PAY"/>
    <x v="1"/>
    <s v="Overhead"/>
    <x v="3"/>
    <d v="2016-11-15T00:00:00"/>
    <s v="Nov-16"/>
    <s v="National Australia Bank - Bank Guarantees"/>
    <n v="125"/>
    <m/>
    <m/>
  </r>
  <r>
    <s v="INV"/>
    <s v="NBN Sydney"/>
    <s v="PAY"/>
    <x v="1"/>
    <s v="Overhead"/>
    <x v="3"/>
    <d v="2016-11-15T00:00:00"/>
    <s v="Nov-16"/>
    <s v="National Australia Bank - Bank Guarantees"/>
    <n v="125"/>
    <m/>
    <m/>
  </r>
  <r>
    <s v="INV"/>
    <s v="NBN Sydney"/>
    <s v="PAY"/>
    <x v="1"/>
    <s v="Overhead"/>
    <x v="3"/>
    <d v="2016-11-15T00:00:00"/>
    <s v="Nov-16"/>
    <s v="National Australia Bank - Bank Guarantees"/>
    <n v="125"/>
    <m/>
    <m/>
  </r>
  <r>
    <s v="INV"/>
    <s v="NBN Sydney"/>
    <s v="PAY"/>
    <x v="1"/>
    <s v="Overhead"/>
    <x v="3"/>
    <d v="2016-11-22T00:00:00"/>
    <s v="Nov-16"/>
    <s v="National Australia Bank - Bank Guarantee fee"/>
    <n v="125"/>
    <m/>
    <m/>
  </r>
  <r>
    <s v="INV"/>
    <s v="NBN Sydney"/>
    <s v="PAY"/>
    <x v="1"/>
    <s v="Overhead"/>
    <x v="3"/>
    <d v="2016-11-22T00:00:00"/>
    <s v="Nov-16"/>
    <s v="National Australia Bank - Bank Guarantee Fee"/>
    <n v="162.02000000000001"/>
    <m/>
    <m/>
  </r>
  <r>
    <s v="INV"/>
    <s v="NBN Sydney"/>
    <s v="00000225"/>
    <x v="1"/>
    <s v="Overhead"/>
    <x v="3"/>
    <d v="2016-11-22T00:00:00"/>
    <s v="Nov-16"/>
    <s v="Creative Embroidery &amp; Workwear - Shirts - Fashion Biz Wrinkle Free Chambray (SH112) - M"/>
    <n v="177.27"/>
    <m/>
    <m/>
  </r>
  <r>
    <s v="INV"/>
    <s v="NBN Sydney"/>
    <s v="00000225"/>
    <x v="1"/>
    <s v="Overhead"/>
    <x v="3"/>
    <d v="2016-11-22T00:00:00"/>
    <s v="Nov-16"/>
    <s v="Creative Embroidery &amp; Workwear - DATATEKS Embroidery - Logo to shirts"/>
    <n v="60"/>
    <m/>
    <m/>
  </r>
  <r>
    <s v="INV"/>
    <s v="NBN Sydney"/>
    <s v="00000225"/>
    <x v="1"/>
    <s v="Overhead"/>
    <x v="3"/>
    <d v="2016-11-22T00:00:00"/>
    <s v="Nov-16"/>
    <s v="Creative Embroidery &amp; Workwear - Shirts - Fashion Biz Wrinkle Free Chambray (SH112) - 2XL"/>
    <n v="177.27"/>
    <m/>
    <m/>
  </r>
  <r>
    <s v="INV"/>
    <s v="NBN Sydney"/>
    <s v="00000225"/>
    <x v="1"/>
    <s v="Overhead"/>
    <x v="3"/>
    <d v="2016-11-22T00:00:00"/>
    <s v="Nov-16"/>
    <s v="Creative Embroidery &amp; Workwear - Shirts - Fashion Biz Wrinkle Free Chambray (SH112)  - L"/>
    <n v="70.91"/>
    <m/>
    <m/>
  </r>
  <r>
    <s v="INV"/>
    <s v="NBN Sydney"/>
    <s v="PAY"/>
    <x v="1"/>
    <s v="Overhead"/>
    <x v="3"/>
    <d v="2016-11-23T00:00:00"/>
    <s v="Nov-16"/>
    <s v="Creative Embroidery &amp; Workwear - paid into wrong account refunded to DATATEKS "/>
    <n v="485.45"/>
    <m/>
    <m/>
  </r>
  <r>
    <s v="INV"/>
    <s v="NBN Sydney"/>
    <s v="PAY"/>
    <x v="1"/>
    <s v="Overhead"/>
    <x v="3"/>
    <d v="2016-11-23T00:00:00"/>
    <s v="Nov-16"/>
    <s v="Creative Embroidery &amp; Workwear - refund wrong account account is closed"/>
    <n v="-485.45"/>
    <m/>
    <m/>
  </r>
  <r>
    <s v="INV"/>
    <s v="NBN Sydney"/>
    <s v="B VISA E-TOLL NOV 2016"/>
    <x v="1"/>
    <s v="Overhead"/>
    <x v="3"/>
    <d v="2016-11-01T00:00:00"/>
    <s v="Nov-16"/>
    <s v="E-Toll Business Operations Centre - TAG NO 4088301 _x000d__x000a_PJ CHV14B Toyota Hilux SYD"/>
    <n v="204.75"/>
    <m/>
    <m/>
  </r>
  <r>
    <s v="INV"/>
    <s v="NBN Sydney"/>
    <s v="B VISA E-TOLL NOV 2016"/>
    <x v="5"/>
    <s v="NBN Minor Works DJC Internals"/>
    <x v="79"/>
    <d v="2016-11-01T00:00:00"/>
    <s v="Nov-16"/>
    <s v="E-Toll Business Operations Centre - TAG NO 3665998 PHan BU59MS Toyota Hiace Van"/>
    <n v="19.090000000000003"/>
    <m/>
    <m/>
  </r>
  <r>
    <s v="INV"/>
    <s v="NBN Sydney"/>
    <s v="B VISA E-TOLL NOV 2016"/>
    <x v="5"/>
    <s v="NBN Greenfields DJC Internals"/>
    <x v="83"/>
    <d v="2016-11-01T00:00:00"/>
    <s v="Nov-16"/>
    <s v="E-Toll Business Operations Centre - TAG NO 3665998 PHan BU59MS Toyota Hiace Van"/>
    <n v="19.079999999999998"/>
    <m/>
    <m/>
  </r>
  <r>
    <s v="INV"/>
    <s v="NBN Sydney"/>
    <s v="B VISA E-TOLL NOV 2016"/>
    <x v="5"/>
    <s v="NBN Minor Works DJC Internals"/>
    <x v="84"/>
    <d v="2016-11-01T00:00:00"/>
    <s v="Nov-16"/>
    <s v="E-Toll Business Operations Centre - TAG NO 3665998 PHan BU59MS Toyota Hiace Van"/>
    <n v="19.079999999999998"/>
    <m/>
    <m/>
  </r>
  <r>
    <s v="INV"/>
    <s v="NBN Sydney"/>
    <s v="B VISA E-TOLL NOV 2016"/>
    <x v="1"/>
    <s v="Overhead"/>
    <x v="3"/>
    <d v="2016-11-01T00:00:00"/>
    <s v="Nov-16"/>
    <s v="E-Toll Business Operations Centre - TAG NO 3166280 _x000d__x000a_GC BE38NA Toyota cruiser Gilbert"/>
    <n v="56.15"/>
    <m/>
    <m/>
  </r>
  <r>
    <s v="INV"/>
    <s v="NBN Sydney"/>
    <s v="237147"/>
    <x v="1"/>
    <s v="Overhead"/>
    <x v="3"/>
    <d v="2016-11-16T00:00:00"/>
    <s v="Nov-16"/>
    <s v="Australia Post - EP SOD LBL "/>
    <n v="2.68"/>
    <m/>
    <m/>
  </r>
  <r>
    <s v="INV"/>
    <s v="NBN Sydney"/>
    <s v="P 327 320 521-8"/>
    <x v="1"/>
    <s v="Overhead"/>
    <x v="3"/>
    <d v="2016-11-21T00:00:00"/>
    <s v="Nov-16"/>
    <s v="Telstra Acc # 898 8808 200 - SYDNEY_x000d__x000a_3 x Call forwarding from this service"/>
    <n v="0.73"/>
    <m/>
    <m/>
  </r>
  <r>
    <s v="PE"/>
    <s v="NBN Sydney"/>
    <s v="3.4 Telephone Allowance "/>
    <x v="5"/>
    <s v="NBN Minor Works DJC Internals"/>
    <x v="79"/>
    <d v="2016-11-07T00:00:00"/>
    <s v="Nov-16"/>
    <s v="Telephone Allowance Peter  Hanley"/>
    <n v="23.08"/>
    <m/>
    <m/>
  </r>
  <r>
    <s v="PE"/>
    <s v="NBN Sydney"/>
    <s v="3.4 Telephone Allowance "/>
    <x v="5"/>
    <s v="NBN Greenfields DJC Internals"/>
    <x v="83"/>
    <d v="2016-11-14T00:00:00"/>
    <s v="Nov-16"/>
    <s v="Telephone Allowance Peter  Hanley"/>
    <n v="23.08"/>
    <m/>
    <m/>
  </r>
  <r>
    <s v="PE"/>
    <s v="NBN Sydney"/>
    <s v="3.4 Telephone Allowance "/>
    <x v="5"/>
    <s v="NBN Minor Works DJC Internals"/>
    <x v="84"/>
    <d v="2016-11-28T00:00:00"/>
    <s v="Nov-16"/>
    <s v="Telephone Allowance Peter  Hanley"/>
    <n v="23.08"/>
    <m/>
    <m/>
  </r>
  <r>
    <s v="PE"/>
    <s v="NBN Sydney"/>
    <s v="Payroll Expense Journal - PD-334"/>
    <x v="1"/>
    <s v="Overhead"/>
    <x v="3"/>
    <d v="2016-11-28T00:00:00"/>
    <s v="Nov-16"/>
    <s v="Wagga Wages RM &amp; RS"/>
    <n v="2892.72"/>
    <m/>
    <m/>
  </r>
  <r>
    <s v="PE"/>
    <s v="NBN Sydney"/>
    <s v="Payroll Expense Journal - PD-335"/>
    <x v="1"/>
    <s v="Overhead"/>
    <x v="3"/>
    <d v="2016-11-28T00:00:00"/>
    <s v="Nov-16"/>
    <s v="Wagga Superannuation Expense RM &amp; RS"/>
    <n v="242.24"/>
    <m/>
    <m/>
  </r>
  <r>
    <s v="INV"/>
    <s v="NBN Sydney"/>
    <s v="3798887819"/>
    <x v="1"/>
    <s v="Overhead"/>
    <x v="3"/>
    <d v="2016-11-23T00:00:00"/>
    <s v="Nov-16"/>
    <s v="Energy Australia - Electricity from 23/08/2016 to 6/10/2016"/>
    <n v="429.09"/>
    <m/>
    <m/>
  </r>
  <r>
    <s v="INV"/>
    <s v="NBN Sydney"/>
    <s v="9068222001408798 DM CARD"/>
    <x v="1"/>
    <s v="Overhead"/>
    <x v="3"/>
    <d v="2016-11-14T00:00:00"/>
    <s v="Nov-16"/>
    <s v="Officeworks Superstores - CAN CLI651&amp;2X PGI650 MEGA PACK "/>
    <n v="104.55"/>
    <m/>
    <m/>
  </r>
  <r>
    <s v="INV"/>
    <s v="NBN Sydney"/>
    <s v="INV-0156, PO-0144"/>
    <x v="1"/>
    <s v="Smithfield De Mobilisation"/>
    <x v="44"/>
    <d v="2016-11-22T00:00:00"/>
    <s v="Nov-16"/>
    <s v="All About Glass &amp; Glazing - Remove and replace the window including the frame and glass at:_x000d__x000a__x000d__x000a_10/183 McCredie Road Guildford West."/>
    <n v="2100"/>
    <m/>
    <m/>
  </r>
  <r>
    <s v="INV"/>
    <s v="NBN Sydney"/>
    <s v="11820079"/>
    <x v="1"/>
    <s v="Overhead"/>
    <x v="3"/>
    <d v="2016-11-30T00:00:00"/>
    <s v="Nov-16"/>
    <s v="Cleanaway - 29/11/16 1 x Bin not out 1.5m Bin"/>
    <n v="83.8"/>
    <m/>
    <m/>
  </r>
  <r>
    <s v="INV"/>
    <s v="NBN Sydney"/>
    <s v="11820079"/>
    <x v="1"/>
    <s v="Overhead"/>
    <x v="3"/>
    <d v="2016-11-30T00:00:00"/>
    <s v="Nov-16"/>
    <s v="Cleanaway - 1 x Environmental Fee"/>
    <n v="10"/>
    <m/>
    <m/>
  </r>
  <r>
    <s v="INV"/>
    <s v="NBN Sydney"/>
    <s v="11820079"/>
    <x v="1"/>
    <s v="Smithfield De Mobilisation"/>
    <x v="44"/>
    <d v="2016-11-30T00:00:00"/>
    <s v="Nov-16"/>
    <s v="Cleanaway - 24/11/16 1 x Bin not out 1.5m Recycle"/>
    <n v="11.57"/>
    <m/>
    <m/>
  </r>
  <r>
    <s v="INV"/>
    <s v="NBN Sydney"/>
    <s v="11820079"/>
    <x v="1"/>
    <s v="Smithfield De Mobilisation"/>
    <x v="44"/>
    <d v="2016-11-30T00:00:00"/>
    <s v="Nov-16"/>
    <s v="Cleanaway - 10/11/16 1 x Bin not out 1.5m recycle"/>
    <n v="11.57"/>
    <m/>
    <m/>
  </r>
  <r>
    <s v="INV"/>
    <s v="NBN Sydney"/>
    <s v="11820079"/>
    <x v="1"/>
    <s v="Smithfield De Mobilisation"/>
    <x v="44"/>
    <d v="2016-11-30T00:00:00"/>
    <s v="Nov-16"/>
    <s v="Cleanaway - 15/11/16 1 x Bin not out 1.5m Bin"/>
    <n v="83.8"/>
    <m/>
    <m/>
  </r>
  <r>
    <s v="INV"/>
    <s v="NBN Sydney"/>
    <s v="3375/1512"/>
    <x v="1"/>
    <s v="Smithfield De Mobilisation"/>
    <x v="44"/>
    <d v="2016-11-30T00:00:00"/>
    <s v="Nov-16"/>
    <s v="Regus Australia Management - Meeting room - one off charge"/>
    <n v="162"/>
    <m/>
    <m/>
  </r>
  <r>
    <s v="INV"/>
    <s v="NBN Sydney"/>
    <s v="3375/1512"/>
    <x v="1"/>
    <s v="Smithfield De Mobilisation"/>
    <x v="44"/>
    <d v="2016-11-30T00:00:00"/>
    <s v="Nov-16"/>
    <s v="Regus Australia Management - Office"/>
    <n v="2255"/>
    <m/>
    <m/>
  </r>
  <r>
    <s v="INV"/>
    <s v="NBN Sydney"/>
    <s v="15702"/>
    <x v="1"/>
    <s v="Overhead"/>
    <x v="3"/>
    <d v="2016-11-16T00:00:00"/>
    <s v="Nov-16"/>
    <s v="Caltex Wagga Wagga - Hammond Ave - ULP 60.65L 1.319"/>
    <n v="72.73"/>
    <m/>
    <m/>
  </r>
  <r>
    <s v="INV"/>
    <s v="NBN Sydney"/>
    <s v="88464"/>
    <x v="1"/>
    <s v="Overhead"/>
    <x v="3"/>
    <d v="2016-11-22T00:00:00"/>
    <s v="Nov-16"/>
    <s v="Caltex Yass - ULP 61.07L 1.365"/>
    <n v="75.78"/>
    <m/>
    <m/>
  </r>
  <r>
    <s v="INV"/>
    <s v="NBN Sydney"/>
    <s v="91293"/>
    <x v="1"/>
    <s v="Overhead"/>
    <x v="3"/>
    <d v="2016-11-24T00:00:00"/>
    <s v="Nov-16"/>
    <s v="Caltex Yass - ULP 59.44L 1.365"/>
    <n v="73.760000000000005"/>
    <m/>
    <m/>
  </r>
  <r>
    <s v="INV"/>
    <s v="NBN Sydney"/>
    <s v="2814559"/>
    <x v="1"/>
    <s v="Overhead"/>
    <x v="3"/>
    <d v="2016-11-28T00:00:00"/>
    <s v="Nov-16"/>
    <s v="Eureka Operations - Coles Express - ULP 51.41L 1.284"/>
    <n v="60.01"/>
    <m/>
    <m/>
  </r>
  <r>
    <s v="INV"/>
    <s v="NBN Sydney"/>
    <s v="3352300"/>
    <x v="1"/>
    <s v="Overhead"/>
    <x v="3"/>
    <d v="2016-11-29T00:00:00"/>
    <s v="Nov-16"/>
    <s v="Eureka Operations - Coles Express - ULP 54.18L 1.354"/>
    <n v="66.69"/>
    <m/>
    <m/>
  </r>
  <r>
    <s v="INV"/>
    <s v="NBN Sydney"/>
    <s v="1872/0107"/>
    <x v="5"/>
    <s v="Syndeticom"/>
    <x v="66"/>
    <d v="2016-11-01T00:00:00"/>
    <s v="Nov-16"/>
    <s v="Metro Petroleum Hornsby - ULP 53.02L 1.289"/>
    <n v="62.14"/>
    <m/>
    <m/>
  </r>
  <r>
    <s v="INV"/>
    <s v="NBN Sydney"/>
    <s v="221116 17.43"/>
    <x v="5"/>
    <s v="NBN Minor Works DJC Internals"/>
    <x v="79"/>
    <d v="2016-11-22T00:00:00"/>
    <s v="Nov-16"/>
    <s v="BP Asquith - ULP 51.25L 1.159"/>
    <n v="54"/>
    <m/>
    <m/>
  </r>
  <r>
    <s v="INV"/>
    <s v="NBN Sydney"/>
    <s v="241116 16.48"/>
    <x v="5"/>
    <s v="NBN Minor Works DJC Internals"/>
    <x v="84"/>
    <d v="2016-11-24T00:00:00"/>
    <s v="Nov-16"/>
    <s v="BP Asquith - ULP 60.69L 1.319"/>
    <n v="72.77"/>
    <m/>
    <m/>
  </r>
  <r>
    <s v="INV"/>
    <s v="NBN Sydney"/>
    <s v="1509744"/>
    <x v="5"/>
    <s v="NBN Minor Works DJC Internals"/>
    <x v="65"/>
    <d v="2016-11-29T00:00:00"/>
    <s v="Nov-16"/>
    <s v="7 Eleven Berowra - ULP 53.90L 1.089"/>
    <n v="53.35"/>
    <m/>
    <m/>
  </r>
  <r>
    <s v="INV"/>
    <s v="NBN Sydney"/>
    <s v="11080"/>
    <x v="1"/>
    <s v="Overhead"/>
    <x v="3"/>
    <d v="2016-11-02T00:00:00"/>
    <s v="Nov-16"/>
    <s v="Caltex West Gosford - Surcharge"/>
    <n v="0.74"/>
    <m/>
    <m/>
  </r>
  <r>
    <s v="INV"/>
    <s v="NBN Sydney"/>
    <s v="11080"/>
    <x v="1"/>
    <s v="Overhead"/>
    <x v="3"/>
    <d v="2016-11-02T00:00:00"/>
    <s v="Nov-16"/>
    <s v="Caltex West Gosford - DIESEL 63.85L 1.269"/>
    <n v="73.650000000000006"/>
    <m/>
    <m/>
  </r>
  <r>
    <s v="INV"/>
    <s v="NBN Sydney"/>
    <s v="91386"/>
    <x v="1"/>
    <s v="Overhead"/>
    <x v="3"/>
    <d v="2016-11-04T00:00:00"/>
    <s v="Nov-16"/>
    <s v="Caltex Seven Hills - Diesel 66.15L 1.259"/>
    <n v="75.72"/>
    <m/>
    <m/>
  </r>
  <r>
    <s v="INV"/>
    <s v="NBN Sydney"/>
    <s v="43809"/>
    <x v="1"/>
    <s v="Overhead"/>
    <x v="3"/>
    <d v="2016-11-08T00:00:00"/>
    <s v="Nov-16"/>
    <s v="Caltex Wyoming - Diesel 66.06L 1.279"/>
    <n v="76.81"/>
    <m/>
    <m/>
  </r>
  <r>
    <s v="INV"/>
    <s v="NBN Sydney"/>
    <s v="17322"/>
    <x v="1"/>
    <s v="Overhead"/>
    <x v="3"/>
    <d v="2016-11-10T00:00:00"/>
    <s v="Nov-16"/>
    <s v="Eddie's Mobile Mechanic Services - Wheel Balance and Rotate"/>
    <n v="20"/>
    <m/>
    <m/>
  </r>
  <r>
    <s v="INV"/>
    <s v="NBN Sydney"/>
    <s v="17322"/>
    <x v="1"/>
    <s v="Overhead"/>
    <x v="3"/>
    <d v="2016-11-10T00:00:00"/>
    <s v="Nov-16"/>
    <s v="Eddie's Mobile Mechanic Services - Oil Filter"/>
    <n v="8.18"/>
    <m/>
    <m/>
  </r>
  <r>
    <s v="INV"/>
    <s v="NBN Sydney"/>
    <s v="17322"/>
    <x v="1"/>
    <s v="Overhead"/>
    <x v="3"/>
    <d v="2016-11-10T00:00:00"/>
    <s v="Nov-16"/>
    <s v="Eddie's Mobile Mechanic Services - Fuel Filter"/>
    <n v="21.42"/>
    <m/>
    <m/>
  </r>
  <r>
    <s v="INV"/>
    <s v="NBN Sydney"/>
    <s v="17322"/>
    <x v="1"/>
    <s v="Overhead"/>
    <x v="3"/>
    <d v="2016-11-10T00:00:00"/>
    <s v="Nov-16"/>
    <s v="Eddie's Mobile Mechanic Services - Air Filter"/>
    <n v="40"/>
    <m/>
    <m/>
  </r>
  <r>
    <s v="INV"/>
    <s v="NBN Sydney"/>
    <s v="17322"/>
    <x v="1"/>
    <s v="Overhead"/>
    <x v="3"/>
    <d v="2016-11-10T00:00:00"/>
    <s v="Nov-16"/>
    <s v="Eddie's Mobile Mechanic Services - Hi-Tec Evolution"/>
    <n v="53.04"/>
    <m/>
    <m/>
  </r>
  <r>
    <s v="INV"/>
    <s v="NBN Sydney"/>
    <s v="17322"/>
    <x v="1"/>
    <s v="Overhead"/>
    <x v="3"/>
    <d v="2016-11-10T00:00:00"/>
    <s v="Nov-16"/>
    <s v="Eddie's Mobile Mechanic Services - Sundries"/>
    <n v="17.55"/>
    <m/>
    <m/>
  </r>
  <r>
    <s v="INV"/>
    <s v="NBN Sydney"/>
    <s v="17322"/>
    <x v="1"/>
    <s v="Overhead"/>
    <x v="3"/>
    <d v="2016-11-10T00:00:00"/>
    <s v="Nov-16"/>
    <s v="Eddie's Mobile Mechanic Services - Log Book Service 120,000 km's"/>
    <n v="200"/>
    <m/>
    <m/>
  </r>
  <r>
    <s v="INV"/>
    <s v="NBN Sydney"/>
    <s v="17322"/>
    <x v="1"/>
    <s v="Overhead"/>
    <x v="3"/>
    <d v="2016-11-10T00:00:00"/>
    <s v="Nov-16"/>
    <s v="Eddie's Mobile Mechanic Services - Washer Additive"/>
    <n v="2.57"/>
    <m/>
    <m/>
  </r>
  <r>
    <s v="INV"/>
    <s v="NBN Sydney"/>
    <s v="17322"/>
    <x v="1"/>
    <s v="Overhead"/>
    <x v="3"/>
    <d v="2016-11-10T00:00:00"/>
    <s v="Nov-16"/>
    <s v="Eddie's Mobile Mechanic Services - Sump Plug Washer"/>
    <n v="3.24"/>
    <m/>
    <m/>
  </r>
  <r>
    <s v="INV"/>
    <s v="NBN Sydney"/>
    <s v="4289/33 02"/>
    <x v="1"/>
    <s v="Overhead"/>
    <x v="3"/>
    <d v="2016-11-11T00:00:00"/>
    <s v="Nov-16"/>
    <s v="Kyrolls Trade - Diesel 64.10L 1.119"/>
    <n v="65.209999999999994"/>
    <m/>
    <m/>
  </r>
  <r>
    <s v="INV"/>
    <s v="NBN Sydney"/>
    <s v="3463"/>
    <x v="1"/>
    <s v="Overhead"/>
    <x v="3"/>
    <d v="2016-11-12T00:00:00"/>
    <s v="Nov-16"/>
    <s v="Woolworths Limited - DIESEL 49.71L 1.239"/>
    <n v="55.99"/>
    <m/>
    <m/>
  </r>
  <r>
    <s v="INV"/>
    <s v="NBN Sydney"/>
    <s v="209413"/>
    <x v="1"/>
    <s v="Overhead"/>
    <x v="3"/>
    <d v="2016-11-14T00:00:00"/>
    <s v="Nov-16"/>
    <s v="Eureka Operations - Coles Express - Diesel 62.44L 1.259"/>
    <n v="71.459999999999994"/>
    <m/>
    <m/>
  </r>
  <r>
    <s v="INV"/>
    <s v="NBN Sydney"/>
    <s v="206515"/>
    <x v="1"/>
    <s v="Overhead"/>
    <x v="3"/>
    <d v="2016-11-16T00:00:00"/>
    <s v="Nov-16"/>
    <s v="BP Express Wyoming - DIESEL 64.45L 1.259"/>
    <n v="73.760000000000005"/>
    <m/>
    <m/>
  </r>
  <r>
    <s v="INV"/>
    <s v="NBN Sydney"/>
    <s v="523137"/>
    <x v="1"/>
    <s v="Overhead"/>
    <x v="3"/>
    <d v="2016-11-20T00:00:00"/>
    <s v="Nov-16"/>
    <s v="BP Chatsworth - Diesel 64.20L 1.189"/>
    <n v="69.400000000000006"/>
    <m/>
    <m/>
  </r>
  <r>
    <s v="INV"/>
    <s v="NBN Sydney"/>
    <s v="56315"/>
    <x v="1"/>
    <s v="Overhead"/>
    <x v="3"/>
    <d v="2016-11-23T00:00:00"/>
    <s v="Nov-16"/>
    <s v="Caltex Wyoming - Diesel 64.99L 1.269"/>
    <n v="74.97"/>
    <m/>
    <m/>
  </r>
  <r>
    <s v="INV"/>
    <s v="NBN Sydney"/>
    <s v="1071633"/>
    <x v="1"/>
    <s v="Overhead"/>
    <x v="3"/>
    <d v="2016-11-28T00:00:00"/>
    <s v="Nov-16"/>
    <s v="Eureka Operations - Coles Express - Diesel 65.12L 1.259"/>
    <n v="74.53"/>
    <m/>
    <m/>
  </r>
  <r>
    <s v="INV"/>
    <s v="NBN Sydney"/>
    <s v="#26672"/>
    <x v="5"/>
    <s v="Syndeticom"/>
    <x v="66"/>
    <d v="2016-11-01T00:00:00"/>
    <s v="Nov-16"/>
    <s v="SYDNEY VEHICLE  AND TEST EQUIPMENT RENTAL - TEST EQUIPMENT MONTHLY RENTAL"/>
    <n v="300.666666666666"/>
    <m/>
    <m/>
  </r>
  <r>
    <s v="INV"/>
    <s v="NBN Sydney"/>
    <s v="#26672"/>
    <x v="5"/>
    <s v="NBN Minor Works DJC Internals"/>
    <x v="79"/>
    <d v="2016-11-01T00:00:00"/>
    <s v="Nov-16"/>
    <s v="SYDNEY VEHICLE  AND TEST EQUIPMENT RENTAL - TEST EQUIPMENT MONTHLY RENTAL"/>
    <n v="150.33333333333334"/>
    <m/>
    <m/>
  </r>
  <r>
    <s v="INV"/>
    <s v="NBN Sydney"/>
    <s v="#26672"/>
    <x v="5"/>
    <s v="NBN Greenfields DJC Internals"/>
    <x v="83"/>
    <d v="2016-11-01T00:00:00"/>
    <s v="Nov-16"/>
    <s v="SYDNEY VEHICLE  AND TEST EQUIPMENT RENTAL - TEST EQUIPMENT MONTHLY RENTAL"/>
    <n v="150.33333333333334"/>
    <m/>
    <m/>
  </r>
  <r>
    <s v="INV"/>
    <s v="NBN Sydney"/>
    <s v="#26672"/>
    <x v="5"/>
    <s v="NBN Minor Works DJC Internals"/>
    <x v="84"/>
    <d v="2016-11-01T00:00:00"/>
    <s v="Nov-16"/>
    <s v="SYDNEY VEHICLE  AND TEST EQUIPMENT RENTAL - TEST EQUIPMENT MONTHLY RENTAL"/>
    <n v="150.33333333333334"/>
    <m/>
    <m/>
  </r>
  <r>
    <s v="INV"/>
    <s v="NBN Sydney"/>
    <s v="#26672"/>
    <x v="5"/>
    <s v="NBN Minor Works DJC Internals"/>
    <x v="65"/>
    <d v="2016-11-01T00:00:00"/>
    <s v="Nov-16"/>
    <s v="SYDNEY VEHICLE  AND TEST EQUIPMENT RENTAL - TEST EQUIPMENT MONTHLY RENTAL"/>
    <n v="150.33333333333334"/>
    <m/>
    <m/>
  </r>
  <r>
    <s v="INV"/>
    <s v="NBN Sydney"/>
    <s v="#26672"/>
    <x v="1"/>
    <s v="Overhead"/>
    <x v="3"/>
    <d v="2016-11-01T00:00:00"/>
    <s v="Nov-16"/>
    <s v="SYDNEY VEHICLE  AND TEST EQUIPMENT RENTAL - Forklift"/>
    <n v="487"/>
    <m/>
    <m/>
  </r>
  <r>
    <s v="INV"/>
    <s v="NBN Sydney"/>
    <s v="#26672"/>
    <x v="1"/>
    <s v="Test Equipment &amp; Tools"/>
    <x v="27"/>
    <d v="2016-11-01T00:00:00"/>
    <s v="Nov-16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833"/>
    <m/>
    <m/>
  </r>
  <r>
    <s v="INV"/>
    <s v="NBN Sydney"/>
    <s v="#26672"/>
    <x v="5"/>
    <s v="Syndeticom"/>
    <x v="66"/>
    <d v="2016-11-01T00:00:00"/>
    <s v="Nov-16"/>
    <s v="SYDNEY VEHICLE  AND TEST EQUIPMENT RENTAL - BU59MS -HIACE RENTAL - "/>
    <n v="833"/>
    <m/>
    <m/>
  </r>
  <r>
    <s v="INV"/>
    <s v="NBN Sydney"/>
    <s v="#26672"/>
    <x v="5"/>
    <s v="NBN Minor Works DJC Internals"/>
    <x v="79"/>
    <d v="2016-11-01T00:00:00"/>
    <s v="Nov-16"/>
    <s v="SYDNEY VEHICLE  AND TEST EQUIPMENT RENTAL - BU59MS -HIACE RENTAL - "/>
    <n v="277.666666666666"/>
    <m/>
    <m/>
  </r>
  <r>
    <s v="INV"/>
    <s v="NBN Sydney"/>
    <s v="#26672"/>
    <x v="5"/>
    <s v="NBN Greenfields DJC Internals"/>
    <x v="83"/>
    <d v="2016-11-01T00:00:00"/>
    <s v="Nov-16"/>
    <s v="SYDNEY VEHICLE  AND TEST EQUIPMENT RENTAL - BU59MS -HIACE RENTAL - "/>
    <n v="138.83333333333334"/>
    <m/>
    <m/>
  </r>
  <r>
    <s v="INV"/>
    <s v="NBN Sydney"/>
    <s v="#26672"/>
    <x v="5"/>
    <s v="NBN Minor Works DJC Internals"/>
    <x v="84"/>
    <d v="2016-11-01T00:00:00"/>
    <s v="Nov-16"/>
    <s v="SYDNEY VEHICLE  AND TEST EQUIPMENT RENTAL - BU59MS -HIACE RENTAL - "/>
    <n v="138.83333333333334"/>
    <m/>
    <m/>
  </r>
  <r>
    <s v="INV"/>
    <s v="NBN Sydney"/>
    <s v="#26672"/>
    <x v="5"/>
    <s v="NBN Minor Works DJC Internals"/>
    <x v="65"/>
    <d v="2016-11-01T00:00:00"/>
    <s v="Nov-16"/>
    <s v="SYDNEY VEHICLE  AND TEST EQUIPMENT RENTAL - BU59MS -HIACE RENTAL - "/>
    <n v="138.83333333333334"/>
    <m/>
    <m/>
  </r>
  <r>
    <s v="INV"/>
    <s v="NBN Sydney"/>
    <s v="0086137"/>
    <x v="1"/>
    <s v="Smithfield De Mobilisation"/>
    <x v="44"/>
    <d v="2016-11-10T00:00:00"/>
    <s v="Nov-16"/>
    <s v="Bakker Towing - TRANSPORTS OF FORKLIFT FROM SMITHFIELD TO MICHINBURY"/>
    <n v="240"/>
    <m/>
    <m/>
  </r>
  <r>
    <s v="INV"/>
    <s v="NBN Sydney"/>
    <s v="INV-11767"/>
    <x v="3"/>
    <s v="NBN Minor Works"/>
    <x v="65"/>
    <d v="2016-12-01T00:00:00"/>
    <s v="Dec-16"/>
    <s v="NBN Co Sydney - Part A 2LJT-06-11 19-21 Bias Ave, Bateau Bay"/>
    <m/>
    <s v="Minor Works - 2LJT-06-11 - 19-21 Bias Ave"/>
    <n v="1824.3"/>
  </r>
  <r>
    <s v="INV"/>
    <s v="NBN Sydney"/>
    <s v="INV-11681"/>
    <x v="3"/>
    <s v="Syndeticom"/>
    <x v="66"/>
    <d v="2016-12-01T00:00:00"/>
    <s v="Dec-16"/>
    <s v="Syndeticom Pty Ltd - Oct &amp; Nov 2016 Data Centre work"/>
    <m/>
    <s v="Syndeticom"/>
    <n v="43989.2"/>
  </r>
  <r>
    <s v="CN"/>
    <s v="NBN Sydney"/>
    <s v="CN-11738"/>
    <x v="3"/>
    <s v="PipeNetworks"/>
    <x v="40"/>
    <d v="2016-12-01T00:00:00"/>
    <s v="Dec-16"/>
    <s v="Pipe Network - PO64065 _x000d__x000a_IX5257C01 Duct Access Study Request - CA3777096 - Dark Fibre link between Ground Floor, 21 Vidler Avenue Woy Woy NSW and 42 Mann Street, Gosford NSW"/>
    <n v="3647.14"/>
    <s v="PipeNetworks - RT625696 - 51 Mcmasters Rd to 21 Vidler Ave"/>
    <m/>
  </r>
  <r>
    <s v="INV"/>
    <s v="NBN Sydney"/>
    <s v="INV-11728"/>
    <x v="3"/>
    <s v="NBN A417 MDU"/>
    <x v="85"/>
    <d v="2016-12-07T00:00:00"/>
    <s v="Dec-16"/>
    <s v="NBN Co Sydney - PO:340435 _x000d__x000a_SOPRWI-2ASH-66 AYCA-2ST85L_x000d__x000a_Malvern Hill_x000d__x000a__x000d__x000a_1 SOPRWI-2ASH-66 AYCA-2ST85L_x000d__x000a_Malvern Hill"/>
    <m/>
    <s v="A417 - AYCA-2ST85L Malvern Hill – 1"/>
    <n v="7560"/>
  </r>
  <r>
    <s v="INV"/>
    <s v="NBN Sydney"/>
    <s v="INV-11731"/>
    <x v="3"/>
    <s v="Syndeticom"/>
    <x v="66"/>
    <d v="2016-12-08T00:00:00"/>
    <s v="Dec-16"/>
    <s v="Syndeticom Pty Ltd - Dec 2016 - Data Centre work"/>
    <m/>
    <s v="Syndeticom"/>
    <n v="340"/>
  </r>
  <r>
    <s v="INV"/>
    <s v="NBN Sydney"/>
    <s v="INV-11755"/>
    <x v="3"/>
    <s v="NBN Greenfields"/>
    <x v="80"/>
    <d v="2016-12-12T00:00:00"/>
    <s v="Dec-16"/>
    <s v="NBN Co Sydney - 2CFS-06 AYCA-3FV0PQ - 60 Industrial Drive 1 &amp; 2_x000d__x000a_Payment Schedule Number: 2CFS-06 AYCA-3FV0PQ - 60 Industrial Drive 1 &amp; 2_x000d__x000a_Project Number:_x000d__x000a_PO Number:part A invoice_x000d__x000a_Work Confirmation: _x000d__x000a_Contract Sum"/>
    <m/>
    <s v="NBN Greenfields - AYCA-3FV0PQ - 60 Industrial Drive 1 &amp; 2"/>
    <n v="4296.6000000000004"/>
  </r>
  <r>
    <s v="INV"/>
    <s v="NBN Sydney"/>
    <s v="INV-11754"/>
    <x v="3"/>
    <s v="NBN Greenfields"/>
    <x v="42"/>
    <d v="2016-12-12T00:00:00"/>
    <s v="Dec-16"/>
    <s v="NBN Co Sydney - AYCA2Q7AAG Land and Housing Penrith_x000d__x000a_Payment Schedule Number: AYCA-2Q7AAG Land and Housing Penrith_x000d__x000a_Project Number:136454_x000d__x000a_PO Number:part A invoice_x000d__x000a_Work Confirmation: _x000d__x000a_Contract Sum"/>
    <m/>
    <s v="NBN Greenfields - AYCA‐2Q7AAG Land and Housing Penrith"/>
    <n v="1728.79"/>
  </r>
  <r>
    <s v="INV"/>
    <s v="NBN Sydney"/>
    <s v="INV-11764"/>
    <x v="3"/>
    <s v="NBN Greenfields"/>
    <x v="81"/>
    <d v="2016-12-15T00:00:00"/>
    <s v="Dec-16"/>
    <s v="NBN Co Sydney - 2TAM-08 – ACYA-2FOK7Q – Red Bank Estate - 4"/>
    <m/>
    <s v="NBN Greenfields - AYCA-2FOK7Q - RedBank Estate - 4 "/>
    <n v="14988.62"/>
  </r>
  <r>
    <s v="INV"/>
    <s v="NBN Sydney"/>
    <s v="INV-11763"/>
    <x v="3"/>
    <s v="NBN Greenfields"/>
    <x v="86"/>
    <d v="2016-12-15T00:00:00"/>
    <s v="Dec-16"/>
    <s v="NBN Co Sydney - 2QUA-02 - AYCA-1W6XSN - Alex Ave Schofields - 7A_x000d__x000a_Variation Approval"/>
    <m/>
    <s v="NBN Greenfields - AYCA-1W6XSN - Alex Ave Schofield"/>
    <n v="1524.3"/>
  </r>
  <r>
    <s v="INV"/>
    <s v="NBN Sydney"/>
    <s v="INV-11796"/>
    <x v="3"/>
    <s v="NBN Minor Works"/>
    <x v="87"/>
    <d v="2016-12-22T00:00:00"/>
    <s v="Dec-16"/>
    <s v="NBN Co Sydney - MWA - 2LJT-02-00-MPS-011 - Datateks Request for Completion"/>
    <m/>
    <s v="Minor Works - 2LJT-02-00-MPS-011"/>
    <n v="512.57000000000005"/>
  </r>
  <r>
    <s v="INV"/>
    <s v="NBN Sydney"/>
    <s v="INV-11797"/>
    <x v="3"/>
    <s v="NBN Minor Works"/>
    <x v="88"/>
    <d v="2016-12-22T00:00:00"/>
    <s v="Dec-16"/>
    <s v="NBN Co Sydney - MWI - Liverpool "/>
    <m/>
    <s v="Minor Works - 2LIV-02 Liverpool Held Orders"/>
    <n v="1836.51"/>
  </r>
  <r>
    <s v="INV"/>
    <s v="NBN Sydney"/>
    <s v="INV-11800"/>
    <x v="3"/>
    <s v="NBN Greenfields"/>
    <x v="89"/>
    <d v="2016-12-22T00:00:00"/>
    <s v="Dec-16"/>
    <s v="NBN Co Sydney - 2CBT05  AYCA-2AW2N9 210 Tyler street, Campbelltown"/>
    <m/>
    <s v="NBN Greenfields - AYCA-2AW2N9 210 Tyler street"/>
    <n v="5506.98"/>
  </r>
  <r>
    <s v="INV"/>
    <s v="NBN Sydney"/>
    <s v="INV-11793"/>
    <x v="3"/>
    <s v="NBN Greenfields"/>
    <x v="83"/>
    <d v="2016-12-22T00:00:00"/>
    <s v="Dec-16"/>
    <s v="NBN Co Sydney - MW20227 - AYCA-32OIQA - Gracewood Kellyville "/>
    <m/>
    <s v="NBN Greenfields - AYCA-32OIQA - Gracewood Kellyville "/>
    <n v="5876.65"/>
  </r>
  <r>
    <s v="INV"/>
    <s v="NBN Sydney"/>
    <s v="INV-11794"/>
    <x v="3"/>
    <s v="NBN Minor Works"/>
    <x v="69"/>
    <d v="2016-12-22T00:00:00"/>
    <s v="Dec-16"/>
    <s v="NBN Co Sydney - MWA - 2GOS-06-02 - Manns Road Build"/>
    <m/>
    <s v="Minor Works - 2GOS-06 Manns Road Aerial"/>
    <n v="17629.419999999998"/>
  </r>
  <r>
    <s v="INV"/>
    <s v="NBN Sydney"/>
    <s v="INV-11795"/>
    <x v="3"/>
    <s v="NBN Minor Works"/>
    <x v="53"/>
    <d v="2016-12-22T00:00:00"/>
    <s v="Dec-16"/>
    <s v="NBN Co Sydney - 2GOS-04 Drops"/>
    <m/>
    <s v="Minor Works - 2GOS-04 Drops"/>
    <n v="86585.85"/>
  </r>
  <r>
    <s v="INV"/>
    <s v="NBN Sydney"/>
    <s v="856289"/>
    <x v="1"/>
    <s v="Overhead"/>
    <x v="3"/>
    <d v="2016-12-05T00:00:00"/>
    <s v="Dec-16"/>
    <s v="Mitronics - Minimum Charge"/>
    <n v="50"/>
    <m/>
    <m/>
  </r>
  <r>
    <s v="INV"/>
    <s v="NBN Sydney"/>
    <s v="856289"/>
    <x v="1"/>
    <s v="Overhead"/>
    <x v="3"/>
    <d v="2016-12-05T00:00:00"/>
    <s v="Dec-16"/>
    <s v="Mitronics - Digital Support Agreement"/>
    <n v="39.950000000000003"/>
    <m/>
    <m/>
  </r>
  <r>
    <s v="INV"/>
    <s v="NBN Sydney"/>
    <s v="161489315512"/>
    <x v="4"/>
    <s v="Minchinbury Mobilisation"/>
    <x v="70"/>
    <d v="2016-12-22T00:00:00"/>
    <s v="Dec-16"/>
    <s v="U-Haul - 3 hour hire of car trailer"/>
    <n v="79.09"/>
    <m/>
    <m/>
  </r>
  <r>
    <s v="CN"/>
    <s v="NBN Sydney"/>
    <s v="230339"/>
    <x v="0"/>
    <s v="NBN Minor Works DJC"/>
    <x v="0"/>
    <d v="2016-12-01T00:00:00"/>
    <s v="Dec-16"/>
    <s v="Central Coast Council - NBN RE-REINSTATEMENT "/>
    <m/>
    <s v="Minor Works - 2LJT-04 LNDN"/>
    <n v="14553"/>
  </r>
  <r>
    <s v="INV"/>
    <s v="NBN Sydney"/>
    <s v="230339"/>
    <x v="0"/>
    <s v="NBN Minor Works DJC"/>
    <x v="0"/>
    <d v="2016-12-01T00:00:00"/>
    <s v="Dec-16"/>
    <s v="Central Coast Council - NBN RE-REINSTATEMENT "/>
    <n v="13230"/>
    <m/>
    <m/>
  </r>
  <r>
    <s v="INV"/>
    <s v="NBN Sydney"/>
    <s v="01803305"/>
    <x v="0"/>
    <s v="NBN Greenfields DJC"/>
    <x v="83"/>
    <d v="2016-12-02T00:00:00"/>
    <s v="Dec-16"/>
    <s v="Craig Comms Pty Ltd - NBN MWA Kellyville"/>
    <n v="547"/>
    <m/>
    <m/>
  </r>
  <r>
    <s v="INV"/>
    <s v="NBN Sydney"/>
    <s v="01803307"/>
    <x v="0"/>
    <s v="NBN Minor Works DJC"/>
    <x v="49"/>
    <d v="2016-12-02T00:00:00"/>
    <s v="Dec-16"/>
    <s v="Craig Comms Pty Ltd - 2GOS-05 Drops"/>
    <n v="800"/>
    <m/>
    <m/>
  </r>
  <r>
    <s v="INV"/>
    <s v="NBN Sydney"/>
    <s v="01803308"/>
    <x v="0"/>
    <s v="NBN Minor Works DJC"/>
    <x v="49"/>
    <d v="2016-12-02T00:00:00"/>
    <s v="Dec-16"/>
    <s v="Craig Comms Pty Ltd - 2GOS-05-14 Drops"/>
    <n v="523"/>
    <m/>
    <m/>
  </r>
  <r>
    <s v="INV"/>
    <s v="NBN Sydney"/>
    <s v="01803306"/>
    <x v="0"/>
    <s v="NBN Minor Works DJC"/>
    <x v="61"/>
    <d v="2016-12-02T00:00:00"/>
    <s v="Dec-16"/>
    <s v="Craig Comms Pty Ltd - 2GOS-06 LNDN and MDU"/>
    <n v="879"/>
    <m/>
    <m/>
  </r>
  <r>
    <s v="INV"/>
    <s v="NBN Sydney"/>
    <s v="01803310"/>
    <x v="0"/>
    <s v="NBN Minor Works DJC"/>
    <x v="78"/>
    <d v="2016-12-06T00:00:00"/>
    <s v="Dec-16"/>
    <s v="Craig Comms Pty Ltd - NBN MWA 9CVI-02-14"/>
    <n v="454"/>
    <m/>
    <m/>
  </r>
  <r>
    <s v="INV"/>
    <s v="NBN Sydney"/>
    <s v="01803309"/>
    <x v="0"/>
    <s v="NBN Minor Works DJC"/>
    <x v="90"/>
    <d v="2016-12-06T00:00:00"/>
    <s v="Dec-16"/>
    <s v="Craig Comms Pty Ltd - NBN MWA 9CVI-02-07"/>
    <n v="515"/>
    <m/>
    <m/>
  </r>
  <r>
    <s v="INV"/>
    <s v="NBN Sydney"/>
    <s v="01803311"/>
    <x v="0"/>
    <s v="NBN Minor Works DJC"/>
    <x v="75"/>
    <d v="2016-12-06T00:00:00"/>
    <s v="Dec-16"/>
    <s v="Craig Comms Pty Ltd - NBN MWA 9QBN-03-14 Crawford St"/>
    <n v="1747"/>
    <m/>
    <m/>
  </r>
  <r>
    <s v="INV"/>
    <s v="NBN Sydney"/>
    <s v="01803304"/>
    <x v="0"/>
    <s v="Syndeticom"/>
    <x v="66"/>
    <d v="2016-12-07T00:00:00"/>
    <s v="Dec-16"/>
    <s v="Craig Comms Pty Ltd - Macquarie Data Centre"/>
    <n v="18216"/>
    <m/>
    <m/>
  </r>
  <r>
    <s v="INV"/>
    <s v="NBN Sydney"/>
    <s v="INV-0094"/>
    <x v="1"/>
    <s v="Overhead"/>
    <x v="3"/>
    <d v="2016-12-12T00:00:00"/>
    <s v="Dec-16"/>
    <s v="Warriewood Consultancy - Datateks Day Rate"/>
    <n v="9642.2999999999993"/>
    <m/>
    <m/>
  </r>
  <r>
    <s v="INV"/>
    <s v="NBN Sydney"/>
    <s v="2001"/>
    <x v="0"/>
    <s v="NBN Greenfields DJC"/>
    <x v="89"/>
    <d v="2016-12-21T00:00:00"/>
    <s v="Dec-16"/>
    <s v="Schokman Pty Limited - NBN Greenfields"/>
    <n v="2884.0449999999996"/>
    <m/>
    <m/>
  </r>
  <r>
    <s v="INV"/>
    <s v="NBN Sydney"/>
    <s v="2001"/>
    <x v="0"/>
    <s v="NBN Greenfields DJC"/>
    <x v="91"/>
    <d v="2016-12-21T00:00:00"/>
    <s v="Dec-16"/>
    <s v="Schokman Pty Limited - NBN Greenfields"/>
    <n v="4003.0630000000001"/>
    <m/>
    <m/>
  </r>
  <r>
    <s v="INV"/>
    <s v="NBN Sydney"/>
    <s v="2001"/>
    <x v="0"/>
    <s v="NBN Minor Works DJC"/>
    <x v="88"/>
    <d v="2016-12-21T00:00:00"/>
    <s v="Dec-16"/>
    <s v="Schokman Pty Limited - NBN Minor Works"/>
    <n v="409.09500000000003"/>
    <m/>
    <m/>
  </r>
  <r>
    <s v="INV"/>
    <s v="NBN Sydney"/>
    <s v="2001"/>
    <x v="0"/>
    <s v="NBN Minor Works DJC"/>
    <x v="88"/>
    <d v="2016-12-21T00:00:00"/>
    <s v="Dec-16"/>
    <s v="Schokman Pty Limited - NBN Minor Works"/>
    <n v="128.19999999999999"/>
    <m/>
    <m/>
  </r>
  <r>
    <s v="INV"/>
    <s v="NBN Sydney"/>
    <s v="2001"/>
    <x v="0"/>
    <s v="NBN Minor Works DJC"/>
    <x v="78"/>
    <d v="2016-12-21T00:00:00"/>
    <s v="Dec-16"/>
    <s v="Schokman Pty Limited - NBN Minor Works"/>
    <n v="1157.8"/>
    <m/>
    <m/>
  </r>
  <r>
    <s v="INV"/>
    <s v="NBN Sydney"/>
    <s v="2001"/>
    <x v="0"/>
    <s v="NBN Minor Works DJC"/>
    <x v="69"/>
    <d v="2016-12-21T00:00:00"/>
    <s v="Dec-16"/>
    <s v="Schokman Pty Limited - NBN Minor Works"/>
    <n v="9038.2799999999988"/>
    <m/>
    <m/>
  </r>
  <r>
    <s v="INV"/>
    <s v="NBN Sydney"/>
    <s v="2000"/>
    <x v="0"/>
    <s v="NBN Minor Works DJC"/>
    <x v="53"/>
    <d v="2016-12-21T00:00:00"/>
    <s v="Dec-16"/>
    <s v="Schokman Pty Limited - 2-Gos-04 Drops"/>
    <n v="33196"/>
    <m/>
    <m/>
  </r>
  <r>
    <s v="INV"/>
    <s v="NBN Sydney"/>
    <s v="9486088"/>
    <x v="0"/>
    <s v="NBN Minor Works DJC"/>
    <x v="69"/>
    <d v="2016-12-21T00:00:00"/>
    <s v="Dec-16"/>
    <s v="ALTUS Traffic - Supply of Traffic Controllers at Job#610466337-1206 - Order #MA Manns Rd, Narara"/>
    <n v="1089.23"/>
    <m/>
    <m/>
  </r>
  <r>
    <s v="INV"/>
    <s v="NBN Sydney"/>
    <s v="100763267"/>
    <x v="0"/>
    <s v="NBN Greenfields DJC"/>
    <x v="57"/>
    <d v="2016-12-23T00:00:00"/>
    <s v="Dec-16"/>
    <s v="Campbelltown city council - Road Restoration, 34 Northhampton Dr, Glenfield, NBN Minor works"/>
    <n v="2132.5"/>
    <m/>
    <m/>
  </r>
  <r>
    <s v="INV"/>
    <s v="NBN Sydney"/>
    <s v="INV-0095"/>
    <x v="5"/>
    <s v="Minchinbury Mobilisation"/>
    <x v="70"/>
    <d v="2016-12-25T00:00:00"/>
    <s v="Dec-16"/>
    <s v="Warriewood Consultancy - Datateks Day Rate"/>
    <n v="9642.2999999999993"/>
    <m/>
    <m/>
  </r>
  <r>
    <s v="PE"/>
    <s v="NBN Sydney"/>
    <s v="Payroll Expense Journal - PD-380"/>
    <x v="5"/>
    <s v="NBN Minor Works DJC Internals"/>
    <x v="87"/>
    <d v="2016-12-05T00:00:00"/>
    <s v="Dec-16"/>
    <s v="Tool Allowance P Hanley"/>
    <n v="4.6624999999999996"/>
    <m/>
    <m/>
  </r>
  <r>
    <s v="PE"/>
    <s v="NBN Sydney"/>
    <s v="Payroll Expense Journal - PD-380"/>
    <x v="5"/>
    <s v="NBN Minor Works DJC Internals"/>
    <x v="87"/>
    <d v="2016-12-05T00:00:00"/>
    <s v="Dec-16"/>
    <s v="Tool Allowance P Hanley"/>
    <n v="4.6624999999999996"/>
    <m/>
    <m/>
  </r>
  <r>
    <s v="PE"/>
    <s v="NBN Sydney"/>
    <s v="Payroll Expense Journal - PD-380"/>
    <x v="5"/>
    <s v="NBN Minor Works DJC Internals"/>
    <x v="84"/>
    <d v="2016-12-05T00:00:00"/>
    <s v="Dec-16"/>
    <s v="Tool Allowance P Hanley"/>
    <n v="4.6624999999999996"/>
    <m/>
    <m/>
  </r>
  <r>
    <s v="PE"/>
    <s v="NBN Sydney"/>
    <s v="Payroll Expense Journal - PD-380"/>
    <x v="5"/>
    <s v="NBN Greenfields DJC Internals"/>
    <x v="42"/>
    <d v="2016-12-05T00:00:00"/>
    <s v="Dec-16"/>
    <s v="Tool Allowance P Hanley"/>
    <n v="4.6624999999999996"/>
    <m/>
    <m/>
  </r>
  <r>
    <s v="PE"/>
    <s v="NBN Sydney"/>
    <s v="Payroll Expense Journal - PD-380"/>
    <x v="5"/>
    <s v="Syndeticom "/>
    <x v="92"/>
    <d v="2016-12-12T00:00:00"/>
    <s v="Dec-16"/>
    <s v="Tool Allowance P Hanley"/>
    <n v="4.6624999999999996"/>
    <m/>
    <m/>
  </r>
  <r>
    <s v="PE"/>
    <s v="NBN Sydney"/>
    <s v="Payroll Expense Journal - PD-380"/>
    <x v="5"/>
    <s v="NBN Minor Works DJC Internals"/>
    <x v="84"/>
    <d v="2016-12-12T00:00:00"/>
    <s v="Dec-16"/>
    <s v="Tool Allowance P Hanley"/>
    <n v="4.6624999999999996"/>
    <m/>
    <m/>
  </r>
  <r>
    <s v="PE"/>
    <s v="NBN Sydney"/>
    <s v="Payroll Expense Journal - PD-380"/>
    <x v="5"/>
    <s v="NBN Greenfields DJC Internals"/>
    <x v="93"/>
    <d v="2016-12-12T00:00:00"/>
    <s v="Dec-16"/>
    <s v="Tool Allowance P Hanley"/>
    <n v="4.6624999999999996"/>
    <m/>
    <m/>
  </r>
  <r>
    <s v="PE"/>
    <s v="NBN Sydney"/>
    <s v="Payroll Expense Journal - PD-382"/>
    <x v="1"/>
    <s v="Overhead"/>
    <x v="3"/>
    <d v="2016-12-12T00:00:00"/>
    <s v="Dec-16"/>
    <s v="Tool Allowance P Hanley"/>
    <n v="4.6624999999999996"/>
    <m/>
    <m/>
  </r>
  <r>
    <s v="PE"/>
    <s v="NBN Sydney"/>
    <s v="Payroll Expense Journal - PD-381"/>
    <x v="1"/>
    <s v="Overhead"/>
    <x v="3"/>
    <d v="2016-12-12T00:00:00"/>
    <s v="Dec-16"/>
    <s v="Tool Allowance P Hanley"/>
    <n v="18.649999999999999"/>
    <m/>
    <m/>
  </r>
  <r>
    <s v="PE"/>
    <s v="NBN Sydney"/>
    <s v="Payroll Expense Journal - PD-385"/>
    <x v="5"/>
    <s v="NBN Greenfields DJC Internals"/>
    <x v="94"/>
    <d v="2016-12-19T00:00:00"/>
    <s v="Dec-16"/>
    <s v="Tool Allowance  G Baylis"/>
    <n v="9.3249999999999993"/>
    <m/>
    <m/>
  </r>
  <r>
    <s v="PE"/>
    <s v="NBN Sydney"/>
    <s v="Payroll Expense Journal - PD-385"/>
    <x v="5"/>
    <s v="NBN Greenfields DJC Internals"/>
    <x v="95"/>
    <d v="2016-12-19T00:00:00"/>
    <s v="Dec-16"/>
    <s v="Tool Allowance  G Baylis"/>
    <n v="9.3249999999999993"/>
    <m/>
    <m/>
  </r>
  <r>
    <s v="PE"/>
    <s v="NBN Sydney"/>
    <s v="Payroll Expense Journal - PD-385"/>
    <x v="5"/>
    <s v="NBN Greenfields DJC Internals"/>
    <x v="96"/>
    <d v="2016-12-19T00:00:00"/>
    <s v="Dec-16"/>
    <s v="Tool Allowance  G Baylis"/>
    <n v="9.3249999999999993"/>
    <m/>
    <m/>
  </r>
  <r>
    <s v="PE"/>
    <s v="NBN Sydney"/>
    <s v="Payroll Expense Journal - PD-385"/>
    <x v="5"/>
    <s v="Minchinbury Mobilisation"/>
    <x v="70"/>
    <d v="2016-12-19T00:00:00"/>
    <s v="Dec-16"/>
    <s v="Tool Allowance  G Baylis"/>
    <n v="9.3249999999999993"/>
    <m/>
    <m/>
  </r>
  <r>
    <s v="PE"/>
    <s v="NBN Sydney"/>
    <s v="Payroll Expense Journal - PD-389"/>
    <x v="5"/>
    <s v="Minchinbury Mobilisation"/>
    <x v="70"/>
    <d v="2016-12-26T00:00:00"/>
    <s v="Dec-16"/>
    <s v="Tool Allowance  G Baylis"/>
    <n v="18.649999999999999"/>
    <m/>
    <m/>
  </r>
  <r>
    <s v="PE"/>
    <s v="NBN Sydney"/>
    <s v="Payroll Expense Journal - PD-389"/>
    <x v="5"/>
    <s v="Minchinbury Mobilisation"/>
    <x v="70"/>
    <d v="2016-12-26T00:00:00"/>
    <s v="Dec-16"/>
    <s v="Tool Allowance Gilbert &amp; Scott"/>
    <n v="93.25"/>
    <m/>
    <m/>
  </r>
  <r>
    <s v="PE"/>
    <s v="NBN Sydney"/>
    <s v="Payroll Expense Journal - PD-382"/>
    <x v="5"/>
    <s v="NBN Greenfields DJC Internals"/>
    <x v="94"/>
    <d v="2016-12-12T00:00:00"/>
    <s v="Dec-16"/>
    <s v="Tool Allowance Mohamad Ali"/>
    <n v="4.6624999999999996"/>
    <m/>
    <m/>
  </r>
  <r>
    <s v="PE"/>
    <s v="NBN Sydney"/>
    <s v="Payroll Expense Journal - PD-382"/>
    <x v="5"/>
    <s v="NBN Greenfields DJC Internals"/>
    <x v="95"/>
    <d v="2016-12-12T00:00:00"/>
    <s v="Dec-16"/>
    <s v="Tool Allowance Mohamad Ali"/>
    <n v="4.6624999999999996"/>
    <m/>
    <m/>
  </r>
  <r>
    <s v="PE"/>
    <s v="NBN Sydney"/>
    <s v="Payroll Expense Journal - PD-382"/>
    <x v="5"/>
    <s v="NBN Greenfields DJC Internals"/>
    <x v="96"/>
    <d v="2016-12-12T00:00:00"/>
    <s v="Dec-16"/>
    <s v="Tool Allowance Mohamad Ali"/>
    <n v="4.6624999999999996"/>
    <m/>
    <m/>
  </r>
  <r>
    <s v="PE"/>
    <s v="NBN Sydney"/>
    <s v="Payroll Expense Journal - PD-382"/>
    <x v="5"/>
    <s v="Minchinbury Mobilisation"/>
    <x v="70"/>
    <d v="2016-12-12T00:00:00"/>
    <s v="Dec-16"/>
    <s v="Tool Allowance Mohamad Ali"/>
    <n v="4.6624999999999996"/>
    <m/>
    <m/>
  </r>
  <r>
    <s v="PE"/>
    <s v="NBN Sydney"/>
    <s v="Payroll Expense Journal - PD-385"/>
    <x v="5"/>
    <s v="Minchinbury Mobilisation"/>
    <x v="70"/>
    <d v="2016-12-19T00:00:00"/>
    <s v="Dec-16"/>
    <s v="Tool Allowance Mohamad Ali"/>
    <n v="18.649999999999999"/>
    <m/>
    <m/>
  </r>
  <r>
    <s v="PE"/>
    <s v="NBN Sydney"/>
    <s v="Payroll Expense Journal - PD-370"/>
    <x v="5"/>
    <m/>
    <x v="97"/>
    <d v="2016-11-14T00:00:00"/>
    <s v="Nov-16"/>
    <s v="Reimbursements"/>
    <m/>
    <m/>
    <m/>
  </r>
  <r>
    <s v="PE"/>
    <s v="NBN Sydney"/>
    <s v="Payroll Expense Journal - PD-376"/>
    <x v="5"/>
    <m/>
    <x v="97"/>
    <d v="2016-11-28T00:00:00"/>
    <s v="Nov-16"/>
    <s v="Reimbursements"/>
    <m/>
    <m/>
    <m/>
  </r>
  <r>
    <s v="PE"/>
    <s v="NBN Sydney"/>
    <s v="Payroll Expense Journal - PD-389"/>
    <x v="5"/>
    <s v="Minchinbury Mobilisation"/>
    <x v="70"/>
    <d v="2016-12-26T00:00:00"/>
    <s v="Dec-16"/>
    <s v="Travel Allowance Gilbert  "/>
    <n v="3912.15"/>
    <m/>
    <m/>
  </r>
  <r>
    <s v="PE"/>
    <s v="NBN Sydney"/>
    <s v="Payroll Expense Journal - PD-389"/>
    <x v="5"/>
    <s v="Minchinbury Mobilisation"/>
    <x v="70"/>
    <d v="2016-12-26T00:00:00"/>
    <s v="Dec-16"/>
    <s v="Travel Allowance Scott"/>
    <n v="754.87"/>
    <m/>
    <m/>
  </r>
  <r>
    <s v="PE"/>
    <s v="NBN Sydney"/>
    <s v="Payroll Expense Journal - PD-380"/>
    <x v="1"/>
    <s v="Overhead"/>
    <x v="3"/>
    <d v="2016-12-05T00:00:00"/>
    <s v="Dec-16"/>
    <s v="Earnings"/>
    <n v="6387.9500000000007"/>
    <m/>
    <m/>
  </r>
  <r>
    <s v="PE"/>
    <s v="NBN Sydney"/>
    <s v="Payroll Expense Journal - PD-380"/>
    <x v="5"/>
    <s v="NBN Minor Works DJC Internals"/>
    <x v="65"/>
    <d v="2016-12-05T00:00:00"/>
    <s v="Dec-16"/>
    <s v="Earnings Peter hnaley"/>
    <n v="521.3599999999999"/>
    <m/>
    <m/>
  </r>
  <r>
    <s v="PE"/>
    <s v="NBN Sydney"/>
    <s v="Payroll Expense Journal - PD-380"/>
    <x v="5"/>
    <s v="NBN Minor Works DJC Internals"/>
    <x v="87"/>
    <d v="2016-12-05T00:00:00"/>
    <s v="Dec-16"/>
    <s v="Earnings Peter hnaley"/>
    <n v="137.19999999999999"/>
    <m/>
    <m/>
  </r>
  <r>
    <s v="PE"/>
    <s v="NBN Sydney"/>
    <s v="Payroll Expense Journal - PD-380"/>
    <x v="5"/>
    <s v="NBN Minor Works DJC Internals"/>
    <x v="84"/>
    <d v="2016-12-05T00:00:00"/>
    <s v="Dec-16"/>
    <s v="Earnings Peter hnaley"/>
    <n v="435.60999999999996"/>
    <m/>
    <m/>
  </r>
  <r>
    <s v="PE"/>
    <s v="NBN Sydney"/>
    <s v="Payroll Expense Journal - PD-380"/>
    <x v="5"/>
    <s v="NBN Greenfields DJC Internals"/>
    <x v="42"/>
    <d v="2016-12-05T00:00:00"/>
    <s v="Dec-16"/>
    <s v="Earnings Peter hnaley"/>
    <n v="260.67999999999995"/>
    <m/>
    <m/>
  </r>
  <r>
    <s v="PE"/>
    <s v="NBN Sydney"/>
    <s v="Payroll Expense Journal - PD-382"/>
    <x v="1"/>
    <s v="Overhead"/>
    <x v="3"/>
    <d v="2016-12-12T00:00:00"/>
    <s v="Dec-16"/>
    <s v="Earnings"/>
    <n v="536.39"/>
    <m/>
    <m/>
  </r>
  <r>
    <s v="PE"/>
    <s v="NBN Sydney"/>
    <s v="Payroll Expense Journal - PD-381"/>
    <x v="1"/>
    <s v="Overhead"/>
    <x v="3"/>
    <d v="2016-12-12T00:00:00"/>
    <s v="Dec-16"/>
    <s v="Earnings"/>
    <n v="7721.8300000000008"/>
    <m/>
    <m/>
  </r>
  <r>
    <s v="PE"/>
    <s v="NBN Sydney"/>
    <s v="Payroll Expense Journal - PD-381"/>
    <x v="5"/>
    <s v="Syndeticom "/>
    <x v="92"/>
    <d v="2016-12-12T00:00:00"/>
    <s v="Dec-16"/>
    <s v="Earnings Peter hnaley"/>
    <n v="137.19999999999999"/>
    <m/>
    <m/>
  </r>
  <r>
    <s v="PE"/>
    <s v="NBN Sydney"/>
    <s v="Payroll Expense Journal - PD-382"/>
    <x v="5"/>
    <s v="NBN Minor Works DJC Internals"/>
    <x v="84"/>
    <d v="2016-12-12T00:00:00"/>
    <s v="Dec-16"/>
    <s v="Earnings Peter hnaley"/>
    <n v="260.67999999999995"/>
    <m/>
    <m/>
  </r>
  <r>
    <s v="PE"/>
    <s v="NBN Sydney"/>
    <s v="Payroll Expense Journal - PD-383"/>
    <x v="5"/>
    <s v="NBN Greenfields DJC Internals"/>
    <x v="93"/>
    <d v="2016-12-12T00:00:00"/>
    <s v="Dec-16"/>
    <s v="Earnings Peter hnaley"/>
    <n v="123.47999999999999"/>
    <m/>
    <m/>
  </r>
  <r>
    <s v="PE"/>
    <s v="NBN Sydney"/>
    <s v="Payroll Expense Journal - PD-385"/>
    <x v="1"/>
    <s v="Overhead"/>
    <x v="3"/>
    <d v="2016-12-19T00:00:00"/>
    <s v="Dec-16"/>
    <s v="Earnings"/>
    <n v="8570.9500000000007"/>
    <m/>
    <m/>
  </r>
  <r>
    <s v="PE"/>
    <s v="NBN Sydney"/>
    <s v="Payroll Expense Journal - PD-385"/>
    <x v="5"/>
    <s v="NBN Greenfields DJC Internals"/>
    <x v="94"/>
    <d v="2016-12-19T00:00:00"/>
    <s v="Dec-16"/>
    <s v="Earnings Greg "/>
    <n v="240"/>
    <m/>
    <m/>
  </r>
  <r>
    <s v="PE"/>
    <s v="NBN Sydney"/>
    <s v="Payroll Expense Journal - PD-385"/>
    <x v="5"/>
    <s v="NBN Greenfields DJC Internals"/>
    <x v="95"/>
    <d v="2016-12-19T00:00:00"/>
    <s v="Dec-16"/>
    <s v="Earnings Greg "/>
    <n v="240"/>
    <m/>
    <m/>
  </r>
  <r>
    <s v="PE"/>
    <s v="NBN Sydney"/>
    <s v="Payroll Expense Journal - PD-385"/>
    <x v="5"/>
    <s v="NBN Greenfields DJC Internals"/>
    <x v="96"/>
    <d v="2016-12-19T00:00:00"/>
    <s v="Dec-16"/>
    <s v="Earnings Greg "/>
    <n v="285"/>
    <m/>
    <m/>
  </r>
  <r>
    <s v="PE"/>
    <s v="NBN Sydney"/>
    <s v="Payroll Expense Journal - PD-385"/>
    <x v="5"/>
    <s v="Minchinbury Mobilisation"/>
    <x v="70"/>
    <d v="2016-12-19T00:00:00"/>
    <s v="Dec-16"/>
    <s v="Earnings Greg "/>
    <n v="315"/>
    <m/>
    <m/>
  </r>
  <r>
    <s v="PE"/>
    <s v="NBN Sydney"/>
    <s v="Payroll Expense Journal - PD-389"/>
    <x v="1"/>
    <s v="Overhead"/>
    <x v="3"/>
    <d v="2016-12-26T00:00:00"/>
    <s v="Dec-16"/>
    <s v="Earnings"/>
    <n v="7169.25"/>
    <m/>
    <m/>
  </r>
  <r>
    <s v="PE"/>
    <s v="NBN Sydney"/>
    <s v="Payroll Expense Journal - PD-389"/>
    <x v="5"/>
    <s v="Minchinbury Mobilisation"/>
    <x v="70"/>
    <d v="2016-12-27T00:00:00"/>
    <s v="Dec-16"/>
    <s v="Earnings Greg "/>
    <n v="1140"/>
    <m/>
    <m/>
  </r>
  <r>
    <s v="PE"/>
    <s v="NBN Sydney"/>
    <s v="Payroll Expense Journal - PD-386"/>
    <x v="1"/>
    <s v="Overhead"/>
    <x v="3"/>
    <d v="2016-12-26T00:00:00"/>
    <s v="Dec-16"/>
    <s v="Earnings"/>
    <n v="1648.66"/>
    <m/>
    <m/>
  </r>
  <r>
    <s v="PE"/>
    <s v="NBN Sydney"/>
    <s v="Payroll Expense Journal - PD-386"/>
    <x v="5"/>
    <s v="Minchinbury Mobilisation"/>
    <x v="70"/>
    <d v="2016-12-26T00:00:00"/>
    <s v="Dec-16"/>
    <s v="GC &amp; SM"/>
    <n v="4778.92"/>
    <m/>
    <m/>
  </r>
  <r>
    <s v="PE"/>
    <s v="NBN Sydney"/>
    <s v="Payroll Expense Journal - PD-382"/>
    <x v="1"/>
    <s v="Overhead"/>
    <x v="3"/>
    <d v="2016-12-12T00:00:00"/>
    <s v="Dec-16"/>
    <s v="Earnings Mohamad Ali"/>
    <n v="354.92"/>
    <m/>
    <m/>
  </r>
  <r>
    <s v="PE"/>
    <s v="NBN Sydney"/>
    <s v="Payroll Expense Journal - PD-385"/>
    <x v="5"/>
    <s v="NBN Greenfields DJC Internals"/>
    <x v="94"/>
    <d v="2016-12-19T00:00:00"/>
    <s v="Dec-16"/>
    <s v="Earnings Mohamad Ali"/>
    <n v="91.200000000000045"/>
    <m/>
    <m/>
  </r>
  <r>
    <s v="PE"/>
    <s v="NBN Sydney"/>
    <s v="Payroll Expense Journal - PD-385"/>
    <x v="5"/>
    <s v="NBN Greenfields DJC Internals"/>
    <x v="95"/>
    <d v="2016-12-19T00:00:00"/>
    <s v="Dec-16"/>
    <s v="Earnings Mohamad Ali"/>
    <n v="320"/>
    <m/>
    <m/>
  </r>
  <r>
    <s v="PE"/>
    <s v="NBN Sydney"/>
    <s v="Payroll Expense Journal - PD-385"/>
    <x v="5"/>
    <s v="NBN Greenfields DJC Internals"/>
    <x v="96"/>
    <d v="2016-12-19T00:00:00"/>
    <s v="Dec-16"/>
    <s v="Earnings Mohamad Ali"/>
    <n v="190"/>
    <m/>
    <m/>
  </r>
  <r>
    <s v="PE"/>
    <s v="NBN Sydney"/>
    <s v="Payroll Expense Journal - PD-385"/>
    <x v="5"/>
    <s v="Minchinbury Mobilisation"/>
    <x v="70"/>
    <d v="2016-12-19T00:00:00"/>
    <s v="Dec-16"/>
    <s v="Earnings Mohamad Ali"/>
    <n v="210"/>
    <m/>
    <m/>
  </r>
  <r>
    <s v="PE"/>
    <s v="NBN Sydney"/>
    <s v="Payroll Expense Journal - PD-380"/>
    <x v="1"/>
    <s v="Overhead"/>
    <x v="3"/>
    <d v="2016-12-05T00:00:00"/>
    <s v="Dec-16"/>
    <s v="Superannuation Expense"/>
    <n v="659.28000000000009"/>
    <s v=" "/>
    <m/>
  </r>
  <r>
    <s v="PE"/>
    <s v="NBN Sydney"/>
    <s v="Payroll Expense Journal - PD-380"/>
    <x v="5"/>
    <s v="NBN Minor Works DJC Internals"/>
    <x v="65"/>
    <d v="2016-12-05T00:00:00"/>
    <s v="Dec-16"/>
    <s v="Superanuation Peter Hanley"/>
    <n v="49.53"/>
    <m/>
    <m/>
  </r>
  <r>
    <s v="PE"/>
    <s v="NBN Sydney"/>
    <s v="Payroll Expense Journal - PD-381"/>
    <x v="5"/>
    <s v="NBN Minor Works DJC Internals"/>
    <x v="87"/>
    <d v="2016-12-05T00:00:00"/>
    <s v="Dec-16"/>
    <s v="Superanuation Peter Hanley"/>
    <n v="13.03"/>
    <m/>
    <m/>
  </r>
  <r>
    <s v="PE"/>
    <s v="NBN Sydney"/>
    <s v="Payroll Expense Journal - PD-382"/>
    <x v="5"/>
    <s v="NBN Minor Works DJC Internals"/>
    <x v="84"/>
    <d v="2016-12-05T00:00:00"/>
    <s v="Dec-16"/>
    <s v="Superanuation Peter Hanley"/>
    <n v="36.5"/>
    <m/>
    <m/>
  </r>
  <r>
    <s v="PE"/>
    <s v="NBN Sydney"/>
    <s v="Payroll Expense Journal - PD-383"/>
    <x v="5"/>
    <s v="NBN Greenfields DJC Internals"/>
    <x v="42"/>
    <d v="2016-12-05T00:00:00"/>
    <s v="Dec-16"/>
    <s v="Superanuation Peter Hanley"/>
    <n v="24.76"/>
    <m/>
    <m/>
  </r>
  <r>
    <s v="PE"/>
    <s v="NBN Sydney"/>
    <s v="Payroll Expense Journal - PD-382"/>
    <x v="1"/>
    <s v="Overhead"/>
    <x v="3"/>
    <d v="2016-12-12T00:00:00"/>
    <s v="Dec-16"/>
    <s v="Superannuation Expense"/>
    <n v="50.96"/>
    <m/>
    <m/>
  </r>
  <r>
    <s v="PE"/>
    <s v="NBN Sydney"/>
    <s v="Payroll Expense Journal - PD-381"/>
    <x v="1"/>
    <s v="Overhead"/>
    <x v="3"/>
    <d v="2016-12-12T00:00:00"/>
    <s v="Dec-16"/>
    <s v="Superannuation Expense"/>
    <n v="745.31000000000006"/>
    <m/>
    <m/>
  </r>
  <r>
    <s v="PE"/>
    <s v="NBN Sydney"/>
    <s v="Payroll Expense Journal - PD-381"/>
    <x v="5"/>
    <s v="Syndeticom "/>
    <x v="92"/>
    <d v="2016-12-12T00:00:00"/>
    <s v="Dec-16"/>
    <s v="Superanuation Peter Hanley"/>
    <n v="13.03"/>
    <m/>
    <m/>
  </r>
  <r>
    <s v="PE"/>
    <s v="NBN Sydney"/>
    <s v="Payroll Expense Journal - PD-381"/>
    <x v="5"/>
    <s v="NBN Minor Works DJC Internals"/>
    <x v="84"/>
    <d v="2016-12-12T00:00:00"/>
    <s v="Dec-16"/>
    <s v="Superanuation Peter Hanley"/>
    <n v="24.76"/>
    <m/>
    <m/>
  </r>
  <r>
    <s v="PE"/>
    <s v="NBN Sydney"/>
    <s v="Payroll Expense Journal - PD-381"/>
    <x v="5"/>
    <s v="NBN Greenfields DJC Internals"/>
    <x v="93"/>
    <d v="2016-12-12T00:00:00"/>
    <s v="Dec-16"/>
    <s v="Superanuation Peter Hanley"/>
    <n v="11.73"/>
    <m/>
    <m/>
  </r>
  <r>
    <s v="PE"/>
    <s v="NBN Sydney"/>
    <s v="Payroll Expense Journal - PD-385"/>
    <x v="1"/>
    <s v="Overhead"/>
    <x v="3"/>
    <d v="2016-12-19T00:00:00"/>
    <s v="Dec-16"/>
    <s v="Superannuation Expense"/>
    <n v="788.04"/>
    <m/>
    <m/>
  </r>
  <r>
    <s v="PE"/>
    <s v="NBN Sydney"/>
    <s v="Payroll Expense Journal - PD-385"/>
    <x v="5"/>
    <s v="NBN Greenfields DJC Internals"/>
    <x v="94"/>
    <d v="2016-12-19T00:00:00"/>
    <s v="Dec-16"/>
    <s v="Superannuation Expense Greg and Mo"/>
    <n v="76"/>
    <m/>
    <m/>
  </r>
  <r>
    <s v="PE"/>
    <s v="NBN Sydney"/>
    <s v="Payroll Expense Journal - PD-386"/>
    <x v="5"/>
    <s v="NBN Greenfields DJC Internals"/>
    <x v="95"/>
    <d v="2016-12-19T00:00:00"/>
    <s v="Dec-16"/>
    <s v="Superannuation Expense Greg and Mo"/>
    <n v="76"/>
    <m/>
    <m/>
  </r>
  <r>
    <s v="PE"/>
    <s v="NBN Sydney"/>
    <s v="Payroll Expense Journal - PD-387"/>
    <x v="5"/>
    <s v="NBN Greenfields DJC Internals"/>
    <x v="96"/>
    <d v="2016-12-19T00:00:00"/>
    <s v="Dec-16"/>
    <s v="Superannuation Expense Greg and Mo"/>
    <n v="45.13"/>
    <m/>
    <m/>
  </r>
  <r>
    <s v="PE"/>
    <s v="NBN Sydney"/>
    <s v="Payroll Expense Journal - PD-388"/>
    <x v="5"/>
    <s v="Minchinbury Mobilisation"/>
    <x v="70"/>
    <d v="2016-12-19T00:00:00"/>
    <s v="Dec-16"/>
    <s v="Superannuation Expense Greg and Mo"/>
    <n v="23.21"/>
    <m/>
    <m/>
  </r>
  <r>
    <s v="PE"/>
    <s v="NBN Sydney"/>
    <s v="Payroll Expense Journal - PD-389"/>
    <x v="1"/>
    <s v="Overhead"/>
    <x v="3"/>
    <d v="2016-12-26T00:00:00"/>
    <s v="Dec-16"/>
    <s v="Superannuation Expense"/>
    <n v="672.53000000000009"/>
    <m/>
    <m/>
  </r>
  <r>
    <s v="PE"/>
    <s v="NBN Sydney"/>
    <s v="Payroll Expense Journal - PD-389"/>
    <x v="5"/>
    <s v="Minchinbury Mobilisation"/>
    <x v="70"/>
    <d v="2016-12-26T00:00:00"/>
    <s v="Dec-16"/>
    <s v="Superannuation Expense Greg"/>
    <n v="108.3"/>
    <m/>
    <m/>
  </r>
  <r>
    <s v="PE"/>
    <s v="NBN Sydney"/>
    <s v="Payroll Expense Journal - PD-386"/>
    <x v="1"/>
    <s v="Overhead"/>
    <x v="3"/>
    <d v="2016-12-26T00:00:00"/>
    <s v="Dec-16"/>
    <s v="Superannuation Expense"/>
    <n v="133.30000000000001"/>
    <m/>
    <m/>
  </r>
  <r>
    <s v="PE"/>
    <s v="NBN Sydney"/>
    <s v="Payroll Expense Journal - PD-387"/>
    <x v="5"/>
    <s v="Minchinbury Mobilisation"/>
    <x v="70"/>
    <d v="2016-12-26T00:00:00"/>
    <s v="Dec-16"/>
    <s v="Superannuation Expense Gilbert &amp; Scott"/>
    <n v="400.08"/>
    <m/>
    <m/>
  </r>
  <r>
    <s v="PE"/>
    <s v="NBN Sydney"/>
    <s v="E-toll"/>
    <x v="1"/>
    <s v="Overhead"/>
    <x v="3"/>
    <d v="2016-12-02T00:00:00"/>
    <s v="Dec-16"/>
    <s v="E-Toll Business Operations Centre - Surcharge on Top- up account per transaction"/>
    <n v="0.4"/>
    <m/>
    <m/>
  </r>
  <r>
    <s v="PE"/>
    <s v="NBN Sydney"/>
    <s v="E-toll"/>
    <x v="1"/>
    <s v="Overhead"/>
    <x v="3"/>
    <d v="2016-12-06T00:00:00"/>
    <s v="Dec-16"/>
    <s v="E-Toll Business Operations Centre - Surcharge on Top- up account per transaction"/>
    <n v="0.4"/>
    <m/>
    <m/>
  </r>
  <r>
    <s v="PE"/>
    <s v="NBN Sydney"/>
    <s v="Etoll Top Up Dec"/>
    <x v="1"/>
    <s v="Overhead"/>
    <x v="3"/>
    <d v="2016-12-12T00:00:00"/>
    <s v="Dec-16"/>
    <s v="E-Toll Business Operations Centre - Surcharge on Top- up account per transaction"/>
    <n v="0.4"/>
    <m/>
    <m/>
  </r>
  <r>
    <s v="PE"/>
    <s v="NBN Sydney"/>
    <s v="E-toll Dec Top up"/>
    <x v="1"/>
    <s v="Overhead"/>
    <x v="3"/>
    <d v="2016-12-15T00:00:00"/>
    <s v="Dec-16"/>
    <s v="E-Toll Business Operations Centre - Surcharge on Top- up account per transaction"/>
    <n v="0.4"/>
    <m/>
    <m/>
  </r>
  <r>
    <s v="PE"/>
    <s v="NBN Sydney"/>
    <s v="Dec Etoll Top Up"/>
    <x v="1"/>
    <s v="Overhead"/>
    <x v="3"/>
    <d v="2016-12-21T00:00:00"/>
    <s v="Dec-16"/>
    <s v="E-Toll Business Operations Centre - Surcharge on Top- up account per transaction"/>
    <n v="0.4"/>
    <m/>
    <m/>
  </r>
  <r>
    <s v="PE"/>
    <s v="NBN Sydney"/>
    <s v="E-Toll DEC Top Up"/>
    <x v="1"/>
    <s v="Overhead"/>
    <x v="3"/>
    <d v="2016-12-27T00:00:00"/>
    <s v="Dec-16"/>
    <s v="E-Toll Business Operations Centre - Surcharge on Top- up account per transaction"/>
    <n v="0.4"/>
    <m/>
    <m/>
  </r>
  <r>
    <s v="INV"/>
    <s v="NBN Sydney"/>
    <s v="119141"/>
    <x v="1"/>
    <s v="Overhead"/>
    <x v="3"/>
    <d v="2016-12-01T00:00:00"/>
    <s v="Dec-16"/>
    <s v="Easdowns Business Specialists - Monthly Instalment per 2017 Service Agreement"/>
    <n v="451.36"/>
    <m/>
    <m/>
  </r>
  <r>
    <s v="INV"/>
    <s v="NBN Sydney"/>
    <s v="INV155598"/>
    <x v="1"/>
    <s v="Overhead"/>
    <x v="3"/>
    <d v="2016-12-07T00:00:00"/>
    <s v="Dec-16"/>
    <s v="Southland Supply Group - MAli, GB - Ultimum HiVis Two Tone Reflective 4 in 1 Jacket, Yellow/Navy - Medium"/>
    <n v="174"/>
    <m/>
    <m/>
  </r>
  <r>
    <s v="INV"/>
    <s v="NBN Sydney"/>
    <s v="INV155598"/>
    <x v="1"/>
    <s v="Overhead"/>
    <x v="3"/>
    <d v="2016-12-07T00:00:00"/>
    <s v="Dec-16"/>
    <s v="Southland Supply Group - MAli, GB - Bushman Insect Repellant - 75g Gel"/>
    <n v="29"/>
    <m/>
    <m/>
  </r>
  <r>
    <s v="INV"/>
    <s v="NBN Sydney"/>
    <s v="INV155598"/>
    <x v="1"/>
    <s v="Overhead"/>
    <x v="3"/>
    <d v="2016-12-07T00:00:00"/>
    <s v="Dec-16"/>
    <s v="Southland Supply Group - MAli, GB - HiVis Nylon Rainwear Set, Yellow - M"/>
    <n v="49.6"/>
    <m/>
    <m/>
  </r>
  <r>
    <s v="INV"/>
    <s v="NBN Sydney"/>
    <s v="INV155598"/>
    <x v="1"/>
    <s v="Overhead"/>
    <x v="3"/>
    <d v="2016-12-07T00:00:00"/>
    <s v="Dec-16"/>
    <s v="Southland Supply Group - MAli - Honeywell ABS Vented Hardhat - White"/>
    <n v="13.8"/>
    <m/>
    <m/>
  </r>
  <r>
    <s v="INV"/>
    <s v="NBN Sydney"/>
    <s v="INV155598"/>
    <x v="1"/>
    <s v="Overhead"/>
    <x v="3"/>
    <d v="2016-12-07T00:00:00"/>
    <s v="Dec-16"/>
    <s v="Southland Supply Group - MAli, GB - Thorzt Drink Cooler - 2 Litre"/>
    <n v="28.4"/>
    <m/>
    <m/>
  </r>
  <r>
    <s v="INV"/>
    <s v="NBN Sydney"/>
    <s v="INV155978"/>
    <x v="1"/>
    <s v="Overhead"/>
    <x v="3"/>
    <d v="2016-12-12T00:00:00"/>
    <s v="Dec-16"/>
    <s v="Southland Supply Group - Ventilate HiVis Two Tone Cotton Drill Coverall, Yellow/Navy - 87R"/>
    <n v="131.80000000000001"/>
    <m/>
    <m/>
  </r>
  <r>
    <s v="INV"/>
    <s v="NBN Sydney"/>
    <s v="B VISA E-TOLL DEC 2016"/>
    <x v="5"/>
    <s v="Minchinbury Mobilisation"/>
    <x v="70"/>
    <d v="2016-12-01T00:00:00"/>
    <s v="Dec-16"/>
    <s v="E-Toll Business Operations Centre - TAG NO 3829695 _x000d__x000a_GC GCC00K F250 Ford"/>
    <n v="119.51"/>
    <m/>
    <m/>
  </r>
  <r>
    <s v="INV"/>
    <s v="NBN Sydney"/>
    <s v="B VISA E-TOLL DEC 2016"/>
    <x v="1"/>
    <s v="Overhead"/>
    <x v="3"/>
    <d v="2016-12-01T00:00:00"/>
    <s v="Dec-16"/>
    <s v="E-Toll Business Operations Centre - TAG NO 4088301 _x000d_Peter Jones_x000a_PJ CHV14B Toyota Hilux SYD"/>
    <n v="275.35000000000002"/>
    <m/>
    <m/>
  </r>
  <r>
    <s v="INV"/>
    <s v="NBN Sydney"/>
    <s v="B VISA E-TOLL DEC 2016"/>
    <x v="5"/>
    <s v="Minchinbury Mobilisation"/>
    <x v="70"/>
    <d v="2016-12-01T00:00:00"/>
    <s v="Dec-16"/>
    <s v="E-Toll Business Operations Centre - TAG NO 3166280 _x000d__x000a_GC BE38NA Toyota cruiser Gilbert"/>
    <n v="19.149999999999999"/>
    <m/>
    <m/>
  </r>
  <r>
    <s v="INV"/>
    <s v="NBN Sydney"/>
    <s v="B VISA E-TOLL DEC 2016"/>
    <x v="5"/>
    <s v="NBN Minor Works DJC Internals"/>
    <x v="84"/>
    <d v="2016-12-01T00:00:00"/>
    <s v="Dec-16"/>
    <s v="E-Toll Business Operations Centre - TAG NO 3665998 PHan BU59MS Toyota Hiace Van"/>
    <n v="38.523333333333333"/>
    <m/>
    <m/>
  </r>
  <r>
    <s v="INV"/>
    <s v="NBN Sydney"/>
    <s v="B VISA E-TOLL DEC 2016"/>
    <x v="5"/>
    <s v="NBN Greenfields DJC Internals"/>
    <x v="42"/>
    <d v="2016-12-01T00:00:00"/>
    <s v="Dec-16"/>
    <s v="E-Toll Business Operations Centre - TAG NO 3665998 PHan BU59MS Toyota Hiace Van"/>
    <n v="38.523333333333333"/>
    <m/>
    <m/>
  </r>
  <r>
    <s v="INV"/>
    <s v="NBN Sydney"/>
    <s v="B VISA E-TOLL DEC 2016"/>
    <x v="5"/>
    <s v="NBN Greenfields DJC Internals"/>
    <x v="93"/>
    <d v="2016-12-01T00:00:00"/>
    <s v="Dec-16"/>
    <s v="E-Toll Business Operations Centre - TAG NO 3665998 PHan BU59MS Toyota Hiace Van"/>
    <n v="38.523333333333333"/>
    <m/>
    <m/>
  </r>
  <r>
    <s v="INV"/>
    <s v="NBN Sydney"/>
    <s v="21135163"/>
    <x v="1"/>
    <s v="Overhead"/>
    <x v="3"/>
    <d v="2016-12-12T00:00:00"/>
    <s v="Dec-16"/>
    <s v="Kmart - CLI651C Cyan"/>
    <n v="20"/>
    <m/>
    <m/>
  </r>
  <r>
    <s v="INV"/>
    <s v="NBN Sydney"/>
    <s v="21640476"/>
    <x v="5"/>
    <s v="Minchinbury Mobilisation"/>
    <x v="70"/>
    <d v="2016-12-13T00:00:00"/>
    <s v="Dec-16"/>
    <s v="7 Eleven Minchinbury - Water for Depot Fit Out"/>
    <n v="36"/>
    <m/>
    <m/>
  </r>
  <r>
    <s v="INV"/>
    <s v="NBN Sydney"/>
    <s v="21640476"/>
    <x v="5"/>
    <s v="Minchinbury Mobilisation"/>
    <x v="70"/>
    <d v="2016-12-13T00:00:00"/>
    <s v="Dec-16"/>
    <s v="7 Eleven Minchinbury - Refreshments for Depot Fit Out"/>
    <n v="10"/>
    <m/>
    <m/>
  </r>
  <r>
    <s v="INV"/>
    <s v="NBN Sydney"/>
    <s v="002/6433"/>
    <x v="1"/>
    <s v="Overhead"/>
    <x v="3"/>
    <d v="2016-12-14T00:00:00"/>
    <s v="Dec-16"/>
    <s v="Dan Murphy's - For Depot Fit Out - Great Northern SuperCrisp 30x375mL Cans"/>
    <n v="39.950000000000003"/>
    <m/>
    <m/>
  </r>
  <r>
    <s v="INV"/>
    <s v="NBN Sydney"/>
    <s v="549485"/>
    <x v="1"/>
    <s v="Overhead"/>
    <x v="3"/>
    <d v="2016-12-22T00:00:00"/>
    <s v="Dec-16"/>
    <s v="The Ranch - Sydney Xmas Party"/>
    <n v="535.95000000000005"/>
    <m/>
    <m/>
  </r>
  <r>
    <s v="INV"/>
    <s v="NBN Sydney"/>
    <s v="3U285163JE8587304"/>
    <x v="1"/>
    <s v="Overhead"/>
    <x v="3"/>
    <d v="2016-12-08T00:00:00"/>
    <s v="Dec-16"/>
    <s v="SkillsAcq PTY LTD - MAli - Telstra Induction Greg Baylis"/>
    <n v="40"/>
    <m/>
    <m/>
  </r>
  <r>
    <s v="INV"/>
    <s v="NBN Sydney"/>
    <s v="0cc96146l27019515"/>
    <x v="1"/>
    <s v="Overhead"/>
    <x v="3"/>
    <d v="2016-12-08T00:00:00"/>
    <s v="Dec-16"/>
    <s v="SkillsAcq PTY LTD - GB - Telstra Induction Mohamad Ali"/>
    <n v="40"/>
    <m/>
    <m/>
  </r>
  <r>
    <s v="INV"/>
    <s v="NBN Sydney"/>
    <s v="P161 001 821-1"/>
    <x v="1"/>
    <s v="Overhead"/>
    <x v="3"/>
    <d v="2016-12-21T00:00:00"/>
    <s v="Dec-16"/>
    <s v="Telstra Acc # 898 8808 200 - Sydney"/>
    <n v="426.11"/>
    <m/>
    <m/>
  </r>
  <r>
    <s v="PE"/>
    <s v="NBN Sydney"/>
    <s v="3.4 Telephone Allowance "/>
    <x v="5"/>
    <s v="NBN Minor Works DJC Internals"/>
    <x v="87"/>
    <d v="2016-12-05T00:00:00"/>
    <s v="Dec-16"/>
    <s v="Telephone Allowance Peter  Hanley"/>
    <n v="23.08"/>
    <m/>
    <m/>
  </r>
  <r>
    <s v="PE"/>
    <s v="NBN Sydney"/>
    <s v="3.4 Telephone Allowance "/>
    <x v="5"/>
    <s v="NBN Minor Works DJC Internals"/>
    <x v="87"/>
    <d v="2016-12-12T00:00:00"/>
    <s v="Dec-16"/>
    <s v="Telephone Allowance Peter  Hanley"/>
    <n v="23.08"/>
    <m/>
    <m/>
  </r>
  <r>
    <s v="PE"/>
    <s v="NBN Sydney"/>
    <s v="3.4 Telephone Allowance "/>
    <x v="5"/>
    <s v="NBN Minor Works DJC Internals"/>
    <x v="84"/>
    <d v="2016-12-19T00:00:00"/>
    <s v="Dec-16"/>
    <s v="Telephone Allowance Peter  Hanley"/>
    <n v="23.08"/>
    <m/>
    <m/>
  </r>
  <r>
    <s v="PE"/>
    <s v="NBN Sydney"/>
    <s v="3.4 Telephone Allowance "/>
    <x v="5"/>
    <s v="Minchinbury Mobilisation"/>
    <x v="70"/>
    <d v="2016-12-26T00:00:00"/>
    <s v="Dec-16"/>
    <s v="Telephone Allowance Scott"/>
    <n v="23.08"/>
    <m/>
    <m/>
  </r>
  <r>
    <s v="PE"/>
    <s v="NBN Sydney"/>
    <s v="3.4 Telephone Allowance "/>
    <x v="5"/>
    <s v="Minchinbury Mobilisation"/>
    <x v="70"/>
    <d v="2016-12-26T00:00:00"/>
    <s v="Dec-16"/>
    <s v="Telephone Allowance Gilbert"/>
    <n v="92.32"/>
    <m/>
    <m/>
  </r>
  <r>
    <s v="PE"/>
    <s v="NBN Sydney"/>
    <s v="3.4 Telephone Allowance "/>
    <x v="1"/>
    <s v="Overhead"/>
    <x v="3"/>
    <d v="2016-12-26T00:00:00"/>
    <s v="Dec-16"/>
    <s v="Telephone Allowance Aimee &amp; Rosie"/>
    <n v="20"/>
    <m/>
    <m/>
  </r>
  <r>
    <s v="PE"/>
    <s v="NBN Sydney"/>
    <s v="3.4 Telephone Allowance -trainee"/>
    <x v="5"/>
    <s v="NBN Greenfields DJC Internals"/>
    <x v="94"/>
    <d v="2016-12-12T00:00:00"/>
    <s v="Dec-16"/>
    <s v="Mohamad Ali"/>
    <n v="23.08"/>
    <m/>
    <m/>
  </r>
  <r>
    <s v="PE"/>
    <s v="NBN Sydney"/>
    <s v="3.4 Telephone Allowance -trainee"/>
    <x v="5"/>
    <s v="NBN Greenfields DJC Internals"/>
    <x v="95"/>
    <d v="2016-12-19T00:00:00"/>
    <s v="Dec-16"/>
    <s v="Mohamad Ali"/>
    <n v="23.08"/>
    <m/>
    <m/>
  </r>
  <r>
    <s v="PE"/>
    <s v="NBN Sydney"/>
    <s v="Payroll Expense Journal - PD-335"/>
    <x v="1"/>
    <s v="Overhead"/>
    <x v="3"/>
    <d v="2016-12-26T00:00:00"/>
    <s v="Dec-16"/>
    <s v="Earnings Wagga ADMIN Wages Aimee and Rosie"/>
    <n v="2175.2199999999998"/>
    <m/>
    <m/>
  </r>
  <r>
    <s v="PE"/>
    <s v="NBN Sydney"/>
    <s v="Payroll Expense Journal - PD-335"/>
    <x v="1"/>
    <s v="Overhead"/>
    <x v="3"/>
    <d v="2016-12-26T00:00:00"/>
    <s v="Dec-16"/>
    <s v="Superannuation Expense Wagga ADMIN Super Aimee &amp; Rosie"/>
    <n v="186.94"/>
    <m/>
    <m/>
  </r>
  <r>
    <s v="INV"/>
    <s v="NBN Sydney"/>
    <s v="2853585"/>
    <x v="4"/>
    <s v="Minchinbury Mobilisation"/>
    <x v="70"/>
    <d v="2016-12-19T00:00:00"/>
    <s v="Dec-16"/>
    <s v="Gasweld Pty Ltd - S/Drv Bit No 2 x 132mm 41679 - Suits Makita 6832/3/5D"/>
    <n v="19.09"/>
    <m/>
    <m/>
  </r>
  <r>
    <s v="INV"/>
    <s v="NBN Sydney"/>
    <s v="3798887819"/>
    <x v="1"/>
    <s v="Overhead"/>
    <x v="3"/>
    <d v="2016-12-14T00:00:00"/>
    <s v="Dec-16"/>
    <s v="Energy Australia - Electricity from 12 Oct 2016 - 13 Dec 2016"/>
    <n v="124.15"/>
    <m/>
    <m/>
  </r>
  <r>
    <s v="INV"/>
    <s v="NBN Sydney"/>
    <s v="7016/00115276"/>
    <x v="4"/>
    <s v="Minchinbury Mobilisation"/>
    <x v="70"/>
    <d v="2016-12-08T00:00:00"/>
    <s v="Dec-16"/>
    <s v="Bunnings Warehouse - Washer Flat Hdg Metric Zenith M10 BX200"/>
    <n v="26.13"/>
    <m/>
    <m/>
  </r>
  <r>
    <s v="INV"/>
    <s v="NBN Sydney"/>
    <s v="7016/00115276"/>
    <x v="4"/>
    <s v="Minchinbury Mobilisation"/>
    <x v="70"/>
    <d v="2016-12-08T00:00:00"/>
    <s v="Dec-16"/>
    <s v="Bunnings Warehouse - Shovel Post Hole Cyclone  Sq Mouth Long Handle Cyclone"/>
    <n v="42.27"/>
    <m/>
    <m/>
  </r>
  <r>
    <s v="INV"/>
    <s v="NBN Sydney"/>
    <s v="7016/00115276"/>
    <x v="4"/>
    <s v="Minchinbury Mobilisation"/>
    <x v="70"/>
    <d v="2016-12-08T00:00:00"/>
    <s v="Dec-16"/>
    <s v="Bunnings Warehouse - Bolt Dynabolt 10x75mm Hex Nut BX50"/>
    <n v="22.71"/>
    <m/>
    <m/>
  </r>
  <r>
    <s v="INV"/>
    <s v="NBN Sydney"/>
    <s v="51773"/>
    <x v="4"/>
    <s v="Minchinbury Mobilisation"/>
    <x v="70"/>
    <d v="2016-12-09T00:00:00"/>
    <s v="Dec-16"/>
    <s v="All Trades MFG Pty Ltd - Rodder 6mm x 100m C/W Frame &amp; Trace Wire"/>
    <n v="775"/>
    <m/>
    <m/>
  </r>
  <r>
    <s v="INV"/>
    <s v="NBN Sydney"/>
    <s v="7016/00116489"/>
    <x v="4"/>
    <s v="Minchinbury Mobilisation"/>
    <x v="70"/>
    <d v="2016-12-09T00:00:00"/>
    <s v="Dec-16"/>
    <s v="Bunnings Warehouse - Builders Line Grunt 100m"/>
    <n v="5.79"/>
    <m/>
    <m/>
  </r>
  <r>
    <s v="INV"/>
    <s v="NBN Sydney"/>
    <s v="7016/00116489"/>
    <x v="4"/>
    <s v="Minchinbury Mobilisation"/>
    <x v="70"/>
    <d v="2016-12-09T00:00:00"/>
    <s v="Dec-16"/>
    <s v="Bunnings Warehouse - Cleaner hand solvol 4.5L Citrus"/>
    <n v="27.23"/>
    <m/>
    <m/>
  </r>
  <r>
    <s v="INV"/>
    <s v="NBN Sydney"/>
    <s v="002 53466 7016"/>
    <x v="4"/>
    <s v="Minchinbury Mobilisation"/>
    <x v="70"/>
    <d v="2016-12-13T00:00:00"/>
    <s v="Dec-16"/>
    <s v="Bunnings Warehouse - Lead Extension Arlec 20m White Ael20"/>
    <n v="31.73"/>
    <m/>
    <m/>
  </r>
  <r>
    <s v="INV"/>
    <s v="NBN Sydney"/>
    <s v="016 71933 7016"/>
    <x v="4"/>
    <s v="Minchinbury Mobilisation"/>
    <x v="70"/>
    <d v="2016-12-14T00:00:00"/>
    <s v="Dec-16"/>
    <s v="Bunnings Warehouse - Disc Grinding Masonry Flexovit"/>
    <n v="8.94"/>
    <m/>
    <m/>
  </r>
  <r>
    <s v="INV"/>
    <s v="NBN Sydney"/>
    <s v="7016/01260608"/>
    <x v="4"/>
    <s v="Minchinbury Mobilisation"/>
    <x v="70"/>
    <d v="2016-12-19T00:00:00"/>
    <s v="Dec-16"/>
    <s v="Bunnings Warehouse - Jamb Door Set Meranti 140x30 38mm SGL Rebate"/>
    <n v="103.33"/>
    <m/>
    <m/>
  </r>
  <r>
    <s v="INV"/>
    <s v="NBN Sydney"/>
    <s v="7016/01418755"/>
    <x v="4"/>
    <s v="Minchinbury Mobilisation"/>
    <x v="70"/>
    <d v="2016-12-19T00:00:00"/>
    <s v="Dec-16"/>
    <s v="Bunnings Warehouse - Screws Collated Fine Ramset 6x25mm BX1000 GNT706025CL"/>
    <n v="8.64"/>
    <m/>
    <m/>
  </r>
  <r>
    <s v="INV"/>
    <s v="NBN Sydney"/>
    <s v="7016/01418755"/>
    <x v="4"/>
    <s v="Minchinbury Mobilisation"/>
    <x v="70"/>
    <d v="2016-12-19T00:00:00"/>
    <s v="Dec-16"/>
    <s v="Bunnings Warehouse - Jamb Door Set Meranti 38 119x30mm SGL Reb"/>
    <n v="47.74"/>
    <m/>
    <m/>
  </r>
  <r>
    <s v="INV"/>
    <s v="NBN Sydney"/>
    <s v="7016/01677992"/>
    <x v="4"/>
    <s v="Minchinbury Mobilisation"/>
    <x v="70"/>
    <d v="2016-12-20T00:00:00"/>
    <s v="Dec-16"/>
    <s v="Bunnings Warehouse - Clamp F Craftright 80x300mm "/>
    <n v="17.11"/>
    <m/>
    <m/>
  </r>
  <r>
    <s v="INV"/>
    <s v="NBN Sydney"/>
    <s v="7016/01677992"/>
    <x v="4"/>
    <s v="Minchinbury Mobilisation"/>
    <x v="70"/>
    <d v="2016-12-20T00:00:00"/>
    <s v="Dec-16"/>
    <s v="Bunnings Warehouse - Drill Bit Jobber Sutton 3.0mm 10pk HSS Metric D1040300"/>
    <n v="22.55"/>
    <m/>
    <m/>
  </r>
  <r>
    <s v="INV"/>
    <s v="NBN Sydney"/>
    <s v="7016/01677992"/>
    <x v="4"/>
    <s v="Minchinbury Mobilisation"/>
    <x v="70"/>
    <d v="2016-12-20T00:00:00"/>
    <s v="Dec-16"/>
    <s v="Bunnings Warehouse - Pencil Carpenters Lufkin Red Med CP1"/>
    <n v="3.55"/>
    <m/>
    <m/>
  </r>
  <r>
    <s v="INV"/>
    <s v="NBN Sydney"/>
    <s v="lost receipt"/>
    <x v="4"/>
    <s v="Minchinbury Mobilisation"/>
    <x v="70"/>
    <d v="2016-12-20T00:00:00"/>
    <s v="Dec-16"/>
    <s v="Bunnings Warehouse - Glue for fixtures"/>
    <n v="22.63"/>
    <m/>
    <m/>
  </r>
  <r>
    <s v="INV"/>
    <s v="NBN Sydney"/>
    <s v="7016/01677992"/>
    <x v="4"/>
    <s v="Minchinbury Mobilisation"/>
    <x v="70"/>
    <d v="2016-12-20T00:00:00"/>
    <s v="Dec-16"/>
    <s v="Bunnings Warehouse - Crayons Builders Craftright Yellow/White/Red V30600011K"/>
    <n v="1.1599999999999999"/>
    <m/>
    <m/>
  </r>
  <r>
    <s v="INV"/>
    <s v="NBN Sydney"/>
    <s v="7016/01419374"/>
    <x v="4"/>
    <s v="Minchinbury Mobilisation"/>
    <x v="70"/>
    <d v="2016-12-20T00:00:00"/>
    <s v="Dec-16"/>
    <s v="Bunnings Warehouse - Filling Blade Uni Pro 75mm Carbon Steel 57246"/>
    <n v="3.87"/>
    <m/>
    <m/>
  </r>
  <r>
    <s v="INV"/>
    <s v="NBN Sydney"/>
    <s v="7016/01419374"/>
    <x v="4"/>
    <s v="Minchinbury Mobilisation"/>
    <x v="70"/>
    <d v="2016-12-20T00:00:00"/>
    <s v="Dec-16"/>
    <s v="Bunnings Warehouse - Plaster tool hyde 55/75&amp;90mm Mitre Box Ply 9915"/>
    <n v="8.85"/>
    <m/>
    <m/>
  </r>
  <r>
    <s v="INV"/>
    <s v="NBN Sydney"/>
    <s v="7016/01419374"/>
    <x v="4"/>
    <s v="Minchinbury Mobilisation"/>
    <x v="70"/>
    <d v="2016-12-20T00:00:00"/>
    <s v="Dec-16"/>
    <s v="Bunnings Warehouse - Mixer Paint 100mm P010030"/>
    <n v="10.79"/>
    <m/>
    <m/>
  </r>
  <r>
    <s v="INV"/>
    <s v="NBN Sydney"/>
    <s v="7016/01677992"/>
    <x v="4"/>
    <s v="Minchinbury Mobilisation"/>
    <x v="70"/>
    <d v="2016-12-20T00:00:00"/>
    <s v="Dec-16"/>
    <s v="Bunnings Warehouse - Mitre Box Craft Right 325x160x120mm Maxi Plastic"/>
    <n v="7.75"/>
    <m/>
    <m/>
  </r>
  <r>
    <s v="INV"/>
    <s v="NBN Sydney"/>
    <s v="7016/01678630"/>
    <x v="4"/>
    <s v="Minchinbury Mobilisation"/>
    <x v="70"/>
    <d v="2016-12-20T00:00:00"/>
    <s v="Dec-16"/>
    <s v="Bunnings Warehouse - Handsaw Irwin Jack 500mm 8pt 4/880UHP-500ATC"/>
    <n v="8.6199999999999992"/>
    <m/>
    <m/>
  </r>
  <r>
    <s v="INV"/>
    <s v="NBN Sydney"/>
    <s v="414230-760"/>
    <x v="4"/>
    <s v="Minchinbury Mobilisation"/>
    <x v="70"/>
    <d v="2016-12-21T00:00:00"/>
    <s v="Dec-16"/>
    <s v="TLE Electrical - Mounting Bracket Metal 1G Stud Fixing"/>
    <n v="66"/>
    <m/>
    <m/>
  </r>
  <r>
    <s v="INV"/>
    <s v="NBN Sydney"/>
    <s v="414230-760"/>
    <x v="4"/>
    <s v="Minchinbury Mobilisation"/>
    <x v="70"/>
    <d v="2016-12-21T00:00:00"/>
    <s v="Dec-16"/>
    <s v="TLE Electrical - Half Saddle Metal 25mm ZP Steel"/>
    <n v="19.13"/>
    <m/>
    <m/>
  </r>
  <r>
    <s v="INV"/>
    <s v="NBN Sydney"/>
    <s v="414230-760"/>
    <x v="4"/>
    <s v="Minchinbury Mobilisation"/>
    <x v="70"/>
    <d v="2016-12-21T00:00:00"/>
    <s v="Dec-16"/>
    <s v="TLE Electrical - Round J-Box Shallow 25mm 3 Way PVC Grey"/>
    <n v="51.92"/>
    <m/>
    <m/>
  </r>
  <r>
    <s v="INV"/>
    <s v="NBN Sydney"/>
    <s v="7016/01553200"/>
    <x v="4"/>
    <s v="Minchinbury Mobilisation"/>
    <x v="70"/>
    <d v="2016-12-21T00:00:00"/>
    <s v="Dec-16"/>
    <s v="Bunnings Warehouse - Anchor Nylon Mushroom HD BX 6.5x38mm BX100 TNM438"/>
    <n v="19.18"/>
    <m/>
    <m/>
  </r>
  <r>
    <s v="INV"/>
    <s v="NBN Sydney"/>
    <s v="414230-760"/>
    <x v="4"/>
    <s v="Minchinbury Mobilisation"/>
    <x v="70"/>
    <d v="2016-12-21T00:00:00"/>
    <s v="Dec-16"/>
    <s v="TLE Electrical - Cable Tray W150mm D12mm 2.4m Galv Steel"/>
    <n v="111.19"/>
    <m/>
    <m/>
  </r>
  <r>
    <s v="INV"/>
    <s v="NBN Sydney"/>
    <s v="414230-760"/>
    <x v="4"/>
    <s v="Minchinbury Mobilisation"/>
    <x v="70"/>
    <d v="2016-12-21T00:00:00"/>
    <s v="Dec-16"/>
    <s v="TLE Electrical - Nail in Anchor 6.5mm x 25mm Mushroom Head Nylon"/>
    <n v="26.41"/>
    <m/>
    <m/>
  </r>
  <r>
    <s v="INV"/>
    <s v="NBN Sydney"/>
    <s v="414230-760"/>
    <x v="4"/>
    <s v="Minchinbury Mobilisation"/>
    <x v="70"/>
    <d v="2016-12-21T00:00:00"/>
    <s v="Dec-16"/>
    <s v="TLE Electrical - Coupling Plain-Plain 25mm PVC Grey"/>
    <n v="30.75"/>
    <m/>
    <m/>
  </r>
  <r>
    <s v="INV"/>
    <s v="NBN Sydney"/>
    <s v="414230-760"/>
    <x v="4"/>
    <s v="Minchinbury Mobilisation"/>
    <x v="70"/>
    <d v="2016-12-21T00:00:00"/>
    <s v="Dec-16"/>
    <s v="TLE Electrical - Instrument Unarmoured 3 Pair O/Screened 0.20mm"/>
    <n v="9.67"/>
    <m/>
    <m/>
  </r>
  <r>
    <s v="INV"/>
    <s v="NBN Sydney"/>
    <s v="414230-760"/>
    <x v="4"/>
    <s v="Minchinbury Mobilisation"/>
    <x v="70"/>
    <d v="2016-12-21T00:00:00"/>
    <s v="Dec-16"/>
    <s v="TLE Electrical - Flat Twin 2 Core 1.5mm PVC/PVC Rd/Wh Wht"/>
    <n v="71.59"/>
    <m/>
    <m/>
  </r>
  <r>
    <s v="INV"/>
    <s v="NBN Sydney"/>
    <s v="414230-760"/>
    <x v="4"/>
    <s v="Minchinbury Mobilisation"/>
    <x v="70"/>
    <d v="2016-12-21T00:00:00"/>
    <s v="Dec-16"/>
    <s v="TLE Electrical - Flat Twin &amp; Earth 2C+E 2.5mm PVC/PVC Rd/Bk/GY Wht"/>
    <n v="213.09"/>
    <m/>
    <m/>
  </r>
  <r>
    <s v="INV"/>
    <s v="NBN Sydney"/>
    <s v="414230-760"/>
    <x v="4"/>
    <s v="Minchinbury Mobilisation"/>
    <x v="70"/>
    <d v="2016-12-21T00:00:00"/>
    <s v="Dec-16"/>
    <s v="TLE Electrical - Solid Elbow 90Deg 25mm PVC Grey"/>
    <n v="172.5"/>
    <m/>
    <m/>
  </r>
  <r>
    <s v="INV"/>
    <s v="NBN Sydney"/>
    <s v="414230-760"/>
    <x v="4"/>
    <s v="Minchinbury Mobilisation"/>
    <x v="70"/>
    <d v="2016-12-21T00:00:00"/>
    <s v="Dec-16"/>
    <s v="TLE Electrical - 100OHM U/UTP 4P Cat5E 100MHz PVC Reelex 305m"/>
    <n v="190"/>
    <m/>
    <m/>
  </r>
  <r>
    <s v="INV"/>
    <s v="NBN Sydney"/>
    <s v="414230-760"/>
    <x v="4"/>
    <s v="Minchinbury Mobilisation"/>
    <x v="70"/>
    <d v="2016-12-21T00:00:00"/>
    <s v="Dec-16"/>
    <s v="TLE Electrical - Flex Wire 2 Core Fig8 0.75mm 24/0.20 PVC P/web Wht/Blk"/>
    <n v="45.47"/>
    <m/>
    <m/>
  </r>
  <r>
    <s v="INV"/>
    <s v="NBN Sydney"/>
    <s v="11838158"/>
    <x v="1"/>
    <s v="Overhead"/>
    <x v="3"/>
    <d v="2016-12-31T00:00:00"/>
    <s v="Dec-16"/>
    <s v="Cleanaway - 22/12/2016 1 x Clear 1.5m Recycle Bin"/>
    <n v="11.57"/>
    <m/>
    <m/>
  </r>
  <r>
    <s v="INV"/>
    <s v="NBN Sydney"/>
    <s v="11838158"/>
    <x v="1"/>
    <s v="Overhead"/>
    <x v="3"/>
    <d v="2016-12-31T00:00:00"/>
    <s v="Dec-16"/>
    <s v="Cleanaway - 23/12/2016 1 x Clear 1.5m Bin"/>
    <n v="83.8"/>
    <m/>
    <m/>
  </r>
  <r>
    <s v="INV"/>
    <s v="NBN Sydney"/>
    <s v="11838158"/>
    <x v="1"/>
    <s v="Overhead"/>
    <x v="3"/>
    <d v="2016-12-31T00:00:00"/>
    <s v="Dec-16"/>
    <s v="Cleanaway - 31/12/2016 1 x Environmental Fee"/>
    <n v="13.21"/>
    <m/>
    <m/>
  </r>
  <r>
    <s v="INV"/>
    <s v="NBN Sydney"/>
    <s v="11838158"/>
    <x v="1"/>
    <s v="Overhead"/>
    <x v="3"/>
    <d v="2016-12-31T00:00:00"/>
    <s v="Dec-16"/>
    <s v="Cleanaway - 14/12/2016 2 x Clear 1.5m Recycle Bin"/>
    <n v="23.14"/>
    <m/>
    <m/>
  </r>
  <r>
    <s v="INV"/>
    <s v="NBN Sydney"/>
    <s v="11838158"/>
    <x v="1"/>
    <s v="Overhead"/>
    <x v="3"/>
    <d v="2016-12-31T00:00:00"/>
    <s v="Dec-16"/>
    <s v="Cleanaway - 8/12/2016 1 x Bin Not Out 1.5m Recycle"/>
    <n v="11.57"/>
    <m/>
    <m/>
  </r>
  <r>
    <s v="INV"/>
    <s v="NBN Sydney"/>
    <s v="11838158"/>
    <x v="1"/>
    <s v="Overhead"/>
    <x v="3"/>
    <d v="2016-12-31T00:00:00"/>
    <s v="Dec-16"/>
    <s v="Cleanaway - 13/12/2016 1 x Bin Not Out 1.5m Bin"/>
    <n v="83.8"/>
    <m/>
    <m/>
  </r>
  <r>
    <s v="INV"/>
    <s v="NBN Sydney"/>
    <s v="11838158"/>
    <x v="1"/>
    <s v="Overhead"/>
    <x v="3"/>
    <d v="2016-12-31T00:00:00"/>
    <s v="Dec-16"/>
    <s v="Cleanaway - 14/12/2016 1 x Clear 1.5m Bin"/>
    <n v="83.8"/>
    <m/>
    <m/>
  </r>
  <r>
    <s v="INV"/>
    <s v="NBN Sydney"/>
    <s v="0001"/>
    <x v="1"/>
    <s v="Overhead"/>
    <x v="3"/>
    <d v="2016-12-17T00:00:00"/>
    <s v="Dec-16"/>
    <s v="GILCIN - Rent 26/23 John Hines Ave, Mitchinbury"/>
    <n v="4416.66"/>
    <m/>
    <m/>
  </r>
  <r>
    <s v="INV"/>
    <s v="NBN Sydney"/>
    <s v="0002"/>
    <x v="1"/>
    <s v="Overhead"/>
    <x v="3"/>
    <d v="2016-12-18T00:00:00"/>
    <s v="Dec-16"/>
    <s v="GILCIN - Rent 18/12/16-18/01/17_x000d__x000a_26/23 John Hines Ave, Mitchinbury"/>
    <n v="4416.66"/>
    <m/>
    <m/>
  </r>
  <r>
    <s v="PAY"/>
    <s v="NBN Sydney"/>
    <m/>
    <x v="1"/>
    <s v="Smithfield De Mobilisation"/>
    <x v="44"/>
    <d v="2016-12-22T00:00:00"/>
    <s v="Dec-16"/>
    <s v="C &amp; J Group Pty Ltd - Deductions Tony Handyman"/>
    <n v="545.45000000000005"/>
    <m/>
    <m/>
  </r>
  <r>
    <s v="PAY"/>
    <s v="NBN Sydney"/>
    <m/>
    <x v="1"/>
    <s v="Smithfield De Mobilisation"/>
    <x v="44"/>
    <d v="2016-12-22T00:00:00"/>
    <s v="Dec-16"/>
    <s v="C &amp; J Group Pty Ltd - Deductions all clean blinds"/>
    <n v="550.91"/>
    <m/>
    <m/>
  </r>
  <r>
    <s v="PAY"/>
    <s v="NBN Sydney"/>
    <m/>
    <x v="1"/>
    <s v="Smithfield De Mobilisation"/>
    <x v="44"/>
    <d v="2016-12-22T00:00:00"/>
    <s v="Dec-16"/>
    <s v="C &amp; J Group Pty Ltd - Deduction 50% interest"/>
    <n v="117.3"/>
    <m/>
    <m/>
  </r>
  <r>
    <s v="PAY"/>
    <s v="NBN Sydney"/>
    <m/>
    <x v="1"/>
    <s v="Overhead Credit"/>
    <x v="44"/>
    <d v="2016-12-22T00:00:00"/>
    <s v="Dec-16"/>
    <s v="C &amp; J Group Pty Ltd - Initial bond"/>
    <m/>
    <s v="Overhead"/>
    <n v="11000"/>
  </r>
  <r>
    <s v="PAY"/>
    <s v="NBN Sydney"/>
    <m/>
    <x v="1"/>
    <s v="Overhead Credit"/>
    <x v="44"/>
    <d v="2016-12-22T00:00:00"/>
    <s v="Dec-16"/>
    <s v="C &amp; J Group Pty Ltd - Interest accrued to 30/9/16"/>
    <m/>
    <s v="Overhead"/>
    <n v="234.61"/>
  </r>
  <r>
    <s v="PAY"/>
    <s v="NBN Sydney"/>
    <m/>
    <x v="1"/>
    <s v="Overhead"/>
    <x v="3"/>
    <d v="2016-12-22T00:00:00"/>
    <s v="Dec-16"/>
    <s v="C &amp; J Group Pty Ltd - Deductions rent"/>
    <n v="748.59"/>
    <m/>
    <m/>
  </r>
  <r>
    <s v="INV"/>
    <s v="NBN Sydney"/>
    <s v="5183/01 01"/>
    <x v="5"/>
    <s v="Minchinbury Mobilisation"/>
    <x v="70"/>
    <d v="2016-12-09T00:00:00"/>
    <s v="Dec-16"/>
    <s v="BP Sunnyholt - Diesel 160.48L 1.159"/>
    <n v="169.09"/>
    <m/>
    <m/>
  </r>
  <r>
    <s v="INV"/>
    <s v="NBN Sydney"/>
    <s v="0690/01 01"/>
    <x v="5"/>
    <s v="Minchinbury Mobilisation"/>
    <x v="70"/>
    <d v="2016-12-15T00:00:00"/>
    <s v="Dec-16"/>
    <s v="BP Sunnyholt - Diesel 155.31L 1.159"/>
    <n v="163.63999999999999"/>
    <m/>
    <m/>
  </r>
  <r>
    <s v="INV"/>
    <s v="NBN Sydney"/>
    <s v="5524/01 01"/>
    <x v="5"/>
    <s v="Minchinbury Mobilisation"/>
    <x v="70"/>
    <d v="2016-12-20T00:00:00"/>
    <s v="Dec-16"/>
    <s v="BP Sunnyholt - Diesel 150.14L 1.179"/>
    <n v="160.93"/>
    <m/>
    <m/>
  </r>
  <r>
    <s v="INV"/>
    <s v="NBN Sydney"/>
    <s v="33245"/>
    <x v="5"/>
    <s v="NBN Minor Works DJC Internals"/>
    <x v="87"/>
    <d v="2016-12-01T00:00:00"/>
    <s v="Dec-16"/>
    <s v="Caltex Seven Hills - ULP 53.63L 1.016"/>
    <n v="49.54"/>
    <m/>
    <m/>
  </r>
  <r>
    <s v="INV"/>
    <s v="NBN Sydney"/>
    <s v="3490"/>
    <x v="5"/>
    <s v="NBN Minor Works DJC Internals"/>
    <x v="87"/>
    <d v="2016-12-02T00:00:00"/>
    <s v="Dec-16"/>
    <s v="Caltex Fairy Meadow - ULP 57.92L 1.089"/>
    <n v="57.34"/>
    <m/>
    <m/>
  </r>
  <r>
    <s v="INV"/>
    <s v="NBN Sydney"/>
    <s v="161206 11:42"/>
    <x v="5"/>
    <s v="NBN Greenfields DJC Internals"/>
    <x v="42"/>
    <d v="2016-12-06T00:00:00"/>
    <s v="Dec-16"/>
    <s v="BP Quakers Hill - ULP 54.03L 1.319"/>
    <n v="64.790000000000006"/>
    <m/>
    <m/>
  </r>
  <r>
    <s v="INV"/>
    <s v="NBN Sydney"/>
    <s v="00419802"/>
    <x v="5"/>
    <s v="NBN Greenfields DJC Internals"/>
    <x v="94"/>
    <d v="2016-12-12T00:00:00"/>
    <s v="Dec-16"/>
    <s v="BP Auburn - ULP 23.09L 1.299"/>
    <n v="27.27"/>
    <m/>
    <m/>
  </r>
  <r>
    <s v="INV"/>
    <s v="NBN Sydney"/>
    <s v="13164"/>
    <x v="5"/>
    <s v="NBN Greenfields DJC Internals"/>
    <x v="95"/>
    <d v="2016-12-13T00:00:00"/>
    <s v="Dec-16"/>
    <s v="Caltex Eastern Creek - ULP 26.55L 1.319"/>
    <n v="31.84"/>
    <m/>
    <m/>
  </r>
  <r>
    <s v="INV"/>
    <s v="NBN Sydney"/>
    <s v="860208"/>
    <x v="5"/>
    <s v="NBN Greenfields DJC Internals"/>
    <x v="96"/>
    <d v="2016-12-15T00:00:00"/>
    <s v="Dec-16"/>
    <s v="7 Eleven Edmondson Park - ULP 41.07L 1.249"/>
    <n v="46.63"/>
    <m/>
    <m/>
  </r>
  <r>
    <s v="INV"/>
    <s v="NBN Sydney"/>
    <s v="2500573"/>
    <x v="5"/>
    <s v="Minchinbury Mobilisation"/>
    <x v="70"/>
    <d v="2016-12-20T00:00:00"/>
    <s v="Dec-16"/>
    <s v="7 Eleven Burwood - ULP 48.59L 1.294"/>
    <n v="57.15"/>
    <m/>
    <m/>
  </r>
  <r>
    <s v="INV"/>
    <s v="NBN Sydney"/>
    <s v="94482"/>
    <x v="5"/>
    <s v="Minchinbury Mobilisation"/>
    <x v="70"/>
    <d v="2016-12-22T00:00:00"/>
    <s v="Dec-16"/>
    <s v="Caltex Eastern Creek - ULP 33.84L 1.459"/>
    <n v="44.88"/>
    <m/>
    <m/>
  </r>
  <r>
    <s v="INV"/>
    <s v="NBN Sydney"/>
    <s v="002/6108"/>
    <x v="1"/>
    <s v="Overhead"/>
    <x v="3"/>
    <d v="2016-12-01T00:00:00"/>
    <s v="Dec-16"/>
    <s v="Woolworths Petrol - Diesel 65.16L 1.189"/>
    <n v="70.44"/>
    <m/>
    <m/>
  </r>
  <r>
    <s v="INV"/>
    <s v="NBN Sydney"/>
    <s v="161205 1017"/>
    <x v="1"/>
    <s v="Overhead"/>
    <x v="3"/>
    <d v="2016-12-05T00:00:00"/>
    <s v="Dec-16"/>
    <s v="Eureka Operations - Coles Express - Diesel 64.36L 1.269"/>
    <n v="74.25"/>
    <m/>
    <m/>
  </r>
  <r>
    <s v="INV"/>
    <s v="NBN Sydney"/>
    <s v="2162094"/>
    <x v="1"/>
    <s v="Overhead"/>
    <x v="3"/>
    <d v="2016-12-11T00:00:00"/>
    <s v="Dec-16"/>
    <s v="7 Eleven Minchinbury - Diesel 62.92L 1.189"/>
    <n v="68.010000000000005"/>
    <m/>
    <m/>
  </r>
  <r>
    <s v="INV"/>
    <s v="NBN Sydney"/>
    <s v="74102"/>
    <x v="1"/>
    <s v="Overhead"/>
    <x v="3"/>
    <d v="2016-12-14T00:00:00"/>
    <s v="Dec-16"/>
    <s v="Caltex Wyoming - Diesel 64.96L 1.369"/>
    <n v="80.849999999999994"/>
    <m/>
    <m/>
  </r>
  <r>
    <s v="INV"/>
    <s v="NBN Sydney"/>
    <s v="161217 10.32"/>
    <x v="1"/>
    <s v="Overhead"/>
    <x v="3"/>
    <d v="2016-12-17T00:00:00"/>
    <s v="Dec-16"/>
    <s v="Eureka Operations - Coles Express - Diesel 64.07L 1.369"/>
    <n v="79.739999999999995"/>
    <m/>
    <m/>
  </r>
  <r>
    <s v="INV"/>
    <s v="NBN Sydney"/>
    <s v="161219 18.36"/>
    <x v="1"/>
    <s v="Overhead"/>
    <x v="3"/>
    <d v="2016-12-19T00:00:00"/>
    <s v="Dec-16"/>
    <s v="Eureka Operations - Coles Express - Diesel 58.34L 1.369"/>
    <n v="72.61"/>
    <m/>
    <m/>
  </r>
  <r>
    <s v="INV"/>
    <s v="NBN Sydney"/>
    <s v="94219474"/>
    <x v="1"/>
    <s v="Overhead"/>
    <x v="3"/>
    <d v="2016-12-21T00:00:00"/>
    <s v="Dec-16"/>
    <s v="Bridgestone - 245/70R16LT 113S 8 BS D697 OWT"/>
    <n v="868.08"/>
    <m/>
    <m/>
  </r>
  <r>
    <s v="INV"/>
    <s v="NBN Sydney"/>
    <s v="94219474"/>
    <x v="1"/>
    <s v="Overhead"/>
    <x v="3"/>
    <d v="2016-12-21T00:00:00"/>
    <s v="Dec-16"/>
    <s v="Bridgestone - Complete service Suv/Ltr"/>
    <n v="96"/>
    <m/>
    <m/>
  </r>
  <r>
    <s v="INV"/>
    <s v="NBN Sydney"/>
    <s v="01-187687"/>
    <x v="1"/>
    <s v="Overhead"/>
    <x v="3"/>
    <d v="2016-12-21T00:00:00"/>
    <s v="Dec-16"/>
    <s v="United Petroleum Ryde - Diesel 62.18L 1.159"/>
    <n v="65.52"/>
    <m/>
    <m/>
  </r>
  <r>
    <s v="INV"/>
    <s v="NBN Sydney"/>
    <s v="161226 15.41"/>
    <x v="1"/>
    <s v="Overhead"/>
    <x v="3"/>
    <d v="2016-12-26T00:00:00"/>
    <s v="Dec-16"/>
    <s v="BP Beresfield - Diesel 58.69L 1.229"/>
    <n v="65.569999999999993"/>
    <m/>
    <m/>
  </r>
  <r>
    <s v="INV"/>
    <s v="NBN Sydney"/>
    <s v="333741"/>
    <x v="1"/>
    <s v="Overhead"/>
    <x v="3"/>
    <d v="2016-12-26T00:00:00"/>
    <s v="Dec-16"/>
    <s v="BP South Grafton - Diesel 47.12L 1.309"/>
    <n v="56.07"/>
    <m/>
    <m/>
  </r>
  <r>
    <s v="INV"/>
    <s v="NBN Sydney"/>
    <s v="58860"/>
    <x v="1"/>
    <s v="Overhead"/>
    <x v="3"/>
    <d v="2016-12-30T00:00:00"/>
    <s v="Dec-16"/>
    <s v="Calstores Pty Ltd - Diesel 66.32L 1.229"/>
    <n v="74.09"/>
    <m/>
    <m/>
  </r>
  <r>
    <s v="INV"/>
    <s v="NBN Sydney"/>
    <s v="161230 12.45"/>
    <x v="1"/>
    <s v="Overhead"/>
    <x v="3"/>
    <d v="2016-12-30T00:00:00"/>
    <s v="Dec-16"/>
    <s v="BP Chinderah - Diesel 61.94L 1.299"/>
    <n v="73.150000000000006"/>
    <m/>
    <m/>
  </r>
  <r>
    <s v="MJ"/>
    <s v="NBN Sydney"/>
    <s v="#27795"/>
    <x v="5"/>
    <s v="NBN Minor Works DJC Internals"/>
    <x v="87"/>
    <d v="2016-12-01T00:00:00"/>
    <s v="Dec-16"/>
    <s v="SYDNEY VEHICLE  AND TEST EQUIPMENT RENTAL - TEST EQUIPMENT MONTHLY RENTAL"/>
    <n v="82"/>
    <m/>
    <m/>
  </r>
  <r>
    <s v="MJ"/>
    <s v="NBN Sydney"/>
    <s v="#27795"/>
    <x v="5"/>
    <s v="NBN Minor Works DJC Internals"/>
    <x v="87"/>
    <d v="2016-12-01T00:00:00"/>
    <s v="Dec-16"/>
    <s v="SYDNEY VEHICLE  AND TEST EQUIPMENT RENTAL - TEST EQUIPMENT MONTHLY RENTAL"/>
    <n v="82"/>
    <m/>
    <m/>
  </r>
  <r>
    <s v="MJ"/>
    <s v="NBN Sydney"/>
    <s v="#27795"/>
    <x v="5"/>
    <s v="NBN Minor Works DJC Internals"/>
    <x v="84"/>
    <d v="2016-12-01T00:00:00"/>
    <s v="Dec-16"/>
    <s v="SYDNEY VEHICLE  AND TEST EQUIPMENT RENTAL - TEST EQUIPMENT MONTHLY RENTAL"/>
    <n v="82"/>
    <m/>
    <m/>
  </r>
  <r>
    <s v="MJ"/>
    <s v="NBN Sydney"/>
    <s v="#27795"/>
    <x v="5"/>
    <s v="NBN Greenfields DJC Internals"/>
    <x v="42"/>
    <d v="2016-12-01T00:00:00"/>
    <s v="Dec-16"/>
    <s v="SYDNEY VEHICLE  AND TEST EQUIPMENT RENTAL - TEST EQUIPMENT MONTHLY RENTAL"/>
    <n v="82"/>
    <m/>
    <m/>
  </r>
  <r>
    <s v="MJ"/>
    <s v="NBN Sydney"/>
    <s v="#27795"/>
    <x v="5"/>
    <s v="Syndeticom "/>
    <x v="92"/>
    <d v="2016-12-01T00:00:00"/>
    <s v="Dec-16"/>
    <s v="SYDNEY VEHICLE  AND TEST EQUIPMENT RENTAL - TEST EQUIPMENT MONTHLY RENTAL"/>
    <n v="82"/>
    <m/>
    <m/>
  </r>
  <r>
    <s v="MJ"/>
    <s v="NBN Sydney"/>
    <s v="#27795"/>
    <x v="5"/>
    <s v="NBN Minor Works DJC Internals"/>
    <x v="84"/>
    <d v="2016-12-01T00:00:00"/>
    <s v="Dec-16"/>
    <s v="SYDNEY VEHICLE  AND TEST EQUIPMENT RENTAL - TEST EQUIPMENT MONTHLY RENTAL"/>
    <n v="82"/>
    <m/>
    <m/>
  </r>
  <r>
    <s v="MJ"/>
    <s v="NBN Sydney"/>
    <s v="#27795"/>
    <x v="5"/>
    <s v="NBN Greenfields DJC Internals"/>
    <x v="93"/>
    <d v="2016-12-01T00:00:00"/>
    <s v="Dec-16"/>
    <s v="SYDNEY VEHICLE  AND TEST EQUIPMENT RENTAL - TEST EQUIPMENT MONTHLY RENTAL"/>
    <n v="82"/>
    <m/>
    <m/>
  </r>
  <r>
    <s v="MJ"/>
    <s v="NBN Sydney"/>
    <s v="#27795"/>
    <x v="5"/>
    <s v="NBN Greenfields DJC Internals"/>
    <x v="94"/>
    <d v="2016-12-01T00:00:00"/>
    <s v="Dec-16"/>
    <s v="SYDNEY VEHICLE  AND TEST EQUIPMENT RENTAL - TEST EQUIPMENT MONTHLY RENTAL"/>
    <n v="82"/>
    <m/>
    <m/>
  </r>
  <r>
    <s v="MJ"/>
    <s v="NBN Sydney"/>
    <s v="#27795"/>
    <x v="5"/>
    <s v="NBN Greenfields DJC Internals"/>
    <x v="95"/>
    <d v="2016-12-01T00:00:00"/>
    <s v="Dec-16"/>
    <s v="SYDNEY VEHICLE  AND TEST EQUIPMENT RENTAL - TEST EQUIPMENT MONTHLY RENTAL"/>
    <n v="82"/>
    <m/>
    <m/>
  </r>
  <r>
    <s v="MJ"/>
    <s v="NBN Sydney"/>
    <s v="#27795"/>
    <x v="5"/>
    <s v="NBN Greenfields DJC Internals"/>
    <x v="96"/>
    <d v="2016-12-01T00:00:00"/>
    <s v="Dec-16"/>
    <s v="SYDNEY VEHICLE  AND TEST EQUIPMENT RENTAL - TEST EQUIPMENT MONTHLY RENTAL"/>
    <n v="82"/>
    <m/>
    <m/>
  </r>
  <r>
    <s v="MJ"/>
    <s v="NBN Sydney"/>
    <s v="#27795"/>
    <x v="5"/>
    <s v="Minchinbury Mobilisation"/>
    <x v="70"/>
    <d v="2016-12-01T00:00:00"/>
    <s v="Dec-16"/>
    <s v="SYDNEY VEHICLE  AND TEST EQUIPMENT RENTAL - TEST EQUIPMENT MONTHLY RENTAL"/>
    <n v="82"/>
    <m/>
    <m/>
  </r>
  <r>
    <s v="MJ"/>
    <s v="NBN Sydney"/>
    <s v="#27795"/>
    <x v="1"/>
    <s v="Overhead"/>
    <x v="3"/>
    <d v="2016-12-01T00:00:00"/>
    <s v="Dec-16"/>
    <s v="SYDNEY VEHICLE  AND TEST EQUIPMENT RENTAL - Forklift"/>
    <n v="487"/>
    <m/>
    <m/>
  </r>
  <r>
    <s v="MJ"/>
    <s v="NBN Sydney"/>
    <s v="#27795"/>
    <x v="1"/>
    <s v="Overhead"/>
    <x v="3"/>
    <d v="2016-12-01T00:00:00"/>
    <s v="Dec-16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833"/>
    <m/>
    <m/>
  </r>
  <r>
    <s v="MJ"/>
    <s v="NBN Sydney"/>
    <s v="#27795"/>
    <x v="5"/>
    <s v="NBN Minor Works DJC Internals"/>
    <x v="87"/>
    <d v="2016-12-01T00:00:00"/>
    <s v="Dec-16"/>
    <s v="SYDNEY VEHICLE  AND TEST EQUIPMENT RENTAL - BU59MS -HIACE RENTAL - "/>
    <n v="75.727272727272734"/>
    <m/>
    <m/>
  </r>
  <r>
    <s v="MJ"/>
    <s v="NBN Sydney"/>
    <s v="#27795"/>
    <x v="5"/>
    <s v="NBN Minor Works DJC Internals"/>
    <x v="87"/>
    <d v="2016-12-01T00:00:00"/>
    <s v="Dec-16"/>
    <s v="SYDNEY VEHICLE  AND TEST EQUIPMENT RENTAL - BU59MS -HIACE RENTAL - "/>
    <n v="75.727272727272734"/>
    <m/>
    <m/>
  </r>
  <r>
    <s v="MJ"/>
    <s v="NBN Sydney"/>
    <s v="#27795"/>
    <x v="5"/>
    <s v="NBN Minor Works DJC Internals"/>
    <x v="84"/>
    <d v="2016-12-01T00:00:00"/>
    <s v="Dec-16"/>
    <s v="SYDNEY VEHICLE  AND TEST EQUIPMENT RENTAL - BU59MS -HIACE RENTAL - "/>
    <n v="75.727272727272734"/>
    <m/>
    <m/>
  </r>
  <r>
    <s v="MJ"/>
    <s v="NBN Sydney"/>
    <s v="#27795"/>
    <x v="5"/>
    <s v="NBN Greenfields DJC Internals"/>
    <x v="42"/>
    <d v="2016-12-01T00:00:00"/>
    <s v="Dec-16"/>
    <s v="SYDNEY VEHICLE  AND TEST EQUIPMENT RENTAL - BU59MS -HIACE RENTAL - "/>
    <n v="75.727272727272734"/>
    <m/>
    <m/>
  </r>
  <r>
    <s v="MJ"/>
    <s v="NBN Sydney"/>
    <s v="#27795"/>
    <x v="5"/>
    <s v="Syndeticom "/>
    <x v="92"/>
    <d v="2016-12-01T00:00:00"/>
    <s v="Dec-16"/>
    <s v="SYDNEY VEHICLE  AND TEST EQUIPMENT RENTAL - BU59MS -HIACE RENTAL - "/>
    <n v="75.727272727272734"/>
    <m/>
    <m/>
  </r>
  <r>
    <s v="MJ"/>
    <s v="NBN Sydney"/>
    <s v="#27795"/>
    <x v="5"/>
    <s v="NBN Minor Works DJC Internals"/>
    <x v="84"/>
    <d v="2016-12-01T00:00:00"/>
    <s v="Dec-16"/>
    <s v="SYDNEY VEHICLE  AND TEST EQUIPMENT RENTAL - BU59MS -HIACE RENTAL - "/>
    <n v="75.727272727272734"/>
    <m/>
    <m/>
  </r>
  <r>
    <s v="MJ"/>
    <s v="NBN Sydney"/>
    <s v="#27795"/>
    <x v="5"/>
    <s v="NBN Greenfields DJC Internals"/>
    <x v="93"/>
    <d v="2016-12-01T00:00:00"/>
    <s v="Dec-16"/>
    <s v="SYDNEY VEHICLE  AND TEST EQUIPMENT RENTAL - BU59MS -HIACE RENTAL - "/>
    <n v="75.727272727272734"/>
    <m/>
    <m/>
  </r>
  <r>
    <s v="MJ"/>
    <s v="NBN Sydney"/>
    <s v="#27795"/>
    <x v="5"/>
    <s v="NBN Greenfields DJC Internals"/>
    <x v="94"/>
    <d v="2016-12-01T00:00:00"/>
    <s v="Dec-16"/>
    <s v="SYDNEY VEHICLE  AND TEST EQUIPMENT RENTAL - BU59MS -HIACE RENTAL - "/>
    <n v="75.727272727272734"/>
    <m/>
    <m/>
  </r>
  <r>
    <s v="MJ"/>
    <s v="NBN Sydney"/>
    <s v="#27795"/>
    <x v="5"/>
    <s v="NBN Greenfields DJC Internals"/>
    <x v="95"/>
    <d v="2016-12-01T00:00:00"/>
    <s v="Dec-16"/>
    <s v="SYDNEY VEHICLE  AND TEST EQUIPMENT RENTAL - BU59MS -HIACE RENTAL - "/>
    <n v="75.727272727272734"/>
    <m/>
    <m/>
  </r>
  <r>
    <s v="MJ"/>
    <s v="NBN Sydney"/>
    <s v="#27795"/>
    <x v="5"/>
    <s v="NBN Greenfields DJC Internals"/>
    <x v="96"/>
    <d v="2016-12-01T00:00:00"/>
    <s v="Dec-16"/>
    <s v="SYDNEY VEHICLE  AND TEST EQUIPMENT RENTAL - BU59MS -HIACE RENTAL - "/>
    <n v="75.727272727272734"/>
    <m/>
    <m/>
  </r>
  <r>
    <s v="MJ"/>
    <s v="NBN Sydney"/>
    <s v="#27795"/>
    <x v="5"/>
    <s v="Minchinbury Mobilisation"/>
    <x v="70"/>
    <d v="2016-12-01T00:00:00"/>
    <s v="Dec-16"/>
    <s v="SYDNEY VEHICLE  AND TEST EQUIPMENT RENTAL - BU59MS -HIACE RENTAL - "/>
    <n v="75.727272727272734"/>
    <m/>
    <m/>
  </r>
  <r>
    <s v="INV"/>
    <s v="NBN Sydney"/>
    <s v="88990-12-2016"/>
    <x v="1"/>
    <s v="Overhead"/>
    <x v="3"/>
    <d v="2016-12-31T00:00:00"/>
    <s v="Dec-16"/>
    <s v="Supagas - LPG 15kg Cylinder"/>
    <n v="30.41"/>
    <m/>
    <m/>
  </r>
  <r>
    <s v="INV"/>
    <s v="NBN Sydney"/>
    <s v="88990-12-2016"/>
    <x v="1"/>
    <s v="Overhead"/>
    <x v="3"/>
    <d v="2016-12-31T00:00:00"/>
    <s v="Dec-16"/>
    <s v="Supagas - Monthly Rental of LPG 15kg Cylinder"/>
    <n v="10"/>
    <m/>
    <m/>
  </r>
  <r>
    <s v="INV"/>
    <s v="NBN Sydney"/>
    <s v="INV-11835"/>
    <x v="3"/>
    <s v="NBN Minor Works"/>
    <x v="78"/>
    <d v="2017-01-01T00:00:00"/>
    <s v="Jan-17"/>
    <s v="NBN Co Sydney - 9CVI-02-00-MPS-068  TNCY 17 180 London CCT"/>
    <m/>
    <s v="Minor Works - 9CVI02MPS068 180 London CCT Canberra"/>
    <n v="884.56"/>
  </r>
  <r>
    <s v="INV"/>
    <s v="NBN Sydney"/>
    <s v="INV-11835"/>
    <x v="3"/>
    <s v="NBN Minor Works"/>
    <x v="98"/>
    <d v="2017-01-01T00:00:00"/>
    <s v="Jan-17"/>
    <s v="NBN Co Sydney - rounding"/>
    <n v="0.01"/>
    <m/>
    <m/>
  </r>
  <r>
    <s v="INV"/>
    <s v="NBN Sydney"/>
    <s v="INV-11896"/>
    <x v="3"/>
    <s v="Network Shortfall Central Coast"/>
    <x v="1"/>
    <d v="2017-01-01T00:00:00"/>
    <s v="Jan-17"/>
    <s v="NBN Co Sydney - 2LJT02 MPS001_x000d__x000a_15 Lorraine Avenue_x000d__x000a_to clear credit as paid original invoice "/>
    <m/>
    <s v="Network Shortfall Central Coast"/>
    <n v="1496.88"/>
  </r>
  <r>
    <s v="CN"/>
    <s v="NBN Sydney"/>
    <s v="CN-11837"/>
    <x v="3"/>
    <s v="NBN Greenfields"/>
    <x v="17"/>
    <d v="2017-01-01T00:00:00"/>
    <s v="Jan-17"/>
    <s v="NBN Co Sydney - NBN Greenfield_x000d_ 2SIL-04 AYCA-26BG82 Breakfast Point - 7D3_x000d__x000a_Project Number:_x000d__x000a_PO Number:_x000d__x000a_Work Confirmation: MWA-2SIL-04 AYCA-26BG82 Breakfast Point - 7D3_x000d__x000a_Contract Sum"/>
    <n v="3386.6"/>
    <s v="NBN Greenfields - AYCA-26BG82 - Breakfast Point"/>
    <m/>
  </r>
  <r>
    <s v="CN"/>
    <s v="NBN Sydney"/>
    <s v="CN-11838"/>
    <x v="3"/>
    <s v="NBN Greenfields"/>
    <x v="31"/>
    <d v="2017-01-01T00:00:00"/>
    <s v="Jan-17"/>
    <s v="NBN Co Sydney - 2MAI-05-AYCA-LYZ4T- Wallis Creek- 3_x000d__x000a_Payment Schedule"/>
    <n v="966.94"/>
    <s v="NBN Greenfields - AYCA-LYZ4T -Wallis Creek"/>
    <m/>
  </r>
  <r>
    <s v="CN"/>
    <s v="NBN Sydney"/>
    <s v="CN-11879"/>
    <x v="3"/>
    <s v="NBN Greenfields"/>
    <x v="99"/>
    <d v="2017-01-01T00:00:00"/>
    <s v="Jan-17"/>
    <s v="NBN Co Sydney - NBN Greenfields _x000d_ AYCA-2INOL7 107 Woodlands Road Liverpool"/>
    <n v="1212.98"/>
    <s v="NBN Greenfields - AYCA-2INOL7 107 Woodlands Road Liverpool"/>
    <m/>
  </r>
  <r>
    <s v="INV"/>
    <s v="NBN Sydney"/>
    <s v="INV-11871"/>
    <x v="3"/>
    <s v="NBN Greenfields"/>
    <x v="95"/>
    <d v="2017-01-20T00:00:00"/>
    <s v="Jan-17"/>
    <s v="NBN Co Sydney - AYCA-32OUOI - 5-7 Wonga Street, Canterbury - Proposed Claim"/>
    <m/>
    <s v="NBN Greenfields - AYCA-32OUIO - 5-7 Wonga Street, Canterbury"/>
    <n v="4395.49"/>
  </r>
  <r>
    <s v="INV"/>
    <s v="NBN Sydney"/>
    <s v="INV-11870"/>
    <x v="3"/>
    <s v="NBN Minor Works"/>
    <x v="100"/>
    <d v="2017-01-20T00:00:00"/>
    <s v="Jan-17"/>
    <s v="NBN Co Sydney - MWA - MW20315 - 9QBN-04 – MPS-053- Datateks Request for Completion"/>
    <m/>
    <s v="Minor Works - 9QBN-04 – MPS-053"/>
    <n v="1712.57"/>
  </r>
  <r>
    <s v="INV"/>
    <s v="NBN Sydney"/>
    <s v="INV-11869"/>
    <x v="3"/>
    <s v="NBN Greenfields"/>
    <x v="101"/>
    <d v="2017-01-20T00:00:00"/>
    <s v="Jan-17"/>
    <s v="NBN Co Sydney - MW20309 – 2MIL-02 - AYCA-2HQZXU - Remembrance Drive - 1D "/>
    <m/>
    <s v="NBN Greenfields - AYCA-2HQZXU - Remembrance Drive - 1D "/>
    <n v="248.14"/>
  </r>
  <r>
    <s v="INV"/>
    <s v="NBN Sydney"/>
    <s v="INV-11889"/>
    <x v="3"/>
    <s v="NBN Minor Works"/>
    <x v="69"/>
    <d v="2017-01-31T00:00:00"/>
    <s v="Jan-17"/>
    <s v="NBN Co Sydney - 2GOS-06 – Manns Road _x000d__x000a_"/>
    <m/>
    <s v="Minor Works - 2GOS-06 Manns Road Aerial"/>
    <n v="27404.02"/>
  </r>
  <r>
    <s v="INV"/>
    <s v="NBN Sydney"/>
    <s v="INV-11890"/>
    <x v="3"/>
    <s v="NBN Minor Works"/>
    <x v="102"/>
    <d v="2017-01-31T00:00:00"/>
    <s v="Jan-17"/>
    <s v="NBN Co Sydney - MW20334 - 2GOS-04 - LOC000053292299 - 5 Oakglen "/>
    <m/>
    <s v="Minor Works - 2GOS‐04 ‐ 5 Oakglen"/>
    <n v="2341.89"/>
  </r>
  <r>
    <s v="INV"/>
    <s v="NBN Sydney"/>
    <s v="INV-11891"/>
    <x v="3"/>
    <s v="NBN Minor Works"/>
    <x v="103"/>
    <d v="2017-01-31T00:00:00"/>
    <s v="Jan-17"/>
    <s v="NBN Co Sydney - MW20332 - 9QBN-08 - MPS-035 - 8 Ogilvie "/>
    <m/>
    <s v="Minor Works - 9QBN-08 - MPS-035 - 8 Ogilvie "/>
    <n v="6397.18"/>
  </r>
  <r>
    <s v="INV"/>
    <s v="NBN Sydney"/>
    <s v="INV-11884"/>
    <x v="3"/>
    <s v="NBN Minor Works"/>
    <x v="104"/>
    <d v="2017-01-31T00:00:00"/>
    <s v="Jan-17"/>
    <s v="NBN Co Sydney - MW20314 - 9QBN-03 - MPS-152 "/>
    <m/>
    <s v="Minor Works - 9QBN-03 - MPS-152 "/>
    <n v="1559.01"/>
  </r>
  <r>
    <s v="INV"/>
    <s v="NBN Sydney"/>
    <s v="INV-11885"/>
    <x v="3"/>
    <s v="NBN Greenfields"/>
    <x v="105"/>
    <d v="2017-01-31T00:00:00"/>
    <s v="Jan-17"/>
    <s v="NBN Co Sydney - AYCA-2XCYEX Elysium, 47-49 Mowatt Street "/>
    <m/>
    <s v="NBN Greenfields - AYCA-2XCYEX Elysium"/>
    <n v="9131.56"/>
  </r>
  <r>
    <s v="INV"/>
    <s v="NBN Sydney"/>
    <s v="INV-11886"/>
    <x v="3"/>
    <s v="NBN Minor Works"/>
    <x v="106"/>
    <d v="2017-01-31T00:00:00"/>
    <s v="Jan-17"/>
    <s v="NBN Co Sydney - MW20320 - 2CBT-05 - 25 O'Sullivan Road, Leumeah_x000d__x000a__x000d__x000a_"/>
    <m/>
    <s v="Minor Works - 2CBT-05-25 O'Sullivan Road, Leumeah"/>
    <n v="789.29"/>
  </r>
  <r>
    <s v="INV"/>
    <s v="NBN Sydney"/>
    <s v="154284866"/>
    <x v="1"/>
    <s v="Overhead"/>
    <x v="3"/>
    <d v="2017-01-31T00:00:00"/>
    <s v="Jan-17"/>
    <s v="Officeworks Superstores - Delivery Fee"/>
    <n v="36.32"/>
    <m/>
    <m/>
  </r>
  <r>
    <s v="INV"/>
    <s v="NBN Sydney"/>
    <s v="C"/>
    <x v="4"/>
    <s v="Minchinbury Mobilisation"/>
    <x v="70"/>
    <d v="2017-01-05T00:00:00"/>
    <s v="Jan-17"/>
    <s v="Kennards Hire - Delivery for HC Line Items"/>
    <n v="45.45"/>
    <m/>
    <m/>
  </r>
  <r>
    <s v="INV"/>
    <s v="NBN Sydney"/>
    <s v="17967860"/>
    <x v="4"/>
    <s v="Minchinbury Mobilisation"/>
    <x v="70"/>
    <d v="2017-01-05T00:00:00"/>
    <s v="Jan-17"/>
    <s v="Kennards Hire - Pick up for HC Line Items"/>
    <n v="45.46"/>
    <m/>
    <m/>
  </r>
  <r>
    <s v="INV"/>
    <s v="NBN Sydney"/>
    <s v="17967860"/>
    <x v="4"/>
    <s v="Minchinbury Mobilisation"/>
    <x v="70"/>
    <d v="2017-01-05T00:00:00"/>
    <s v="Jan-17"/>
    <s v="Kennards Hire - Scaffold - Alum 5 m Double Width from 4/1/17 11.00am to 5/1/2017 13.00"/>
    <n v="290.89999999999998"/>
    <m/>
    <m/>
  </r>
  <r>
    <s v="INV"/>
    <s v="NBN Sydney"/>
    <s v="859221"/>
    <x v="1"/>
    <s v="Overhead"/>
    <x v="3"/>
    <d v="2017-01-05T00:00:00"/>
    <s v="Jan-17"/>
    <s v="Mitronics - Digital Support Agreement"/>
    <n v="39.950000000000003"/>
    <m/>
    <m/>
  </r>
  <r>
    <s v="INV"/>
    <s v="NBN Sydney"/>
    <s v="859221"/>
    <x v="1"/>
    <s v="Overhead"/>
    <x v="3"/>
    <d v="2017-01-05T00:00:00"/>
    <s v="Jan-17"/>
    <s v="Mitronics - Minimum Charge"/>
    <n v="50"/>
    <m/>
    <m/>
  </r>
  <r>
    <s v="INV"/>
    <s v="NBN Sydney"/>
    <s v="860592"/>
    <x v="1"/>
    <s v="Overhead"/>
    <x v="3"/>
    <d v="2017-01-17T00:00:00"/>
    <s v="Jan-17"/>
    <s v="Mitronics - Tech attend Minchinbury site to investigate issue with scanning via email. Changed mail.bigpond.com to mail.optusnet.com.au and tested OK"/>
    <n v="37.5"/>
    <m/>
    <m/>
  </r>
  <r>
    <s v="INV"/>
    <s v="NBN Sydney"/>
    <s v="04033"/>
    <x v="1"/>
    <s v="Overhead"/>
    <x v="3"/>
    <d v="2017-01-03T00:00:00"/>
    <s v="Jan-17"/>
    <s v="Caltex Eastern Creek - Panasonic Alk AA 8pk, ea"/>
    <n v="12.27"/>
    <m/>
    <m/>
  </r>
  <r>
    <s v="INV"/>
    <s v="NBN Sydney"/>
    <s v="00048925"/>
    <x v="1"/>
    <s v="Test Equipment &amp; Tools"/>
    <x v="27"/>
    <d v="2017-01-17T00:00:00"/>
    <s v="Jan-17"/>
    <s v="TMG Test Equipment - Shipping &amp; Handling"/>
    <n v="25"/>
    <m/>
    <m/>
  </r>
  <r>
    <s v="INV"/>
    <s v="NBN Sydney"/>
    <s v="00048925"/>
    <x v="1"/>
    <s v="Test Equipment &amp; Tools"/>
    <x v="27"/>
    <d v="2017-01-17T00:00:00"/>
    <s v="Jan-17"/>
    <s v="TMG Test Equipment - 1 Master Instruments LTS-2 - Lines Test Set No 2_x000d__x000a_Barcode: TMG161508 Serial: R0050"/>
    <n v="529"/>
    <m/>
    <m/>
  </r>
  <r>
    <s v="INV"/>
    <s v="NBN Sydney"/>
    <s v="000000060"/>
    <x v="0"/>
    <s v="PipeNetworks"/>
    <x v="40"/>
    <d v="2017-01-01T00:00:00"/>
    <s v="Jan-17"/>
    <s v="Openshore Drilling Pty Ltd - VIDLERS ST, WOY WOY "/>
    <n v="16383.2"/>
    <m/>
    <m/>
  </r>
  <r>
    <s v="INV"/>
    <s v="NBN Sydney"/>
    <s v="9487178"/>
    <x v="0"/>
    <s v="NBN Minor Works DJC"/>
    <x v="69"/>
    <d v="2017-01-04T00:00:00"/>
    <s v="Jan-17"/>
    <s v="ALTUS Traffic - Supply of traffic controlers at Job# 610466337-1212 MA-Manns Rd 09122016"/>
    <n v="930.21"/>
    <m/>
    <m/>
  </r>
  <r>
    <s v="INV"/>
    <s v="NBN Sydney"/>
    <s v="9487134"/>
    <x v="0"/>
    <s v="NBN Minor Works DJC"/>
    <x v="69"/>
    <d v="2017-01-04T00:00:00"/>
    <s v="Jan-17"/>
    <s v="ALTUS Traffic - Supply of traffic controllers at Job#610466337-1214- MA-Manns Road 13122016 "/>
    <n v="1156.02"/>
    <m/>
    <m/>
  </r>
  <r>
    <s v="INV"/>
    <s v="NBN Sydney"/>
    <s v="9487133"/>
    <x v="0"/>
    <s v="NBN Minor Works DJC"/>
    <x v="69"/>
    <d v="2017-01-04T00:00:00"/>
    <s v="Jan-17"/>
    <s v="ALTUS Traffic - Supply of Traffic Controllers at Job#610466337-1213 - Order #MA Manns Rd, Narara"/>
    <n v="1208.53"/>
    <m/>
    <m/>
  </r>
  <r>
    <s v="INV"/>
    <s v="NBN Sydney"/>
    <s v="9488730"/>
    <x v="0"/>
    <s v="NBN Minor Works DJC"/>
    <x v="84"/>
    <d v="2017-01-08T00:00:00"/>
    <s v="Jan-17"/>
    <s v="ALTUS Traffic - Supply of services at Princes Hwy, Woonona. Authorised by MA"/>
    <n v="235"/>
    <m/>
    <m/>
  </r>
  <r>
    <s v="INV"/>
    <s v="NBN Sydney"/>
    <s v="INV-0096"/>
    <x v="5"/>
    <s v="Minchinbury Mobilisation"/>
    <x v="70"/>
    <d v="2017-01-08T00:00:00"/>
    <s v="Jan-17"/>
    <s v="Warriewood Consultancy - Datateks Day Rate"/>
    <n v="4821.1499999999996"/>
    <m/>
    <m/>
  </r>
  <r>
    <s v="INV"/>
    <s v="NBN Sydney"/>
    <s v="01803320"/>
    <x v="0"/>
    <s v="NBN Minor Works DJC"/>
    <x v="69"/>
    <d v="2017-01-10T00:00:00"/>
    <s v="Jan-17"/>
    <s v="Craig Comms Pty Ltd - NBN MWA 2GOS-06 Manns Rd"/>
    <n v="816"/>
    <m/>
    <m/>
  </r>
  <r>
    <s v="INV"/>
    <s v="NBN Sydney"/>
    <s v="70040"/>
    <x v="0"/>
    <s v="NBN Minor Works DJC"/>
    <x v="69"/>
    <d v="2017-01-19T00:00:00"/>
    <s v="Jan-17"/>
    <s v="Robert Guy &amp; Sons Pty Ltd - Delivery Docket number 89331, Concrete sawing 200mm depth, minimum charge and site delivery"/>
    <n v="239.09"/>
    <m/>
    <m/>
  </r>
  <r>
    <s v="INV"/>
    <s v="NBN Sydney"/>
    <s v="INV-0098"/>
    <x v="5"/>
    <s v="Minchinbury Mobilisation"/>
    <x v="70"/>
    <d v="2017-01-22T00:00:00"/>
    <s v="Jan-17"/>
    <s v="Warriewood Consultancy - Datateks Day Rate"/>
    <n v="4821.1499999999996"/>
    <m/>
    <m/>
  </r>
  <r>
    <s v="INV"/>
    <s v="NBN Sydney"/>
    <s v="INV-0098"/>
    <x v="1"/>
    <s v="Overhead"/>
    <x v="3"/>
    <d v="2017-01-22T00:00:00"/>
    <s v="Jan-17"/>
    <s v="Warriewood Consultancy - Datateks Day Rate"/>
    <n v="4821.1499999999996"/>
    <m/>
    <m/>
  </r>
  <r>
    <s v="INV"/>
    <s v="NBN Sydney"/>
    <s v="2032"/>
    <x v="0"/>
    <s v="NBN Minor Works DJC"/>
    <x v="53"/>
    <d v="2017-01-30T00:00:00"/>
    <s v="Jan-17"/>
    <s v="Schokman Pty Limited - NBN Minor Works Agreement 2-GOS-04"/>
    <n v="675"/>
    <m/>
    <m/>
  </r>
  <r>
    <s v="CN"/>
    <s v="NBN Sydney"/>
    <s v="Invoice 60 Vidlers St Woy Woy"/>
    <x v="0"/>
    <s v="PipeNetworks"/>
    <x v="40"/>
    <d v="2017-01-30T00:00:00"/>
    <s v="Jan-17"/>
    <s v="Openshore Drilling Pty Ltd - Vidlers Woy Woy_x000d__x000a_C1.10.4-Supply P9"/>
    <m/>
    <s v="PipeNetworks - RT625696 - 51 Mcmasters Rd to 21 Vidler Ave"/>
    <n v="616"/>
  </r>
  <r>
    <s v="CN"/>
    <s v="NBN Sydney"/>
    <s v="Invoice 60 Vidlers St Woy Woy"/>
    <x v="3"/>
    <s v="PipeNetworks"/>
    <x v="40"/>
    <d v="2017-01-30T00:00:00"/>
    <s v="Jan-17"/>
    <s v="Openshore Drilling Pty Ltd - Upgrade P8 to a P9 @ "/>
    <m/>
    <s v="PipeNetworks - RT625696 - 51 Mcmasters Rd to 21 Vidler Ave"/>
    <n v="1780"/>
  </r>
  <r>
    <s v="INV"/>
    <s v="NBN Sydney"/>
    <s v="2033"/>
    <x v="0"/>
    <s v="NBN Minor Works DJC"/>
    <x v="53"/>
    <d v="2017-01-30T00:00:00"/>
    <s v="Jan-17"/>
    <s v="Schokman Pty Limited - NBN Minor Works 2-GOS-05"/>
    <n v="1125"/>
    <m/>
    <m/>
  </r>
  <r>
    <s v="INV"/>
    <s v="NBN Sydney"/>
    <s v="2031"/>
    <x v="0"/>
    <s v="NBN Greenfields DJC"/>
    <x v="105"/>
    <d v="2017-01-30T00:00:00"/>
    <s v="Jan-17"/>
    <s v="Schokman Pty Limited - NBN Minor Works Agreement Various"/>
    <n v="4856.1100000000006"/>
    <m/>
    <m/>
  </r>
  <r>
    <s v="INV"/>
    <s v="NBN Sydney"/>
    <s v="2031"/>
    <x v="0"/>
    <s v="NBN Minor Works DJC"/>
    <x v="104"/>
    <d v="2017-01-30T00:00:00"/>
    <s v="Jan-17"/>
    <s v="Schokman Pty Limited - NBN Minor Works Agreement Various"/>
    <n v="200"/>
    <m/>
    <m/>
  </r>
  <r>
    <s v="INV"/>
    <s v="NBN Sydney"/>
    <s v="2031"/>
    <x v="0"/>
    <s v="NBN Minor Works DJC"/>
    <x v="106"/>
    <d v="2017-01-30T00:00:00"/>
    <s v="Jan-17"/>
    <s v="Schokman Pty Limited - NBN Minor Works Agreement Various"/>
    <n v="523.91"/>
    <m/>
    <m/>
  </r>
  <r>
    <s v="INV"/>
    <s v="NBN Sydney"/>
    <s v="2031"/>
    <x v="0"/>
    <s v="NBN Minor Works DJC"/>
    <x v="107"/>
    <d v="2017-01-30T00:00:00"/>
    <s v="Jan-17"/>
    <s v="Schokman Pty Limited - NBN Minor Works Agreement Various"/>
    <n v="534.91"/>
    <m/>
    <m/>
  </r>
  <r>
    <s v="INV"/>
    <s v="NBN Sydney"/>
    <s v="2031"/>
    <x v="0"/>
    <s v="NBN Greenfields DJC"/>
    <x v="108"/>
    <d v="2017-01-30T00:00:00"/>
    <s v="Jan-17"/>
    <s v="Schokman Pty Limited - NBN Minor Works Agreement Various"/>
    <n v="1118.9000000000001"/>
    <m/>
    <m/>
  </r>
  <r>
    <s v="INV"/>
    <s v="NBN Sydney"/>
    <s v="2030"/>
    <x v="0"/>
    <s v="NBN Minor Works DJC"/>
    <x v="84"/>
    <d v="2017-01-30T00:00:00"/>
    <s v="Jan-17"/>
    <s v="Schokman Pty Limited - NBN Minor Works Agreement 2-COR-05"/>
    <n v="7870.24"/>
    <m/>
    <m/>
  </r>
  <r>
    <s v="PE"/>
    <s v="NBN Sydney"/>
    <s v="Payroll Expense Journal - PD-391"/>
    <x v="1"/>
    <s v="Overhead"/>
    <x v="3"/>
    <d v="2017-01-02T00:00:00"/>
    <s v="Jan-17"/>
    <s v="Earnings Greg Baylis Tool Allowance"/>
    <n v="18.649999999999999"/>
    <m/>
    <m/>
  </r>
  <r>
    <s v="PE"/>
    <s v="NBN Sydney"/>
    <s v="Payroll Expense Journal - PD-392"/>
    <x v="5"/>
    <s v="Minchinbury Mobilisation"/>
    <x v="70"/>
    <d v="2017-01-09T00:00:00"/>
    <s v="Jan-17"/>
    <s v="Earnings Greg Baylis Tool Allowance"/>
    <n v="18.649999999999999"/>
    <m/>
    <m/>
  </r>
  <r>
    <s v="PE"/>
    <s v="NBN Sydney"/>
    <s v="Payroll Expense Journal - PD-393"/>
    <x v="5"/>
    <s v="NBN Greenfields DJC Internals"/>
    <x v="89"/>
    <d v="2017-01-16T00:00:00"/>
    <s v="Jan-17"/>
    <s v="Earnings Greg Baylis Tool Allowance"/>
    <n v="18.649999999999999"/>
    <m/>
    <m/>
  </r>
  <r>
    <s v="PE"/>
    <s v="NBN Sydney"/>
    <s v="Payroll Expense Journal - PD-394"/>
    <x v="5"/>
    <s v="NBN Greenfields DJC Internals"/>
    <x v="109"/>
    <d v="2017-01-23T00:00:00"/>
    <s v="Jan-17"/>
    <s v="Earnings Greg Baylis Tool Allowance"/>
    <n v="18.649999999999999"/>
    <m/>
    <m/>
  </r>
  <r>
    <s v="PE"/>
    <s v="NBN Sydney"/>
    <s v="Payroll Expense Journal - PD-396"/>
    <x v="5"/>
    <s v="NBN Minor Works DJC Internals"/>
    <x v="102"/>
    <d v="2017-01-30T00:00:00"/>
    <s v="Jan-17"/>
    <s v="Earnings Greg Baylis Tool Allowance"/>
    <n v="18.649999999999999"/>
    <m/>
    <m/>
  </r>
  <r>
    <m/>
    <s v="NBN Sydney"/>
    <s v="Tools"/>
    <x v="5"/>
    <s v="Minchinbury Mobilisation"/>
    <x v="70"/>
    <d v="2017-01-20T00:00:00"/>
    <s v="Jan-17"/>
    <s v="GC &amp; AC &amp; SM Tool allowance"/>
    <n v="139.88"/>
    <m/>
    <m/>
  </r>
  <r>
    <s v="PE"/>
    <s v="NBN Sydney"/>
    <s v="Payroll Expense Journal - PD-394"/>
    <x v="5"/>
    <s v="NBN Minor Works DJC Internals"/>
    <x v="103"/>
    <d v="2017-01-23T00:00:00"/>
    <s v="Jan-17"/>
    <s v="Reimbursements"/>
    <n v="189.87"/>
    <m/>
    <m/>
  </r>
  <r>
    <s v="PE"/>
    <s v="NBN Sydney"/>
    <s v="OTTA"/>
    <x v="5"/>
    <s v="Minchinbury Mobilisation"/>
    <x v="70"/>
    <d v="2017-01-23T00:00:00"/>
    <s v="Jan-17"/>
    <s v="Gilbert Cook Wages"/>
    <n v="3304.68"/>
    <m/>
    <m/>
  </r>
  <r>
    <s v="PE"/>
    <s v="NBN Sydney"/>
    <s v="OTTA"/>
    <x v="5"/>
    <s v="Minchinbury Mobilisation"/>
    <x v="70"/>
    <d v="2017-01-23T00:00:00"/>
    <s v="Jan-17"/>
    <s v="Alex Crawford Wages"/>
    <n v="1683.7"/>
    <m/>
    <m/>
  </r>
  <r>
    <s v="PE"/>
    <s v="NBN Sydney"/>
    <s v="OTTA"/>
    <x v="5"/>
    <s v="Minchinbury Mobilisation"/>
    <x v="70"/>
    <d v="2017-01-23T00:00:00"/>
    <s v="Jan-17"/>
    <s v="Scott M  Wages"/>
    <n v="1303.96"/>
    <m/>
    <m/>
  </r>
  <r>
    <s v="PE"/>
    <s v="NBN Sydney"/>
    <s v="Payroll Expense Journal - PD-391"/>
    <x v="1"/>
    <s v="Overhead"/>
    <x v="3"/>
    <d v="2017-01-02T00:00:00"/>
    <s v="Jan-17"/>
    <s v="Earnings"/>
    <n v="8987.39"/>
    <m/>
    <m/>
  </r>
  <r>
    <s v="PE"/>
    <s v="NBN Sydney"/>
    <s v="Payroll Expense Journal - PD-392"/>
    <x v="1"/>
    <s v="Overhead"/>
    <x v="3"/>
    <d v="2017-01-09T00:00:00"/>
    <s v="Jan-17"/>
    <s v="Earnings"/>
    <n v="7803.3600000000006"/>
    <m/>
    <m/>
  </r>
  <r>
    <s v="PE"/>
    <s v="NBN Sydney"/>
    <s v="Payroll Expense Journal - PD-393"/>
    <x v="5"/>
    <s v="NBN Greenfields DJC Internals"/>
    <x v="96"/>
    <d v="2017-01-09T00:00:00"/>
    <s v="Jan-17"/>
    <s v="Earnings Greg Baylis"/>
    <n v="253.84"/>
    <m/>
    <m/>
  </r>
  <r>
    <s v="PE"/>
    <s v="NBN Sydney"/>
    <s v="Payroll Expense Journal - PD-394"/>
    <x v="5"/>
    <s v="Minor Works"/>
    <x v="79"/>
    <d v="2017-01-09T00:00:00"/>
    <s v="Jan-17"/>
    <s v="Earnings Greg Baylis"/>
    <n v="253.84"/>
    <m/>
    <m/>
  </r>
  <r>
    <s v="PE"/>
    <s v="NBN Sydney"/>
    <s v="Payroll Expense Journal - PD-395"/>
    <x v="5"/>
    <s v="Minchinbury Mobilisation"/>
    <x v="70"/>
    <d v="2017-01-09T00:00:00"/>
    <s v="Jan-17"/>
    <s v="Earnings Greg Baylis"/>
    <n v="539.41"/>
    <m/>
    <m/>
  </r>
  <r>
    <s v="PE"/>
    <s v="NBN Sydney"/>
    <s v="Payroll Expense Journal - PD-393"/>
    <x v="1"/>
    <s v="Overhead"/>
    <x v="3"/>
    <d v="2017-01-16T00:00:00"/>
    <s v="Jan-17"/>
    <s v="Earnings"/>
    <n v="7677.1724999999979"/>
    <m/>
    <m/>
  </r>
  <r>
    <s v="PE"/>
    <s v="NBN Sydney"/>
    <s v="Payroll Expense Journal - PD-393"/>
    <x v="5"/>
    <s v="NBN Greenfields DJC Internals"/>
    <x v="95"/>
    <d v="2017-01-16T00:00:00"/>
    <s v="Jan-17"/>
    <s v="Earnings Greg Baylis"/>
    <n v="404.5575"/>
    <m/>
    <m/>
  </r>
  <r>
    <s v="PE"/>
    <s v="NBN Sydney"/>
    <s v="Payroll Expense Journal - PD-393"/>
    <x v="5"/>
    <s v="NBN Greenfields DJC Internals"/>
    <x v="83"/>
    <d v="2017-01-16T00:00:00"/>
    <s v="Jan-17"/>
    <s v="Earnings Greg Baylis"/>
    <n v="237.97500000000002"/>
    <m/>
    <m/>
  </r>
  <r>
    <s v="PE"/>
    <s v="NBN Sydney"/>
    <s v="Payroll Expense Journal - PD-393"/>
    <x v="5"/>
    <s v="NBN Greenfields DJC Internals"/>
    <x v="110"/>
    <d v="2017-01-16T00:00:00"/>
    <s v="Jan-17"/>
    <s v="Earnings Greg Baylis"/>
    <n v="126.92"/>
    <m/>
    <m/>
  </r>
  <r>
    <s v="PE"/>
    <s v="NBN Sydney"/>
    <s v="Payroll Expense Journal - PD-393"/>
    <x v="5"/>
    <s v="Minor Works"/>
    <x v="111"/>
    <d v="2017-01-16T00:00:00"/>
    <s v="Jan-17"/>
    <s v="Earnings Greg Baylis"/>
    <n v="79.325000000000003"/>
    <m/>
    <m/>
  </r>
  <r>
    <s v="PE"/>
    <s v="NBN Sydney"/>
    <s v="Payroll Expense Journal - PD-393"/>
    <x v="5"/>
    <s v="NBN Greenfields DJC Internals"/>
    <x v="89"/>
    <d v="2017-01-16T00:00:00"/>
    <s v="Jan-17"/>
    <s v="Earnings Greg Baylis"/>
    <n v="79.325000000000003"/>
    <m/>
    <m/>
  </r>
  <r>
    <s v="PE"/>
    <s v="NBN Sydney"/>
    <s v="Payroll Expense Journal - PD-394"/>
    <x v="5"/>
    <s v="Minchinbury Mobilisation"/>
    <x v="70"/>
    <d v="2017-01-16T00:00:00"/>
    <s v="Jan-17"/>
    <s v="Earnings Greg Baylis"/>
    <n v="301.435"/>
    <m/>
    <m/>
  </r>
  <r>
    <s v="PE"/>
    <s v="NBN Sydney"/>
    <s v="Payroll Expense Journal - PD-394"/>
    <x v="1"/>
    <s v="Overhead"/>
    <x v="3"/>
    <d v="2017-01-23T00:00:00"/>
    <s v="Jan-17"/>
    <s v="Earnings"/>
    <n v="7476.7875000000013"/>
    <m/>
    <m/>
  </r>
  <r>
    <s v="PE"/>
    <s v="NBN Sydney"/>
    <s v="Payroll Expense Journal - PD-394"/>
    <x v="5"/>
    <s v="Minor Works"/>
    <x v="106"/>
    <d v="2017-01-23T00:00:00"/>
    <s v="Jan-17"/>
    <s v="Earnings Greg Baylis"/>
    <n v="126.92"/>
    <m/>
    <m/>
  </r>
  <r>
    <s v="PE"/>
    <s v="NBN Sydney"/>
    <s v="Payroll Expense Journal - PD-394"/>
    <x v="5"/>
    <s v="Minor Works"/>
    <x v="84"/>
    <d v="2017-01-23T00:00:00"/>
    <s v="Jan-17"/>
    <s v="Earnings Greg Baylis"/>
    <n v="158.65"/>
    <m/>
    <m/>
  </r>
  <r>
    <s v="PE"/>
    <s v="NBN Sydney"/>
    <s v="Payroll Expense Journal - PD-394"/>
    <x v="5"/>
    <s v="NBN Minor Works DJC Internals"/>
    <x v="103"/>
    <d v="2017-01-23T00:00:00"/>
    <s v="Jan-17"/>
    <s v="Earnings Greg Baylis"/>
    <n v="253.84"/>
    <m/>
    <m/>
  </r>
  <r>
    <s v="PE"/>
    <s v="NBN Sydney"/>
    <s v="Payroll Expense Journal - PD-394"/>
    <x v="5"/>
    <s v="Minchinbury Mobilisation"/>
    <x v="70"/>
    <d v="2017-01-23T00:00:00"/>
    <s v="Jan-17"/>
    <s v="Earnings Greg Baylis"/>
    <n v="63.46"/>
    <m/>
    <m/>
  </r>
  <r>
    <s v="PE"/>
    <s v="NBN Sydney"/>
    <s v="Payroll Expense Journal - PD-394"/>
    <x v="5"/>
    <s v="NBN Greenfields DJC Internals"/>
    <x v="109"/>
    <d v="2017-01-23T00:00:00"/>
    <s v="Jan-17"/>
    <s v="Earnings Greg Baylis"/>
    <n v="356.96249999999998"/>
    <m/>
    <m/>
  </r>
  <r>
    <s v="PE"/>
    <s v="NBN Sydney"/>
    <s v="Payroll Expense Journal - PD-396"/>
    <x v="1"/>
    <s v="Overhead"/>
    <x v="3"/>
    <d v="2017-01-30T00:00:00"/>
    <s v="Jan-17"/>
    <s v="Earnings"/>
    <n v="7767.77"/>
    <m/>
    <m/>
  </r>
  <r>
    <s v="PE"/>
    <s v="NBN Sydney"/>
    <s v="Payroll Expense Journal - PD-396"/>
    <x v="5"/>
    <s v="Minor Works"/>
    <x v="102"/>
    <d v="2017-01-30T00:00:00"/>
    <s v="Jan-17"/>
    <s v="Earnings Greg Baylis"/>
    <n v="253.84"/>
    <m/>
    <m/>
  </r>
  <r>
    <s v="PE"/>
    <s v="NBN Sydney"/>
    <s v="Payroll Expense Journal - PD-396"/>
    <x v="5"/>
    <s v="NBN Greenfields DJC Internals"/>
    <x v="109"/>
    <d v="2017-01-30T00:00:00"/>
    <s v="Jan-17"/>
    <s v="Earnings Greg Baylis"/>
    <n v="507.68"/>
    <m/>
    <m/>
  </r>
  <r>
    <s v="PE"/>
    <s v="NBN Sydney"/>
    <s v="Wages"/>
    <x v="5"/>
    <s v="Minchinbury Mobilisation"/>
    <x v="70"/>
    <d v="2017-01-30T00:00:00"/>
    <s v="Jan-17"/>
    <s v="GC, AC &amp; SM"/>
    <n v="11496.71"/>
    <m/>
    <m/>
  </r>
  <r>
    <s v="PE"/>
    <s v="NBN Sydney"/>
    <s v="Payroll Expense Journal - PD-391"/>
    <x v="1"/>
    <s v="Overhead"/>
    <x v="3"/>
    <d v="2017-01-02T00:00:00"/>
    <s v="Jan-17"/>
    <s v="Superannuation Expense"/>
    <n v="780.83"/>
    <m/>
    <m/>
  </r>
  <r>
    <s v="PE"/>
    <s v="NBN Sydney"/>
    <s v="Payroll Expense Journal - PD-392"/>
    <x v="1"/>
    <s v="Overhead"/>
    <x v="3"/>
    <d v="2017-01-09T00:00:00"/>
    <s v="Jan-17"/>
    <s v="Superannuation Expense"/>
    <n v="686.78000000000009"/>
    <m/>
    <m/>
  </r>
  <r>
    <s v="PE"/>
    <s v="NBN Sydney"/>
    <s v="Payroll Expense Journal - PD-392"/>
    <x v="5"/>
    <s v="NBN Greenfields DJC Internals"/>
    <x v="96"/>
    <d v="2017-01-09T00:00:00"/>
    <s v="Jan-17"/>
    <s v="Superannuation Expense Greg Baylis"/>
    <n v="22.8"/>
    <m/>
    <m/>
  </r>
  <r>
    <s v="PE"/>
    <s v="NBN Sydney"/>
    <s v="Payroll Expense Journal - PD-392"/>
    <x v="5"/>
    <s v="Minor Works"/>
    <x v="79"/>
    <d v="2017-01-09T00:00:00"/>
    <s v="Jan-17"/>
    <s v="Superannuation Expense Greg Baylis"/>
    <n v="22.8"/>
    <m/>
    <m/>
  </r>
  <r>
    <s v="PE"/>
    <s v="NBN Sydney"/>
    <s v="Payroll Expense Journal - PD-392"/>
    <x v="5"/>
    <s v="Minchinbury Mobilisation"/>
    <x v="70"/>
    <d v="2017-01-09T00:00:00"/>
    <s v="Jan-17"/>
    <s v="Superannuation Expense Greg Baylis"/>
    <n v="48.45"/>
    <m/>
    <m/>
  </r>
  <r>
    <s v="PE"/>
    <s v="NBN Sydney"/>
    <s v="Payroll Expense Journal - PD-393"/>
    <x v="1"/>
    <s v="Overhead"/>
    <x v="3"/>
    <d v="2017-01-16T00:00:00"/>
    <s v="Jan-17"/>
    <s v="Superannuation Expense"/>
    <n v="782.06999999999994"/>
    <m/>
    <m/>
  </r>
  <r>
    <s v="PE"/>
    <s v="NBN Sydney"/>
    <s v="Payroll Expense Journal - PD-393"/>
    <x v="5"/>
    <s v="Minor Works"/>
    <x v="79"/>
    <d v="2017-01-16T00:00:00"/>
    <s v="Jan-17"/>
    <s v="Superannuation Expense Greg Baylis"/>
    <n v="17.100000000000001"/>
    <m/>
    <m/>
  </r>
  <r>
    <s v="PE"/>
    <s v="NBN Sydney"/>
    <s v="Payroll Expense Journal - PD-393"/>
    <x v="5"/>
    <s v="Minor Works"/>
    <x v="79"/>
    <d v="2017-01-16T00:00:00"/>
    <s v="Jan-17"/>
    <s v="Superannuation Expense Greg Baylis"/>
    <n v="21.375"/>
    <m/>
    <m/>
  </r>
  <r>
    <s v="PE"/>
    <s v="NBN Sydney"/>
    <s v="Payroll Expense Journal - PD-393"/>
    <x v="5"/>
    <s v="Minor Works"/>
    <x v="79"/>
    <d v="2017-01-16T00:00:00"/>
    <s v="Jan-17"/>
    <s v="Superannuation Expense Greg Baylis"/>
    <n v="11.4"/>
    <m/>
    <m/>
  </r>
  <r>
    <s v="PE"/>
    <s v="NBN Sydney"/>
    <s v="Payroll Expense Journal - PD-393"/>
    <x v="5"/>
    <s v="Minor Works"/>
    <x v="79"/>
    <d v="2017-01-16T00:00:00"/>
    <s v="Jan-17"/>
    <s v="Superannuation Expense Greg Baylis"/>
    <n v="7.125"/>
    <m/>
    <m/>
  </r>
  <r>
    <s v="PE"/>
    <s v="NBN Sydney"/>
    <s v="Payroll Expense Journal - PD-393"/>
    <x v="5"/>
    <s v="Minor Works"/>
    <x v="79"/>
    <d v="2017-01-16T00:00:00"/>
    <s v="Jan-17"/>
    <s v="Superannuation Expense Greg Baylis"/>
    <n v="7.125"/>
    <m/>
    <m/>
  </r>
  <r>
    <s v="PE"/>
    <s v="NBN Sydney"/>
    <s v="Payroll Expense Journal - PD-393"/>
    <x v="5"/>
    <s v="Minchinbury Mobilisation"/>
    <x v="70"/>
    <d v="2017-01-16T00:00:00"/>
    <s v="Jan-17"/>
    <s v="Superannuation Expense Greg Baylis"/>
    <n v="27.075000000000003"/>
    <m/>
    <m/>
  </r>
  <r>
    <s v="PE"/>
    <s v="NBN Sydney"/>
    <s v="Payroll Expense Journal - PD-394"/>
    <x v="1"/>
    <s v="Overhead"/>
    <x v="3"/>
    <d v="2017-01-23T00:00:00"/>
    <s v="Jan-17"/>
    <s v="Superannuation Expense"/>
    <n v="800.16499999999996"/>
    <m/>
    <m/>
  </r>
  <r>
    <s v="PE"/>
    <s v="NBN Sydney"/>
    <s v="Payroll Expense Journal - PD-394"/>
    <x v="5"/>
    <s v="Minor Works"/>
    <x v="79"/>
    <d v="2017-01-23T00:00:00"/>
    <s v="Jan-17"/>
    <s v="Superannuation Expense Greg Baylis"/>
    <n v="11.4"/>
    <m/>
    <m/>
  </r>
  <r>
    <s v="PE"/>
    <s v="NBN Sydney"/>
    <s v="Payroll Expense Journal - PD-394"/>
    <x v="5"/>
    <s v="Minor Works"/>
    <x v="79"/>
    <d v="2017-01-23T00:00:00"/>
    <s v="Jan-17"/>
    <s v="Superannuation Expense Greg Baylis"/>
    <n v="14.25"/>
    <m/>
    <m/>
  </r>
  <r>
    <s v="PE"/>
    <s v="NBN Sydney"/>
    <s v="Payroll Expense Journal - PD-394"/>
    <x v="5"/>
    <s v="Minor Works"/>
    <x v="79"/>
    <d v="2017-01-23T00:00:00"/>
    <s v="Jan-17"/>
    <s v="Superannuation Expense Greg Baylis"/>
    <n v="22.8"/>
    <m/>
    <m/>
  </r>
  <r>
    <s v="PE"/>
    <s v="NBN Sydney"/>
    <s v="Payroll Expense Journal - PD-394"/>
    <x v="5"/>
    <s v="Minchinbury Mobilisation"/>
    <x v="70"/>
    <d v="2017-01-23T00:00:00"/>
    <s v="Jan-17"/>
    <s v="Superannuation Expense Greg Baylis"/>
    <n v="5.7"/>
    <m/>
    <m/>
  </r>
  <r>
    <s v="PE"/>
    <s v="NBN Sydney"/>
    <s v="Payroll Expense Journal - PD-394"/>
    <x v="5"/>
    <s v="Minor Works"/>
    <x v="79"/>
    <d v="2017-01-23T00:00:00"/>
    <s v="Jan-17"/>
    <s v="Superannuation Expense Greg Baylis"/>
    <n v="24.225000000000001"/>
    <m/>
    <m/>
  </r>
  <r>
    <s v="PE"/>
    <s v="NBN Sydney"/>
    <s v="Payroll Expense Journal - PD-396"/>
    <x v="1"/>
    <s v="Overhead"/>
    <x v="3"/>
    <d v="2017-01-30T00:00:00"/>
    <s v="Jan-17"/>
    <s v="Superannuation Expense"/>
    <n v="799.22604999999999"/>
    <m/>
    <m/>
  </r>
  <r>
    <s v="PE"/>
    <s v="NBN Sydney"/>
    <s v="Payroll Expense Journal - PD-396"/>
    <x v="5"/>
    <s v="Minor Works"/>
    <x v="79"/>
    <d v="2017-01-30T00:00:00"/>
    <s v="Jan-17"/>
    <s v="Superannuation Expense Greg Baylis"/>
    <n v="22.8"/>
    <m/>
    <m/>
  </r>
  <r>
    <s v="PE"/>
    <s v="NBN Sydney"/>
    <s v="Payroll Expense Journal - PD-396"/>
    <x v="5"/>
    <s v="Minor Works"/>
    <x v="79"/>
    <d v="2017-01-30T00:00:00"/>
    <s v="Jan-17"/>
    <s v="Superannuation Expense Greg Baylis"/>
    <n v="51.243949999999998"/>
    <m/>
    <m/>
  </r>
  <r>
    <s v="PE"/>
    <s v="NBN Sydney"/>
    <s v="Super"/>
    <x v="5"/>
    <s v="Minchinbury Mobilisation"/>
    <x v="70"/>
    <d v="2017-01-30T00:00:00"/>
    <s v="Jan-17"/>
    <s v="GC, AC &amp; SM Super"/>
    <n v="874.29"/>
    <m/>
    <m/>
  </r>
  <r>
    <s v="PAY"/>
    <s v="NBN Sydney"/>
    <s v="Steve Yassine NSW Payroll tax rebate"/>
    <x v="1"/>
    <s v="Overhead Credit"/>
    <x v="3"/>
    <d v="2017-01-30T00:00:00"/>
    <s v="Jan-17"/>
    <s v="NSW Office of State Revenue - Steve Yassine"/>
    <m/>
    <m/>
    <n v="3000"/>
  </r>
  <r>
    <s v="PAY"/>
    <s v="NBN Sydney"/>
    <s v="Marshell Antonio NSW Payroll tax rebate"/>
    <x v="1"/>
    <s v="Overhead Credit"/>
    <x v="3"/>
    <d v="2017-01-30T00:00:00"/>
    <s v="Jan-17"/>
    <s v="NSW Office of State Revenue - Marshell Antonio"/>
    <m/>
    <m/>
    <n v="3000"/>
  </r>
  <r>
    <s v="PAY"/>
    <s v="NBN Sydney"/>
    <s v="E toll Jan 2017"/>
    <x v="1"/>
    <s v="Overhead"/>
    <x v="3"/>
    <d v="2017-01-05T00:00:00"/>
    <s v="Jan-17"/>
    <s v="E-Toll Business Operations Centre - Surcharge on Top- up account per transaction"/>
    <n v="0.4"/>
    <m/>
    <m/>
  </r>
  <r>
    <s v="PAY"/>
    <s v="NBN Sydney"/>
    <s v="E-toll Top up"/>
    <x v="1"/>
    <s v="Overhead"/>
    <x v="3"/>
    <d v="2017-01-11T00:00:00"/>
    <s v="Jan-17"/>
    <s v="E-Toll Business Operations Centre - Surcharge on Top- up account per transaction"/>
    <n v="0.4"/>
    <m/>
    <m/>
  </r>
  <r>
    <s v="PAY"/>
    <s v="NBN Sydney"/>
    <s v="Etoll Jan 2017"/>
    <x v="1"/>
    <s v="Overhead"/>
    <x v="3"/>
    <d v="2017-01-17T00:00:00"/>
    <s v="Jan-17"/>
    <s v="E-Toll Business Operations Centre - Surcharge on Top- up account per transaction"/>
    <n v="0.4"/>
    <m/>
    <m/>
  </r>
  <r>
    <s v="PAY"/>
    <s v="NBN Sydney"/>
    <s v="E-Toll Jan 2017"/>
    <x v="1"/>
    <s v="Overhead"/>
    <x v="3"/>
    <d v="2017-01-24T00:00:00"/>
    <s v="Jan-17"/>
    <s v="E-Toll Business Operations Centre - Surcharge on Top- up account per transaction"/>
    <n v="0.4"/>
    <m/>
    <m/>
  </r>
  <r>
    <s v="INV"/>
    <s v="NBN Sydney"/>
    <s v="1080149"/>
    <x v="1"/>
    <s v="Overhead"/>
    <x v="3"/>
    <d v="2017-01-25T00:00:00"/>
    <s v="Jan-17"/>
    <s v="ARC Computers - Surcharge for Visa card payment"/>
    <n v="0.89"/>
    <m/>
    <m/>
  </r>
  <r>
    <s v="PAY"/>
    <s v="NBN Sydney"/>
    <s v="Etoll Top up JAN 2017"/>
    <x v="1"/>
    <s v="Overhead"/>
    <x v="3"/>
    <d v="2017-01-30T00:00:00"/>
    <s v="Jan-17"/>
    <s v="E-Toll Business Operations Centre - Surcharge on Top- up account per transaction"/>
    <n v="0.4"/>
    <m/>
    <m/>
  </r>
  <r>
    <s v="INV"/>
    <s v="NBN Sydney"/>
    <s v="119600"/>
    <x v="1"/>
    <s v="Overhead"/>
    <x v="3"/>
    <d v="2017-01-01T00:00:00"/>
    <s v="Jan-17"/>
    <s v="Easdowns Business Specialists - Monthly Instalment per 2017 Service Agreement"/>
    <n v="451.36"/>
    <m/>
    <m/>
  </r>
  <r>
    <s v="INV"/>
    <s v="NBN Sydney"/>
    <s v="00000349"/>
    <x v="1"/>
    <s v="Overhead"/>
    <x v="3"/>
    <d v="2017-01-04T00:00:00"/>
    <s v="Jan-17"/>
    <s v="Creative Embroidery &amp; Workwear - 2 x Jumpers JB 1/2 Zip Polar Fleece Jumper (Navy) Size S_x000d__x000a__x000d__x000a_ST"/>
    <n v="54.36"/>
    <s v=" "/>
    <m/>
  </r>
  <r>
    <s v="INV"/>
    <s v="NBN Sydney"/>
    <s v="00000349"/>
    <x v="1"/>
    <s v="Overhead"/>
    <x v="3"/>
    <d v="2017-01-04T00:00:00"/>
    <s v="Jan-17"/>
    <s v="Creative Embroidery &amp; Workwear - Embroidery for all above listed items"/>
    <n v="92"/>
    <m/>
    <m/>
  </r>
  <r>
    <s v="INV"/>
    <s v="NBN Sydney"/>
    <s v="00000349"/>
    <x v="1"/>
    <s v="Overhead"/>
    <x v="3"/>
    <d v="2017-01-04T00:00:00"/>
    <s v="Jan-17"/>
    <s v="Creative Embroidery &amp; Workwear - 4 x Hi-Vis gear - DNC HiVis Polar Fleece Jumper (Yellow/Navy) Size M_x000d__x000a__x000d__x000a_GB &amp; MAli"/>
    <n v="134.55000000000001"/>
    <m/>
    <m/>
  </r>
  <r>
    <s v="INV"/>
    <s v="NBN Sydney"/>
    <s v="00000349"/>
    <x v="1"/>
    <s v="Overhead"/>
    <x v="3"/>
    <d v="2017-01-04T00:00:00"/>
    <s v="Jan-17"/>
    <s v="Creative Embroidery &amp; Workwear - 12 x Hi-Vis Gear - Bisley (BS6896 - HiVis Long Sleeve Shirts - Yellow/Navy - Size M)_x000d__x000a__x000d__x000a_GB &amp; MAli"/>
    <n v="452.73"/>
    <m/>
    <m/>
  </r>
  <r>
    <s v="INV"/>
    <s v="NBN Sydney"/>
    <s v="00000349"/>
    <x v="1"/>
    <s v="Overhead"/>
    <x v="3"/>
    <d v="2017-01-04T00:00:00"/>
    <s v="Jan-17"/>
    <s v="Creative Embroidery &amp; Workwear - 5 x Ladies Wear - Fashion Bis Chambray Short Sleeved Shirts (Size 12)_x000d__x000a__x000d__x000a_ST"/>
    <n v="172.73"/>
    <m/>
    <m/>
  </r>
  <r>
    <s v="INV"/>
    <s v="NBN Sydney"/>
    <s v="106352"/>
    <x v="1"/>
    <s v="Overhead"/>
    <x v="3"/>
    <d v="2017-01-06T00:00:00"/>
    <s v="Jan-17"/>
    <s v="Australian Red Cross - Donation"/>
    <n v="100"/>
    <m/>
    <m/>
  </r>
  <r>
    <s v="INV"/>
    <s v="NBN Sydney"/>
    <s v="B VISA E-TOLL Jan 2017"/>
    <x v="1"/>
    <s v="Overhead"/>
    <x v="3"/>
    <d v="2017-01-01T00:00:00"/>
    <s v="Jan-17"/>
    <s v="E-Toll Business Operations Centre - TAG NO 4088301 _x000d__x000a_PJ CHV14B Toyota Hilux SYD"/>
    <n v="211.51"/>
    <m/>
    <m/>
  </r>
  <r>
    <s v="INV"/>
    <s v="NBN Sydney"/>
    <s v="B VISA E-TOLL Jan 2017"/>
    <x v="5"/>
    <s v="Minchinbury Mobilisation"/>
    <x v="70"/>
    <d v="2017-01-01T00:00:00"/>
    <s v="Jan-17"/>
    <s v="E-Toll Business Operations Centre - PLATE IDENTIFIED "/>
    <n v="20.45"/>
    <m/>
    <m/>
  </r>
  <r>
    <s v="INV"/>
    <s v="NBN Sydney"/>
    <s v="B VISA E-TOLL Jan 2017"/>
    <x v="1"/>
    <s v="Overhead"/>
    <x v="3"/>
    <d v="2017-01-01T00:00:00"/>
    <s v="Jan-17"/>
    <s v="E-Toll Business Operations Centre - No Tag"/>
    <n v="2.36"/>
    <m/>
    <m/>
  </r>
  <r>
    <s v="INV"/>
    <s v="NBN Sydney"/>
    <s v="B VISA E-TOLL Jan 2017"/>
    <x v="5"/>
    <s v="Minchinbury Mobilisation"/>
    <x v="70"/>
    <d v="2017-01-01T00:00:00"/>
    <s v="Jan-17"/>
    <s v="E-Toll Business Operations Centre - TAG NO 3665998 PHan BU59MS Toyota Hiace Van"/>
    <n v="64.209999999999994"/>
    <m/>
    <m/>
  </r>
  <r>
    <s v="INV"/>
    <s v="NBN Sydney"/>
    <s v="B VISA E-TOLL Jan 2017"/>
    <x v="5"/>
    <s v="Minchinbury Mobilisation"/>
    <x v="70"/>
    <d v="2017-01-01T00:00:00"/>
    <s v="Jan-17"/>
    <s v="E-Toll Business Operations Centre - TAG NO 3829695 _x000d__x000a_GC GCC00K F250 Ford"/>
    <n v="96.28"/>
    <m/>
    <m/>
  </r>
  <r>
    <s v="INV"/>
    <s v="NBN Sydney"/>
    <s v="B VISA E-TOLL Jan 2017"/>
    <x v="5"/>
    <s v="Minchinbury Mobilisation"/>
    <x v="70"/>
    <d v="2017-01-01T00:00:00"/>
    <s v="Jan-17"/>
    <s v="E-Toll Business Operations Centre - TAG NO 3830879 SPARE"/>
    <n v="63.19"/>
    <m/>
    <m/>
  </r>
  <r>
    <s v="INV"/>
    <s v="NBN Sydney"/>
    <s v="ST E-toll charges"/>
    <x v="5"/>
    <s v="Minchinbury Mobilisation"/>
    <x v="70"/>
    <d v="2017-01-20T00:00:00"/>
    <s v="Jan-17"/>
    <s v="E-Toll Business Operations Centre - ST E-toll charges"/>
    <n v="6.25"/>
    <m/>
    <m/>
  </r>
  <r>
    <s v="INV"/>
    <s v="NBN Sydney"/>
    <s v="9073222003221934"/>
    <x v="1"/>
    <s v="Overhead"/>
    <x v="3"/>
    <d v="2017-01-01T00:00:00"/>
    <s v="Jan-17"/>
    <s v="Officeworks Superstores - BX100 AV Laser Label 45UP WE"/>
    <n v="64.55"/>
    <m/>
    <m/>
  </r>
  <r>
    <s v="INV"/>
    <s v="NBN Sydney"/>
    <s v="9073222003221934"/>
    <x v="1"/>
    <s v="Overhead"/>
    <x v="3"/>
    <d v="2017-01-01T00:00:00"/>
    <s v="Jan-17"/>
    <s v="Officeworks Superstores - Canon CLI651 &amp; 2x PG1650 Mega Pk"/>
    <n v="104.55"/>
    <m/>
    <m/>
  </r>
  <r>
    <s v="INV"/>
    <s v="NBN Sydney"/>
    <s v="34862206"/>
    <x v="1"/>
    <s v="Overhead"/>
    <x v="3"/>
    <d v="2017-01-20T00:00:00"/>
    <s v="Jan-17"/>
    <s v="Officeworks Superstores - CTN Reflex Copy Paper 80gsm A3"/>
    <n v="48.47"/>
    <m/>
    <m/>
  </r>
  <r>
    <s v="INV"/>
    <s v="NBN Sydney"/>
    <s v="34862206"/>
    <x v="1"/>
    <s v="Overhead"/>
    <x v="3"/>
    <d v="2017-01-20T00:00:00"/>
    <s v="Jan-17"/>
    <s v="Officeworks Superstores - KY-Pk24 Energizer Max AA"/>
    <n v="17.27"/>
    <m/>
    <m/>
  </r>
  <r>
    <s v="INV"/>
    <s v="NBN Sydney"/>
    <s v="34862206"/>
    <x v="1"/>
    <s v="Overhead"/>
    <x v="3"/>
    <d v="2017-01-20T00:00:00"/>
    <s v="Jan-17"/>
    <s v="Officeworks Superstores - Pk16 Eveready Gold AAA"/>
    <n v="12.67"/>
    <m/>
    <m/>
  </r>
  <r>
    <s v="INV"/>
    <s v="NBN Sydney"/>
    <s v="34862206"/>
    <x v="5"/>
    <s v="Minchinbury Mobilisation"/>
    <x v="70"/>
    <d v="2017-01-20T00:00:00"/>
    <s v="Jan-17"/>
    <s v="Officeworks Superstores - KY-Kimberly Clark Roll Towel Disp"/>
    <n v="138.13"/>
    <m/>
    <m/>
  </r>
  <r>
    <s v="INV"/>
    <s v="NBN Sydney"/>
    <s v="34862206"/>
    <x v="1"/>
    <s v="Overhead"/>
    <x v="3"/>
    <d v="2017-01-20T00:00:00"/>
    <s v="Jan-17"/>
    <s v="Officeworks Superstores - KY-Pk8 Scott Roll Towel L 140m"/>
    <n v="32.67"/>
    <m/>
    <m/>
  </r>
  <r>
    <s v="INV"/>
    <s v="NBN Sydney"/>
    <s v="34862206"/>
    <x v="1"/>
    <s v="Overhead"/>
    <x v="3"/>
    <d v="2017-01-20T00:00:00"/>
    <s v="Jan-17"/>
    <s v="Officeworks Superstores - Ctn Reflex Cpy Paper 80gsm A4"/>
    <n v="45.36"/>
    <m/>
    <m/>
  </r>
  <r>
    <s v="INV"/>
    <s v="NBN Sydney"/>
    <s v="9075236003610397"/>
    <x v="1"/>
    <s v="Overhead"/>
    <x v="3"/>
    <d v="2017-01-25T00:00:00"/>
    <s v="Jan-17"/>
    <s v="Officeworks Superstores - Pk2 Keji Corrctn Tape 5mmx8m"/>
    <n v="0.86"/>
    <m/>
    <m/>
  </r>
  <r>
    <s v="INV"/>
    <s v="NBN Sydney"/>
    <s v="9075236003610397"/>
    <x v="1"/>
    <s v="Overhead"/>
    <x v="3"/>
    <d v="2017-01-25T00:00:00"/>
    <s v="Jan-17"/>
    <s v="Officeworks Superstores - Bro Blk on Yel 12mmx8m Tape"/>
    <n v="31.71"/>
    <m/>
    <m/>
  </r>
  <r>
    <s v="INV"/>
    <s v="NBN Sydney"/>
    <s v="9075236003610397"/>
    <x v="1"/>
    <s v="Overhead"/>
    <x v="3"/>
    <d v="2017-01-25T00:00:00"/>
    <s v="Jan-17"/>
    <s v="Officeworks Superstores - Bro Blk on White 12mmx8m Tape"/>
    <n v="27.02"/>
    <m/>
    <m/>
  </r>
  <r>
    <s v="INV"/>
    <s v="NBN Sydney"/>
    <s v="2191606"/>
    <x v="1"/>
    <s v="Overhead"/>
    <x v="3"/>
    <d v="2017-01-04T00:00:00"/>
    <s v="Jan-17"/>
    <s v="7 Eleven Minchinbury - Water 600mL Car"/>
    <n v="36"/>
    <m/>
    <m/>
  </r>
  <r>
    <s v="INV"/>
    <s v="NBN Sydney"/>
    <s v="2201865"/>
    <x v="1"/>
    <s v="Overhead"/>
    <x v="3"/>
    <d v="2017-01-13T00:00:00"/>
    <s v="Jan-17"/>
    <s v="7 Eleven Minchinbury - Water 600mL Car"/>
    <n v="18"/>
    <m/>
    <m/>
  </r>
  <r>
    <s v="INV"/>
    <s v="NBN Sydney"/>
    <s v="244208"/>
    <x v="4"/>
    <s v="NBN Minor Works DJC Internals"/>
    <x v="111"/>
    <d v="2017-01-05T00:00:00"/>
    <s v="Jan-17"/>
    <s v="Australia Post - Generic $1 st 2016"/>
    <n v="4.55"/>
    <m/>
    <m/>
  </r>
  <r>
    <s v="INV"/>
    <s v="NBN Sydney"/>
    <s v="244208"/>
    <x v="4"/>
    <s v="NBN Minor Works DJC Internals"/>
    <x v="111"/>
    <d v="2017-01-05T00:00:00"/>
    <s v="Jan-17"/>
    <s v="Australia Post - PPL Reg Post"/>
    <n v="17.73"/>
    <m/>
    <m/>
  </r>
  <r>
    <s v="INV"/>
    <s v="NBN Sydney"/>
    <s v="240135"/>
    <x v="4"/>
    <s v="NBN Minor Works DJC Internals"/>
    <x v="111"/>
    <d v="2017-01-20T00:00:00"/>
    <s v="Jan-17"/>
    <s v="Australia Post - 4.90 Sale"/>
    <n v="4.45"/>
    <m/>
    <m/>
  </r>
  <r>
    <s v="INV"/>
    <s v="NBN Sydney"/>
    <s v="00/11108"/>
    <x v="4"/>
    <s v="NBN Minor Works DJC Internals"/>
    <x v="111"/>
    <d v="2017-01-30T00:00:00"/>
    <s v="Jan-17"/>
    <s v="Australia Post - 4.90 sale"/>
    <n v="4.45"/>
    <m/>
    <m/>
  </r>
  <r>
    <s v="INV"/>
    <s v="NBN Sydney"/>
    <s v="106352"/>
    <x v="1"/>
    <s v="Overhead"/>
    <x v="3"/>
    <d v="2017-01-06T00:00:00"/>
    <s v="Jan-17"/>
    <s v="Australian Red Cross - GB First Aid Training"/>
    <n v="190"/>
    <m/>
    <m/>
  </r>
  <r>
    <s v="INV"/>
    <s v="NBN Sydney"/>
    <s v="52201"/>
    <x v="1"/>
    <s v="Overhead"/>
    <x v="3"/>
    <d v="2017-01-08T00:00:00"/>
    <s v="Jan-17"/>
    <s v="SkillsAcq PTY LTD - ST - Telstra Network Induction eLearning Program "/>
    <n v="36.36"/>
    <m/>
    <m/>
  </r>
  <r>
    <s v="INV"/>
    <s v="NBN Sydney"/>
    <s v="IN27816 ST"/>
    <x v="1"/>
    <s v="Overhead"/>
    <x v="3"/>
    <d v="2017-01-23T00:00:00"/>
    <s v="Jan-17"/>
    <s v="Inscope Training - ST - White Card"/>
    <n v="31.82"/>
    <m/>
    <m/>
  </r>
  <r>
    <s v="INV"/>
    <s v="NBN Sydney"/>
    <s v="638410"/>
    <x v="1"/>
    <s v="Overhead"/>
    <x v="3"/>
    <d v="2017-01-14T00:00:00"/>
    <s v="Jan-17"/>
    <s v="Yes Optus - Huawei E5186 HWB Router. Serial # 864392020509697"/>
    <n v="218.18"/>
    <m/>
    <m/>
  </r>
  <r>
    <s v="INV"/>
    <s v="NBN Sydney"/>
    <s v="787455943"/>
    <x v="1"/>
    <s v="Overhead"/>
    <x v="3"/>
    <d v="2017-01-19T00:00:00"/>
    <s v="Jan-17"/>
    <s v="Optus - Acct Number: 8106 5990 7001 41_x000d__x000a_0413257544 on Home Wireless 200GB"/>
    <n v="72.72"/>
    <m/>
    <m/>
  </r>
  <r>
    <s v="INV"/>
    <s v="NBN Sydney"/>
    <s v="P 111 034 421-6"/>
    <x v="1"/>
    <s v="Overhead"/>
    <x v="3"/>
    <d v="2017-01-21T00:00:00"/>
    <s v="Jan-17"/>
    <s v="Telstra Acc # 898 8808 200 - Sydney"/>
    <n v="136.36000000000001"/>
    <m/>
    <m/>
  </r>
  <r>
    <s v="PE"/>
    <s v="NBN Sydney"/>
    <s v="Payroll Expense Journal - PD-394"/>
    <x v="1"/>
    <s v="Overhead"/>
    <x v="3"/>
    <d v="2017-01-02T00:00:00"/>
    <s v="Jan-17"/>
    <s v="Earnings"/>
    <n v="23.08"/>
    <m/>
    <m/>
  </r>
  <r>
    <s v="PE"/>
    <s v="NBN Sydney"/>
    <s v="Payroll Expense Journal - PD-394"/>
    <x v="1"/>
    <s v="Overhead"/>
    <x v="3"/>
    <d v="2017-01-09T00:00:00"/>
    <s v="Jan-17"/>
    <s v="Earnings"/>
    <n v="23.08"/>
    <m/>
    <m/>
  </r>
  <r>
    <s v="PE"/>
    <s v="NBN Sydney"/>
    <s v="Payroll Expense Journal - PD-396"/>
    <x v="1"/>
    <s v="Overhead"/>
    <x v="3"/>
    <d v="2017-01-16T00:00:00"/>
    <s v="Jan-17"/>
    <s v="Earnings"/>
    <n v="23.08"/>
    <m/>
    <m/>
  </r>
  <r>
    <s v="PE"/>
    <s v="NBN Sydney"/>
    <s v="Payroll Expense Journal - PD-394"/>
    <x v="1"/>
    <s v="Overhead"/>
    <x v="3"/>
    <d v="2017-01-23T00:00:00"/>
    <s v="Jan-17"/>
    <s v="Earnings"/>
    <n v="46.16"/>
    <m/>
    <m/>
  </r>
  <r>
    <s v="PE"/>
    <s v="NBN Sydney"/>
    <s v="Payroll Expense Journal - PD-396"/>
    <x v="1"/>
    <s v="Overhead"/>
    <x v="3"/>
    <d v="2017-01-30T00:00:00"/>
    <s v="Jan-17"/>
    <s v="Earnings"/>
    <n v="46.16"/>
    <m/>
    <m/>
  </r>
  <r>
    <s v="PE"/>
    <s v="NBN Sydney"/>
    <s v="3.4 Telephone Allowance "/>
    <x v="5"/>
    <s v="Minchinbury Mobilisation"/>
    <x v="70"/>
    <d v="2017-01-30T00:00:00"/>
    <s v="Jan-17"/>
    <s v="SM &amp; AC Telsephone allowance"/>
    <n v="115.4"/>
    <m/>
    <m/>
  </r>
  <r>
    <s v="PE"/>
    <s v="NBN Sydney"/>
    <s v="3.4 Telephone Allowance "/>
    <x v="1"/>
    <s v="Overhead"/>
    <x v="3"/>
    <d v="2017-01-30T00:00:00"/>
    <s v="Jan-17"/>
    <s v="AA &amp; RM Telepone allowance"/>
    <n v="20"/>
    <m/>
    <m/>
  </r>
  <r>
    <s v="INV"/>
    <s v="NBN Sydney"/>
    <s v="2864673"/>
    <x v="5"/>
    <s v="Minchinbury Mobilisation"/>
    <x v="70"/>
    <d v="2017-01-06T00:00:00"/>
    <s v="Jan-17"/>
    <s v="Gasweld Pty Ltd - Flap Disc Zirc 125x22 40 Grit Cfcz 9803040"/>
    <n v="45.45"/>
    <m/>
    <m/>
  </r>
  <r>
    <s v="INV"/>
    <s v="NBN Sydney"/>
    <s v="2864673"/>
    <x v="5"/>
    <s v="Minchinbury Mobilisation"/>
    <x v="70"/>
    <d v="2017-01-06T00:00:00"/>
    <s v="Jan-17"/>
    <s v="Gasweld Pty Ltd - Angle Grinder 125mm 720w Side Switch"/>
    <n v="95.45"/>
    <m/>
    <m/>
  </r>
  <r>
    <s v="INV"/>
    <s v="NBN Sydney"/>
    <s v="7016/01601097"/>
    <x v="5"/>
    <s v="Minchinbury Mobilisation"/>
    <x v="70"/>
    <d v="2017-01-10T00:00:00"/>
    <s v="Jan-17"/>
    <s v="Bunnings Warehouse - Level Laser Bosch 360Deg Autolvl Trpd Pll360Set"/>
    <n v="202.95"/>
    <m/>
    <m/>
  </r>
  <r>
    <s v="INV"/>
    <s v="NBN Sydney"/>
    <s v="330004"/>
    <x v="5"/>
    <s v="Minchinbury Mobilisation"/>
    <x v="70"/>
    <d v="2017-01-04T00:00:00"/>
    <s v="Jan-17"/>
    <s v="Subway Minchinbury - Mixed Subs and cookies for Depot Main work"/>
    <n v="42"/>
    <m/>
    <m/>
  </r>
  <r>
    <s v="INV"/>
    <s v="NBN Sydney"/>
    <s v="0042081"/>
    <x v="5"/>
    <s v="Minchinbury Mobilisation"/>
    <x v="70"/>
    <d v="2017-01-10T00:00:00"/>
    <s v="Jan-17"/>
    <s v="Yo's Kitchen Thai Takeaway - Staff lunch meeting"/>
    <n v="39.18"/>
    <m/>
    <m/>
  </r>
  <r>
    <s v="PE"/>
    <s v="NBN Sydney"/>
    <s v="Payroll Expense Journal - PD-393"/>
    <x v="1"/>
    <s v="Overhead"/>
    <x v="3"/>
    <d v="2017-01-16T00:00:00"/>
    <s v="Jan-17"/>
    <s v="Earnings"/>
    <n v="950"/>
    <m/>
    <m/>
  </r>
  <r>
    <s v="PE"/>
    <s v="NBN Sydney"/>
    <s v="Payroll Expense Journal - PD-394"/>
    <x v="1"/>
    <s v="Overhead"/>
    <x v="3"/>
    <d v="2017-01-23T00:00:00"/>
    <s v="Jan-17"/>
    <s v="Earnings"/>
    <n v="1005.56"/>
    <m/>
    <m/>
  </r>
  <r>
    <s v="PE"/>
    <s v="NBN Sydney"/>
    <s v="Payroll Expense Journal - PD-396"/>
    <x v="1"/>
    <s v="Overhead"/>
    <x v="3"/>
    <d v="2017-01-30T00:00:00"/>
    <s v="Jan-17"/>
    <s v="Earnings"/>
    <n v="998.25"/>
    <m/>
    <m/>
  </r>
  <r>
    <s v="Wagga ADMIN "/>
    <s v="NBN Sydney"/>
    <s v="Wages"/>
    <x v="1"/>
    <s v="Overhead"/>
    <x v="3"/>
    <d v="2017-01-30T00:00:00"/>
    <s v="Jan-17"/>
    <s v="AA &amp; RS  Wages"/>
    <n v="2723.09"/>
    <m/>
    <m/>
  </r>
  <r>
    <s v="INV"/>
    <s v="NBN Sydney"/>
    <s v="032293"/>
    <x v="4"/>
    <s v="Minchinbury Mobilisation"/>
    <x v="70"/>
    <d v="2017-01-03T00:00:00"/>
    <s v="Jan-17"/>
    <s v="PlastaMasta - Stabiliser Clip DUO5"/>
    <n v="16.36"/>
    <m/>
    <m/>
  </r>
  <r>
    <s v="INV"/>
    <s v="NBN Sydney"/>
    <s v="032293"/>
    <x v="4"/>
    <s v="Minchinbury Mobilisation"/>
    <x v="70"/>
    <d v="2017-01-03T00:00:00"/>
    <s v="Jan-17"/>
    <s v="PlastaMasta - Metal Susp Rod Brkt"/>
    <n v="26.82"/>
    <m/>
    <m/>
  </r>
  <r>
    <s v="INV"/>
    <s v="NBN Sydney"/>
    <s v="032293"/>
    <x v="4"/>
    <s v="Minchinbury Mobilisation"/>
    <x v="70"/>
    <d v="2017-01-03T00:00:00"/>
    <s v="Jan-17"/>
    <s v="PlastaMasta - Metal Susp Clip Spring Adj"/>
    <n v="64.36"/>
    <m/>
    <m/>
  </r>
  <r>
    <s v="INV"/>
    <s v="NBN Sydney"/>
    <s v="164009"/>
    <x v="4"/>
    <s v="Minchinbury Mobilisation"/>
    <x v="70"/>
    <d v="2017-01-03T00:00:00"/>
    <s v="Jan-17"/>
    <s v="Powerplus - SUNSE7174/50DLBK 50W New Star Daylight 4200LM"/>
    <n v="86.63"/>
    <m/>
    <m/>
  </r>
  <r>
    <s v="INV"/>
    <s v="NBN Sydney"/>
    <s v="164009"/>
    <x v="4"/>
    <s v="Minchinbury Mobilisation"/>
    <x v="70"/>
    <d v="2017-01-03T00:00:00"/>
    <s v="Jan-17"/>
    <s v="Powerplus - CLI51M/B 51 M/B Surf Skt C/W Mtg PL"/>
    <n v="31.29"/>
    <m/>
    <m/>
  </r>
  <r>
    <s v="INV"/>
    <s v="NBN Sydney"/>
    <s v="164009"/>
    <x v="4"/>
    <s v="Minchinbury Mobilisation"/>
    <x v="70"/>
    <d v="2017-01-03T00:00:00"/>
    <s v="Jan-17"/>
    <s v="Powerplus - CLIRCBE216/30S RCD/MCB 2P 1M 16A 4.5kA 30MA Slim"/>
    <n v="109.25"/>
    <m/>
    <m/>
  </r>
  <r>
    <s v="INV"/>
    <s v="NBN Sydney"/>
    <s v="032293"/>
    <x v="4"/>
    <s v="Minchinbury Mobilisation"/>
    <x v="70"/>
    <d v="2017-01-03T00:00:00"/>
    <s v="Jan-17"/>
    <s v="PlastaMasta - Metal EXT Perf 090 x 2.4m"/>
    <n v="28.45"/>
    <m/>
    <m/>
  </r>
  <r>
    <s v="INV"/>
    <s v="NBN Sydney"/>
    <s v="032293"/>
    <x v="4"/>
    <s v="Minchinbury Mobilisation"/>
    <x v="70"/>
    <d v="2017-01-03T00:00:00"/>
    <s v="Jan-17"/>
    <s v="PlastaMasta - Wall Angle DUO5 25mmx19mm"/>
    <n v="113"/>
    <m/>
    <m/>
  </r>
  <r>
    <s v="INV"/>
    <s v="NBN Sydney"/>
    <s v="032293"/>
    <x v="4"/>
    <s v="Minchinbury Mobilisation"/>
    <x v="70"/>
    <d v="2017-01-03T00:00:00"/>
    <s v="Jan-17"/>
    <s v="PlastaMasta - Metal Main Runner 38x3.6m"/>
    <n v="289.33999999999997"/>
    <m/>
    <m/>
  </r>
  <r>
    <s v="INV"/>
    <s v="NBN Sydney"/>
    <s v="032293"/>
    <x v="4"/>
    <s v="Minchinbury Mobilisation"/>
    <x v="70"/>
    <d v="2017-01-03T00:00:00"/>
    <s v="Jan-17"/>
    <s v="PlastaMasta - MastaBase 20kg"/>
    <n v="71"/>
    <m/>
    <m/>
  </r>
  <r>
    <s v="INV"/>
    <s v="NBN Sydney"/>
    <s v="032293"/>
    <x v="4"/>
    <s v="Minchinbury Mobilisation"/>
    <x v="70"/>
    <d v="2017-01-03T00:00:00"/>
    <s v="Jan-17"/>
    <s v="PlastaMasta - Metal Susp Rod 5mm x 3.6"/>
    <n v="112.82"/>
    <m/>
    <m/>
  </r>
  <r>
    <s v="INV"/>
    <s v="NBN Sydney"/>
    <s v="032293"/>
    <x v="4"/>
    <s v="Minchinbury Mobilisation"/>
    <x v="70"/>
    <d v="2017-01-03T00:00:00"/>
    <s v="Jan-17"/>
    <s v="PlastaMasta - Knauf Paper Tape 75m"/>
    <n v="3.9"/>
    <m/>
    <m/>
  </r>
  <r>
    <s v="INV"/>
    <s v="NBN Sydney"/>
    <s v="032293"/>
    <x v="4"/>
    <s v="Minchinbury Mobilisation"/>
    <x v="70"/>
    <d v="2017-01-03T00:00:00"/>
    <s v="Jan-17"/>
    <s v="PlastaMasta - Cross Runner DUO2 1200"/>
    <n v="553.08000000000004"/>
    <m/>
    <m/>
  </r>
  <r>
    <s v="INV"/>
    <s v="NBN Sydney"/>
    <s v="164009"/>
    <x v="4"/>
    <s v="Minchinbury Mobilisation"/>
    <x v="70"/>
    <d v="2017-01-03T00:00:00"/>
    <s v="Jan-17"/>
    <s v="Powerplus - CLI2025WE Socket Swt Twin 10A 250V"/>
    <n v="289.57"/>
    <m/>
    <m/>
  </r>
  <r>
    <s v="INV"/>
    <s v="NBN Sydney"/>
    <s v="164009"/>
    <x v="4"/>
    <s v="Minchinbury Mobilisation"/>
    <x v="70"/>
    <d v="2017-01-03T00:00:00"/>
    <s v="Jan-17"/>
    <s v="Powerplus - CLI2032VHWE Grid Plate Surr 2G Std Ptn"/>
    <n v="39"/>
    <m/>
    <m/>
  </r>
  <r>
    <s v="INV"/>
    <s v="NBN Sydney"/>
    <s v="164009"/>
    <x v="4"/>
    <s v="Minchinbury Mobilisation"/>
    <x v="70"/>
    <d v="2017-01-03T00:00:00"/>
    <s v="Jan-17"/>
    <s v="Powerplus - CLI449AWE Block Mounting 1 Gang Std Ptn"/>
    <n v="31.43"/>
    <m/>
    <m/>
  </r>
  <r>
    <s v="INV"/>
    <s v="NBN Sydney"/>
    <s v="164009"/>
    <x v="4"/>
    <s v="Minchinbury Mobilisation"/>
    <x v="70"/>
    <d v="2017-01-03T00:00:00"/>
    <s v="Jan-17"/>
    <s v="Powerplus - CAB1.5TEWH Twin + Earth 1.5mm"/>
    <n v="72"/>
    <m/>
    <m/>
  </r>
  <r>
    <s v="INV"/>
    <s v="NBN Sydney"/>
    <s v="164009"/>
    <x v="4"/>
    <s v="Minchinbury Mobilisation"/>
    <x v="70"/>
    <d v="2017-01-03T00:00:00"/>
    <s v="Jan-17"/>
    <s v="Powerplus - MAT05MM-WA05 Insert HDMI Female-Female Right Ang 4pk"/>
    <n v="5.95"/>
    <m/>
    <m/>
  </r>
  <r>
    <s v="INV"/>
    <s v="NBN Sydney"/>
    <s v="164009"/>
    <x v="4"/>
    <s v="Minchinbury Mobilisation"/>
    <x v="70"/>
    <d v="2017-01-03T00:00:00"/>
    <s v="Jan-17"/>
    <s v="Powerplus - MAT04MM-HDC3 HDMI 3 mtr"/>
    <n v="10.83"/>
    <m/>
    <m/>
  </r>
  <r>
    <s v="INV"/>
    <s v="NBN Sydney"/>
    <s v="164009"/>
    <x v="4"/>
    <s v="Minchinbury Mobilisation"/>
    <x v="70"/>
    <d v="2017-01-03T00:00:00"/>
    <s v="Jan-17"/>
    <s v="Powerplus - CLI2031VHWE Grid Plate Surr 1G STD ptn"/>
    <n v="7.17"/>
    <m/>
    <m/>
  </r>
  <r>
    <s v="INV"/>
    <s v="NBN Sydney"/>
    <s v="164009"/>
    <x v="4"/>
    <s v="Minchinbury Mobilisation"/>
    <x v="70"/>
    <d v="2017-01-03T00:00:00"/>
    <s v="Jan-17"/>
    <s v="Powerplus - REPWPG35 Star Plug 35mm Grn Frame Pack"/>
    <n v="3.86"/>
    <m/>
    <m/>
  </r>
  <r>
    <s v="INV"/>
    <s v="NBN Sydney"/>
    <s v="164009"/>
    <x v="4"/>
    <s v="Minchinbury Mobilisation"/>
    <x v="70"/>
    <d v="2017-01-03T00:00:00"/>
    <s v="Jan-17"/>
    <s v="Powerplus - CLI750WPGY Infrascan Outdoor 2 Wire 5A"/>
    <n v="131.66999999999999"/>
    <m/>
    <m/>
  </r>
  <r>
    <s v="INV"/>
    <s v="NBN Sydney"/>
    <s v="164009"/>
    <x v="4"/>
    <s v="Minchinbury Mobilisation"/>
    <x v="70"/>
    <d v="2017-01-03T00:00:00"/>
    <s v="Jan-17"/>
    <s v="Powerplus - SUNSE7174/30DLBK 30W Led New Star Daylight 2500LM"/>
    <n v="119.3"/>
    <m/>
    <m/>
  </r>
  <r>
    <s v="INV"/>
    <s v="NBN Sydney"/>
    <s v="164009"/>
    <x v="4"/>
    <s v="Minchinbury Mobilisation"/>
    <x v="70"/>
    <d v="2017-01-03T00:00:00"/>
    <s v="Jan-17"/>
    <s v="Powerplus - CLI2ANCFB15 Bracket Curved Fascia 1.5m"/>
    <n v="16.37"/>
    <m/>
    <m/>
  </r>
  <r>
    <s v="INV"/>
    <s v="NBN Sydney"/>
    <s v="164009"/>
    <x v="4"/>
    <s v="Minchinbury Mobilisation"/>
    <x v="70"/>
    <d v="2017-01-03T00:00:00"/>
    <s v="Jan-17"/>
    <s v="Powerplus - CLI30FFPFMSWE Socket F-Pal Female Straight"/>
    <n v="5.74"/>
    <m/>
    <m/>
  </r>
  <r>
    <s v="INV"/>
    <s v="NBN Sydney"/>
    <s v="164009"/>
    <x v="4"/>
    <s v="Minchinbury Mobilisation"/>
    <x v="70"/>
    <d v="2017-01-03T00:00:00"/>
    <s v="Jan-17"/>
    <s v="Powerplus - CABCC6QS RG6 Quad Approved (BC46062)"/>
    <n v="42.12"/>
    <m/>
    <m/>
  </r>
  <r>
    <s v="INV"/>
    <s v="NBN Sydney"/>
    <s v="7016/01693731"/>
    <x v="4"/>
    <s v="Minchinbury Mobilisation"/>
    <x v="70"/>
    <d v="2017-01-04T00:00:00"/>
    <s v="Jan-17"/>
    <s v="Bunnings Warehouse - Fence Wire Handy Fence 300m  2.5mm Galv 10011"/>
    <n v="66.42"/>
    <m/>
    <m/>
  </r>
  <r>
    <s v="INV"/>
    <s v="NBN Sydney"/>
    <s v="7016/01693731"/>
    <x v="4"/>
    <s v="Minchinbury Mobilisation"/>
    <x v="70"/>
    <d v="2017-01-04T00:00:00"/>
    <s v="Jan-17"/>
    <s v="Bunnings Warehouse - Nut Eye Romak M8 ZP 89713"/>
    <n v="6.49"/>
    <m/>
    <m/>
  </r>
  <r>
    <s v="INV"/>
    <s v="NBN Sydney"/>
    <s v="7016/01693731"/>
    <x v="4"/>
    <s v="Minchinbury Mobilisation"/>
    <x v="70"/>
    <d v="2017-01-04T00:00:00"/>
    <s v="Jan-17"/>
    <s v="Bunnings Warehouse - Access Panel Set Bead Peer 300x300m metal Door AHS1030MD"/>
    <n v="60.45"/>
    <m/>
    <m/>
  </r>
  <r>
    <s v="INV"/>
    <s v="NBN Sydney"/>
    <s v="7016/01693731"/>
    <x v="4"/>
    <s v="Minchinbury Mobilisation"/>
    <x v="70"/>
    <d v="2017-01-04T00:00:00"/>
    <s v="Jan-17"/>
    <s v="Bunnings Warehouse - D Shackle Zenith 6mm Gal CD2 WPH0006"/>
    <n v="3.8"/>
    <m/>
    <m/>
  </r>
  <r>
    <s v="INV"/>
    <s v="NBN Sydney"/>
    <s v="18032"/>
    <x v="4"/>
    <s v="Minchinbury Mobilisation"/>
    <x v="70"/>
    <d v="2017-01-04T00:00:00"/>
    <s v="Jan-17"/>
    <s v="Solartint Mona Vale - Tinting of Office Windows and Door"/>
    <n v="2000"/>
    <m/>
    <m/>
  </r>
  <r>
    <s v="INV"/>
    <s v="NBN Sydney"/>
    <s v="7016/01693731"/>
    <x v="4"/>
    <s v="Minchinbury Mobilisation"/>
    <x v="70"/>
    <d v="2017-01-04T00:00:00"/>
    <s v="Jan-17"/>
    <s v="Bunnings Warehouse - Washers Flat ZP 3/8in CFC2500 ea"/>
    <n v="0.44"/>
    <m/>
    <m/>
  </r>
  <r>
    <s v="INV"/>
    <s v="NBN Sydney"/>
    <s v="7016/01693731"/>
    <x v="4"/>
    <s v="Minchinbury Mobilisation"/>
    <x v="70"/>
    <d v="2017-01-04T00:00:00"/>
    <s v="Jan-17"/>
    <s v="Bunnings Warehouse - Screw Coach ZP IMP 3/8X2In BEC0050 Ea"/>
    <n v="1.53"/>
    <m/>
    <m/>
  </r>
  <r>
    <s v="INV"/>
    <s v="NBN Sydney"/>
    <s v="7016/01693731"/>
    <x v="4"/>
    <s v="Minchinbury Mobilisation"/>
    <x v="70"/>
    <d v="2017-01-04T00:00:00"/>
    <s v="Jan-17"/>
    <s v="Bunnings Warehouse - Fencing Accessory Perm Wire Strainer"/>
    <n v="27.08"/>
    <m/>
    <m/>
  </r>
  <r>
    <s v="INV"/>
    <s v="NBN Sydney"/>
    <s v="414422-760"/>
    <x v="4"/>
    <s v="Minchinbury Mobilisation"/>
    <x v="70"/>
    <d v="2017-01-04T00:00:00"/>
    <s v="Jan-17"/>
    <s v="TLE Electrical - Mini Circuit Breaker C Curve 1P 20A 6kA DIN mount"/>
    <n v="60"/>
    <m/>
    <m/>
  </r>
  <r>
    <s v="INV"/>
    <s v="NBN Sydney"/>
    <s v="414422-760"/>
    <x v="4"/>
    <s v="Minchinbury Mobilisation"/>
    <x v="70"/>
    <d v="2017-01-04T00:00:00"/>
    <s v="Jan-17"/>
    <s v="TLE Electrical - Junction Box Square Size 1 Earth 3 Active Connectors"/>
    <n v="51.36"/>
    <m/>
    <m/>
  </r>
  <r>
    <s v="INV"/>
    <s v="NBN Sydney"/>
    <s v="414422-760"/>
    <x v="4"/>
    <s v="Minchinbury Mobilisation"/>
    <x v="70"/>
    <d v="2017-01-04T00:00:00"/>
    <s v="Jan-17"/>
    <s v="TLE Electrical - Vinyl Electrical Insulation Tape 19.0mm 0.16mm 20m Grn/Ylw"/>
    <n v="19.47"/>
    <m/>
    <m/>
  </r>
  <r>
    <s v="INV"/>
    <s v="NBN Sydney"/>
    <s v="7016/01562173"/>
    <x v="4"/>
    <s v="Minchinbury Mobilisation"/>
    <x v="70"/>
    <d v="2017-01-04T00:00:00"/>
    <s v="Jan-17"/>
    <s v="Bunnings Warehouse - Bucket Plastic BMW 9L Round Heavy Duty 6066"/>
    <n v="7.55"/>
    <m/>
    <m/>
  </r>
  <r>
    <s v="INV"/>
    <s v="NBN Sydney"/>
    <s v="7016/01693731"/>
    <x v="4"/>
    <s v="Minchinbury Mobilisation"/>
    <x v="70"/>
    <d v="2017-01-04T00:00:00"/>
    <s v="Jan-17"/>
    <s v="Bunnings Warehouse - Strapping Tensioner Abey Tensioners BX10 0451"/>
    <n v="19"/>
    <m/>
    <m/>
  </r>
  <r>
    <s v="INV"/>
    <s v="NBN Sydney"/>
    <s v="7016/01693731"/>
    <x v="4"/>
    <s v="Minchinbury Mobilisation"/>
    <x v="70"/>
    <d v="2017-01-04T00:00:00"/>
    <s v="Jan-17"/>
    <s v="Bunnings Warehouse - Strapping Abey 30mm x 0.8mm x 15m Punched 0460"/>
    <n v="14.95"/>
    <m/>
    <m/>
  </r>
  <r>
    <s v="INV"/>
    <s v="NBN Sydney"/>
    <s v="001-54925-7016"/>
    <x v="4"/>
    <s v="Minchinbury Mobilisation"/>
    <x v="70"/>
    <d v="2017-01-04T00:00:00"/>
    <s v="Jan-17"/>
    <s v="Bunnings Warehouse - Plaster Acc Joint Tape 75m Perf Paper Tape 9925"/>
    <n v="5.41"/>
    <m/>
    <m/>
  </r>
  <r>
    <s v="INV"/>
    <s v="NBN Sydney"/>
    <s v="414481-760"/>
    <x v="4"/>
    <s v="Minchinbury Mobilisation"/>
    <x v="70"/>
    <d v="2017-01-06T00:00:00"/>
    <s v="Jan-17"/>
    <s v="TLE Electrical - Patch Panels Unloaded 24 Port"/>
    <n v="33.979999999999997"/>
    <m/>
    <m/>
  </r>
  <r>
    <s v="INV"/>
    <s v="NBN Sydney"/>
    <s v="414476-760"/>
    <x v="4"/>
    <s v="Minchinbury Mobilisation"/>
    <x v="70"/>
    <d v="2017-01-06T00:00:00"/>
    <s v="Jan-17"/>
    <s v="TLE Electrical - Patch Panel Cat6 1RU 19 Inch 24 Port MasterMinder Assembly"/>
    <n v="212.36"/>
    <m/>
    <m/>
  </r>
  <r>
    <s v="CN"/>
    <s v="NBN Sydney"/>
    <s v="414480-760"/>
    <x v="4"/>
    <s v="Minchinbury Mobilisation"/>
    <x v="70"/>
    <d v="2017-01-06T00:00:00"/>
    <s v="Jan-17"/>
    <s v="TLE Electrical - Patch Panel Cat6 1RU 19 Inch 24 Port MasterMinder Assembly"/>
    <m/>
    <m/>
    <n v="212.36"/>
  </r>
  <r>
    <s v="INV"/>
    <s v="NBN Sydney"/>
    <s v="W/302629"/>
    <x v="4"/>
    <s v="Minchinbury Mobilisation"/>
    <x v="70"/>
    <d v="2017-01-06T00:00:00"/>
    <s v="Jan-17"/>
    <s v="Wagga Bearing Supplies - Bearing 1&quot; - ID UC205-100 UC"/>
    <n v="56"/>
    <m/>
    <m/>
  </r>
  <r>
    <s v="INV"/>
    <s v="NBN Sydney"/>
    <s v="W/302629"/>
    <x v="4"/>
    <s v="Minchinbury Mobilisation"/>
    <x v="70"/>
    <d v="2017-01-06T00:00:00"/>
    <s v="Jan-17"/>
    <s v="Wagga Bearing Supplies - Housing 2 Bolt Pillow Block M6 X"/>
    <n v="20"/>
    <m/>
    <m/>
  </r>
  <r>
    <s v="INV"/>
    <s v="NBN Sydney"/>
    <s v="414481-760"/>
    <x v="4"/>
    <s v="Minchinbury Mobilisation"/>
    <x v="70"/>
    <d v="2017-01-06T00:00:00"/>
    <s v="Jan-17"/>
    <s v="TLE Electrical - Outlet Mechanism Cat6 UTP RJ45 568A/B Black"/>
    <n v="107.41"/>
    <m/>
    <m/>
  </r>
  <r>
    <s v="INV"/>
    <s v="NBN Sydney"/>
    <s v="164187"/>
    <x v="4"/>
    <s v="Minchinbury Mobilisation"/>
    <x v="70"/>
    <d v="2017-01-09T00:00:00"/>
    <s v="Jan-17"/>
    <s v="Powerplus - CLI246/20GY Tee Conduit PVC Insp 20mm"/>
    <n v="4.2"/>
    <m/>
    <m/>
  </r>
  <r>
    <s v="INV"/>
    <s v="NBN Sydney"/>
    <s v="164187"/>
    <x v="4"/>
    <s v="Minchinbury Mobilisation"/>
    <x v="70"/>
    <d v="2017-01-09T00:00:00"/>
    <s v="Jan-17"/>
    <s v="Powerplus - APPRC20MDGR Rigid Conduit Medium Duty"/>
    <n v="2.59"/>
    <m/>
    <m/>
  </r>
  <r>
    <s v="INV"/>
    <s v="NBN Sydney"/>
    <s v="164187"/>
    <x v="4"/>
    <s v="Minchinbury Mobilisation"/>
    <x v="70"/>
    <d v="2017-01-09T00:00:00"/>
    <s v="Jan-17"/>
    <s v="Powerplus - CLI30MWE Switch Mech 1/2W 10A 240V"/>
    <n v="6.35"/>
    <m/>
    <m/>
  </r>
  <r>
    <s v="INV"/>
    <s v="NBN Sydney"/>
    <s v="7016/00163116"/>
    <x v="4"/>
    <s v="Minchinbury Mobilisation"/>
    <x v="70"/>
    <d v="2017-01-09T00:00:00"/>
    <s v="Jan-17"/>
    <s v="Bunnings Warehouse - Bolt Dynabolt 12x70 Hex Nut BX25 DP12070"/>
    <n v="19.13"/>
    <m/>
    <m/>
  </r>
  <r>
    <s v="INV"/>
    <s v="NBN Sydney"/>
    <s v="7016/00163116"/>
    <x v="4"/>
    <s v="Minchinbury Mobilisation"/>
    <x v="70"/>
    <d v="2017-01-09T00:00:00"/>
    <s v="Jan-17"/>
    <s v="Bunnings Warehouse - Bolt Dynabolt 12x100mm Hex Nut BX20 DP12100"/>
    <n v="18.14"/>
    <m/>
    <m/>
  </r>
  <r>
    <s v="INV"/>
    <s v="NBN Sydney"/>
    <s v="164187"/>
    <x v="4"/>
    <s v="Minchinbury Mobilisation"/>
    <x v="70"/>
    <d v="2017-01-09T00:00:00"/>
    <s v="Jan-17"/>
    <s v="Powerplus - SUNS9065WW Wave LED Downlight Warm White"/>
    <n v="160.27000000000001"/>
    <m/>
    <m/>
  </r>
  <r>
    <s v="INV"/>
    <s v="NBN Sydney"/>
    <s v="164187"/>
    <x v="4"/>
    <s v="Minchinbury Mobilisation"/>
    <x v="70"/>
    <d v="2017-01-09T00:00:00"/>
    <s v="Jan-17"/>
    <s v="Powerplus - TOBBC-AGS161607 Grey Enclosure 160Hx160Wx70D"/>
    <n v="30.49"/>
    <m/>
    <m/>
  </r>
  <r>
    <s v="INV"/>
    <s v="NBN Sydney"/>
    <s v="164187"/>
    <x v="4"/>
    <s v="Minchinbury Mobilisation"/>
    <x v="70"/>
    <d v="2017-01-09T00:00:00"/>
    <s v="Jan-17"/>
    <s v="Powerplus - CLI755PSMA2 230V Smoke Alarm Photo Surface"/>
    <n v="85.4"/>
    <m/>
    <m/>
  </r>
  <r>
    <s v="INV"/>
    <s v="NBN Sydney"/>
    <s v="164187"/>
    <x v="4"/>
    <s v="Minchinbury Mobilisation"/>
    <x v="70"/>
    <d v="2017-01-09T00:00:00"/>
    <s v="Jan-17"/>
    <s v="Powerplus - CAB1.5TEWH Twin + Earth 2.5mm"/>
    <n v="92.13"/>
    <m/>
    <m/>
  </r>
  <r>
    <s v="INV"/>
    <s v="NBN Sydney"/>
    <s v="164187"/>
    <x v="4"/>
    <s v="Minchinbury Mobilisation"/>
    <x v="70"/>
    <d v="2017-01-09T00:00:00"/>
    <s v="Jan-17"/>
    <s v="Powerplus - CLI2033VHWE Grid Plate Surr 3G STD PTN"/>
    <n v="6.79"/>
    <m/>
    <m/>
  </r>
  <r>
    <s v="INV"/>
    <s v="NBN Sydney"/>
    <s v="164187"/>
    <x v="4"/>
    <s v="Minchinbury Mobilisation"/>
    <x v="70"/>
    <d v="2017-01-09T00:00:00"/>
    <s v="Jan-17"/>
    <s v="Powerplus - MAT11MM-TRIPOD-M Tripod Roof Mount"/>
    <n v="20.239999999999998"/>
    <m/>
    <m/>
  </r>
  <r>
    <s v="INV"/>
    <s v="NBN Sydney"/>
    <s v="164187"/>
    <x v="4"/>
    <s v="Minchinbury Mobilisation"/>
    <x v="70"/>
    <d v="2017-01-09T00:00:00"/>
    <s v="Jan-17"/>
    <s v="Powerplus - SUNSE7099/150DLBK 150W LED Floodlight Daylight Black"/>
    <n v="474.6"/>
    <m/>
    <m/>
  </r>
  <r>
    <s v="INV"/>
    <s v="NBN Sydney"/>
    <s v="7016/01601097"/>
    <x v="4"/>
    <s v="Minchinbury Mobilisation"/>
    <x v="70"/>
    <d v="2017-01-10T00:00:00"/>
    <s v="Jan-17"/>
    <s v="Bunnings Warehouse - Rivit Colour Alum 100pk Zenith M-Grip Surf Mist X051547"/>
    <n v="9.76"/>
    <m/>
    <m/>
  </r>
  <r>
    <s v="INV"/>
    <s v="NBN Sydney"/>
    <s v="7016/01600861"/>
    <x v="4"/>
    <s v="Minchinbury Mobilisation"/>
    <x v="70"/>
    <d v="2017-01-10T00:00:00"/>
    <s v="Jan-17"/>
    <s v="Bunnings Warehouse - Screwdriver Bits Irwin 89mm Phillips2 Card 3520251C"/>
    <n v="7.98"/>
    <m/>
    <m/>
  </r>
  <r>
    <s v="INV"/>
    <s v="NBN Sydney"/>
    <s v="7016/01601097"/>
    <x v="4"/>
    <s v="Minchinbury Mobilisation"/>
    <x v="70"/>
    <d v="2017-01-10T00:00:00"/>
    <s v="Jan-17"/>
    <s v="Bunnings Warehouse - Screwdriver bits Irwin 64mm 1/4 N/Setter 94812S"/>
    <n v="9.11"/>
    <m/>
    <m/>
  </r>
  <r>
    <s v="INV"/>
    <s v="NBN Sydney"/>
    <s v="266888"/>
    <x v="4"/>
    <s v="Minchinbury Mobilisation"/>
    <x v="70"/>
    <d v="2017-01-10T00:00:00"/>
    <s v="Jan-17"/>
    <s v="PlastaMasta - DUO5 Rondo Wall Angle 25 x 19mm (24) 3600mm"/>
    <n v="42"/>
    <m/>
    <m/>
  </r>
  <r>
    <s v="INV"/>
    <s v="NBN Sydney"/>
    <s v="7016/01601097"/>
    <x v="4"/>
    <s v="Minchinbury Mobilisation"/>
    <x v="70"/>
    <d v="2017-01-10T00:00:00"/>
    <s v="Jan-17"/>
    <s v="Bunnings Warehouse - Screws MTL Hex Polybox Zentih 8-18X12 C3 NS MT Pk100 CBH7412"/>
    <n v="10.220000000000001"/>
    <m/>
    <m/>
  </r>
  <r>
    <s v="INV"/>
    <s v="NBN Sydney"/>
    <s v="7016/01600861"/>
    <x v="4"/>
    <s v="Minchinbury Mobilisation"/>
    <x v="70"/>
    <d v="2017-01-10T00:00:00"/>
    <s v="Jan-17"/>
    <s v="Bunnings Warehouse - Drill Bit Masonry Joran 5mmx100/160 SDS Pls M/F D50160"/>
    <n v="15.8"/>
    <m/>
    <m/>
  </r>
  <r>
    <s v="INV"/>
    <s v="NBN Sydney"/>
    <s v="7016/01194247"/>
    <x v="4"/>
    <s v="Minchinbury Mobilisation"/>
    <x v="70"/>
    <d v="2017-01-10T00:00:00"/>
    <s v="Jan-17"/>
    <s v="Bunnings Warehouse - Plaster Filler CSR 15kg easy flow compound 27970"/>
    <n v="36.450000000000003"/>
    <m/>
    <m/>
  </r>
  <r>
    <s v="INV"/>
    <s v="NBN Sydney"/>
    <s v="414606-760"/>
    <x v="4"/>
    <s v="Minchinbury Mobilisation"/>
    <x v="70"/>
    <d v="2017-01-10T00:00:00"/>
    <s v="Jan-17"/>
    <s v="TLE Electrical - Outlet Mechanism Cat6 UTP RJ45 568A/B Black"/>
    <n v="90.88"/>
    <m/>
    <m/>
  </r>
  <r>
    <s v="INV"/>
    <s v="NBN Sydney"/>
    <s v="7016/01565800"/>
    <x v="4"/>
    <s v="Minchinbury Mobilisation"/>
    <x v="70"/>
    <d v="2017-01-10T00:00:00"/>
    <s v="Jan-17"/>
    <s v="Bunnings Warehouse - Anchor Nylon Ramset Pack 5x20mm Mush Pk25 TNM320/25"/>
    <n v="10.5"/>
    <m/>
    <m/>
  </r>
  <r>
    <s v="INV"/>
    <s v="NBN Sydney"/>
    <s v="7016/01565800"/>
    <x v="4"/>
    <s v="Minchinbury Mobilisation"/>
    <x v="70"/>
    <d v="2017-01-10T00:00:00"/>
    <s v="Jan-17"/>
    <s v="Bunnings Warehouse - Screws self Drill Zenith Pbx100 8Gx25 Stitch Phl GP BN CBZ6425"/>
    <n v="5.51"/>
    <m/>
    <m/>
  </r>
  <r>
    <s v="INV"/>
    <s v="NBN Sydney"/>
    <s v="7016/01565800"/>
    <x v="4"/>
    <s v="Minchinbury Mobilisation"/>
    <x v="70"/>
    <d v="2017-01-10T00:00:00"/>
    <s v="Jan-17"/>
    <s v="Bunnings Warehouse - Screw Coach Galv Metric M8x130mm Bubo130ea"/>
    <n v="1.56"/>
    <m/>
    <m/>
  </r>
  <r>
    <s v="INV"/>
    <s v="NBN Sydney"/>
    <s v="7016/01601628"/>
    <x v="4"/>
    <s v="Minchinbury Mobilisation"/>
    <x v="70"/>
    <d v="2017-01-11T00:00:00"/>
    <s v="Jan-17"/>
    <s v="Bunnings Warehouse - Square Empire 400mm Steel Trademans 1110IM"/>
    <n v="18.53"/>
    <m/>
    <m/>
  </r>
  <r>
    <s v="INV"/>
    <s v="NBN Sydney"/>
    <s v="7016/01601628"/>
    <x v="4"/>
    <s v="Minchinbury Mobilisation"/>
    <x v="70"/>
    <d v="2017-01-11T00:00:00"/>
    <s v="Jan-17"/>
    <s v="Bunnings Warehouse - Planer Blade Craftmaster Uni Adaptor suit 82mm 14Unik"/>
    <n v="30.68"/>
    <m/>
    <m/>
  </r>
  <r>
    <s v="INV"/>
    <s v="NBN Sydney"/>
    <s v="7016/01601628"/>
    <x v="4"/>
    <s v="Minchinbury Mobilisation"/>
    <x v="70"/>
    <d v="2017-01-11T00:00:00"/>
    <s v="Jan-17"/>
    <s v="Bunnings Warehouse - Cutter Bolt Trojan 450mm TJU2510"/>
    <n v="21.57"/>
    <m/>
    <m/>
  </r>
  <r>
    <s v="INV"/>
    <s v="NBN Sydney"/>
    <s v="5187"/>
    <x v="4"/>
    <s v="Minchinbury Mobilisation"/>
    <x v="70"/>
    <d v="2017-01-11T00:00:00"/>
    <s v="Jan-17"/>
    <s v="Ceilings by Design - USGIMP90 Impressions 1200x600x15mm 8 tiles/ctn 5.76m2"/>
    <n v="1001.7"/>
    <m/>
    <m/>
  </r>
  <r>
    <s v="INV"/>
    <s v="NBN Sydney"/>
    <s v="7016/00165895"/>
    <x v="4"/>
    <s v="Minchinbury Mobilisation"/>
    <x v="70"/>
    <d v="2017-01-11T00:00:00"/>
    <s v="Jan-17"/>
    <s v="Bunnings Warehouse - Insul Batts Wall G/Wool Knauf Earthwool R2.7ShD 90x430 Pk10"/>
    <n v="207.27"/>
    <m/>
    <m/>
  </r>
  <r>
    <s v="INV"/>
    <s v="NBN Sydney"/>
    <s v="7016/01429293"/>
    <x v="4"/>
    <s v="Minchinbury Mobilisation"/>
    <x v="70"/>
    <d v="2017-01-11T00:00:00"/>
    <s v="Jan-17"/>
    <s v="Bunnings Warehouse - Gap Filler Rod Moroday 15mm 5m White MGF1 1-81210"/>
    <n v="17.239999999999998"/>
    <m/>
    <m/>
  </r>
  <r>
    <s v="INV"/>
    <s v="NBN Sydney"/>
    <s v="7016/00166047"/>
    <x v="4"/>
    <s v="Minchinbury Mobilisation"/>
    <x v="70"/>
    <d v="2017-01-11T00:00:00"/>
    <s v="Jan-17"/>
    <s v="Bunnings Warehouse - Plug Top Deta 10Amp Clear 6331B"/>
    <n v="2.29"/>
    <m/>
    <m/>
  </r>
  <r>
    <s v="INV"/>
    <s v="NBN Sydney"/>
    <s v="7016/00166047"/>
    <x v="4"/>
    <s v="Minchinbury Mobilisation"/>
    <x v="70"/>
    <d v="2017-01-11T00:00:00"/>
    <s v="Jan-17"/>
    <s v="Bunnings Warehouse - INS Batts Acoustic Gwool Knauf Earthwool R2.5HP 90x580 Pk14"/>
    <n v="146.82"/>
    <m/>
    <m/>
  </r>
  <r>
    <s v="INV"/>
    <s v="NBN Sydney"/>
    <s v="01773240"/>
    <x v="4"/>
    <s v="Minchinbury Mobilisation"/>
    <x v="70"/>
    <d v="2017-01-11T00:00:00"/>
    <s v="Jan-17"/>
    <s v="Bunnings Warehouse - Fencing Accessory Perm Wire Strainer 12106"/>
    <n v="9.5"/>
    <m/>
    <m/>
  </r>
  <r>
    <s v="INV"/>
    <s v="NBN Sydney"/>
    <s v="7016/01429293"/>
    <x v="4"/>
    <s v="Minchinbury Mobilisation"/>
    <x v="70"/>
    <d v="2017-01-11T00:00:00"/>
    <s v="Jan-17"/>
    <s v="Bunnings Warehouse - Metal Paint Aerosol Rustguard 310g Epoxy Gloss White"/>
    <n v="46.39"/>
    <m/>
    <m/>
  </r>
  <r>
    <s v="INV"/>
    <s v="NBN Sydney"/>
    <s v="7016/01429293"/>
    <x v="4"/>
    <s v="Minchinbury Mobilisation"/>
    <x v="70"/>
    <d v="2017-01-11T00:00:00"/>
    <s v="Jan-17"/>
    <s v="Bunnings Warehouse - Tape Masking trade painter 207 48mm 50m 6584"/>
    <n v="6.75"/>
    <m/>
    <m/>
  </r>
  <r>
    <s v="INV"/>
    <s v="NBN Sydney"/>
    <s v="7016/01265094"/>
    <x v="4"/>
    <s v="Minchinbury Mobilisation"/>
    <x v="70"/>
    <d v="2017-01-12T00:00:00"/>
    <s v="Jan-17"/>
    <s v="Bunnings Warehouse - Sealant Construct Polyurethane 310ml 2HP Blk Sikaflex Pro"/>
    <n v="14.84"/>
    <m/>
    <m/>
  </r>
  <r>
    <s v="INV"/>
    <s v="NBN Sydney"/>
    <s v="7016/01265094"/>
    <x v="4"/>
    <s v="Minchinbury Mobilisation"/>
    <x v="70"/>
    <d v="2017-01-12T00:00:00"/>
    <s v="Jan-17"/>
    <s v="Bunnings Warehouse - Metal Paint Aerosol Rustguard 310g Epoxy Gloss White"/>
    <n v="15.46"/>
    <m/>
    <m/>
  </r>
  <r>
    <s v="INV"/>
    <s v="NBN Sydney"/>
    <s v="7016/01265094"/>
    <x v="4"/>
    <s v="Minchinbury Mobilisation"/>
    <x v="70"/>
    <d v="2017-01-12T00:00:00"/>
    <s v="Jan-17"/>
    <s v="Bunnings Warehouse - Hinges Butt FP Zenith 85mm ZP CD2 WBA0085"/>
    <n v="14.97"/>
    <m/>
    <m/>
  </r>
  <r>
    <s v="INV"/>
    <s v="NBN Sydney"/>
    <s v="7016/01265094"/>
    <x v="4"/>
    <s v="Minchinbury Mobilisation"/>
    <x v="70"/>
    <d v="2017-01-12T00:00:00"/>
    <s v="Jan-17"/>
    <s v="Bunnings Warehouse - Pine Moulding FJ Half Splayed 66x18mm 5.4m Primed"/>
    <n v="144.91"/>
    <m/>
    <m/>
  </r>
  <r>
    <s v="INV"/>
    <s v="NBN Sydney"/>
    <s v="7016/01265094"/>
    <x v="4"/>
    <s v="Minchinbury Mobilisation"/>
    <x v="70"/>
    <d v="2017-01-12T00:00:00"/>
    <s v="Jan-17"/>
    <s v="Bunnings Warehouse - Passage Leverset Oxford Lane Matte Black L984790 "/>
    <n v="80.84"/>
    <m/>
    <m/>
  </r>
  <r>
    <s v="INV"/>
    <s v="NBN Sydney"/>
    <s v="7016/01265094"/>
    <x v="4"/>
    <s v="Minchinbury Mobilisation"/>
    <x v="70"/>
    <d v="2017-01-12T00:00:00"/>
    <s v="Jan-17"/>
    <s v="Bunnings Warehouse - Bracket Angle Heavy Duty 75x75x40mm ZP Hed6075"/>
    <n v="11.29"/>
    <m/>
    <m/>
  </r>
  <r>
    <s v="INV"/>
    <s v="NBN Sydney"/>
    <s v="7016/01602595"/>
    <x v="4"/>
    <s v="Minchinbury Mobilisation"/>
    <x v="70"/>
    <d v="2017-01-12T00:00:00"/>
    <s v="Jan-17"/>
    <s v="Bunnings Warehouse - Sanding Sponge Rocket Medium Rassmed"/>
    <n v="2.6"/>
    <m/>
    <m/>
  </r>
  <r>
    <s v="INV"/>
    <s v="NBN Sydney"/>
    <s v="7016/01603096"/>
    <x v="4"/>
    <s v="Minchinbury Mobilisation"/>
    <x v="70"/>
    <d v="2017-01-12T00:00:00"/>
    <s v="Jan-17"/>
    <s v="Bunnings Warehouse - Chisel Butt Pro Touch 13mm W/Strike Cap 10504001ANZ"/>
    <n v="18"/>
    <m/>
    <m/>
  </r>
  <r>
    <s v="INV"/>
    <s v="NBN Sydney"/>
    <s v="71 A86910"/>
    <x v="4"/>
    <s v="Minchinbury Mobilisation"/>
    <x v="70"/>
    <d v="2017-01-12T00:00:00"/>
    <s v="Jan-17"/>
    <s v="Middy's Data &amp; Electrical - Lead Set 4 way RJ MT Clip/Krone/RJ/606"/>
    <n v="45"/>
    <m/>
    <m/>
  </r>
  <r>
    <s v="INV"/>
    <s v="NBN Sydney"/>
    <s v="7016/01265094"/>
    <x v="4"/>
    <s v="Minchinbury Mobilisation"/>
    <x v="70"/>
    <d v="2017-01-12T00:00:00"/>
    <s v="Jan-17"/>
    <s v="Bunnings Warehouse - Spray Paint Squirts W/Knight 310g Satin Black"/>
    <n v="6.44"/>
    <m/>
    <m/>
  </r>
  <r>
    <s v="INV"/>
    <s v="NBN Sydney"/>
    <s v="7016/01265094"/>
    <x v="4"/>
    <s v="Minchinbury Mobilisation"/>
    <x v="70"/>
    <d v="2017-01-12T00:00:00"/>
    <s v="Jan-17"/>
    <s v="Bunnings Warehouse - Adhesive Construction Selleys 250G Liquid Nails Clear"/>
    <n v="28.88"/>
    <m/>
    <m/>
  </r>
  <r>
    <s v="INV"/>
    <s v="NBN Sydney"/>
    <s v="7016/01265094"/>
    <x v="4"/>
    <s v="Minchinbury Mobilisation"/>
    <x v="70"/>
    <d v="2017-01-12T00:00:00"/>
    <s v="Jan-17"/>
    <s v="Bunnings Warehouse - Tape Masking 3m 36mm 55m Long Mask 2090 6592"/>
    <n v="12.53"/>
    <m/>
    <m/>
  </r>
  <r>
    <s v="INV"/>
    <s v="NBN Sydney"/>
    <s v="71 A86932"/>
    <x v="4"/>
    <s v="Minchinbury Mobilisation"/>
    <x v="70"/>
    <d v="2017-01-13T00:00:00"/>
    <s v="Jan-17"/>
    <s v="Middy's Data &amp; Electrical - Junction box 4 way 20mm grey"/>
    <n v="7"/>
    <m/>
    <m/>
  </r>
  <r>
    <s v="INV"/>
    <s v="NBN Sydney"/>
    <s v="71 A86932"/>
    <x v="4"/>
    <s v="Minchinbury Mobilisation"/>
    <x v="70"/>
    <d v="2017-01-13T00:00:00"/>
    <s v="Jan-17"/>
    <s v="Middy's Data &amp; Electrical - Adaptor plain to screwed 25mm grey"/>
    <n v="79.5"/>
    <m/>
    <m/>
  </r>
  <r>
    <s v="INV"/>
    <s v="NBN Sydney"/>
    <s v="71 A86932"/>
    <x v="4"/>
    <s v="Minchinbury Mobilisation"/>
    <x v="70"/>
    <d v="2017-01-13T00:00:00"/>
    <s v="Jan-17"/>
    <s v="Middy's Data &amp; Electrical - Screwed lock ring - 25mm grey"/>
    <n v="17.28"/>
    <m/>
    <m/>
  </r>
  <r>
    <s v="INV"/>
    <s v="NBN Sydney"/>
    <s v="71 A86932"/>
    <x v="4"/>
    <s v="Minchinbury Mobilisation"/>
    <x v="70"/>
    <d v="2017-01-13T00:00:00"/>
    <s v="Jan-17"/>
    <s v="Middy's Data &amp; Electrical - Middy's Nipper Wide Body B/Batten 2x36 EL"/>
    <n v="31.17"/>
    <m/>
    <m/>
  </r>
  <r>
    <s v="INV"/>
    <s v="NBN Sydney"/>
    <s v="7016/01195450"/>
    <x v="4"/>
    <s v="Minchinbury Mobilisation"/>
    <x v="70"/>
    <d v="2017-01-13T00:00:00"/>
    <s v="Jan-17"/>
    <s v="Bunnings Warehouse - Pine Moulding Half Splay Primd 66x18mm 2.7m HSA6618PIFP27"/>
    <n v="33.75"/>
    <m/>
    <m/>
  </r>
  <r>
    <s v="INV"/>
    <s v="NBN Sydney"/>
    <s v="7016/01265360"/>
    <x v="4"/>
    <s v="Minchinbury Mobilisation"/>
    <x v="70"/>
    <d v="2017-01-13T00:00:00"/>
    <s v="Jan-17"/>
    <s v="Bunnings Warehouse - Pine Moulding Half Splay Primd 66x18mm 2.7m HSA6618PIFP27"/>
    <n v="25.31"/>
    <m/>
    <m/>
  </r>
  <r>
    <s v="INV"/>
    <s v="NBN Sydney"/>
    <s v="71 A86932"/>
    <x v="4"/>
    <s v="Minchinbury Mobilisation"/>
    <x v="70"/>
    <d v="2017-01-13T00:00:00"/>
    <s v="Jan-17"/>
    <s v="Middy's Data &amp; Electrical - Cable tray perforated 150 g/bond 2.4mtr"/>
    <n v="15.77"/>
    <m/>
    <m/>
  </r>
  <r>
    <s v="INV"/>
    <s v="NBN Sydney"/>
    <s v="7016/01431430"/>
    <x v="4"/>
    <s v="Minchinbury Mobilisation"/>
    <x v="70"/>
    <d v="2017-01-16T00:00:00"/>
    <s v="Jan-17"/>
    <s v="Bunnings Warehouse - Drop sheet Monarch pro renovtr 3.7x3.7m clr plastic MPRP-9281"/>
    <n v="1.19"/>
    <m/>
    <m/>
  </r>
  <r>
    <s v="INV"/>
    <s v="NBN Sydney"/>
    <s v="7016/01431430"/>
    <x v="4"/>
    <s v="Minchinbury Mobilisation"/>
    <x v="70"/>
    <d v="2017-01-16T00:00:00"/>
    <s v="Jan-17"/>
    <s v="Bunnings Warehouse - Drop Sheet Plastic Monarch 2.6x3.6m blue TBDS-1402"/>
    <n v="9.2899999999999991"/>
    <m/>
    <m/>
  </r>
  <r>
    <s v="INV"/>
    <s v="NBN Sydney"/>
    <s v="7016/01431430"/>
    <x v="4"/>
    <s v="Minchinbury Mobilisation"/>
    <x v="70"/>
    <d v="2017-01-16T00:00:00"/>
    <s v="Jan-17"/>
    <s v="Bunnings Warehouse - Painters bucket uni pro 16L 407202"/>
    <n v="18.78"/>
    <m/>
    <m/>
  </r>
  <r>
    <s v="INV"/>
    <s v="NBN Sydney"/>
    <s v="7016/01431430"/>
    <x v="4"/>
    <s v="Minchinbury Mobilisation"/>
    <x v="70"/>
    <d v="2017-01-16T00:00:00"/>
    <s v="Jan-17"/>
    <s v="Bunnings Warehouse - Paint brush synthetic uni pro 75mm you can do it wall 6655"/>
    <n v="19.600000000000001"/>
    <m/>
    <m/>
  </r>
  <r>
    <s v="INV"/>
    <s v="NBN Sydney"/>
    <s v="7016/01431430"/>
    <x v="4"/>
    <s v="Minchinbury Mobilisation"/>
    <x v="70"/>
    <d v="2017-01-16T00:00:00"/>
    <s v="Jan-17"/>
    <s v="Bunnings Warehouse - Gloves disposable handy blue 10 pack nitrile 01566"/>
    <n v="2.29"/>
    <m/>
    <m/>
  </r>
  <r>
    <s v="INV"/>
    <s v="NBN Sydney"/>
    <s v="7016/01431430"/>
    <x v="4"/>
    <s v="Minchinbury Mobilisation"/>
    <x v="70"/>
    <d v="2017-01-16T00:00:00"/>
    <s v="Jan-17"/>
    <s v="Bunnings Warehouse - Roller kit mini uni pro 160mm 2xcovers&amp;frame FF18020"/>
    <n v="6.48"/>
    <m/>
    <m/>
  </r>
  <r>
    <s v="INV"/>
    <s v="NBN Sydney"/>
    <s v="7016/01431430"/>
    <x v="4"/>
    <s v="Minchinbury Mobilisation"/>
    <x v="70"/>
    <d v="2017-01-16T00:00:00"/>
    <s v="Jan-17"/>
    <s v="Bunnings Warehouse - Roller cover 230mm bulk 8pk prc-pk8-w"/>
    <n v="6.05"/>
    <m/>
    <m/>
  </r>
  <r>
    <s v="INV"/>
    <s v="NBN Sydney"/>
    <s v="7016/01431430"/>
    <x v="4"/>
    <s v="Minchinbury Mobilisation"/>
    <x v="70"/>
    <d v="2017-01-16T00:00:00"/>
    <s v="Jan-17"/>
    <s v="Bunnings Warehouse - Prepcoat 4 in 1 British Paints 15L W/Based White 653D0040"/>
    <n v="142.5"/>
    <m/>
    <m/>
  </r>
  <r>
    <s v="INV"/>
    <s v="NBN Sydney"/>
    <s v="36947"/>
    <x v="4"/>
    <s v="Minchinbury Mobilisation"/>
    <x v="70"/>
    <d v="2017-01-16T00:00:00"/>
    <s v="Jan-17"/>
    <s v="Peninsula Saws &amp; Sharpening Services - 1 x 260x80T"/>
    <n v="79"/>
    <m/>
    <m/>
  </r>
  <r>
    <s v="INV"/>
    <s v="NBN Sydney"/>
    <s v="7016/01431430"/>
    <x v="4"/>
    <s v="Minchinbury Mobilisation"/>
    <x v="70"/>
    <d v="2017-01-16T00:00:00"/>
    <s v="Jan-17"/>
    <s v="Bunnings Warehouse - Paint brush syntetic uni pro 88mm you can do it wall 6656"/>
    <n v="23.93"/>
    <m/>
    <m/>
  </r>
  <r>
    <s v="INV"/>
    <s v="NBN Sydney"/>
    <s v="7016/01431430"/>
    <x v="4"/>
    <s v="Minchinbury Mobilisation"/>
    <x v="70"/>
    <d v="2017-01-16T00:00:00"/>
    <s v="Jan-17"/>
    <s v="Bunnings Warehouse - Roller Covers mini uni pro 160mm fabric 10pk HD73008"/>
    <n v="16.329999999999998"/>
    <m/>
    <m/>
  </r>
  <r>
    <s v="INV"/>
    <s v="NBN Sydney"/>
    <s v="7016/01431430"/>
    <x v="4"/>
    <s v="Minchinbury Mobilisation"/>
    <x v="70"/>
    <d v="2017-01-16T00:00:00"/>
    <s v="Jan-17"/>
    <s v="Bunnings Warehouse - Paint pot uni pro 3.3L plastic PT025"/>
    <n v="13.25"/>
    <m/>
    <m/>
  </r>
  <r>
    <s v="INV"/>
    <s v="NBN Sydney"/>
    <s v="7016/00174549"/>
    <x v="4"/>
    <s v="Minchinbury Mobilisation"/>
    <x v="70"/>
    <d v="2017-01-17T00:00:00"/>
    <s v="Jan-17"/>
    <s v="Bunnings Warehouse - Roller cover 230mm bulk 8pk prc-pk8-w"/>
    <n v="6.05"/>
    <m/>
    <m/>
  </r>
  <r>
    <s v="INV"/>
    <s v="NBN Sydney"/>
    <s v="7016/00174549"/>
    <x v="4"/>
    <s v="Minchinbury Mobilisation"/>
    <x v="70"/>
    <d v="2017-01-17T00:00:00"/>
    <s v="Jan-17"/>
    <s v="Bunnings Warehouse - Tape Masking Trade Painter 207 48mm 50m 6584"/>
    <n v="14.6"/>
    <m/>
    <m/>
  </r>
  <r>
    <s v="INV"/>
    <s v="NBN Sydney"/>
    <s v="7016/01570645"/>
    <x v="4"/>
    <s v="Minchinbury Mobilisation"/>
    <x v="70"/>
    <d v="2017-01-17T00:00:00"/>
    <s v="Jan-17"/>
    <s v="Bunnings Warehouse - No More Gaps Selleys 475G Fast Dry"/>
    <n v="4.45"/>
    <m/>
    <m/>
  </r>
  <r>
    <s v="INV"/>
    <s v="NBN Sydney"/>
    <s v="7016/01570645"/>
    <x v="4"/>
    <s v="Minchinbury Mobilisation"/>
    <x v="70"/>
    <d v="2017-01-17T00:00:00"/>
    <s v="Jan-17"/>
    <s v="Bunnings Warehouse - Tape Masking Trade Painter 207 48mm 50m 6584"/>
    <n v="21.9"/>
    <m/>
    <m/>
  </r>
  <r>
    <s v="INV"/>
    <s v="NBN Sydney"/>
    <s v="7016/01570645"/>
    <x v="4"/>
    <s v="Minchinbury Mobilisation"/>
    <x v="70"/>
    <d v="2017-01-17T00:00:00"/>
    <s v="Jan-17"/>
    <s v="Bunnings Warehouse - Brush Synthetic Rota Cota 50mm Easy Clean Edger"/>
    <n v="18.309999999999999"/>
    <m/>
    <m/>
  </r>
  <r>
    <s v="INV"/>
    <s v="NBN Sydney"/>
    <s v="7016/00174549"/>
    <x v="4"/>
    <s v="Minchinbury Mobilisation"/>
    <x v="70"/>
    <d v="2017-01-17T00:00:00"/>
    <s v="Jan-17"/>
    <s v="Bunnings Warehouse - Paint Interior Easycoat 10L L/Sheen White 197200"/>
    <n v="94.14"/>
    <m/>
    <m/>
  </r>
  <r>
    <s v="INV"/>
    <s v="NBN Sydney"/>
    <s v="7016/00174549"/>
    <x v="4"/>
    <s v="Minchinbury Mobilisation"/>
    <x v="70"/>
    <d v="2017-01-17T00:00:00"/>
    <s v="Jan-17"/>
    <s v="Bunnings Warehouse - Paint Interior Easycoat 15L L/Sheen White 197200"/>
    <n v="259.08999999999997"/>
    <m/>
    <m/>
  </r>
  <r>
    <s v="INV"/>
    <s v="NBN Sydney"/>
    <s v="7016/00174549"/>
    <x v="4"/>
    <s v="Minchinbury Mobilisation"/>
    <x v="70"/>
    <d v="2017-01-17T00:00:00"/>
    <s v="Jan-17"/>
    <s v="Bunnings Warehouse - Decking Bucket Cabots 15L Deck App Bcktn9578273-Unit"/>
    <n v="19.78"/>
    <m/>
    <m/>
  </r>
  <r>
    <s v="INV"/>
    <s v="NBN Sydney"/>
    <s v="7016/00174549"/>
    <x v="4"/>
    <s v="Minchinbury Mobilisation"/>
    <x v="70"/>
    <d v="2017-01-17T00:00:00"/>
    <s v="Jan-17"/>
    <s v="Bunnings Warehouse - Paint Stirrer Unipro Plastic Hand Held 13301"/>
    <n v="2.44"/>
    <m/>
    <m/>
  </r>
  <r>
    <s v="INV"/>
    <s v="NBN Sydney"/>
    <s v="7016/00174549"/>
    <x v="4"/>
    <s v="Minchinbury Mobilisation"/>
    <x v="70"/>
    <d v="2017-01-17T00:00:00"/>
    <s v="Jan-17"/>
    <s v="Bunnings Warehouse - Drop sheet Plastic2.6x3.6m PP-5000"/>
    <n v="3.38"/>
    <m/>
    <m/>
  </r>
  <r>
    <s v="INV"/>
    <s v="NBN Sydney"/>
    <s v="22304067"/>
    <x v="1"/>
    <s v="Overhead"/>
    <x v="3"/>
    <d v="2017-01-19T00:00:00"/>
    <s v="Jan-17"/>
    <s v="Officeworks Superstores - Drain Clean Liquid"/>
    <n v="8.84"/>
    <m/>
    <m/>
  </r>
  <r>
    <s v="INV"/>
    <s v="NBN Sydney"/>
    <s v="1901872"/>
    <x v="4"/>
    <s v="Minchinbury Mobilisation"/>
    <x v="70"/>
    <d v="2017-01-23T00:00:00"/>
    <s v="Jan-17"/>
    <s v="Hills Limited - S51557 _x000d__x000a_Mobotix M15, dual lens camera."/>
    <n v="2640"/>
    <m/>
    <m/>
  </r>
  <r>
    <s v="INV"/>
    <s v="NBN Sydney"/>
    <s v="7336/01016639"/>
    <x v="4"/>
    <s v="Minchinbury Mobilisation"/>
    <x v="70"/>
    <d v="2017-01-23T00:00:00"/>
    <s v="Jan-17"/>
    <s v="Bunnings Warehouse - Render Tool Dunlop Ardit Trowel 22309"/>
    <n v="30.23"/>
    <m/>
    <m/>
  </r>
  <r>
    <s v="INV"/>
    <s v="NBN Sydney"/>
    <s v="7336/01016639"/>
    <x v="4"/>
    <s v="Minchinbury Mobilisation"/>
    <x v="70"/>
    <d v="2017-01-23T00:00:00"/>
    <s v="Jan-17"/>
    <s v="Bunnings Warehouse - Cement Additive Floor Leveller 133 20kg Pro Lanko 1416420"/>
    <n v="117.27"/>
    <m/>
    <m/>
  </r>
  <r>
    <s v="INV"/>
    <s v="NBN Sydney"/>
    <s v="1901872"/>
    <x v="4"/>
    <s v="Minchinbury Mobilisation"/>
    <x v="70"/>
    <d v="2017-01-23T00:00:00"/>
    <s v="Jan-17"/>
    <s v="Hills Limited - S108172*_x000d__x000a_Ip Indoor Camera for Wall Mou"/>
    <n v="617"/>
    <m/>
    <m/>
  </r>
  <r>
    <s v="INV"/>
    <s v="NBN Sydney"/>
    <s v="1901872"/>
    <x v="4"/>
    <s v="Minchinbury Mobilisation"/>
    <x v="70"/>
    <d v="2017-01-23T00:00:00"/>
    <s v="Jan-17"/>
    <s v="Hills Limited - S102823_x000d__x000a_Sens Mod-N22-6Mp-F18 White"/>
    <n v="614"/>
    <m/>
    <m/>
  </r>
  <r>
    <s v="INV"/>
    <s v="NBN Sydney"/>
    <s v="1901872"/>
    <x v="4"/>
    <s v="Minchinbury Mobilisation"/>
    <x v="70"/>
    <d v="2017-01-23T00:00:00"/>
    <s v="Jan-17"/>
    <s v="Hills Limited - S102801_x000d__x000a_Sens Mod-D22-6Mp-F18 White"/>
    <n v="614"/>
    <m/>
    <m/>
  </r>
  <r>
    <s v="INV"/>
    <s v="NBN Sydney"/>
    <s v="7016/00182526"/>
    <x v="4"/>
    <s v="Minchinbury Mobilisation"/>
    <x v="70"/>
    <d v="2017-01-23T00:00:00"/>
    <s v="Jan-17"/>
    <s v="Bunnings Warehouse - Roller Cover Uni Pro 60mm Little Ripper Foam 7502"/>
    <n v="6.65"/>
    <m/>
    <m/>
  </r>
  <r>
    <s v="INV"/>
    <s v="NBN Sydney"/>
    <s v="7016/00182526"/>
    <x v="4"/>
    <s v="Minchinbury Mobilisation"/>
    <x v="70"/>
    <d v="2017-01-23T00:00:00"/>
    <s v="Jan-17"/>
    <s v="Bunnings Warehouse - Roller Cvr&amp;Frame Little Ripper 60mm Foam Mini 7501"/>
    <n v="4.74"/>
    <m/>
    <m/>
  </r>
  <r>
    <s v="INV"/>
    <s v="NBN Sydney"/>
    <s v="7016/00182526"/>
    <x v="4"/>
    <s v="Minchinbury Mobilisation"/>
    <x v="70"/>
    <d v="2017-01-23T00:00:00"/>
    <s v="Jan-17"/>
    <s v="Bunnings Warehouse - Paint Doors&amp;Trims Easycoat 1L Gloss White 197600"/>
    <n v="27.98"/>
    <m/>
    <m/>
  </r>
  <r>
    <s v="INV"/>
    <s v="NBN Sydney"/>
    <s v="7336/01016648"/>
    <x v="4"/>
    <s v="Minchinbury Mobilisation"/>
    <x v="70"/>
    <d v="2017-01-23T00:00:00"/>
    <s v="Jan-17"/>
    <s v="Bunnings Warehouse - Drill Mixer Uni Pro Large FF8060"/>
    <n v="11.21"/>
    <m/>
    <m/>
  </r>
  <r>
    <s v="INV"/>
    <s v="NBN Sydney"/>
    <s v="165082"/>
    <x v="4"/>
    <s v="Minchinbury Mobilisation"/>
    <x v="70"/>
    <d v="2017-01-23T00:00:00"/>
    <s v="Jan-17"/>
    <s v="Powerplus - Led Exit Universal Mounted"/>
    <n v="156"/>
    <m/>
    <m/>
  </r>
  <r>
    <s v="INV"/>
    <s v="NBN Sydney"/>
    <s v="7016/00182526"/>
    <x v="4"/>
    <s v="Minchinbury Mobilisation"/>
    <x v="70"/>
    <d v="2017-01-23T00:00:00"/>
    <s v="Jan-17"/>
    <s v="Bunnings Warehouse - Paint Tray Uni Pro 100mm Mini 75ST"/>
    <n v="1.71"/>
    <m/>
    <m/>
  </r>
  <r>
    <s v="INV"/>
    <s v="NBN Sydney"/>
    <s v="7016/00184656"/>
    <x v="4"/>
    <s v="Minchinbury Mobilisation"/>
    <x v="70"/>
    <d v="2017-01-24T00:00:00"/>
    <s v="Jan-17"/>
    <s v="Bunnings Warehouse - Plugs Wall Plastic Frame Pk 25mm Green Frm25 WPGR25"/>
    <n v="3.98"/>
    <m/>
    <m/>
  </r>
  <r>
    <s v="INV"/>
    <s v="NBN Sydney"/>
    <s v="7016/00184656"/>
    <x v="4"/>
    <s v="Minchinbury Mobilisation"/>
    <x v="70"/>
    <d v="2017-01-24T00:00:00"/>
    <s v="Jan-17"/>
    <s v="Bunnings Warehouse - Silicone Roof&amp;Gutter Selleys 300g Woodland Grey"/>
    <n v="9.76"/>
    <m/>
    <m/>
  </r>
  <r>
    <s v="INV"/>
    <s v="NBN Sydney"/>
    <s v="7016/01435082"/>
    <x v="4"/>
    <s v="Minchinbury Mobilisation"/>
    <x v="70"/>
    <d v="2017-01-24T00:00:00"/>
    <s v="Jan-17"/>
    <s v="Bunnings Warehouse - Bucket Plastic Viscount 20L H/Dty W/Hndl Black 128737"/>
    <n v="9.59"/>
    <m/>
    <m/>
  </r>
  <r>
    <s v="INV"/>
    <s v="NBN Sydney"/>
    <s v="001-84385-7016"/>
    <x v="4"/>
    <s v="Minchinbury Mobilisation"/>
    <x v="70"/>
    <d v="2017-01-24T00:00:00"/>
    <s v="Jan-17"/>
    <s v="Bunnings Warehouse - Paint Brush Synthetic ABC 12mm Bevel Liners AB-7812"/>
    <n v="2.86"/>
    <m/>
    <m/>
  </r>
  <r>
    <s v="INV"/>
    <s v="NBN Sydney"/>
    <s v="001-84385-7016"/>
    <x v="4"/>
    <s v="Minchinbury Mobilisation"/>
    <x v="70"/>
    <d v="2017-01-24T00:00:00"/>
    <s v="Jan-17"/>
    <s v="Bunnings Warehouse - Conduit Fittings Deta 20mm 3Way Rd Junct Bx Gy 2820B"/>
    <n v="1.1399999999999999"/>
    <m/>
    <m/>
  </r>
  <r>
    <s v="INV"/>
    <s v="NBN Sydney"/>
    <s v="7016/00184656"/>
    <x v="4"/>
    <s v="Minchinbury Mobilisation"/>
    <x v="70"/>
    <d v="2017-01-24T00:00:00"/>
    <s v="Jan-17"/>
    <s v="Bunnings Warehouse - Rivets Coloured Alum Zenith M-Grip Wodlnd Gry SP25x049584"/>
    <n v="6.75"/>
    <m/>
    <m/>
  </r>
  <r>
    <s v="INV"/>
    <s v="NBN Sydney"/>
    <s v="7016/00184241"/>
    <x v="4"/>
    <s v="Minchinbury Mobilisation"/>
    <x v="70"/>
    <d v="2017-01-24T00:00:00"/>
    <s v="Jan-17"/>
    <s v="Bunnings Warehouse - Suntuf std PolyCarb Corrugated 1.8m Solar Grey 148884"/>
    <n v="50.84"/>
    <m/>
    <m/>
  </r>
  <r>
    <s v="INV"/>
    <s v="NBN Sydney"/>
    <s v="71 A87074"/>
    <x v="4"/>
    <s v="Minchinbury Mobilisation"/>
    <x v="70"/>
    <d v="2017-01-24T00:00:00"/>
    <s v="Jan-17"/>
    <s v="Middy's Data &amp; Electrical - NHP MOD6116 _x000d__x000a_MCB 6ka 1p 16a C Curve Mod6"/>
    <n v="8.8800000000000008"/>
    <m/>
    <m/>
  </r>
  <r>
    <s v="INV"/>
    <s v="NBN Sydney"/>
    <s v="415201-760"/>
    <x v="4"/>
    <s v="Minchinbury Mobilisation"/>
    <x v="70"/>
    <d v="2017-01-24T00:00:00"/>
    <s v="Jan-17"/>
    <s v="TLE Electrical - NHPM6RCBD1630C_x000d__x000a_Combined RCD+MCB RCBO 1P+N 16A 240V 30mA 6kA din Mount"/>
    <n v="30"/>
    <m/>
    <m/>
  </r>
  <r>
    <s v="INV"/>
    <s v="NBN Sydney"/>
    <s v="415201-760"/>
    <x v="4"/>
    <s v="Minchinbury Mobilisation"/>
    <x v="70"/>
    <d v="2017-01-24T00:00:00"/>
    <s v="Jan-17"/>
    <s v="TLE Electrical - PADUICMPP24BLY_x000d__x000a_Patch Panels Unloaded 24 Port"/>
    <n v="33.979999999999997"/>
    <m/>
    <m/>
  </r>
  <r>
    <s v="INV"/>
    <s v="NBN Sydney"/>
    <s v="7016/00184241"/>
    <x v="4"/>
    <s v="Minchinbury Mobilisation"/>
    <x v="70"/>
    <d v="2017-01-24T00:00:00"/>
    <s v="Jan-17"/>
    <s v="Bunnings Warehouse - Back Channel Frame 300x45x20mm Woodland grey"/>
    <n v="52.61"/>
    <m/>
    <m/>
  </r>
  <r>
    <s v="INV"/>
    <s v="NBN Sydney"/>
    <s v="7016/00184241"/>
    <x v="4"/>
    <s v="Minchinbury Mobilisation"/>
    <x v="70"/>
    <d v="2017-01-24T00:00:00"/>
    <s v="Jan-17"/>
    <s v="Bunnings Warehouse - Screws Timber rnd Romak 4x30mm Blk pkt20 FST026"/>
    <n v="3.55"/>
    <m/>
    <m/>
  </r>
  <r>
    <s v="INV"/>
    <s v="NBN Sydney"/>
    <s v="7016/00184241"/>
    <x v="4"/>
    <s v="Minchinbury Mobilisation"/>
    <x v="70"/>
    <d v="2017-01-24T00:00:00"/>
    <s v="Jan-17"/>
    <s v="Bunnings Warehouse - Metal Paint Rustguard 250ml Satin Black 37502343"/>
    <n v="16.329999999999998"/>
    <m/>
    <m/>
  </r>
  <r>
    <s v="INV"/>
    <s v="NBN Sydney"/>
    <s v="415281-760"/>
    <x v="4"/>
    <s v="Minchinbury Mobilisation"/>
    <x v="70"/>
    <d v="2017-01-25T00:00:00"/>
    <s v="Jan-17"/>
    <s v="TLE Electrical - GPO Standard 4G Horiz 10A 250V White"/>
    <n v="55.01"/>
    <m/>
    <m/>
  </r>
  <r>
    <s v="INV"/>
    <s v="NBN Sydney"/>
    <s v="415281-760"/>
    <x v="4"/>
    <s v="Minchinbury Mobilisation"/>
    <x v="70"/>
    <d v="2017-01-25T00:00:00"/>
    <s v="Jan-17"/>
    <s v="TLE Electrical - Mounting Block Standard 4G White 25mm"/>
    <n v="12.26"/>
    <m/>
    <m/>
  </r>
  <r>
    <s v="INV"/>
    <s v="NBN Sydney"/>
    <s v="1080149"/>
    <x v="4"/>
    <s v="Minchinbury Mobilisation"/>
    <x v="70"/>
    <d v="2017-01-25T00:00:00"/>
    <s v="Jan-17"/>
    <s v="ARC Computers - TP-Link TL-SG108PE 8 Port Gigabit EasySmart Switch with4 x PoE"/>
    <n v="80.91"/>
    <m/>
    <m/>
  </r>
  <r>
    <s v="INV"/>
    <s v="NBN Sydney"/>
    <s v="7016/01435790"/>
    <x v="4"/>
    <s v="Minchinbury Mobilisation"/>
    <x v="70"/>
    <d v="2017-01-25T00:00:00"/>
    <s v="Jan-17"/>
    <s v="Bunnings Warehouse - Suntuf Access pk4 Corr Infill Black 9001831"/>
    <n v="8.07"/>
    <m/>
    <m/>
  </r>
  <r>
    <s v="INV"/>
    <s v="NBN Sydney"/>
    <s v="7016/01435790"/>
    <x v="4"/>
    <s v="Minchinbury Mobilisation"/>
    <x v="70"/>
    <d v="2017-01-25T00:00:00"/>
    <s v="Jan-17"/>
    <s v="Bunnings Warehouse - Paint Brush Synthetic ABC 18mm Bevel Liners AB-7818"/>
    <n v="3.15"/>
    <m/>
    <m/>
  </r>
  <r>
    <s v="INV"/>
    <s v="NBN Sydney"/>
    <s v="7016/01435790"/>
    <x v="4"/>
    <s v="Minchinbury Mobilisation"/>
    <x v="70"/>
    <d v="2017-01-25T00:00:00"/>
    <s v="Jan-17"/>
    <s v="Bunnings Warehouse - Paint UV Resistant Metalshield 500m; T/Coat FPC CB WoodlndGry"/>
    <n v="22.03"/>
    <m/>
    <m/>
  </r>
  <r>
    <s v="INV"/>
    <s v="NBN Sydney"/>
    <s v="7016/00192038"/>
    <x v="4"/>
    <s v="Minchinbury Mobilisation"/>
    <x v="70"/>
    <d v="2017-01-30T00:00:00"/>
    <s v="Jan-17"/>
    <s v="Bunnings Warehouse - Abrasive Roll N/Clog Flexovit 115mmx5m P180 6806"/>
    <n v="10.61"/>
    <m/>
    <m/>
  </r>
  <r>
    <s v="INV"/>
    <s v="NBN Sydney"/>
    <s v="7016/00192038"/>
    <x v="4"/>
    <s v="Minchinbury Mobilisation"/>
    <x v="70"/>
    <d v="2017-01-30T00:00:00"/>
    <s v="Jan-17"/>
    <s v="Bunnings Warehouse - Tape Masking 3m 50mmx55m Long Mask 2090"/>
    <n v="15.12"/>
    <m/>
    <m/>
  </r>
  <r>
    <s v="INV"/>
    <s v="NBN Sydney"/>
    <s v="95770"/>
    <x v="4"/>
    <s v="Minchinbury Mobilisation"/>
    <x v="70"/>
    <d v="2017-01-30T00:00:00"/>
    <s v="Jan-17"/>
    <s v="Carpet Concepts Pty Ltd - Kingsgate Town, Onyx, to upstairs office"/>
    <n v="4413.6400000000003"/>
    <m/>
    <m/>
  </r>
  <r>
    <s v="INV"/>
    <s v="NBN Sydney"/>
    <s v="11847341"/>
    <x v="1"/>
    <s v="Overhead"/>
    <x v="3"/>
    <d v="2017-01-31T00:00:00"/>
    <s v="Jan-17"/>
    <s v="Cleanaway - 12/01/2017_x000d__x000a_1 X Clear 1.5m Bin"/>
    <n v="83.8"/>
    <m/>
    <m/>
  </r>
  <r>
    <s v="INV"/>
    <s v="NBN Sydney"/>
    <s v="11847341"/>
    <x v="1"/>
    <s v="Overhead"/>
    <x v="3"/>
    <d v="2017-01-31T00:00:00"/>
    <s v="Jan-17"/>
    <s v="Cleanaway - 5/01/2017_x000d__x000a_1 X Bin not out 1.5m Recycle"/>
    <n v="11.57"/>
    <m/>
    <m/>
  </r>
  <r>
    <s v="INV"/>
    <s v="NBN Sydney"/>
    <s v="11847341"/>
    <x v="1"/>
    <s v="Overhead"/>
    <x v="3"/>
    <d v="2017-01-31T00:00:00"/>
    <s v="Jan-17"/>
    <s v="Cleanaway - 19/01/2017_x000d__x000a_1 X Clear 1.5m Recycle Bin"/>
    <n v="11.57"/>
    <m/>
    <m/>
  </r>
  <r>
    <s v="INV"/>
    <s v="NBN Sydney"/>
    <s v="11847341"/>
    <x v="1"/>
    <s v="Overhead"/>
    <x v="3"/>
    <d v="2017-01-31T00:00:00"/>
    <s v="Jan-17"/>
    <s v="Cleanaway - 31/01/2017_x000d__x000a_1 X Environmental Fee"/>
    <n v="10"/>
    <m/>
    <m/>
  </r>
  <r>
    <s v="INV"/>
    <s v="NBN Sydney"/>
    <s v="11847341"/>
    <x v="1"/>
    <s v="Overhead"/>
    <x v="3"/>
    <d v="2017-01-31T00:00:00"/>
    <s v="Jan-17"/>
    <s v="Cleanaway - 24/01/2017_x000d__x000a_1 X Clear 1.5m Bin"/>
    <n v="83.8"/>
    <m/>
    <m/>
  </r>
  <r>
    <s v="INV"/>
    <s v="NBN Sydney"/>
    <s v="154284866"/>
    <x v="1"/>
    <s v="Overhead"/>
    <x v="3"/>
    <d v="2017-01-31T00:00:00"/>
    <s v="Jan-17"/>
    <s v="Officeworks Superstores - JBEXC4DWE_x000d__x000a_Excalibre 4 Drawer Filing Cabinet White"/>
    <n v="543.64"/>
    <m/>
    <m/>
  </r>
  <r>
    <s v="INV"/>
    <s v="NBN Sydney"/>
    <s v="154284866"/>
    <x v="1"/>
    <s v="Overhead"/>
    <x v="3"/>
    <d v="2017-01-31T00:00:00"/>
    <s v="Jan-17"/>
    <s v="Officeworks Superstores - OWST7000_x000d__x000a_Corcoran Riggs Metal Stationery Cabinet Large Grey"/>
    <n v="271.82"/>
    <m/>
    <m/>
  </r>
  <r>
    <s v="INV"/>
    <s v="NBN Sydney"/>
    <s v="165013"/>
    <x v="4"/>
    <s v="Minchinbury Mobilisation"/>
    <x v="70"/>
    <d v="2017-01-31T00:00:00"/>
    <s v="Jan-17"/>
    <s v="Powerplus - ESCAOL35-150IC-BL_x000d__x000a_Internal Skirting Duct Corner Black"/>
    <n v="18.54"/>
    <m/>
    <m/>
  </r>
  <r>
    <s v="INV"/>
    <s v="NBN Sydney"/>
    <s v="165013"/>
    <x v="4"/>
    <s v="Minchinbury Mobilisation"/>
    <x v="70"/>
    <d v="2017-01-31T00:00:00"/>
    <s v="Jan-17"/>
    <s v="Powerplus - ESCAOL35-150AK-BL_x000d__x000a_Accessory Kit Power &amp; Data Black"/>
    <n v="53.52"/>
    <m/>
    <m/>
  </r>
  <r>
    <s v="INV"/>
    <s v="NBN Sydney"/>
    <s v="165013"/>
    <x v="4"/>
    <s v="Minchinbury Mobilisation"/>
    <x v="70"/>
    <d v="2017-01-31T00:00:00"/>
    <s v="Jan-17"/>
    <s v="Powerplus - ESCAOL35-150KIT- BL_x000d__x000a_Skirting Duct &amp; Lid Kit Black"/>
    <n v="413.7"/>
    <m/>
    <m/>
  </r>
  <r>
    <s v="INV"/>
    <s v="NBN Sydney"/>
    <s v="0003"/>
    <x v="1"/>
    <s v="Overhead"/>
    <x v="3"/>
    <d v="2017-01-10T00:00:00"/>
    <s v="Jan-17"/>
    <s v="GILCIN - Rent 18/01/2017-18/02/2017_x000d__x000a_Unit 26, 23 John Hines Ave, Minchinbury"/>
    <n v="4416.66"/>
    <m/>
    <m/>
  </r>
  <r>
    <s v="INV"/>
    <s v="NBN Sydney"/>
    <s v="3375/1638"/>
    <x v="1"/>
    <s v="Overhead"/>
    <x v="3"/>
    <d v="2017-01-31T00:00:00"/>
    <s v="Jan-17"/>
    <s v="Regus Australia Management - One-Off charges incurred_x000d__x000a_Exit Fees"/>
    <n v="674.46"/>
    <m/>
    <m/>
  </r>
  <r>
    <s v="INV"/>
    <s v="NBN Sydney"/>
    <s v="9984/01 04"/>
    <x v="5"/>
    <s v="Minchinbury Mobilisation"/>
    <x v="70"/>
    <d v="2017-01-08T00:00:00"/>
    <s v="Jan-17"/>
    <s v="United Yass - ULP 54.70L 1.353,  Gilbert Ute SS"/>
    <n v="67.28"/>
    <m/>
    <m/>
  </r>
  <r>
    <s v="INV"/>
    <s v="NBN Sydney"/>
    <s v="3369105"/>
    <x v="5"/>
    <s v="Minchinbury Mobilisation"/>
    <x v="70"/>
    <d v="2017-01-03T00:00:00"/>
    <s v="Jan-17"/>
    <s v="Eureka Operations - Coles Express - Diesel 137.80L 1.299,, Gilbert Cruiser"/>
    <n v="162.72999999999999"/>
    <m/>
    <m/>
  </r>
  <r>
    <s v="INV"/>
    <s v="NBN Sydney"/>
    <s v="62062"/>
    <x v="5"/>
    <s v="Minchinbury Mobilisation"/>
    <x v="70"/>
    <d v="2017-01-09T00:00:00"/>
    <s v="Jan-17"/>
    <s v="Caltex Yass - Diesel 155.93L 1.279,  Gilbert Cruiser"/>
    <n v="181.3"/>
    <m/>
    <m/>
  </r>
  <r>
    <s v="INV"/>
    <s v="NBN Sydney"/>
    <s v="916244"/>
    <x v="5"/>
    <s v="Minchinbury Mobilisation"/>
    <x v="70"/>
    <d v="2017-01-25T00:00:00"/>
    <s v="Jan-17"/>
    <s v="Caltex Hornsby Hts - Diesel 157.22L 1.329, Gilbert Cruiser"/>
    <n v="189.95"/>
    <m/>
    <m/>
  </r>
  <r>
    <s v="INV"/>
    <s v="NBN Sydney"/>
    <s v="450649"/>
    <x v="5"/>
    <s v="Minchinbury Mobilisation"/>
    <x v="70"/>
    <d v="2017-01-04T00:00:00"/>
    <s v="Jan-17"/>
    <s v="7 Eleven Arndell Park - Diesel 52.91L 1.269, Alex Crawford"/>
    <n v="61.04"/>
    <m/>
    <m/>
  </r>
  <r>
    <s v="INV"/>
    <s v="NBN Sydney"/>
    <s v="92990"/>
    <x v="5"/>
    <s v="Minchinbury Mobilisation"/>
    <x v="70"/>
    <d v="2017-01-06T00:00:00"/>
    <s v="Jan-17"/>
    <s v="South West Fuel Centre Cootamundra - Diesel 49.27L 1.279   Alex Crawford"/>
    <n v="57.29"/>
    <m/>
    <m/>
  </r>
  <r>
    <s v="INV"/>
    <s v="NBN Sydney"/>
    <s v="1412683"/>
    <x v="5"/>
    <s v="Minchinbury Mobilisation"/>
    <x v="70"/>
    <d v="2017-01-10T00:00:00"/>
    <s v="Jan-17"/>
    <s v="Eureka Operations - Coles Express - Diesel 59.93L 1.369   Alex Crawford"/>
    <n v="74.58"/>
    <m/>
    <m/>
  </r>
  <r>
    <s v="INV"/>
    <s v="NBN Sydney"/>
    <s v="3310314"/>
    <x v="5"/>
    <s v="Minchinbury Mobilisation"/>
    <x v="70"/>
    <d v="2017-01-15T00:00:00"/>
    <s v="Jan-17"/>
    <s v="Eureka Operations - Coles Express - Diesel 49.95L 1.369   Alex Crawford"/>
    <n v="62.16"/>
    <m/>
    <m/>
  </r>
  <r>
    <s v="INV"/>
    <s v="NBN Sydney"/>
    <s v="25417"/>
    <x v="5"/>
    <s v="Minchinbury Mobilisation"/>
    <x v="70"/>
    <d v="2017-01-15T00:00:00"/>
    <s v="Jan-17"/>
    <s v="Caltex Wagga Wagga - Lake Albert Road - Diesel 37.74L 1.309   Alex Crawford"/>
    <n v="44.91"/>
    <m/>
    <m/>
  </r>
  <r>
    <s v="INV"/>
    <s v="NBN Sydney"/>
    <s v="94894"/>
    <x v="5"/>
    <s v="Minchinbury Mobilisation"/>
    <x v="70"/>
    <d v="2017-01-23T00:00:00"/>
    <s v="Jan-17"/>
    <s v="Caltex Goulburn - Diesel 54.39L 1.309    Alex Crawford"/>
    <n v="64.73"/>
    <m/>
    <m/>
  </r>
  <r>
    <s v="INV"/>
    <s v="NBN Sydney"/>
    <s v="2217774"/>
    <x v="5"/>
    <s v="Minchinbury Mobilisation"/>
    <x v="70"/>
    <d v="2017-01-25T00:00:00"/>
    <s v="Jan-17"/>
    <s v="7 Eleven Minchinbury - Diesel 54.19L 1.289   Alex Crawford"/>
    <n v="63.5"/>
    <m/>
    <m/>
  </r>
  <r>
    <s v="INV"/>
    <s v="NBN Sydney"/>
    <s v="001/7609"/>
    <x v="5"/>
    <s v="Minor Works"/>
    <x v="79"/>
    <d v="2017-01-03T00:00:00"/>
    <s v="Jan-17"/>
    <s v="Woolworths Petrol - Charge &amp; Sync Cable Micro Orange/Blk    Greg Baylis"/>
    <n v="13.64"/>
    <m/>
    <m/>
  </r>
  <r>
    <s v="INV"/>
    <s v="NBN Sydney"/>
    <s v="27872"/>
    <x v="5"/>
    <s v="Minor Works"/>
    <x v="79"/>
    <d v="2017-01-05T00:00:00"/>
    <s v="Jan-17"/>
    <s v="Woolongong City Council - Church Street Meter - 12.25 pm - 1.25 pm   Greg Baylis"/>
    <n v="0.91"/>
    <m/>
    <m/>
  </r>
  <r>
    <s v="INV"/>
    <s v="NBN Sydney"/>
    <s v="27872"/>
    <x v="5"/>
    <s v="Minor Works"/>
    <x v="79"/>
    <d v="2017-01-05T00:00:00"/>
    <s v="Jan-17"/>
    <s v="Woolongong City Council - Church Street Meter - 11.14 am - 12.14 pm   Greg Baylis"/>
    <n v="0.91"/>
    <m/>
    <m/>
  </r>
  <r>
    <s v="INV"/>
    <s v="NBN Sydney"/>
    <s v="27872"/>
    <x v="5"/>
    <s v="Minor Works"/>
    <x v="79"/>
    <d v="2017-01-05T00:00:00"/>
    <s v="Jan-17"/>
    <s v="Woolongong City Council - Church Street Meter - 1.27 pm - 2.27 pm    Greg Baylis"/>
    <n v="0.91"/>
    <m/>
    <m/>
  </r>
  <r>
    <s v="INV"/>
    <s v="NBN Sydney"/>
    <s v="27872"/>
    <x v="5"/>
    <s v="Minor Works"/>
    <x v="79"/>
    <d v="2017-01-05T00:00:00"/>
    <s v="Jan-17"/>
    <s v="Woolongong City Council - Church Street Meter - 10.23 am - 11.23 am    Greg Baylis"/>
    <n v="0.91"/>
    <m/>
    <m/>
  </r>
  <r>
    <s v="INV"/>
    <s v="NBN Sydney"/>
    <s v="2412400"/>
    <x v="5"/>
    <s v="Minor Works"/>
    <x v="79"/>
    <d v="2017-01-05T00:00:00"/>
    <s v="Jan-17"/>
    <s v="BP 2Go Engadine - ULP 38.17L 1.249     Greg Baylis"/>
    <n v="43.34"/>
    <m/>
    <m/>
  </r>
  <r>
    <s v="INV"/>
    <s v="NBN Sydney"/>
    <s v="27872"/>
    <x v="5"/>
    <s v="Minor Works"/>
    <x v="79"/>
    <d v="2017-01-05T00:00:00"/>
    <s v="Jan-17"/>
    <s v="Woolongong City Council - Church Street Meter - 8.32 am - 9.32 am    Greg Baylis"/>
    <n v="1.0900000000000001"/>
    <m/>
    <m/>
  </r>
  <r>
    <s v="INV"/>
    <s v="NBN Sydney"/>
    <s v="27872"/>
    <x v="5"/>
    <s v="Minor Works"/>
    <x v="79"/>
    <d v="2017-01-05T00:00:00"/>
    <s v="Jan-17"/>
    <s v="Woolongong City Council - Church Street Meter - 12.06 pm - 1.06 pm  Greg Baylis"/>
    <n v="0.91"/>
    <m/>
    <m/>
  </r>
  <r>
    <s v="INV"/>
    <s v="NBN Sydney"/>
    <s v="1412134"/>
    <x v="5"/>
    <s v="Minchinbury Mobilisation"/>
    <x v="70"/>
    <d v="2017-01-09T00:00:00"/>
    <s v="Jan-17"/>
    <s v="Eureka Operations - Coles Express - ULP 45.22L 1.599   Greg Baylis"/>
    <n v="65.739999999999995"/>
    <m/>
    <m/>
  </r>
  <r>
    <s v="INV"/>
    <s v="NBN Sydney"/>
    <s v="170112 02.49"/>
    <x v="5"/>
    <s v="Minor Works"/>
    <x v="79"/>
    <d v="2017-01-12T00:00:00"/>
    <s v="Jan-17"/>
    <s v="Leolando Pty Ltd - ULP 48.97L 1.347   Greg Baylis"/>
    <n v="59.96"/>
    <m/>
    <m/>
  </r>
  <r>
    <s v="INV"/>
    <s v="NBN Sydney"/>
    <s v="2987496"/>
    <x v="5"/>
    <s v="Minor Works"/>
    <x v="79"/>
    <d v="2017-01-18T00:00:00"/>
    <s v="Jan-17"/>
    <s v="Eureka Operations - Coles Express - ULP 28.98L 1.599   Greg Baylis"/>
    <n v="42.13"/>
    <m/>
    <m/>
  </r>
  <r>
    <s v="INV"/>
    <s v="NBN Sydney"/>
    <s v="97808"/>
    <x v="5"/>
    <s v="Minor Works"/>
    <x v="79"/>
    <d v="2017-01-19T00:00:00"/>
    <s v="Jan-17"/>
    <s v="Caltex Queanbeyan - ULP 37.39L 1.519   Greg Baylis"/>
    <n v="51.64"/>
    <m/>
    <m/>
  </r>
  <r>
    <s v="INV"/>
    <s v="NBN Sydney"/>
    <s v="2211230"/>
    <x v="5"/>
    <s v="Minchinbury Mobilisation"/>
    <x v="70"/>
    <d v="2017-01-20T00:00:00"/>
    <s v="Jan-17"/>
    <s v="7 Eleven Minchinbury - ULP 34.11L 1.279   Greg Baylis"/>
    <n v="39.65"/>
    <m/>
    <m/>
  </r>
  <r>
    <s v="INV"/>
    <s v="NBN Sydney"/>
    <s v="41953"/>
    <x v="5"/>
    <s v="Minor Works"/>
    <x v="79"/>
    <d v="2017-01-24T00:00:00"/>
    <s v="Jan-17"/>
    <s v="Caltex West Gosford - Diesel 38.16L 1.529   Greg Baylis"/>
    <n v="53.05"/>
    <s v=" "/>
    <m/>
  </r>
  <r>
    <s v="INV"/>
    <s v="NBN Sydney"/>
    <s v="27524016"/>
    <x v="1"/>
    <s v="Overhead"/>
    <x v="3"/>
    <d v="2017-01-08T00:00:00"/>
    <s v="Jan-17"/>
    <s v="Rampage Retail Pty Ltd - Diesel 66.24L 1.289"/>
    <n v="77.62"/>
    <m/>
    <m/>
  </r>
  <r>
    <s v="INV"/>
    <s v="NBN Sydney"/>
    <s v="1356817"/>
    <x v="1"/>
    <s v="Overhead"/>
    <x v="3"/>
    <d v="2017-01-11T00:00:00"/>
    <s v="Jan-17"/>
    <s v="7 Eleven Northmead - Diesel 65.35L 1.299"/>
    <n v="77.17"/>
    <m/>
    <m/>
  </r>
  <r>
    <s v="INV"/>
    <s v="NBN Sydney"/>
    <s v="94516"/>
    <x v="1"/>
    <s v="Overhead"/>
    <x v="3"/>
    <d v="2017-01-16T00:00:00"/>
    <s v="Jan-17"/>
    <s v="Caltex Leumeah - Diesel 63.15L 1.319"/>
    <n v="75.72"/>
    <m/>
    <m/>
  </r>
  <r>
    <s v="INV"/>
    <s v="NBN Sydney"/>
    <s v="308611"/>
    <x v="1"/>
    <s v="Overhead"/>
    <x v="3"/>
    <d v="2017-01-23T00:00:00"/>
    <s v="Jan-17"/>
    <s v="Caltex Leumeah - Diesel 64.43L 1.319"/>
    <n v="77.25"/>
    <m/>
    <m/>
  </r>
  <r>
    <s v="INV"/>
    <s v="NBN Sydney"/>
    <s v="170125 11:17"/>
    <x v="1"/>
    <s v="Overhead"/>
    <x v="3"/>
    <d v="2017-01-25T00:00:00"/>
    <s v="Jan-17"/>
    <s v="Rampage Retail Pty Ltd - Diesel 52.56L 1.299"/>
    <n v="62.07"/>
    <m/>
    <m/>
  </r>
  <r>
    <s v="MJ"/>
    <s v="NBN Sydney"/>
    <s v="#28921"/>
    <x v="7"/>
    <s v="Minor Works"/>
    <x v="79"/>
    <d v="2017-01-01T00:00:00"/>
    <s v="Jan-17"/>
    <s v="SYDNEY VEHICLE  AND TEST EQUIPMENT RENTAL - TEST EQUIPMENT MONTHLY RENTAL"/>
    <n v="64.430000000000007"/>
    <m/>
    <m/>
  </r>
  <r>
    <s v="MJ"/>
    <s v="NBN Sydney"/>
    <s v="#28921"/>
    <x v="5"/>
    <s v="Minchinbury Mobilisation"/>
    <x v="70"/>
    <d v="2017-01-01T00:00:00"/>
    <s v="Jan-17"/>
    <s v="SYDNEY VEHICLE  AND TEST EQUIPMENT RENTAL - TEST EQUIPMENT MONTHLY RENTAL"/>
    <n v="64.430000000000007"/>
    <m/>
    <m/>
  </r>
  <r>
    <s v="MJ"/>
    <s v="NBN Sydney"/>
    <s v="#28921"/>
    <x v="8"/>
    <s v="Minor Works"/>
    <x v="79"/>
    <d v="2017-01-01T00:00:00"/>
    <s v="Jan-17"/>
    <s v="SYDNEY VEHICLE  AND TEST EQUIPMENT RENTAL - TEST EQUIPMENT MONTHLY RENTAL"/>
    <n v="64.430000000000007"/>
    <m/>
    <m/>
  </r>
  <r>
    <s v="MJ"/>
    <s v="NBN Sydney"/>
    <s v="#28921"/>
    <x v="7"/>
    <s v="Minor Works"/>
    <x v="79"/>
    <d v="2017-01-01T00:00:00"/>
    <s v="Jan-17"/>
    <s v="SYDNEY VEHICLE  AND TEST EQUIPMENT RENTAL - TEST EQUIPMENT MONTHLY RENTAL"/>
    <n v="64.430000000000007"/>
    <m/>
    <m/>
  </r>
  <r>
    <s v="MJ"/>
    <s v="NBN Sydney"/>
    <s v="#28921"/>
    <x v="1"/>
    <s v="Overhead"/>
    <x v="3"/>
    <d v="2017-01-01T00:00:00"/>
    <s v="Jan-17"/>
    <s v="SYDNEY VEHICLE  AND TEST EQUIPMENT RENTAL - TEST EQUIPMENT MONTHLY RENTAL"/>
    <n v="64.430000000000007"/>
    <m/>
    <m/>
  </r>
  <r>
    <s v="MJ"/>
    <s v="NBN Sydney"/>
    <s v="#28921"/>
    <x v="7"/>
    <s v="Minor Works"/>
    <x v="79"/>
    <d v="2017-01-01T00:00:00"/>
    <s v="Jan-17"/>
    <s v="SYDNEY VEHICLE  AND TEST EQUIPMENT RENTAL - TEST EQUIPMENT MONTHLY RENTAL"/>
    <n v="64.430000000000007"/>
    <m/>
    <m/>
  </r>
  <r>
    <s v="MJ"/>
    <s v="NBN Sydney"/>
    <s v="#28921"/>
    <x v="7"/>
    <s v="Minor Works"/>
    <x v="79"/>
    <d v="2017-01-01T00:00:00"/>
    <s v="Jan-17"/>
    <s v="SYDNEY VEHICLE  AND TEST EQUIPMENT RENTAL - TEST EQUIPMENT MONTHLY RENTAL"/>
    <n v="64.430000000000007"/>
    <m/>
    <m/>
  </r>
  <r>
    <s v="MJ"/>
    <s v="NBN Sydney"/>
    <s v="#28921"/>
    <x v="8"/>
    <s v="Minor Works"/>
    <x v="79"/>
    <d v="2017-01-01T00:00:00"/>
    <s v="Jan-17"/>
    <s v="SYDNEY VEHICLE  AND TEST EQUIPMENT RENTAL - TEST EQUIPMENT MONTHLY RENTAL"/>
    <n v="64.430000000000007"/>
    <m/>
    <m/>
  </r>
  <r>
    <s v="MJ"/>
    <s v="NBN Sydney"/>
    <s v="#28921"/>
    <x v="7"/>
    <s v="Minor Works"/>
    <x v="79"/>
    <d v="2017-01-01T00:00:00"/>
    <s v="Jan-17"/>
    <s v="SYDNEY VEHICLE  AND TEST EQUIPMENT RENTAL - TEST EQUIPMENT MONTHLY RENTAL"/>
    <n v="64.430000000000007"/>
    <m/>
    <m/>
  </r>
  <r>
    <s v="MJ"/>
    <s v="NBN Sydney"/>
    <s v="#28921"/>
    <x v="8"/>
    <s v="Minor Works"/>
    <x v="79"/>
    <d v="2017-01-01T00:00:00"/>
    <s v="Jan-17"/>
    <s v="SYDNEY VEHICLE  AND TEST EQUIPMENT RENTAL - TEST EQUIPMENT MONTHLY RENTAL"/>
    <n v="64.430000000000007"/>
    <m/>
    <m/>
  </r>
  <r>
    <s v="MJ"/>
    <s v="NBN Sydney"/>
    <s v="#28921"/>
    <x v="8"/>
    <s v="Minor Works"/>
    <x v="79"/>
    <d v="2017-01-01T00:00:00"/>
    <s v="Jan-17"/>
    <s v="SYDNEY VEHICLE  AND TEST EQUIPMENT RENTAL - TEST EQUIPMENT MONTHLY RENTAL"/>
    <n v="64.430000000000007"/>
    <m/>
    <m/>
  </r>
  <r>
    <s v="MJ"/>
    <s v="NBN Sydney"/>
    <s v="#28921"/>
    <x v="8"/>
    <s v="Minor Works"/>
    <x v="79"/>
    <d v="2017-01-01T00:00:00"/>
    <s v="Jan-17"/>
    <s v="SYDNEY VEHICLE  AND TEST EQUIPMENT RENTAL - TEST EQUIPMENT MONTHLY RENTAL"/>
    <n v="64.430000000000007"/>
    <m/>
    <m/>
  </r>
  <r>
    <s v="MJ"/>
    <s v="NBN Sydney"/>
    <s v="#28921"/>
    <x v="7"/>
    <s v="Minor Works"/>
    <x v="79"/>
    <d v="2017-01-01T00:00:00"/>
    <s v="Jan-17"/>
    <s v="SYDNEY VEHICLE  AND TEST EQUIPMENT RENTAL - TEST EQUIPMENT MONTHLY RENTAL"/>
    <n v="64.430000000000007"/>
    <m/>
    <m/>
  </r>
  <r>
    <s v="MJ"/>
    <s v="NBN Sydney"/>
    <s v="#28921"/>
    <x v="8"/>
    <s v="Minor Works"/>
    <x v="79"/>
    <d v="2017-01-01T00:00:00"/>
    <s v="Jan-17"/>
    <s v="SYDNEY VEHICLE  AND TEST EQUIPMENT RENTAL - TEST EQUIPMENT MONTHLY RENTAL"/>
    <n v="64.430000000000007"/>
    <m/>
    <m/>
  </r>
  <r>
    <s v="MJ"/>
    <s v="NBN Sydney"/>
    <s v="#28921"/>
    <x v="1"/>
    <s v="Overhead"/>
    <x v="3"/>
    <d v="2017-01-01T00:00:00"/>
    <s v="Jan-17"/>
    <s v="SYDNEY VEHICLE  AND TEST EQUIPMENT RENTAL - Forklift"/>
    <n v="487"/>
    <m/>
    <m/>
  </r>
  <r>
    <s v="MJ"/>
    <s v="NBN Sydney"/>
    <s v="#28921"/>
    <x v="1"/>
    <s v="Overhead"/>
    <x v="3"/>
    <d v="2017-01-01T00:00:00"/>
    <s v="Jan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833"/>
    <m/>
    <m/>
  </r>
  <r>
    <s v="MJ"/>
    <s v="NBN Sydney"/>
    <s v="#28921"/>
    <x v="5"/>
    <s v="NBN Greenfields DJC Internals"/>
    <x v="96"/>
    <d v="2017-01-01T00:00:00"/>
    <s v="Jan-17"/>
    <s v="SYDNEY VEHICLE  AND TEST EQUIPMENT RENTAL - BU59MS -HIACE RENTAL - "/>
    <n v="59.5"/>
    <m/>
    <m/>
  </r>
  <r>
    <s v="MJ"/>
    <s v="NBN Sydney"/>
    <s v="#28921"/>
    <x v="5"/>
    <s v="Minchinbury Mobilisation"/>
    <x v="70"/>
    <d v="2017-01-01T00:00:00"/>
    <s v="Jan-17"/>
    <s v="SYDNEY VEHICLE  AND TEST EQUIPMENT RENTAL - BU59MS -HIACE RENTAL - "/>
    <n v="59.5"/>
    <m/>
    <m/>
  </r>
  <r>
    <s v="MJ"/>
    <s v="NBN Sydney"/>
    <s v="#28921"/>
    <x v="5"/>
    <s v="Minor Works"/>
    <x v="79"/>
    <d v="2017-01-01T00:00:00"/>
    <s v="Jan-17"/>
    <s v="SYDNEY VEHICLE  AND TEST EQUIPMENT RENTAL - BU59MS -HIACE RENTAL - "/>
    <n v="59.5"/>
    <m/>
    <m/>
  </r>
  <r>
    <s v="MJ"/>
    <s v="NBN Sydney"/>
    <s v="#28921"/>
    <x v="5"/>
    <s v="NBN Greenfields DJC Internals"/>
    <x v="95"/>
    <d v="2017-01-01T00:00:00"/>
    <s v="Jan-17"/>
    <s v="SYDNEY VEHICLE  AND TEST EQUIPMENT RENTAL - BU59MS -HIACE RENTAL - "/>
    <n v="59.5"/>
    <m/>
    <m/>
  </r>
  <r>
    <s v="MJ"/>
    <s v="NBN Sydney"/>
    <s v="#28921"/>
    <x v="5"/>
    <s v="Overhead"/>
    <x v="3"/>
    <d v="2017-01-01T00:00:00"/>
    <s v="Jan-17"/>
    <s v="SYDNEY VEHICLE  AND TEST EQUIPMENT RENTAL - BU59MS -HIACE RENTAL - "/>
    <n v="59.5"/>
    <m/>
    <m/>
  </r>
  <r>
    <s v="MJ"/>
    <s v="NBN Sydney"/>
    <s v="#28921"/>
    <x v="5"/>
    <s v="NBN Greenfields DJC Internals"/>
    <x v="83"/>
    <d v="2017-01-01T00:00:00"/>
    <s v="Jan-17"/>
    <s v="SYDNEY VEHICLE  AND TEST EQUIPMENT RENTAL - BU59MS -HIACE RENTAL - "/>
    <n v="59.5"/>
    <m/>
    <m/>
  </r>
  <r>
    <s v="MJ"/>
    <s v="NBN Sydney"/>
    <s v="#28921"/>
    <x v="5"/>
    <s v="NBN Greenfields DJC Internals"/>
    <x v="110"/>
    <d v="2017-01-01T00:00:00"/>
    <s v="Jan-17"/>
    <s v="SYDNEY VEHICLE  AND TEST EQUIPMENT RENTAL - BU59MS -HIACE RENTAL - "/>
    <n v="59.5"/>
    <m/>
    <m/>
  </r>
  <r>
    <s v="MJ"/>
    <s v="NBN Sydney"/>
    <s v="#28921"/>
    <x v="5"/>
    <s v="Minor Works"/>
    <x v="111"/>
    <d v="2017-01-01T00:00:00"/>
    <s v="Jan-17"/>
    <s v="SYDNEY VEHICLE  AND TEST EQUIPMENT RENTAL - BU59MS -HIACE RENTAL - "/>
    <n v="59.5"/>
    <m/>
    <m/>
  </r>
  <r>
    <s v="MJ"/>
    <s v="NBN Sydney"/>
    <s v="#28921"/>
    <x v="5"/>
    <s v="NBN Greenfields DJC Internals"/>
    <x v="89"/>
    <d v="2017-01-01T00:00:00"/>
    <s v="Jan-17"/>
    <s v="SYDNEY VEHICLE  AND TEST EQUIPMENT RENTAL - BU59MS -HIACE RENTAL - "/>
    <n v="59.5"/>
    <m/>
    <m/>
  </r>
  <r>
    <s v="MJ"/>
    <s v="NBN Sydney"/>
    <s v="#28921"/>
    <x v="5"/>
    <s v="NBN Minor Works DJC Internals"/>
    <x v="106"/>
    <d v="2017-01-01T00:00:00"/>
    <s v="Jan-17"/>
    <s v="SYDNEY VEHICLE  AND TEST EQUIPMENT RENTAL - BU59MS -HIACE RENTAL - "/>
    <n v="59.5"/>
    <m/>
    <m/>
  </r>
  <r>
    <s v="MJ"/>
    <s v="NBN Sydney"/>
    <s v="#28921"/>
    <x v="5"/>
    <s v="NBN Minor Works DJC Internals"/>
    <x v="84"/>
    <d v="2017-01-01T00:00:00"/>
    <s v="Jan-17"/>
    <s v="SYDNEY VEHICLE  AND TEST EQUIPMENT RENTAL - BU59MS -HIACE RENTAL - "/>
    <n v="59.5"/>
    <m/>
    <m/>
  </r>
  <r>
    <s v="MJ"/>
    <s v="NBN Sydney"/>
    <s v="#28921"/>
    <x v="5"/>
    <s v="NBN Minor Works DJC Internals"/>
    <x v="103"/>
    <d v="2017-01-01T00:00:00"/>
    <s v="Jan-17"/>
    <s v="SYDNEY VEHICLE  AND TEST EQUIPMENT RENTAL - BU59MS -HIACE RENTAL - "/>
    <n v="59.5"/>
    <m/>
    <m/>
  </r>
  <r>
    <s v="MJ"/>
    <s v="NBN Sydney"/>
    <s v="#28921"/>
    <x v="5"/>
    <s v="NBN Greenfields DJC Internals"/>
    <x v="109"/>
    <d v="2017-01-01T00:00:00"/>
    <s v="Jan-17"/>
    <s v="SYDNEY VEHICLE  AND TEST EQUIPMENT RENTAL - BU59MS -HIACE RENTAL - "/>
    <n v="59.5"/>
    <m/>
    <m/>
  </r>
  <r>
    <s v="MJ"/>
    <s v="NBN Sydney"/>
    <s v="#28921"/>
    <x v="5"/>
    <s v="Minor Works"/>
    <x v="102"/>
    <d v="2017-01-01T00:00:00"/>
    <s v="Jan-17"/>
    <s v="SYDNEY VEHICLE  AND TEST EQUIPMENT RENTAL - BU59MS -HIACE RENTAL - "/>
    <n v="59.5"/>
    <m/>
    <m/>
  </r>
  <r>
    <s v="INV"/>
    <s v="NBN Sydney"/>
    <s v="88990-1-2017"/>
    <x v="1"/>
    <s v="Overhead"/>
    <x v="3"/>
    <d v="2017-01-31T00:00:00"/>
    <s v="Jan-17"/>
    <s v="Supagas - LPG 15kg Cylinder"/>
    <n v="31.32"/>
    <m/>
    <m/>
  </r>
  <r>
    <s v="INV"/>
    <s v="NBN Sydney"/>
    <s v="88990-1-2017"/>
    <x v="1"/>
    <s v="Overhead"/>
    <x v="3"/>
    <d v="2017-01-31T00:00:00"/>
    <s v="Jan-17"/>
    <s v="Supagas - Monthly Rental of LPG 15kg Cylinder"/>
    <n v="10"/>
    <m/>
    <m/>
  </r>
  <r>
    <s v="o"/>
    <s v="NBN Sydney"/>
    <s v="INV-11890a"/>
    <x v="3"/>
    <s v="NBN Minor Works"/>
    <x v="102"/>
    <d v="2017-02-01T00:00:00"/>
    <s v="Feb-17"/>
    <s v="NBN Co Sydney - MW20334 - 2GOS-04 - LOC000053292299 - 5 Oakglen "/>
    <m/>
    <s v="Minor Works - 2GOS‐04 ‐ 5 Oakglen"/>
    <n v="873.12"/>
  </r>
  <r>
    <s v="INV"/>
    <s v="NBN Sydney"/>
    <s v="INV-11889bc"/>
    <x v="3"/>
    <s v="NBN Minor Works"/>
    <x v="69"/>
    <d v="2017-02-01T00:00:00"/>
    <s v="Feb-17"/>
    <s v="NBN Co Sydney - 2GOS-06 – Manns Road - council restoration_x000d__x000a_"/>
    <m/>
    <s v="Minor Works - 2GOS-06 Manns Road Aerial"/>
    <n v="1300.28"/>
  </r>
  <r>
    <s v="INV"/>
    <s v="NBN Sydney"/>
    <s v="CN-11940"/>
    <x v="3"/>
    <s v="NBN Minor Works"/>
    <x v="69"/>
    <d v="2017-02-01T00:00:00"/>
    <s v="Feb-17"/>
    <s v="NBN Co Sydney - 2GOS-06 – Manns Road _x000d__x000a_"/>
    <n v="27404.02"/>
    <s v="Minor Works - 2GOS-06 Manns Road Aerial"/>
    <m/>
  </r>
  <r>
    <s v="INV"/>
    <s v="NBN Sydney"/>
    <s v="INV-11800a"/>
    <x v="3"/>
    <s v="NBN Greenfields"/>
    <x v="89"/>
    <d v="2017-02-01T00:00:00"/>
    <s v="Feb-17"/>
    <s v="NBN Co Sydney - 2CBT05  AYCA2AW2N9 2-10 Tyler street, Campbelltown"/>
    <m/>
    <s v="NBN Greenfields - AYCA-2AW2N9 210 Tyler street"/>
    <n v="150"/>
  </r>
  <r>
    <s v="INV"/>
    <s v="NBN Sydney"/>
    <s v="INV-11891a"/>
    <x v="3"/>
    <s v="NBN Minor Works"/>
    <x v="112"/>
    <d v="2017-02-01T00:00:00"/>
    <s v="Feb-17"/>
    <s v="NBN Co Sydney - MW20323 - 9QBN-08 - MPS-035 - 8 Ogilvie "/>
    <m/>
    <s v="Minor Works -  9QBN-08 - MPS-035 - 8 Ogilvie "/>
    <n v="291.95"/>
  </r>
  <r>
    <s v="INV"/>
    <s v="NBN Sydney"/>
    <s v="INV-11938"/>
    <x v="3"/>
    <s v="NBN Greenfields"/>
    <x v="113"/>
    <d v="2017-02-17T00:00:00"/>
    <s v="Feb-17"/>
    <s v="NBN Co Sydney - MW20350 - 2KEL-01 - AYCA-2N2GU7 - Tatton Park  8"/>
    <m/>
    <s v="NBN Greenfields - AYCA-2N2GU7 - Tatton Park  8"/>
    <n v="3842.62"/>
  </r>
  <r>
    <s v="INV"/>
    <s v="NBN Sydney"/>
    <s v="INV-11947"/>
    <x v="3"/>
    <s v="NBN Greenfields"/>
    <x v="91"/>
    <d v="2017-02-22T00:00:00"/>
    <s v="Feb-17"/>
    <s v="NBN Co Sydney - AYCA-1WA1Y6 21-24 Railway Road Meadowbank "/>
    <m/>
    <s v="NBN Greenfields - AYCA-1WA1Y6 21-24 Railway Road Meadowbank "/>
    <n v="7582.17"/>
  </r>
  <r>
    <s v="INV"/>
    <s v="NBN Sydney"/>
    <s v="INV-11955"/>
    <x v="3"/>
    <s v="NBN Greenfields"/>
    <x v="108"/>
    <d v="2017-02-23T00:00:00"/>
    <s v="Feb-17"/>
    <s v="NBN Co Sydney - MW20329 - AYCA-23JF57 - Charlotte Gardens -"/>
    <m/>
    <s v="NBN Greenfields - AYCA-23JF57 - Charlotte Gardens"/>
    <n v="2782.38"/>
  </r>
  <r>
    <s v="INV"/>
    <s v="NBN Sydney"/>
    <s v="INV-11966"/>
    <x v="3"/>
    <s v="NBN Greenfields"/>
    <x v="110"/>
    <d v="2017-02-27T00:00:00"/>
    <s v="Feb-17"/>
    <s v="NBN Co Sydney - AYCA-3P61JX---361 Princes Hwy, Woonona"/>
    <m/>
    <s v="NBN Greenfields - AYCA-3P61JX---361 Princes Hwy, Woonona"/>
    <n v="8265.9"/>
  </r>
  <r>
    <s v="INV"/>
    <s v="NBN Sydney"/>
    <s v="INV-11965"/>
    <x v="3"/>
    <s v="NBN Greenfields"/>
    <x v="109"/>
    <d v="2017-02-27T00:00:00"/>
    <s v="Feb-17"/>
    <s v="NBN Co Sydney -  MW20286 - AYCA-157236 - Macquarie Park Village "/>
    <m/>
    <s v="NBN Greenfields - AYCA-157236 - Macquarie Park Village "/>
    <n v="4695.79"/>
  </r>
  <r>
    <s v="INV"/>
    <s v="NBN Sydney"/>
    <s v="INV-11964"/>
    <x v="3"/>
    <s v="NBN Minor Works"/>
    <x v="114"/>
    <d v="2017-02-27T00:00:00"/>
    <s v="Feb-17"/>
    <s v="NBN Co Sydney - 2GOS-06 LNDN and MDU Activities - Koala Cr- Variation Proposal - Council Restoration"/>
    <m/>
    <s v="Minor Works - 2GOS-06 LNDN and MDU "/>
    <n v="2330.21"/>
  </r>
  <r>
    <s v="INV"/>
    <s v="NBN Sydney"/>
    <s v="INV-11970"/>
    <x v="3"/>
    <s v="NBN Greenfields"/>
    <x v="115"/>
    <d v="2017-02-28T00:00:00"/>
    <s v="Feb-17"/>
    <s v="NBN Co Sydney - AYCA-2ZVM02 - NENSW0226 – 68 Elizabeth Street, Moss Vale"/>
    <m/>
    <s v="NBN Greenfields - NENSW0226 - 2MSV-02-68 Elizabeth Street, Moss Vale V2"/>
    <n v="4097.1899999999996"/>
  </r>
  <r>
    <s v="INV"/>
    <s v="NBN Sydney"/>
    <s v="INV-11971"/>
    <x v="3"/>
    <s v="NBN Minor Works"/>
    <x v="84"/>
    <d v="2017-02-28T00:00:00"/>
    <s v="Feb-17"/>
    <s v="NBN Co Sydney -  MWA, 2COR-05 Build Drops - FDAs 04, 06 &amp; 09"/>
    <m/>
    <s v="Minor Works - 2COR-05 Drops"/>
    <n v="54509.53"/>
  </r>
  <r>
    <s v="INV"/>
    <s v="NBN Sydney"/>
    <s v="INV-11972"/>
    <x v="3"/>
    <s v="NBN Greenfields"/>
    <x v="116"/>
    <d v="2017-02-28T00:00:00"/>
    <s v="Feb-17"/>
    <s v="NBN Co Sydney - MW20344 - AYCA-3A6FG3 - Roseglass - 1"/>
    <m/>
    <s v="NBN Greenfields - AYCA-3A6FG3 - Roseglass"/>
    <n v="9077.5300000000007"/>
  </r>
  <r>
    <s v="INV"/>
    <s v="NBN Sydney"/>
    <s v="INV-11967"/>
    <x v="3"/>
    <s v="NBN Greenfields"/>
    <x v="117"/>
    <d v="2017-02-28T00:00:00"/>
    <s v="Feb-17"/>
    <s v="NBN Co Sydney - AYCA-2B2DZQ - Greenview Parade - 1 "/>
    <m/>
    <s v="NBN Greenfields - AYCA-2B2DZQ - Greenview Parade"/>
    <n v="1137.5999999999999"/>
  </r>
  <r>
    <s v="INV"/>
    <s v="NBN Sydney"/>
    <s v="INV-11968"/>
    <x v="3"/>
    <s v="NBN Minor Works"/>
    <x v="68"/>
    <d v="2017-02-28T00:00:00"/>
    <s v="Feb-17"/>
    <s v="NBN Co Sydney - Wollongong MWI, 2WLG-01 &amp; WLG-08"/>
    <m/>
    <s v="Minor Works - 2WLG-01 &amp; 08"/>
    <n v="6162.29"/>
  </r>
  <r>
    <s v="INV"/>
    <s v="NBN Sydney"/>
    <s v="INV-11969"/>
    <x v="3"/>
    <s v="NBN Minor Works"/>
    <x v="118"/>
    <d v="2017-02-28T00:00:00"/>
    <s v="Feb-17"/>
    <s v="NBN Co Sydney - MWI Invoice, 2BLK-07 Huntingwood"/>
    <m/>
    <s v="Minor Works - 2BLK-07 Huntingwood FttB Survey &amp; Design"/>
    <n v="4308"/>
  </r>
  <r>
    <s v="INV"/>
    <s v="NBN Sydney"/>
    <s v="00018437"/>
    <x v="4"/>
    <s v="Minchinbury Mobilisation"/>
    <x v="70"/>
    <d v="2017-02-01T00:00:00"/>
    <s v="Feb-17"/>
    <s v="Express Safety Solutions - Delivery and Handling"/>
    <n v="10"/>
    <m/>
    <m/>
  </r>
  <r>
    <s v="INV"/>
    <s v="NBN Sydney"/>
    <s v="51768"/>
    <x v="1"/>
    <s v="Overhead"/>
    <x v="3"/>
    <d v="2017-02-20T00:00:00"/>
    <s v="Feb-17"/>
    <s v="AusOptic - Freight"/>
    <n v="15"/>
    <m/>
    <m/>
  </r>
  <r>
    <s v="INV"/>
    <s v="NBN Sydney"/>
    <s v="00018534"/>
    <x v="4"/>
    <s v="Minchinbury Mobilisation"/>
    <x v="70"/>
    <d v="2017-02-23T00:00:00"/>
    <s v="Feb-17"/>
    <s v="Express Safety Solutions - Delivery"/>
    <n v="10"/>
    <m/>
    <m/>
  </r>
  <r>
    <s v="INV"/>
    <s v="NBN Sydney"/>
    <s v="INV-10000626"/>
    <x v="4"/>
    <s v="Minchinbury Mobilisation"/>
    <x v="70"/>
    <d v="2017-02-28T00:00:00"/>
    <s v="Feb-17"/>
    <s v="Amtac - Packaging, handling &amp; Delivery"/>
    <n v="15"/>
    <m/>
    <m/>
  </r>
  <r>
    <s v="INV"/>
    <s v="NBN Sydney"/>
    <s v="862202"/>
    <x v="1"/>
    <s v="Overhead"/>
    <x v="3"/>
    <d v="2017-02-06T00:00:00"/>
    <s v="Feb-17"/>
    <s v="Mitronics - DIGITAL SUPPORT "/>
    <n v="39.950000000000003"/>
    <m/>
    <m/>
  </r>
  <r>
    <s v="INV"/>
    <s v="NBN Sydney"/>
    <s v="862202"/>
    <x v="1"/>
    <s v="Overhead"/>
    <x v="3"/>
    <d v="2017-02-06T00:00:00"/>
    <s v="Feb-17"/>
    <s v="Mitronics - S/N AO2E041005704- Colour Read Last read- 197,405, 8/1/2017 Current read 199,530 prints -2125"/>
    <n v="238"/>
    <m/>
    <m/>
  </r>
  <r>
    <s v="INV"/>
    <s v="NBN Sydney"/>
    <s v="862202"/>
    <x v="1"/>
    <s v="Overhead"/>
    <x v="3"/>
    <d v="2017-02-06T00:00:00"/>
    <s v="Feb-17"/>
    <s v="Mitronics - S/N AO2E041005704- Black last read- 203,771 8/1/2017 Current read 204700 prints 929"/>
    <n v="9.56"/>
    <m/>
    <m/>
  </r>
  <r>
    <s v="INV"/>
    <s v="NBN Sydney"/>
    <s v="00018437"/>
    <x v="4"/>
    <s v="Minchinbury Mobilisation"/>
    <x v="70"/>
    <d v="2017-02-01T00:00:00"/>
    <s v="Feb-17"/>
    <s v="Express Safety Solutions - 110927 M21-750-427+_x000d__x000a_19.05mm x 4.7mtB427 BLKonWH"/>
    <n v="35.33"/>
    <m/>
    <m/>
  </r>
  <r>
    <s v="INV"/>
    <s v="NBN Sydney"/>
    <s v="EC260502981.0"/>
    <x v="0"/>
    <s v="NBN Minor Works DJC"/>
    <x v="49"/>
    <d v="2017-02-02T00:00:00"/>
    <s v="Feb-17"/>
    <s v="Eastern Creek Waste Management Centre - Tip Fee - Green Waste disposal GOS-04"/>
    <n v="40.909999999999997"/>
    <m/>
    <m/>
  </r>
  <r>
    <s v="INV"/>
    <s v="NBN Sydney"/>
    <s v="7306-021-58766"/>
    <x v="4"/>
    <s v="Minchinbury Mobilisation"/>
    <x v="70"/>
    <d v="2017-02-08T00:00:00"/>
    <s v="Feb-17"/>
    <s v="Bunnings Warehouse - 9310086511385 Washer flat ZP Zenith SPPK 3/8 x 1in Pkt 18 E"/>
    <n v="3.37"/>
    <m/>
    <m/>
  </r>
  <r>
    <s v="INV"/>
    <s v="NBN Sydney"/>
    <s v="7306-021-58766"/>
    <x v="4"/>
    <s v="Minchinbury Mobilisation"/>
    <x v="70"/>
    <d v="2017-02-08T00:00:00"/>
    <s v="Feb-17"/>
    <s v="Bunnings Warehouse - 9314453018514 Bolts&amp;nuts HX Hi Tensile Romak 10 x 40mm YZ GD08.8 Pkt4 018510"/>
    <n v="8.64"/>
    <m/>
    <m/>
  </r>
  <r>
    <s v="INV"/>
    <s v="NBN Sydney"/>
    <s v="71 A87278"/>
    <x v="4"/>
    <s v="NBN Greenfields DJC Internals"/>
    <x v="110"/>
    <d v="2017-02-08T00:00:00"/>
    <s v="Feb-17"/>
    <s v="Middy's Data &amp; Electrical - KRO 64685043-10_x000d__x000a_Disconnection Module Profil (1-0)"/>
    <n v="82.3"/>
    <m/>
    <m/>
  </r>
  <r>
    <s v="INV"/>
    <s v="NBN Sydney"/>
    <s v="71 A87326"/>
    <x v="4"/>
    <s v="Minchinbury Mobilisation"/>
    <x v="70"/>
    <d v="2017-02-10T00:00:00"/>
    <s v="Feb-17"/>
    <s v="Middy's Data &amp; Electrical - PIR 5447583_x000d__x000a_Jumper Wire NBN Only Purple/White"/>
    <n v="68"/>
    <m/>
    <m/>
  </r>
  <r>
    <s v="INV"/>
    <s v="NBN Sydney"/>
    <s v="71 A87349"/>
    <x v="4"/>
    <s v="Minchinbury Mobilisation"/>
    <x v="70"/>
    <d v="2017-02-13T00:00:00"/>
    <s v="Feb-17"/>
    <s v="Middy's Data &amp; Electrical - BVC 410290C_x000d__x000a_Pit Lid P5 Composit.Telstra CL:B40/3043"/>
    <n v="58.57"/>
    <m/>
    <m/>
  </r>
  <r>
    <s v="INV"/>
    <s v="NBN Sydney"/>
    <s v="71 A87349"/>
    <x v="4"/>
    <s v="Minchinbury Mobilisation"/>
    <x v="70"/>
    <d v="2017-02-13T00:00:00"/>
    <s v="Feb-17"/>
    <s v="Middy's Data &amp; Electrical - LNP TELP5-NSW_x000d__x000a_Pit Electrical Telstra P5 UG2005"/>
    <n v="74.040000000000006"/>
    <m/>
    <m/>
  </r>
  <r>
    <s v="INV"/>
    <s v="NBN Sydney"/>
    <s v="416088-760"/>
    <x v="4"/>
    <s v="Minchinbury Mobilisation"/>
    <x v="70"/>
    <d v="2017-02-13T00:00:00"/>
    <s v="Feb-17"/>
    <s v="TLE Electrical - CAA0688RSL-C_x000d__x000a_Plug RJ45 8P8C Round Solid Core 100 pack"/>
    <n v="63.25"/>
    <m/>
    <m/>
  </r>
  <r>
    <s v="INV"/>
    <s v="NBN Sydney"/>
    <s v="001-80898-7054"/>
    <x v="4"/>
    <s v="Minchinbury Mobilisation"/>
    <x v="70"/>
    <d v="2017-02-14T00:00:00"/>
    <s v="Feb-17"/>
    <s v="Bunnings Warehouse - Conduit Fit Trade Pk50 Deta 25mm Metal Half Saddle 2686BT"/>
    <n v="18.73"/>
    <m/>
    <m/>
  </r>
  <r>
    <s v="INV"/>
    <s v="NBN Sydney"/>
    <s v="413101-860"/>
    <x v="4"/>
    <s v="Minchinbury Mobilisation"/>
    <x v="70"/>
    <d v="2017-02-15T00:00:00"/>
    <s v="Feb-17"/>
    <s v="TLE Electrical - APPNBN20WH4500_x000d__x000a_Rigid Conduit NBN 20mm 4.5m PVC White"/>
    <n v="32.799999999999997"/>
    <m/>
    <m/>
  </r>
  <r>
    <s v="INV"/>
    <s v="NBN Sydney"/>
    <s v="00018534"/>
    <x v="4"/>
    <s v="Minchinbury Mobilisation"/>
    <x v="70"/>
    <d v="2017-02-23T00:00:00"/>
    <s v="Feb-17"/>
    <s v="Express Safety Solutions - 112120_x000d__x000a_wm-34-66_x000d__x000a_Consecutive Numbers Wire Marker Card _x000d__x000a_34 thru 66"/>
    <n v="64.790000000000006"/>
    <m/>
    <m/>
  </r>
  <r>
    <s v="INV"/>
    <s v="NBN Sydney"/>
    <s v="00018534"/>
    <x v="4"/>
    <s v="Minchinbury Mobilisation"/>
    <x v="70"/>
    <d v="2017-02-23T00:00:00"/>
    <s v="Feb-17"/>
    <s v="Express Safety Solutions - 111820_x000d__x000a_WM-1-33_x000d__x000a_Consecutive Numbers Wire Marker Card _x000d__x000a_1 thru 33"/>
    <n v="64.790000000000006"/>
    <m/>
    <m/>
  </r>
  <r>
    <s v="INV"/>
    <s v="NBN Sydney"/>
    <s v="19302"/>
    <x v="9"/>
    <s v="Overhead Materials"/>
    <x v="119"/>
    <d v="2017-02-28T00:00:00"/>
    <s v="Feb-17"/>
    <s v="ISG Management Pty Ltd - 43300264_x000d__x000a_Pad, Cleaning Filled Cable, Pack of 50"/>
    <n v="198.48"/>
    <m/>
    <m/>
  </r>
  <r>
    <s v="INV"/>
    <s v="NBN Sydney"/>
    <s v="INV-0100"/>
    <x v="1"/>
    <s v="Overhead"/>
    <x v="3"/>
    <d v="2017-02-05T00:00:00"/>
    <s v="Feb-17"/>
    <s v="Warriewood Consultancy - Datateks Day Rate"/>
    <n v="7713.84"/>
    <m/>
    <m/>
  </r>
  <r>
    <s v="INV"/>
    <s v="NBN Sydney"/>
    <s v="01803330"/>
    <x v="0"/>
    <s v="NBN Greenfields DJC"/>
    <x v="105"/>
    <d v="2017-02-08T00:00:00"/>
    <s v="Feb-17"/>
    <s v="5SMITHS - NBN Canberra AYCA 2XCYEX_x000d__x000a_"/>
    <n v="1043"/>
    <m/>
    <m/>
  </r>
  <r>
    <s v="INV"/>
    <s v="NBN Sydney"/>
    <s v="01803333"/>
    <x v="0"/>
    <s v="NBN Greenfields DJC"/>
    <x v="109"/>
    <d v="2017-02-16T00:00:00"/>
    <s v="Feb-17"/>
    <s v="5SMITHS - NBN MWA AYCA-157236"/>
    <n v="1329"/>
    <m/>
    <m/>
  </r>
  <r>
    <s v="INV"/>
    <s v="NBN Sydney"/>
    <s v="INV-0102"/>
    <x v="1"/>
    <s v="Overhead"/>
    <x v="3"/>
    <d v="2017-02-19T00:00:00"/>
    <s v="Feb-17"/>
    <s v="Warriewood Consultancy - Datateks Day Rate"/>
    <n v="9642.2999999999993"/>
    <m/>
    <m/>
  </r>
  <r>
    <s v="INV"/>
    <s v="NBN Sydney"/>
    <s v="01803342"/>
    <x v="0"/>
    <s v="NBN Minor Works DJC"/>
    <x v="120"/>
    <d v="2017-02-23T00:00:00"/>
    <s v="Feb-17"/>
    <s v="5SMITHS - NBN MWA 2CBT-01 Drops"/>
    <n v="2264"/>
    <m/>
    <m/>
  </r>
  <r>
    <s v="INV"/>
    <s v="NBN Sydney"/>
    <s v="01803341"/>
    <x v="0"/>
    <s v="NBN Minor Works DJC"/>
    <x v="120"/>
    <d v="2017-02-23T00:00:00"/>
    <s v="Feb-17"/>
    <s v="5SMITHS - NBN MWA 2CBT-01 Drops"/>
    <n v="694"/>
    <m/>
    <m/>
  </r>
  <r>
    <s v="INV"/>
    <s v="NBN Sydney"/>
    <s v="1001"/>
    <x v="0"/>
    <s v="NBN Minor Works DJC"/>
    <x v="111"/>
    <d v="2017-02-24T00:00:00"/>
    <s v="Feb-17"/>
    <s v="RainerJames - Engineering Services - 167 George St"/>
    <n v="225"/>
    <m/>
    <m/>
  </r>
  <r>
    <s v="INV"/>
    <s v="NBN Sydney"/>
    <s v="1001"/>
    <x v="0"/>
    <s v="NBN Minor Works DJC"/>
    <x v="111"/>
    <d v="2017-02-24T00:00:00"/>
    <s v="Feb-17"/>
    <s v="RainerJames - Engineering Services - 210 George St"/>
    <n v="225"/>
    <m/>
    <m/>
  </r>
  <r>
    <s v="INV"/>
    <s v="NBN Sydney"/>
    <s v="1001"/>
    <x v="0"/>
    <s v="NBN Minor Works DJC"/>
    <x v="118"/>
    <d v="2017-02-24T00:00:00"/>
    <s v="Feb-17"/>
    <s v="RainerJames - Engineering Services - 51 Huntingwood Dr"/>
    <n v="270"/>
    <m/>
    <m/>
  </r>
  <r>
    <s v="INV"/>
    <s v="NBN Sydney"/>
    <s v="2071"/>
    <x v="0"/>
    <s v="NBN Minor Works DJC"/>
    <x v="102"/>
    <d v="2017-02-27T00:00:00"/>
    <s v="Feb-17"/>
    <s v="Schokman Pty Limited - NBN Minor Works MW20334-2GOS-04-LOC000053292299-5Oakglen"/>
    <n v="1869.09"/>
    <m/>
    <m/>
  </r>
  <r>
    <s v="INV"/>
    <s v="NBN Sydney"/>
    <s v="2070"/>
    <x v="0"/>
    <s v="NBN Greenfields DJC"/>
    <x v="108"/>
    <d v="2017-02-27T00:00:00"/>
    <s v="Feb-17"/>
    <s v="Schokman Pty Limited -  MW20329-AYCA-23JF57 - Charlotte Gardens"/>
    <n v="1532.28"/>
    <m/>
    <m/>
  </r>
  <r>
    <s v="INV"/>
    <s v="NBN Sydney"/>
    <s v="2074"/>
    <x v="0"/>
    <s v="NBN Greenfields DJC"/>
    <x v="115"/>
    <d v="2017-02-27T00:00:00"/>
    <s v="Feb-17"/>
    <s v="Schokman Pty Limited - NBN Minor Works NENSW0226-68 Elizabeth St, Moss Vale"/>
    <n v="2067.2399999999998"/>
    <m/>
    <m/>
  </r>
  <r>
    <s v="INV"/>
    <s v="NBN Sydney"/>
    <s v="2073"/>
    <x v="0"/>
    <s v="NBN Greenfields DJC"/>
    <x v="121"/>
    <d v="2017-02-27T00:00:00"/>
    <s v="Feb-17"/>
    <s v="Schokman Pty Limited - NBN Minor Works NENSW0156-62-64 Manangle St, Picton"/>
    <n v="2436.35"/>
    <m/>
    <m/>
  </r>
  <r>
    <s v="INV"/>
    <s v="NBN Sydney"/>
    <s v="2067"/>
    <x v="0"/>
    <s v="NBN Greenfields DJC"/>
    <x v="116"/>
    <d v="2017-02-27T00:00:00"/>
    <s v="Feb-17"/>
    <s v="Schokman Pty Limited - NBN Minor Works AYCA3A6FG3 Roseglass 1 - Flagstaff Rd"/>
    <n v="1877.81"/>
    <m/>
    <m/>
  </r>
  <r>
    <s v="INV"/>
    <s v="NBN Sydney"/>
    <s v="2072"/>
    <x v="0"/>
    <s v="NBN Greenfields DJC"/>
    <x v="113"/>
    <d v="2017-02-27T00:00:00"/>
    <s v="Feb-17"/>
    <s v="Schokman Pty Limited - NBN Minor Works MW20350-2KEL-01-AYCA-2N2GU7"/>
    <n v="2119.5"/>
    <m/>
    <m/>
  </r>
  <r>
    <s v="INV"/>
    <s v="NBN Sydney"/>
    <s v="2068"/>
    <x v="0"/>
    <s v="NBN Greenfields DJC"/>
    <x v="109"/>
    <d v="2017-02-27T00:00:00"/>
    <s v="Feb-17"/>
    <s v="Schokman Pty Limited - NBN Minor Works AYCA-157236"/>
    <n v="1387.5"/>
    <m/>
    <m/>
  </r>
  <r>
    <s v="INV"/>
    <s v="NBN Sydney"/>
    <s v="2069"/>
    <x v="0"/>
    <s v="NBN Minor Works DJC"/>
    <x v="103"/>
    <d v="2017-02-27T00:00:00"/>
    <s v="Feb-17"/>
    <s v="Schokman Pty Limited - NBN Minor Works MW20332-9QBN-08-MPS-035-8 Ogilvie"/>
    <n v="4383.17"/>
    <m/>
    <m/>
  </r>
  <r>
    <s v="INV"/>
    <s v="NBN Sydney"/>
    <s v="2066"/>
    <x v="0"/>
    <s v="NBN Minor Works DJC"/>
    <x v="84"/>
    <d v="2017-02-27T00:00:00"/>
    <s v="Feb-17"/>
    <s v="Schokman Pty Limited - NBN Minor Works 2COR-05 Feb Reconcile"/>
    <n v="620"/>
    <m/>
    <m/>
  </r>
  <r>
    <s v="INV"/>
    <s v="NBN Sydney"/>
    <s v="132e"/>
    <x v="0"/>
    <s v="NBN Greenfields DJC"/>
    <x v="110"/>
    <d v="2017-02-28T00:00:00"/>
    <s v="Feb-17"/>
    <s v="K R and L G Ewerlin Pty Limited - NBN MWA - AYCA-3P61JX-Princes Court-361 Princes Hwy, Woonona_x000d__x000a_Install P5 Pit over existing, Breakout concrete &amp; pavers, reinstate concrete &amp; pavers, install lead in conduit to P5"/>
    <n v="2191.96"/>
    <m/>
    <m/>
  </r>
  <r>
    <s v="INV"/>
    <s v="NBN Sydney"/>
    <s v="132b"/>
    <x v="0"/>
    <s v="NBN Greenfields DJC"/>
    <x v="110"/>
    <d v="2017-02-28T00:00:00"/>
    <s v="Feb-17"/>
    <s v="K R and L G Ewerlin Pty Limited - NBN MWA - AYCA-3961JX-Princes Court 361 Princes Hwy, Woonona_x000d__x000a_ACM Pit Removal_x000d__x000a_ACM Duct Removal"/>
    <n v="1075"/>
    <m/>
    <m/>
  </r>
  <r>
    <s v="INV"/>
    <s v="NBN Sydney"/>
    <s v="132c"/>
    <x v="0"/>
    <s v="NBN Minor Works DJC"/>
    <x v="84"/>
    <d v="2017-02-28T00:00:00"/>
    <s v="Feb-17"/>
    <s v="K R and L G Ewerlin Pty Limited - NBN MWA - 2COR05- 85 Campbell St_x000d__x000a_Instal Large pit over existing, install P8 riser, Supply &amp; install new P20"/>
    <n v="1385.5"/>
    <m/>
    <m/>
  </r>
  <r>
    <s v="INV"/>
    <s v="NBN Sydney"/>
    <s v="132a"/>
    <x v="0"/>
    <s v="NBN Minor Works DJC"/>
    <x v="84"/>
    <d v="2017-02-28T00:00:00"/>
    <s v="Feb-17"/>
    <s v="K R and L G Ewerlin Pty Limited - NBN MWA - 2COR05_x000d__x000a_ACM Pit Removal - 85 Campbell St"/>
    <n v="1900"/>
    <m/>
    <m/>
  </r>
  <r>
    <s v="INV"/>
    <s v="NBN Sydney"/>
    <s v="01803338"/>
    <x v="0"/>
    <s v="NBN Greenfields DJC"/>
    <x v="115"/>
    <d v="2017-02-28T00:00:00"/>
    <s v="Feb-17"/>
    <s v="5SMITHS - NBN MWA 2MSV-01-01-FJL-001"/>
    <n v="309.64"/>
    <m/>
    <m/>
  </r>
  <r>
    <s v="INV"/>
    <s v="NBN Sydney"/>
    <s v="01803339"/>
    <x v="0"/>
    <s v="NBN Greenfields DJC"/>
    <x v="121"/>
    <d v="2017-02-28T00:00:00"/>
    <s v="Feb-17"/>
    <s v="5SMITHS - NBN MWA 2TAH-01-01"/>
    <n v="371.64"/>
    <m/>
    <m/>
  </r>
  <r>
    <s v="INV"/>
    <s v="NBN Sydney"/>
    <s v="132d"/>
    <x v="0"/>
    <s v="NBN Greenfields DJC"/>
    <x v="116"/>
    <d v="2017-02-28T00:00:00"/>
    <s v="Feb-17"/>
    <s v="K R and L G Ewerlin Pty Limited - NBN MWA - AYCA-3A6FG3-Roseglass - 1 Flagstaff Road, Berkeley_x000d__x000a_Install P5 pit over existing, install lead in conduit to P5 &amp; travel"/>
    <n v="1615"/>
    <m/>
    <m/>
  </r>
  <r>
    <s v="PE"/>
    <s v="NBN Sydney"/>
    <s v="Payroll Expense Journal - PD-397"/>
    <x v="5"/>
    <s v="NBN Greenfields DJC Internals"/>
    <x v="109"/>
    <d v="2017-02-06T00:00:00"/>
    <s v="Feb-17"/>
    <s v="Earnings Tool Allowance Greg Baylis"/>
    <n v="18.649999999999999"/>
    <m/>
    <m/>
  </r>
  <r>
    <s v="PE"/>
    <s v="NBN Sydney"/>
    <s v="Payroll Expense Journal - PD-398"/>
    <x v="5"/>
    <s v="Overhead"/>
    <x v="3"/>
    <d v="2017-02-13T00:00:00"/>
    <s v="Feb-17"/>
    <s v="Earnings Tool Allowance Greg Baylis"/>
    <n v="18.649999999999999"/>
    <m/>
    <m/>
  </r>
  <r>
    <s v="PE"/>
    <s v="NBN Sydney"/>
    <s v="Payroll Expense Journal - PD-401"/>
    <x v="5"/>
    <s v="NBN Greenfields DJC Internals"/>
    <x v="110"/>
    <d v="2017-02-20T00:00:00"/>
    <s v="Feb-17"/>
    <s v="Earnings Tool Allowance Greg Baylis"/>
    <n v="18.649999999999999"/>
    <m/>
    <m/>
  </r>
  <r>
    <s v="PE"/>
    <s v="NBN Sydney"/>
    <s v="Payroll Expense Journal - PD-404"/>
    <x v="5"/>
    <s v="NBN Greenfields DJC Internals"/>
    <x v="116"/>
    <d v="2017-02-27T00:00:00"/>
    <s v="Feb-17"/>
    <s v="Earnings Tool Allowance Greg Baylis"/>
    <n v="18.649999999999999"/>
    <m/>
    <m/>
  </r>
  <r>
    <s v="PE"/>
    <s v="NBN Sydney"/>
    <s v="Payroll Expense Journal - PD-404"/>
    <x v="5"/>
    <s v="Overhead"/>
    <x v="3"/>
    <d v="2017-02-27T00:00:00"/>
    <s v="Feb-17"/>
    <s v="GB   BTS/DDA"/>
    <n v="-18.649999999999999"/>
    <m/>
    <m/>
  </r>
  <r>
    <s v="PE"/>
    <s v="NBN Sydney"/>
    <s v="Payroll Expense Journal - PD-404"/>
    <x v="1"/>
    <s v="Overhead"/>
    <x v="3"/>
    <d v="2017-02-27T00:00:00"/>
    <s v="Feb-17"/>
    <s v="Gilbert Cook Tool Allowance"/>
    <n v="37.299999999999997"/>
    <m/>
    <m/>
  </r>
  <r>
    <s v="PE"/>
    <s v="NBN Sydney"/>
    <s v="Payroll Expense Journal - PD-398"/>
    <x v="5"/>
    <s v="Overhead"/>
    <x v="3"/>
    <d v="2017-02-13T00:00:00"/>
    <s v="Feb-17"/>
    <s v="Reimbursements, Greg Baylis Travel allowance DDA project"/>
    <n v="299.74"/>
    <m/>
    <m/>
  </r>
  <r>
    <s v="PE"/>
    <s v="NBN Sydney"/>
    <s v="Payroll Expense Journal - PD-398"/>
    <x v="5"/>
    <s v="Overhead"/>
    <x v="3"/>
    <d v="2017-02-13T00:00:00"/>
    <s v="Feb-17"/>
    <s v="Reimbursements, Greg Baylis Travel allowance DDA project"/>
    <n v="-299.74"/>
    <m/>
    <m/>
  </r>
  <r>
    <s v="PE"/>
    <s v="NBN Sydney"/>
    <s v="Payroll Expense Journal - PD-398"/>
    <x v="1"/>
    <s v="Overhead"/>
    <x v="3"/>
    <d v="2017-02-27T00:00:00"/>
    <s v="Feb-17"/>
    <s v="Reimbursements, Gilbert Cook Travel allowance"/>
    <n v="1941.15"/>
    <m/>
    <m/>
  </r>
  <r>
    <s v="PE"/>
    <s v="NBN Sydney"/>
    <s v="Payroll Expense Journal - PD-397"/>
    <x v="1"/>
    <s v="Overhead"/>
    <x v="3"/>
    <d v="2017-02-06T00:00:00"/>
    <s v="Feb-17"/>
    <s v="Earnings"/>
    <n v="6897.85"/>
    <m/>
    <m/>
  </r>
  <r>
    <s v="PE"/>
    <s v="NBN Sydney"/>
    <s v="Payroll Expense Journal - PD-397"/>
    <x v="5"/>
    <s v="NBN Greenfields DJC Internals"/>
    <x v="109"/>
    <d v="2017-02-06T00:00:00"/>
    <s v="Feb-17"/>
    <s v="Earnings Greg Baylis"/>
    <n v="777.39"/>
    <m/>
    <m/>
  </r>
  <r>
    <s v="PE"/>
    <s v="NBN Sydney"/>
    <s v="Payroll Expense Journal - PD-397"/>
    <x v="5"/>
    <s v="NBN Greenfields DJC Internals"/>
    <x v="113"/>
    <d v="2017-02-06T00:00:00"/>
    <s v="Feb-17"/>
    <s v="Earnings Greg Baylis"/>
    <n v="190.38"/>
    <m/>
    <m/>
  </r>
  <r>
    <s v="PE"/>
    <s v="NBN Sydney"/>
    <s v="Payroll Expense Journal - PD-397"/>
    <x v="5"/>
    <s v="NBN Minor Works DJC Internals"/>
    <x v="107"/>
    <d v="2017-02-06T00:00:00"/>
    <s v="Feb-17"/>
    <s v="Earnings Greg Baylis"/>
    <n v="325.23"/>
    <m/>
    <m/>
  </r>
  <r>
    <s v="PE"/>
    <s v="NBN Sydney"/>
    <s v="Payroll Expense Journal - PD-397"/>
    <x v="5"/>
    <s v="NBN Minor Works DJC Internals"/>
    <x v="84"/>
    <d v="2017-02-06T00:00:00"/>
    <s v="Feb-17"/>
    <s v="Earnings Greg Baylis"/>
    <n v="166.58"/>
    <m/>
    <m/>
  </r>
  <r>
    <s v="PE"/>
    <s v="NBN Sydney"/>
    <s v="Payroll Expense Journal - PD-397"/>
    <x v="5"/>
    <s v="NBN Greenfields DJC Internals"/>
    <x v="108"/>
    <d v="2017-02-06T00:00:00"/>
    <s v="Feb-17"/>
    <s v="Earnings Greg Baylis"/>
    <n v="491.82"/>
    <m/>
    <m/>
  </r>
  <r>
    <s v="PE"/>
    <s v="NBN Sydney"/>
    <s v="Payroll Expense Journal - PD-398"/>
    <x v="1"/>
    <s v="Overhead"/>
    <x v="3"/>
    <d v="2017-02-13T00:00:00"/>
    <s v="Feb-17"/>
    <s v="Earnings"/>
    <n v="8126.9800000000005"/>
    <m/>
    <m/>
  </r>
  <r>
    <s v="PE"/>
    <s v="NBN Sydney"/>
    <s v="Payroll Expense Journal - PD-398"/>
    <x v="5"/>
    <s v="NBN Greenfields DJC Internals"/>
    <x v="110"/>
    <d v="2017-02-13T00:00:00"/>
    <s v="Feb-17"/>
    <s v="Earnings Greg Baylis"/>
    <n v="587.79999999999995"/>
    <m/>
    <m/>
  </r>
  <r>
    <s v="PE"/>
    <s v="NBN Sydney"/>
    <s v="Payroll Expense Journal - PD-398"/>
    <x v="5"/>
    <s v="NBN Greenfields DJC Internals"/>
    <x v="108"/>
    <d v="2017-02-13T00:00:00"/>
    <s v="Feb-17"/>
    <s v="Earnings Greg Baylis"/>
    <n v="449.47"/>
    <m/>
    <m/>
  </r>
  <r>
    <s v="PE"/>
    <s v="NBN Sydney"/>
    <s v="Payroll Expense Journal - PD-401"/>
    <x v="1"/>
    <s v="Overhead"/>
    <x v="3"/>
    <d v="2017-02-20T00:00:00"/>
    <s v="Feb-17"/>
    <s v="Earnings"/>
    <n v="7134.9699999999993"/>
    <m/>
    <m/>
  </r>
  <r>
    <s v="PE"/>
    <s v="NBN Sydney"/>
    <s v="Payroll Expense Journal - PD-401"/>
    <x v="5"/>
    <s v="NBN Greenfields DJC Internals"/>
    <x v="110"/>
    <d v="2017-02-20T00:00:00"/>
    <s v="Feb-17"/>
    <s v="Earnings Greg Baylis"/>
    <n v="617.94000000000005"/>
    <m/>
    <m/>
  </r>
  <r>
    <s v="PE"/>
    <s v="NBN Sydney"/>
    <s v="Payroll Expense Journal - PD-401"/>
    <x v="5"/>
    <s v="NBN Minor Works DJC Internals"/>
    <x v="118"/>
    <d v="2017-02-20T00:00:00"/>
    <s v="Feb-17"/>
    <s v="Earnings Greg Baylis"/>
    <n v="95.19"/>
    <m/>
    <m/>
  </r>
  <r>
    <s v="PE"/>
    <s v="NBN Sydney"/>
    <s v="Payroll Expense Journal - PD-401"/>
    <x v="5"/>
    <s v="NBN Greenfields DJC Internals"/>
    <x v="116"/>
    <d v="2017-02-20T00:00:00"/>
    <s v="Feb-17"/>
    <s v="Earnings Greg Baylis"/>
    <n v="666.33"/>
    <m/>
    <m/>
  </r>
  <r>
    <s v="PE"/>
    <s v="NBN Sydney"/>
    <s v="Payroll Expense Journal - PD-401"/>
    <x v="5"/>
    <s v="NBN Minor Works DJC Internals"/>
    <x v="122"/>
    <d v="2017-02-20T00:00:00"/>
    <s v="Feb-17"/>
    <s v="Earnings Greg Baylis"/>
    <n v="253.84"/>
    <m/>
    <m/>
  </r>
  <r>
    <s v="PE"/>
    <s v="NBN Sydney"/>
    <s v="Payroll Expense Journal - PD-401"/>
    <x v="5"/>
    <s v="NBN Greenfields DJC Internals"/>
    <x v="121"/>
    <d v="2017-02-20T00:00:00"/>
    <s v="Feb-17"/>
    <s v="Earnings Greg Baylis"/>
    <n v="204.66"/>
    <m/>
    <m/>
  </r>
  <r>
    <s v="PE"/>
    <s v="NBN Sydney"/>
    <s v="Payroll Expense Journal - PD-401"/>
    <x v="5"/>
    <s v="Schokman"/>
    <x v="123"/>
    <d v="2017-02-20T00:00:00"/>
    <s v="Feb-17"/>
    <s v="Earnings Greg Baylis"/>
    <n v="221.32"/>
    <m/>
    <m/>
  </r>
  <r>
    <s v="PE"/>
    <s v="NBN Sydney"/>
    <s v="Payroll Expense Journal - PD-404"/>
    <x v="1"/>
    <s v="Overhead"/>
    <x v="3"/>
    <d v="2017-02-27T00:00:00"/>
    <s v="Feb-17"/>
    <s v="Earnings"/>
    <n v="7187.2400000000016"/>
    <m/>
    <m/>
  </r>
  <r>
    <s v="PE"/>
    <s v="NBN Sydney"/>
    <s v="Payroll Expense Journal - PD-404"/>
    <x v="5"/>
    <s v="NBN Greenfields DJC Internals"/>
    <x v="113"/>
    <d v="2017-02-27T00:00:00"/>
    <s v="Feb-17"/>
    <s v="Earnings Greg Baylis"/>
    <n v="380.64"/>
    <m/>
    <m/>
  </r>
  <r>
    <s v="PE"/>
    <s v="NBN Sydney"/>
    <s v="Payroll Expense Journal - PD-404"/>
    <x v="5"/>
    <s v="NBN Greenfields DJC Internals"/>
    <x v="121"/>
    <d v="2017-02-27T00:00:00"/>
    <s v="Feb-17"/>
    <s v="Earnings Greg Baylis"/>
    <n v="253.84"/>
    <m/>
    <m/>
  </r>
  <r>
    <s v="PE"/>
    <s v="NBN Sydney"/>
    <s v="Payroll Expense Journal - PD-404"/>
    <x v="5"/>
    <s v="NBN Greenfields DJC Internals"/>
    <x v="115"/>
    <d v="2017-02-27T00:00:00"/>
    <s v="Feb-17"/>
    <s v="Earnings Greg Baylis"/>
    <n v="285.57"/>
    <m/>
    <m/>
  </r>
  <r>
    <s v="PE"/>
    <s v="NBN Sydney"/>
    <s v="Payroll Expense Journal - PD-404"/>
    <x v="5"/>
    <s v="NBN Greenfields DJC Internals"/>
    <x v="116"/>
    <d v="2017-02-27T00:00:00"/>
    <s v="Feb-17"/>
    <s v="Earnings Greg Baylis"/>
    <n v="666.33"/>
    <m/>
    <m/>
  </r>
  <r>
    <s v="PE"/>
    <s v="NBN Sydney"/>
    <s v="Payroll Expense Journal - PD-404"/>
    <x v="5"/>
    <s v="Overhead"/>
    <x v="3"/>
    <d v="2017-02-13T00:00:00"/>
    <s v="Feb-17"/>
    <s v="Greg Baylis Earnings BTS/DDA"/>
    <n v="-1498.6327365940399"/>
    <m/>
    <m/>
  </r>
  <r>
    <s v="PE"/>
    <s v="NBN Sydney"/>
    <s v="Payroll Expense Journal - PD-404"/>
    <x v="1"/>
    <s v="Overhead"/>
    <x v="3"/>
    <d v="2017-02-27T00:00:00"/>
    <s v="Feb-17"/>
    <s v="Gilbert Cook Earnings "/>
    <n v="3284.4"/>
    <m/>
    <m/>
  </r>
  <r>
    <s v="PE"/>
    <s v="NBN Sydney"/>
    <s v="Payroll Expense Journal - PD-397"/>
    <x v="1"/>
    <s v="Overhead"/>
    <x v="3"/>
    <d v="2017-02-06T00:00:00"/>
    <s v="Feb-17"/>
    <s v="Superannuation Expense"/>
    <n v="750.43"/>
    <m/>
    <m/>
  </r>
  <r>
    <s v="PE"/>
    <s v="NBN Sydney"/>
    <s v="Payroll Expense Journal - PD-397"/>
    <x v="5"/>
    <s v="NBN Greenfields DJC Internals"/>
    <x v="109"/>
    <d v="2017-02-06T00:00:00"/>
    <s v="Feb-17"/>
    <s v="Superannuation Expense greg baylis"/>
    <n v="73.849999999999994"/>
    <m/>
    <m/>
  </r>
  <r>
    <s v="PE"/>
    <s v="NBN Sydney"/>
    <s v="Payroll Expense Journal - PD-397"/>
    <x v="5"/>
    <s v="NBN Greenfields DJC Internals"/>
    <x v="113"/>
    <d v="2017-02-06T00:00:00"/>
    <s v="Feb-17"/>
    <s v="Superannuation Expense greg baylis"/>
    <n v="18.09"/>
    <m/>
    <m/>
  </r>
  <r>
    <s v="PE"/>
    <s v="NBN Sydney"/>
    <s v="Payroll Expense Journal - PD-397"/>
    <x v="5"/>
    <s v="NBN Minor Works DJC Internals"/>
    <x v="107"/>
    <d v="2017-02-06T00:00:00"/>
    <s v="Feb-17"/>
    <s v="Superannuation Expense greg baylis"/>
    <n v="30.9"/>
    <m/>
    <m/>
  </r>
  <r>
    <s v="PE"/>
    <s v="NBN Sydney"/>
    <s v="Payroll Expense Journal - PD-398"/>
    <x v="1"/>
    <s v="Overhead"/>
    <x v="3"/>
    <d v="2017-02-13T00:00:00"/>
    <s v="Feb-17"/>
    <s v="Superannuation Expense"/>
    <n v="780.83"/>
    <m/>
    <m/>
  </r>
  <r>
    <s v="PE"/>
    <s v="NBN Sydney"/>
    <s v="Payroll Expense Journal - PD-401"/>
    <x v="1"/>
    <s v="Overhead"/>
    <x v="3"/>
    <d v="2017-02-20T00:00:00"/>
    <s v="Feb-17"/>
    <s v="Superannuation Expense"/>
    <n v="667.04000000000008"/>
    <m/>
    <m/>
  </r>
  <r>
    <s v="PE"/>
    <s v="NBN Sydney"/>
    <s v="Payroll Expense Journal - PD-401"/>
    <x v="5"/>
    <s v="NBN Minor Works DJC Internals"/>
    <x v="118"/>
    <d v="2017-02-20T00:00:00"/>
    <s v="Feb-17"/>
    <s v="Superannuation Expense greg baylis"/>
    <n v="9.0399999999999991"/>
    <m/>
    <m/>
  </r>
  <r>
    <s v="PE"/>
    <s v="NBN Sydney"/>
    <s v="Payroll Expense Journal - PD-401"/>
    <x v="5"/>
    <s v="NBN Greenfields DJC Internals"/>
    <x v="116"/>
    <d v="2017-02-20T00:00:00"/>
    <s v="Feb-17"/>
    <s v="Superannuation Expense greg baylis"/>
    <n v="58.03"/>
    <m/>
    <m/>
  </r>
  <r>
    <s v="PE"/>
    <s v="NBN Sydney"/>
    <s v="Payroll Expense Journal - PD-401"/>
    <x v="5"/>
    <s v="NBN Minor Works DJC Internals"/>
    <x v="122"/>
    <d v="2017-02-20T00:00:00"/>
    <s v="Feb-17"/>
    <s v="Superannuation Expense greg baylis"/>
    <n v="24.11"/>
    <m/>
    <m/>
  </r>
  <r>
    <s v="PE"/>
    <s v="NBN Sydney"/>
    <s v="Payroll Expense Journal - PD-401"/>
    <x v="5"/>
    <s v="NBN Greenfields DJC Internals"/>
    <x v="121"/>
    <d v="2017-02-20T00:00:00"/>
    <s v="Feb-17"/>
    <s v="Superannuation Expense greg baylis"/>
    <n v="19.440000000000001"/>
    <m/>
    <m/>
  </r>
  <r>
    <s v="PE"/>
    <s v="NBN Sydney"/>
    <s v="Payroll Expense Journal - PD-401"/>
    <x v="5"/>
    <s v="Schokman"/>
    <x v="123"/>
    <d v="2017-02-20T00:00:00"/>
    <s v="Feb-17"/>
    <s v="Superannuation Expense greg baylis"/>
    <n v="3.17"/>
    <m/>
    <m/>
  </r>
  <r>
    <s v="PE"/>
    <s v="NBN Sydney"/>
    <s v="Payroll Expense Journal - PD-404"/>
    <x v="1"/>
    <s v="Overhead"/>
    <x v="3"/>
    <d v="2017-02-27T00:00:00"/>
    <s v="Feb-17"/>
    <s v="Superannuation Expense"/>
    <n v="635.3900000000001"/>
    <m/>
    <m/>
  </r>
  <r>
    <s v="PE"/>
    <s v="NBN Sydney"/>
    <s v="Payroll Expense Journal - PD-404"/>
    <x v="5"/>
    <s v="NBN Greenfields DJC Internals"/>
    <x v="113"/>
    <d v="2017-02-27T00:00:00"/>
    <s v="Feb-17"/>
    <s v="Superannuation Expense greg baylis"/>
    <n v="36.17"/>
    <m/>
    <m/>
  </r>
  <r>
    <s v="PE"/>
    <s v="NBN Sydney"/>
    <s v="Payroll Expense Journal - PD-404"/>
    <x v="5"/>
    <s v="NBN Greenfields DJC Internals"/>
    <x v="121"/>
    <d v="2017-02-27T00:00:00"/>
    <s v="Feb-17"/>
    <s v="Superannuation Expense greg baylis"/>
    <n v="24.11"/>
    <m/>
    <m/>
  </r>
  <r>
    <s v="PE"/>
    <s v="NBN Sydney"/>
    <s v="Payroll Expense Journal - PD-404"/>
    <x v="5"/>
    <s v="NBN Greenfields DJC Internals"/>
    <x v="115"/>
    <d v="2017-02-27T00:00:00"/>
    <s v="Feb-17"/>
    <s v="Superannuation Expense greg baylis"/>
    <n v="27.13"/>
    <m/>
    <m/>
  </r>
  <r>
    <s v="PE"/>
    <s v="NBN Sydney"/>
    <s v="Payroll Expense Journal - PD-404"/>
    <x v="5"/>
    <s v="NBN Greenfields DJC Internals"/>
    <x v="116"/>
    <d v="2017-02-27T00:00:00"/>
    <s v="Feb-17"/>
    <s v="Superannuation Expense greg baylis"/>
    <n v="58.03"/>
    <m/>
    <m/>
  </r>
  <r>
    <s v="PE"/>
    <s v="NBN Sydney"/>
    <s v="Payroll Expense Journal - PD-404"/>
    <x v="5"/>
    <s v="Overhead"/>
    <x v="3"/>
    <d v="2017-02-13T00:00:00"/>
    <s v="Feb-17"/>
    <s v="Superanuation Greg Baylis BTS/DDA"/>
    <n v="-114.5"/>
    <m/>
    <m/>
  </r>
  <r>
    <s v="PE"/>
    <s v="NBN Sydney"/>
    <s v="Payroll Expense Journal - PD-404"/>
    <x v="1"/>
    <s v="Overhead"/>
    <x v="3"/>
    <d v="2017-02-27T00:00:00"/>
    <s v="Feb-17"/>
    <s v="Superanuation Gilbert Cook"/>
    <n v="309.26"/>
    <m/>
    <m/>
  </r>
  <r>
    <s v="INV"/>
    <s v="NBN Sydney"/>
    <s v="Etoll Top up FEB 2017"/>
    <x v="1"/>
    <s v="Overhead"/>
    <x v="3"/>
    <d v="2017-02-03T00:00:00"/>
    <s v="Feb-17"/>
    <s v="E-Toll Business Operations Centre - Surcharge on Top- up account per transaction"/>
    <n v="0.4"/>
    <m/>
    <m/>
  </r>
  <r>
    <s v="INV"/>
    <s v="NBN Sydney"/>
    <s v="E-toll Feb Top up"/>
    <x v="1"/>
    <s v="Overhead"/>
    <x v="3"/>
    <d v="2017-02-09T00:00:00"/>
    <s v="Feb-17"/>
    <s v="E-Toll Business Operations Centre - Surcharge on Top- up account per transaction"/>
    <n v="0.4"/>
    <m/>
    <m/>
  </r>
  <r>
    <s v="INV"/>
    <s v="NBN Sydney"/>
    <s v="E Toll Feb 2017 Top up "/>
    <x v="1"/>
    <s v="Overhead"/>
    <x v="3"/>
    <d v="2017-02-14T00:00:00"/>
    <s v="Feb-17"/>
    <s v="E-Toll Business Operations Centre - Surcharge on Top- up account per transaction"/>
    <n v="0.4"/>
    <m/>
    <m/>
  </r>
  <r>
    <s v="INV"/>
    <s v="NBN Sydney"/>
    <s v="Etoll Feb 2017 Top up"/>
    <x v="1"/>
    <s v="Overhead"/>
    <x v="3"/>
    <d v="2017-02-17T00:00:00"/>
    <s v="Feb-17"/>
    <s v="E-Toll Business Operations Centre - Surcharge on Top- up account per transaction"/>
    <n v="0.4"/>
    <m/>
    <m/>
  </r>
  <r>
    <s v="INV"/>
    <s v="NBN Sydney"/>
    <s v="E Toll Top Up Feb 2017"/>
    <x v="1"/>
    <s v="Overhead"/>
    <x v="3"/>
    <d v="2017-02-21T00:00:00"/>
    <s v="Feb-17"/>
    <s v="E-Toll Business Operations Centre - Surcharge on Top- up account per transaction"/>
    <n v="0.4"/>
    <m/>
    <m/>
  </r>
  <r>
    <s v="INV"/>
    <s v="NBN Sydney"/>
    <s v="120010"/>
    <x v="1"/>
    <s v="Overhead"/>
    <x v="3"/>
    <d v="2017-02-01T00:00:00"/>
    <s v="Feb-17"/>
    <s v="Easdowns Business Specialists - Monthly Instalment per 2017 Service Agreement"/>
    <n v="451.36"/>
    <m/>
    <m/>
  </r>
  <r>
    <s v="INV"/>
    <s v="NBN Sydney"/>
    <s v="94954223"/>
    <x v="1"/>
    <s v="Overhead"/>
    <x v="3"/>
    <d v="2017-02-22T00:00:00"/>
    <s v="Feb-17"/>
    <s v="Seek Limited - Job Ad: Labourer Civil Construction Telecommunications_x000d__x000a_Job ID: 32867123"/>
    <n v="270"/>
    <m/>
    <m/>
  </r>
  <r>
    <s v="INV"/>
    <s v="NBN Sydney"/>
    <s v="INV-10000626"/>
    <x v="1"/>
    <s v="Overhead"/>
    <x v="3"/>
    <d v="2017-02-28T00:00:00"/>
    <s v="Feb-17"/>
    <s v="Amtac - PL93x193-EPA-01B_x000d__x000a_EPA NSW Waste Facility Plate"/>
    <n v="45"/>
    <m/>
    <m/>
  </r>
  <r>
    <s v="INV"/>
    <s v="NBN Sydney"/>
    <s v="NBN CO Bank Gaurantee"/>
    <x v="1"/>
    <s v="Overhead"/>
    <x v="3"/>
    <d v="2017-02-27T00:00:00"/>
    <s v="Feb-17"/>
    <s v="National Australia Bank - Bank Guarantees"/>
    <n v="125"/>
    <m/>
    <m/>
  </r>
  <r>
    <s v="INV"/>
    <s v="NBN Sydney"/>
    <s v="BAB786075"/>
    <x v="1"/>
    <s v="Overhead"/>
    <x v="3"/>
    <d v="2017-02-15T00:00:00"/>
    <s v="Feb-17"/>
    <s v="Workscene - Blacktown - sale-Boot King Gee Comptec"/>
    <n v="90.91"/>
    <m/>
    <m/>
  </r>
  <r>
    <s v="INV"/>
    <s v="NBN Sydney"/>
    <s v="INV161547"/>
    <x v="1"/>
    <s v="Overhead"/>
    <x v="3"/>
    <d v="2017-02-23T00:00:00"/>
    <s v="Feb-17"/>
    <s v="Southland Supply Group - AH1081_x000d__x000a_Flynet"/>
    <n v="4"/>
    <m/>
    <m/>
  </r>
  <r>
    <s v="INV"/>
    <s v="NBN Sydney"/>
    <s v="INV161547"/>
    <x v="1"/>
    <s v="Overhead"/>
    <x v="3"/>
    <d v="2017-02-23T00:00:00"/>
    <s v="Feb-17"/>
    <s v="Southland Supply Group - BA1001_x000d__x000a_2XL Norde Hi Vis Polyester Safety Vest"/>
    <n v="5.4"/>
    <m/>
    <m/>
  </r>
  <r>
    <s v="INV"/>
    <s v="NBN Sydney"/>
    <s v="INV161547"/>
    <x v="1"/>
    <s v="Overhead"/>
    <x v="3"/>
    <d v="2017-02-23T00:00:00"/>
    <s v="Feb-17"/>
    <s v="Southland Supply Group - BH1001_x000d__x000a_Size 2XL Norde Hi Vis Nylon Rainwear set"/>
    <n v="24.8"/>
    <m/>
    <m/>
  </r>
  <r>
    <s v="INV"/>
    <s v="NBN Sydney"/>
    <s v="INV161547"/>
    <x v="1"/>
    <s v="Overhead"/>
    <x v="3"/>
    <d v="2017-02-23T00:00:00"/>
    <s v="Feb-17"/>
    <s v="Southland Supply Group - AK1081_x000d__x000a_Safetek Gear Bag - Black"/>
    <n v="26.7"/>
    <m/>
    <m/>
  </r>
  <r>
    <s v="INV"/>
    <s v="NBN Sydney"/>
    <s v="INV161547"/>
    <x v="1"/>
    <s v="Overhead"/>
    <x v="3"/>
    <d v="2017-02-23T00:00:00"/>
    <s v="Feb-17"/>
    <s v="Southland Supply Group - BG1821_x000d__x000a_Size 2XL, DNC Hi Vis H Style Refelctive 4 in 1 Jacket"/>
    <n v="87"/>
    <m/>
    <m/>
  </r>
  <r>
    <s v="INV"/>
    <s v="NBN Sydney"/>
    <s v="INV161547"/>
    <x v="1"/>
    <s v="Overhead"/>
    <x v="3"/>
    <d v="2017-02-23T00:00:00"/>
    <s v="Feb-17"/>
    <s v="Southland Supply Group - AK1001_x000d__x000a_Professional Gel Knee Pads"/>
    <n v="41.8"/>
    <m/>
    <m/>
  </r>
  <r>
    <s v="INV"/>
    <s v="NBN Sydney"/>
    <s v="INV161547"/>
    <x v="1"/>
    <s v="Overhead"/>
    <x v="3"/>
    <d v="2017-02-23T00:00:00"/>
    <s v="Feb-17"/>
    <s v="Southland Supply Group - AC1001_x000d__x000a_Viper Headband Earmuffs Class 5- 26db(A)"/>
    <n v="17.5"/>
    <m/>
    <m/>
  </r>
  <r>
    <s v="INV"/>
    <s v="NBN Sydney"/>
    <s v="INV161547"/>
    <x v="1"/>
    <s v="Overhead"/>
    <x v="3"/>
    <d v="2017-02-23T00:00:00"/>
    <s v="Feb-17"/>
    <s v="Southland Supply Group - AB1501/White_x000d__x000a_Honeywell ABS Vented Hardhat White"/>
    <n v="13.8"/>
    <m/>
    <m/>
  </r>
  <r>
    <s v="INV"/>
    <s v="NBN Sydney"/>
    <s v="INV161547"/>
    <x v="1"/>
    <s v="Overhead"/>
    <x v="3"/>
    <d v="2017-02-23T00:00:00"/>
    <s v="Feb-17"/>
    <s v="Southland Supply Group - AC1101_x000d__x000a_Howard Leight QB2 Banded Earplugs &amp; Replacement Pads"/>
    <n v="18"/>
    <m/>
    <m/>
  </r>
  <r>
    <s v="INV"/>
    <s v="NBN Sydney"/>
    <s v="INV161547"/>
    <x v="1"/>
    <s v="Overhead"/>
    <x v="3"/>
    <d v="2017-02-23T00:00:00"/>
    <s v="Feb-17"/>
    <s v="Southland Supply Group - AF1044_x000d__x000a_75g Gel, Bushman Insect Repellant"/>
    <n v="14.5"/>
    <m/>
    <m/>
  </r>
  <r>
    <s v="INV"/>
    <s v="NBN Sydney"/>
    <s v="INV161547"/>
    <x v="1"/>
    <s v="Overhead"/>
    <x v="3"/>
    <d v="2017-02-23T00:00:00"/>
    <s v="Feb-17"/>
    <s v="Southland Supply Group - AF1102_x000d__x000a_125mL Tube, Bloka Sunscreen SPF 50+"/>
    <n v="4.9000000000000004"/>
    <m/>
    <m/>
  </r>
  <r>
    <s v="INV"/>
    <s v="NBN Sydney"/>
    <s v="B VISA E-TOLL Feb 2017"/>
    <x v="1"/>
    <s v="Overhead"/>
    <x v="3"/>
    <d v="2017-02-01T00:00:00"/>
    <s v="Feb-17"/>
    <s v="E-Toll Business Operations Centre - TAG NO 3665999 GC 63C00K Holden Commadore"/>
    <n v="48.17"/>
    <m/>
    <m/>
  </r>
  <r>
    <s v="INV"/>
    <s v="NBN Sydney"/>
    <s v="B VISA E-TOLL Feb 2017"/>
    <x v="1"/>
    <s v="Overhead"/>
    <x v="3"/>
    <d v="2017-02-01T00:00:00"/>
    <s v="Feb-17"/>
    <s v="E-Toll Business Operations Centre - TAG NO 4088301 PJ CHV14B Toyota Hilux SYD"/>
    <n v="255.31"/>
    <m/>
    <m/>
  </r>
  <r>
    <s v="INV"/>
    <s v="NBN Sydney"/>
    <s v="B VISA E-TOLL Feb 2017"/>
    <x v="1"/>
    <s v="Overhead"/>
    <x v="3"/>
    <d v="2017-02-01T00:00:00"/>
    <s v="Feb-17"/>
    <s v="E-Toll Business Operations Centre - TAG NO 3166280 GC BE38NA Toyota cruiser Gilbert"/>
    <n v="76.08"/>
    <m/>
    <m/>
  </r>
  <r>
    <s v="INV"/>
    <s v="NBN Sydney"/>
    <s v="B VISA E-TOLL Feb 2017"/>
    <x v="5"/>
    <s v="NBN Greenfields DJC Internals"/>
    <x v="121"/>
    <d v="2017-02-01T00:00:00"/>
    <s v="Feb-17"/>
    <s v="E-Toll Business Operations Centre - TAG NO 3665998 G Bylis BU59MS Toyota Hiace Van"/>
    <n v="80.45"/>
    <m/>
    <m/>
  </r>
  <r>
    <s v="INV"/>
    <s v="NBN Sydney"/>
    <s v="9076236001804867"/>
    <x v="1"/>
    <s v="Overhead"/>
    <x v="3"/>
    <d v="2017-02-06T00:00:00"/>
    <s v="Feb-17"/>
    <s v="Officeworks Superstores - NF Window Cleaner 750mL"/>
    <n v="4.71"/>
    <m/>
    <m/>
  </r>
  <r>
    <s v="INV"/>
    <s v="NBN Sydney"/>
    <s v="9076236001804867"/>
    <x v="1"/>
    <s v="Overhead"/>
    <x v="3"/>
    <d v="2017-02-06T00:00:00"/>
    <s v="Feb-17"/>
    <s v="Officeworks Superstores - Keji Plastic HS Stapler Bk"/>
    <n v="4.5199999999999996"/>
    <m/>
    <m/>
  </r>
  <r>
    <s v="INV"/>
    <s v="NBN Sydney"/>
    <s v="001419"/>
    <x v="1"/>
    <s v="Overhead"/>
    <x v="3"/>
    <d v="2017-02-09T00:00:00"/>
    <s v="Feb-17"/>
    <s v="Woolworths Limited - Frantelle Water 12x 600mL"/>
    <n v="24"/>
    <m/>
    <m/>
  </r>
  <r>
    <s v="INV"/>
    <s v="NBN Sydney"/>
    <s v="001419"/>
    <x v="1"/>
    <s v="Overhead"/>
    <x v="3"/>
    <d v="2017-02-09T00:00:00"/>
    <s v="Feb-17"/>
    <s v="Woolworths Limited - Quilton t/Tiss White3Ply 190sh 24pk"/>
    <n v="21.82"/>
    <m/>
    <m/>
  </r>
  <r>
    <s v="INV"/>
    <s v="NBN Sydney"/>
    <s v="35047426"/>
    <x v="1"/>
    <s v="Overhead"/>
    <x v="3"/>
    <d v="2017-02-13T00:00:00"/>
    <s v="Feb-17"/>
    <s v="Officeworks Superstores - AV85610_x000d__x000a_Avery PP White Divider 1-10"/>
    <n v="27"/>
    <m/>
    <m/>
  </r>
  <r>
    <s v="INV"/>
    <s v="NBN Sydney"/>
    <s v="35047426"/>
    <x v="1"/>
    <s v="Overhead"/>
    <x v="3"/>
    <d v="2017-02-13T00:00:00"/>
    <s v="Feb-17"/>
    <s v="Officeworks Superstores - BAEZ433WE_x000d__x000a_Insrt Bndr Ezopn A4 3D 38mm we"/>
    <n v="48.76"/>
    <m/>
    <m/>
  </r>
  <r>
    <s v="INV"/>
    <s v="NBN Sydney"/>
    <s v="00080632"/>
    <x v="1"/>
    <s v="Overhead"/>
    <x v="3"/>
    <d v="2017-02-22T00:00:00"/>
    <s v="Feb-17"/>
    <s v="Tranquil Natural Spring Water - Plastic-C_x000d__x000a_Plastic Cups 1000"/>
    <n v="36.36"/>
    <m/>
    <m/>
  </r>
  <r>
    <s v="INV"/>
    <s v="NBN Sydney"/>
    <s v="00080632"/>
    <x v="1"/>
    <s v="Overhead"/>
    <x v="3"/>
    <d v="2017-02-22T00:00:00"/>
    <s v="Feb-17"/>
    <s v="Tranquil Natural Spring Water - WCR_x000d__x000a_Water Cooler Rental - Feb 2017-Feb 2018"/>
    <n v="90"/>
    <m/>
    <m/>
  </r>
  <r>
    <s v="INV"/>
    <s v="NBN Sydney"/>
    <s v="00080632"/>
    <x v="1"/>
    <s v="Overhead"/>
    <x v="3"/>
    <d v="2017-02-22T00:00:00"/>
    <s v="Feb-17"/>
    <s v="Tranquil Natural Spring Water - 15L SW BPA Free_x000d__x000a_15L Spring Water Bottles (Plus 2 free with cooler rental)"/>
    <n v="52.5"/>
    <m/>
    <m/>
  </r>
  <r>
    <s v="INV"/>
    <s v="NBN Sydney"/>
    <s v="9079236002004308"/>
    <x v="1"/>
    <s v="Overhead"/>
    <x v="3"/>
    <d v="2017-02-28T00:00:00"/>
    <s v="Feb-17"/>
    <s v="Officeworks Superstores - ES56058_x000d__x000a_Spirax 595 A4 NB 120p"/>
    <n v="3.6"/>
    <m/>
    <m/>
  </r>
  <r>
    <s v="INV"/>
    <s v="NBN Sydney"/>
    <s v="9079236002004308"/>
    <x v="1"/>
    <s v="Overhead"/>
    <x v="3"/>
    <d v="2017-02-28T00:00:00"/>
    <s v="Feb-17"/>
    <s v="Officeworks Superstores - OT13PKWEBE_x000d__x000a_Otto 13 pkt Expanding File Be"/>
    <n v="9.07"/>
    <m/>
    <m/>
  </r>
  <r>
    <s v="INV"/>
    <s v="NBN Sydney"/>
    <s v="01/39486"/>
    <x v="4"/>
    <s v="NBN Minor Works DJC Internals"/>
    <x v="111"/>
    <d v="2017-02-15T00:00:00"/>
    <s v="Feb-17"/>
    <s v="Australia Post - 4.90 sale"/>
    <n v="4.45"/>
    <m/>
    <m/>
  </r>
  <r>
    <s v="INV"/>
    <s v="NBN Sydney"/>
    <s v="791995319"/>
    <x v="1"/>
    <s v="Overhead"/>
    <x v="3"/>
    <d v="2017-02-16T00:00:00"/>
    <s v="Feb-17"/>
    <s v="Optus - Acct Number: 8106 5990 7001 41_x000d__x000a_0413257544 on Home Wireless 200GB"/>
    <n v="74.72"/>
    <m/>
    <m/>
  </r>
  <r>
    <s v="INV"/>
    <s v="NBN Sydney"/>
    <s v="P196 464 531-2"/>
    <x v="1"/>
    <s v="Overhead"/>
    <x v="3"/>
    <d v="2017-02-21T00:00:00"/>
    <s v="Feb-17"/>
    <s v="Telstra Acc # 898 8808 200 - Sydney"/>
    <n v="136.36000000000001"/>
    <m/>
    <m/>
  </r>
  <r>
    <s v="PE"/>
    <s v="NBN Sydney"/>
    <s v="Payroll Expense Journal - PD-397"/>
    <x v="1"/>
    <s v="Overhead"/>
    <x v="3"/>
    <d v="2017-02-06T00:00:00"/>
    <s v="Feb-17"/>
    <s v="Earnings Telephone allowance"/>
    <n v="46.16"/>
    <m/>
    <m/>
  </r>
  <r>
    <s v="PE"/>
    <s v="NBN Sydney"/>
    <s v="Payroll Expense Journal - PD-398"/>
    <x v="1"/>
    <s v="Overhead"/>
    <x v="3"/>
    <d v="2017-02-13T00:00:00"/>
    <s v="Feb-17"/>
    <s v="Earnings Telephone allowance"/>
    <n v="46.16"/>
    <m/>
    <m/>
  </r>
  <r>
    <s v="PE"/>
    <s v="NBN Sydney"/>
    <s v="Payroll Expense Journal - PD-401"/>
    <x v="1"/>
    <s v="Overhead"/>
    <x v="3"/>
    <d v="2017-02-20T00:00:00"/>
    <s v="Feb-17"/>
    <s v="Earnings Telephone allowance"/>
    <n v="46.16"/>
    <m/>
    <m/>
  </r>
  <r>
    <s v="PE"/>
    <s v="NBN Sydney"/>
    <s v="Payroll Expense Journal - PD-404"/>
    <x v="1"/>
    <s v="Overhead"/>
    <x v="3"/>
    <d v="2017-02-27T00:00:00"/>
    <s v="Feb-17"/>
    <s v="Earnings Telephone allowance"/>
    <n v="46.16"/>
    <m/>
    <m/>
  </r>
  <r>
    <s v="PE"/>
    <s v="NBN Sydney"/>
    <s v="Payroll Expense Journal - PD-404"/>
    <x v="1"/>
    <s v="Overhead"/>
    <x v="3"/>
    <d v="2017-02-27T00:00:00"/>
    <s v="Feb-17"/>
    <s v="Earnings Telephone allowance,  Wagga Staff"/>
    <n v="20"/>
    <m/>
    <m/>
  </r>
  <r>
    <s v="MJ"/>
    <s v="NBN Sydney"/>
    <s v="#30800"/>
    <x v="1"/>
    <s v="Test Equipment &amp; Tools"/>
    <x v="27"/>
    <d v="2017-02-01T00:00:00"/>
    <s v="Feb-17"/>
    <s v="Jabac- Brady BMP-21 Printer transfer from Wagga Depot to Sydney depot - Jabac- Brady BMP-21 Printer transfer from Wagga Depot to Sydney depot "/>
    <n v="496"/>
    <m/>
    <m/>
  </r>
  <r>
    <s v="INV"/>
    <s v="NBN Sydney"/>
    <s v="51768"/>
    <x v="1"/>
    <s v="Test Equipment &amp; Tools"/>
    <x v="27"/>
    <d v="2017-02-20T00:00:00"/>
    <s v="Feb-17"/>
    <s v="AusOptic - 215000_x000d__x000a_IBC Brand Cleaner OptiTip II - For OptiTip Connectors"/>
    <n v="325.58"/>
    <m/>
    <m/>
  </r>
  <r>
    <s v="PE"/>
    <s v="NBN Sydney"/>
    <s v="Payroll Expense Journal - PD-398"/>
    <x v="1"/>
    <s v="Overhead"/>
    <x v="3"/>
    <d v="2017-02-06T00:00:00"/>
    <s v="Feb-17"/>
    <s v="Earnings Sonya"/>
    <n v="1024.5"/>
    <m/>
    <m/>
  </r>
  <r>
    <s v="PE"/>
    <s v="NBN Sydney"/>
    <s v="Payroll Expense Journal - PD-401"/>
    <x v="1"/>
    <s v="Overhead"/>
    <x v="3"/>
    <d v="2017-02-13T00:00:00"/>
    <s v="Feb-17"/>
    <s v="Earnings Sonya"/>
    <n v="1043.75"/>
    <m/>
    <m/>
  </r>
  <r>
    <s v="PE"/>
    <s v="NBN Sydney"/>
    <s v="Payroll Expense Journal - PD-404"/>
    <x v="1"/>
    <s v="Overhead"/>
    <x v="3"/>
    <d v="2017-02-20T00:00:00"/>
    <s v="Feb-17"/>
    <s v="Earnings Sonya"/>
    <n v="1006.25"/>
    <m/>
    <m/>
  </r>
  <r>
    <s v="PE"/>
    <s v="NBN Sydney"/>
    <s v="Payroll Expense Journal - PD-404"/>
    <x v="1"/>
    <s v="Overhead"/>
    <x v="3"/>
    <d v="2017-02-27T00:00:00"/>
    <s v="Feb-17"/>
    <s v="Earnings Sonya"/>
    <n v="959.38"/>
    <m/>
    <m/>
  </r>
  <r>
    <s v="PE"/>
    <s v="NBN Sydney"/>
    <s v="Payroll Expense Journal - PD-404"/>
    <x v="1"/>
    <s v="Overhead"/>
    <x v="3"/>
    <d v="2017-02-27T00:00:00"/>
    <s v="Feb-17"/>
    <s v="Earning RM &amp; AA Wagga"/>
    <n v="2191.62"/>
    <m/>
    <m/>
  </r>
  <r>
    <s v="PE"/>
    <s v="NBN Sydney"/>
    <s v="Payroll Expense Journal - PD-398"/>
    <x v="1"/>
    <s v="Overhead"/>
    <x v="3"/>
    <d v="2017-02-13T00:00:00"/>
    <s v="Feb-17"/>
    <s v="Superannuation Expense Sonya"/>
    <n v="92.44"/>
    <m/>
    <m/>
  </r>
  <r>
    <s v="PE"/>
    <s v="NBN Sydney"/>
    <s v="Payroll Expense Journal - PD-401"/>
    <x v="1"/>
    <s v="Overhead"/>
    <x v="3"/>
    <d v="2017-02-20T00:00:00"/>
    <s v="Feb-17"/>
    <s v="Superannuation Expense Sonya"/>
    <n v="92.44"/>
    <m/>
    <m/>
  </r>
  <r>
    <s v="PE"/>
    <s v="NBN Sydney"/>
    <s v="Payroll Expense Journal - PD-404"/>
    <x v="1"/>
    <s v="Overhead"/>
    <x v="3"/>
    <d v="2017-02-27T00:00:00"/>
    <s v="Feb-17"/>
    <s v="Superannuation Expense Sonya"/>
    <n v="92.44"/>
    <m/>
    <m/>
  </r>
  <r>
    <s v="PE"/>
    <s v="NBN Sydney"/>
    <s v="Payroll Expense Journal - PD-405"/>
    <x v="1"/>
    <s v="Overhead"/>
    <x v="3"/>
    <d v="2017-02-27T00:00:00"/>
    <s v="Feb-17"/>
    <s v="Earning RM &amp; AA Wagga"/>
    <n v="165.75"/>
    <m/>
    <m/>
  </r>
  <r>
    <s v="INV"/>
    <s v="NBN Sydney"/>
    <s v="7151/01467091"/>
    <x v="4"/>
    <s v="Minchinbury Mobilisation"/>
    <x v="70"/>
    <d v="2017-02-01T00:00:00"/>
    <s v="Feb-17"/>
    <s v="Bunnings Warehouse - Mat Outdoor Bayliss 55x90cm Plain N05 TQC"/>
    <n v="39.049999999999997"/>
    <m/>
    <m/>
  </r>
  <r>
    <s v="INV"/>
    <s v="NBN Sydney"/>
    <s v="9076236002374592"/>
    <x v="4"/>
    <s v="Minchinbury Mobilisation"/>
    <x v="70"/>
    <d v="2017-02-02T00:00:00"/>
    <s v="Feb-17"/>
    <s v="Officeworks Superstores - TPTLSG1026_x000d__x000a_Tplink 24-Port Desktop Switch"/>
    <n v="135.44999999999999"/>
    <m/>
    <m/>
  </r>
  <r>
    <s v="INV"/>
    <s v="NBN Sydney"/>
    <s v="9076236002374592"/>
    <x v="4"/>
    <s v="Minchinbury Mobilisation"/>
    <x v="70"/>
    <d v="2017-02-02T00:00:00"/>
    <s v="Feb-17"/>
    <s v="Officeworks Superstores - JS9303001_x000d__x000a_YK-Economy Low Pile Carpet Chmat"/>
    <n v="545.45000000000005"/>
    <m/>
    <m/>
  </r>
  <r>
    <s v="INV"/>
    <s v="NBN Sydney"/>
    <s v="9076236002374592"/>
    <x v="4"/>
    <s v="Minchinbury Mobilisation"/>
    <x v="70"/>
    <d v="2017-02-02T00:00:00"/>
    <s v="Feb-17"/>
    <s v="Officeworks Superstores - SANKYCA93_x000d__x000a_Key Cabinet 93 Key"/>
    <n v="54.53"/>
    <m/>
    <m/>
  </r>
  <r>
    <s v="INV"/>
    <s v="NBN Sydney"/>
    <s v="7016/01105357"/>
    <x v="4"/>
    <s v="Minchinbury Mobilisation"/>
    <x v="70"/>
    <d v="2017-02-03T00:00:00"/>
    <s v="Feb-17"/>
    <s v="Bunnings Warehouse - Pine moulding FJ Half Splayed 66x18mm 5.4m Primed"/>
    <n v="72.45"/>
    <m/>
    <m/>
  </r>
  <r>
    <s v="INV"/>
    <s v="NBN Sydney"/>
    <s v="7016/00197231"/>
    <x v="4"/>
    <s v="Minchinbury Mobilisation"/>
    <x v="70"/>
    <d v="2017-02-03T00:00:00"/>
    <s v="Feb-17"/>
    <s v="Bunnings Warehouse - Paint Doors &amp; Trims Easy coat 1L Gloss White 197600"/>
    <n v="27.98"/>
    <m/>
    <m/>
  </r>
  <r>
    <s v="INV"/>
    <s v="NBN Sydney"/>
    <s v="214301049186"/>
    <x v="4"/>
    <s v="Minchinbury Mobilisation"/>
    <x v="70"/>
    <d v="2017-02-03T00:00:00"/>
    <s v="Feb-17"/>
    <s v="Godfreys Dee Why - Werthein W250 Dog &amp; Cat Bagless_x000d__x000a_Serial No: 16241024"/>
    <n v="226.36"/>
    <m/>
    <m/>
  </r>
  <r>
    <s v="INV"/>
    <s v="NBN Sydney"/>
    <s v="214301049186"/>
    <x v="4"/>
    <s v="Minchinbury Mobilisation"/>
    <x v="70"/>
    <d v="2017-02-03T00:00:00"/>
    <s v="Feb-17"/>
    <s v="Godfreys Dee Why - 10yr bi-annual service plan "/>
    <n v="45.45"/>
    <m/>
    <m/>
  </r>
  <r>
    <s v="INV"/>
    <s v="NBN Sydney"/>
    <s v="366239"/>
    <x v="4"/>
    <s v="Minchinbury Mobilisation"/>
    <x v="70"/>
    <d v="2017-02-06T00:00:00"/>
    <s v="Feb-17"/>
    <s v="Steel Supplies - 50 x 50 x 2.5 RHS Ptd x 8.0mtr"/>
    <n v="24.49"/>
    <m/>
    <m/>
  </r>
  <r>
    <s v="INV"/>
    <s v="NBN Sydney"/>
    <s v="366239"/>
    <x v="4"/>
    <s v="Minchinbury Mobilisation"/>
    <x v="70"/>
    <d v="2017-02-06T00:00:00"/>
    <s v="Feb-17"/>
    <s v="Steel Supplies - 150 x 100 x 5.0 RHS Ptdn x 8.0mtr"/>
    <n v="866.34"/>
    <m/>
    <m/>
  </r>
  <r>
    <s v="INV"/>
    <s v="NBN Sydney"/>
    <s v="176986"/>
    <x v="4"/>
    <s v="Minchinbury Mobilisation"/>
    <x v="70"/>
    <d v="2017-02-08T00:00:00"/>
    <s v="Feb-17"/>
    <s v="Bromac Engineering Supplies - 826.7034_x000d__x000a_12mm ZP Flatwasher_x000d__x000a_"/>
    <n v="2.25"/>
    <m/>
    <m/>
  </r>
  <r>
    <s v="INV"/>
    <s v="NBN Sydney"/>
    <s v="176986"/>
    <x v="4"/>
    <s v="Minchinbury Mobilisation"/>
    <x v="70"/>
    <d v="2017-02-08T00:00:00"/>
    <s v="Feb-17"/>
    <s v="Bromac Engineering Supplies - 826.0810_x000d__x000a_12mm x 50mm 8.8 Metricbolt"/>
    <n v="43.32"/>
    <m/>
    <m/>
  </r>
  <r>
    <s v="INV"/>
    <s v="NBN Sydney"/>
    <s v="71 A87277"/>
    <x v="4"/>
    <s v="Minchinbury Mobilisation"/>
    <x v="70"/>
    <d v="2017-02-08T00:00:00"/>
    <s v="Feb-17"/>
    <s v="Middy's Data &amp; Electrical - ESC AOL35-150AK-BL_x000d__x000a_Accessory Kit 150x35 mm Black"/>
    <n v="54.64"/>
    <m/>
    <m/>
  </r>
  <r>
    <s v="INV"/>
    <s v="NBN Sydney"/>
    <s v="014-44800-7016"/>
    <x v="4"/>
    <s v="Minchinbury Mobilisation"/>
    <x v="70"/>
    <d v="2017-02-13T00:00:00"/>
    <s v="Feb-17"/>
    <s v="Bunnings Warehouse - Mat Synthetic Kenware 60x90cm Esteem Rubber Bk ESM6R"/>
    <n v="30.18"/>
    <m/>
    <m/>
  </r>
  <r>
    <s v="INV"/>
    <s v="NBN Sydney"/>
    <s v="7306/00293032"/>
    <x v="4"/>
    <s v="Minchinbury Mobilisation"/>
    <x v="70"/>
    <d v="2017-02-23T00:00:00"/>
    <s v="Feb-17"/>
    <s v="Bunnings Warehouse - Painters Accessory Tray/Mixer/Mini Roller TS-409"/>
    <n v="6.56"/>
    <m/>
    <m/>
  </r>
  <r>
    <s v="INV"/>
    <s v="NBN Sydney"/>
    <s v="7306/00293032"/>
    <x v="4"/>
    <s v="Minchinbury Mobilisation"/>
    <x v="70"/>
    <d v="2017-02-23T00:00:00"/>
    <s v="Feb-17"/>
    <s v="Bunnings Warehouse - Indicator Bolt Delf Satin Chrome DEL1928SS"/>
    <n v="17.850000000000001"/>
    <m/>
    <m/>
  </r>
  <r>
    <s v="INV"/>
    <s v="NBN Sydney"/>
    <s v="7306/00293032"/>
    <x v="4"/>
    <s v="Minchinbury Mobilisation"/>
    <x v="70"/>
    <d v="2017-02-23T00:00:00"/>
    <s v="Feb-17"/>
    <s v="Bunnings Warehouse - Paint Epoxy Enamel Metalshield 1L topcoat"/>
    <n v="29.02"/>
    <m/>
    <m/>
  </r>
  <r>
    <s v="INV"/>
    <s v="NBN Sydney"/>
    <s v="7306/00293032"/>
    <x v="4"/>
    <s v="Minchinbury Mobilisation"/>
    <x v="70"/>
    <d v="2017-02-23T00:00:00"/>
    <s v="Feb-17"/>
    <s v="Bunnings Warehouse - Spray Paint Metalshield 300g Epoxy Gloss Blue"/>
    <n v="17.18"/>
    <m/>
    <m/>
  </r>
  <r>
    <s v="INV"/>
    <s v="NBN Sydney"/>
    <s v="11856885"/>
    <x v="1"/>
    <s v="Overhead"/>
    <x v="3"/>
    <d v="2017-02-28T00:00:00"/>
    <s v="Feb-17"/>
    <s v="Cleanaway - 16/02/2017_x000d__x000a_1 x Clear 1.5m Recycle Bin"/>
    <n v="11.57"/>
    <m/>
    <m/>
  </r>
  <r>
    <s v="INV"/>
    <s v="NBN Sydney"/>
    <s v="11856885"/>
    <x v="1"/>
    <s v="Overhead"/>
    <x v="3"/>
    <d v="2017-02-28T00:00:00"/>
    <s v="Feb-17"/>
    <s v="Cleanaway - 7/02/2017_x000d__x000a_1 x Clear 1.5m Bin"/>
    <n v="83.8"/>
    <m/>
    <m/>
  </r>
  <r>
    <s v="INV"/>
    <s v="NBN Sydney"/>
    <s v="11856885"/>
    <x v="1"/>
    <s v="Overhead"/>
    <x v="3"/>
    <d v="2017-02-28T00:00:00"/>
    <s v="Feb-17"/>
    <s v="Cleanaway - 28/02/2017_x000d__x000a_1 x Environmental Fee"/>
    <n v="10"/>
    <m/>
    <m/>
  </r>
  <r>
    <s v="INV"/>
    <s v="NBN Sydney"/>
    <s v="11856885"/>
    <x v="1"/>
    <s v="Overhead"/>
    <x v="3"/>
    <d v="2017-02-28T00:00:00"/>
    <s v="Feb-17"/>
    <s v="Cleanaway - 21/02/2017_x000d__x000a_1 x Clear 1.5m Bin"/>
    <n v="83.8"/>
    <m/>
    <m/>
  </r>
  <r>
    <s v="INV"/>
    <s v="NBN Sydney"/>
    <s v="11856885"/>
    <x v="1"/>
    <s v="Overhead"/>
    <x v="3"/>
    <d v="2017-02-28T00:00:00"/>
    <s v="Feb-17"/>
    <s v="Cleanaway - 2/02/2017_x000d__x000a_1 x Clear 1.5m Recycle Bin"/>
    <n v="11.57"/>
    <m/>
    <m/>
  </r>
  <r>
    <s v="INV"/>
    <s v="NBN Sydney"/>
    <s v="SM28022017DTK"/>
    <x v="4"/>
    <s v="Minchinbury Mobilisation"/>
    <x v="70"/>
    <d v="2017-02-28T00:00:00"/>
    <s v="Feb-17"/>
    <s v="Soo Mart - Long Span Shelving Add-on Bay 2m(H)x2m(L)x0.6m(W), 1200kg rating"/>
    <n v="101"/>
    <m/>
    <m/>
  </r>
  <r>
    <s v="INV"/>
    <s v="NBN Sydney"/>
    <s v="SM28022017DTK"/>
    <x v="4"/>
    <s v="Minchinbury Mobilisation"/>
    <x v="70"/>
    <d v="2017-02-28T00:00:00"/>
    <s v="Feb-17"/>
    <s v="Soo Mart - Long Span Shelving Initial Bay 2m(H)x2m(L)x0.6m(W), 1200kg rating"/>
    <n v="199"/>
    <m/>
    <m/>
  </r>
  <r>
    <s v="INV"/>
    <s v="NBN Sydney"/>
    <s v="SM28022017DTK"/>
    <x v="4"/>
    <s v="Minchinbury Mobilisation"/>
    <x v="70"/>
    <d v="2017-02-28T00:00:00"/>
    <s v="Feb-17"/>
    <s v="Soo Mart - Long Span Shelving Add-On Bay 2m(H)x2m(L)x0.6m(W), 1200kg"/>
    <n v="124.64"/>
    <m/>
    <m/>
  </r>
  <r>
    <s v="INV"/>
    <s v="NBN Sydney"/>
    <s v="SM28022017DTK"/>
    <x v="4"/>
    <s v="Minchinbury Mobilisation"/>
    <x v="70"/>
    <d v="2017-02-28T00:00:00"/>
    <s v="Feb-17"/>
    <s v="Soo Mart - Long Span Shelving Inital Bay 2m(H)x2m(L)x0.6m(W), 1200kg rating"/>
    <n v="199"/>
    <m/>
    <m/>
  </r>
  <r>
    <s v="INV"/>
    <s v="NBN Sydney"/>
    <s v="5663689"/>
    <x v="1"/>
    <s v="Overhead"/>
    <x v="3"/>
    <d v="2017-02-15T00:00:00"/>
    <s v="Feb-17"/>
    <s v="Sydney Water - Wastewater (sewerage) Service"/>
    <n v="210.95"/>
    <m/>
    <m/>
  </r>
  <r>
    <s v="INV"/>
    <s v="NBN Sydney"/>
    <s v="0004"/>
    <x v="1"/>
    <s v="Overhead"/>
    <x v="3"/>
    <d v="2017-02-01T00:00:00"/>
    <s v="Feb-17"/>
    <s v="GILCIN - Rent 18/02/2017-18/03/2017_x000d__x000a_Unit 26, 23 John Hines Ave, Minchinbury"/>
    <n v="4416.66"/>
    <m/>
    <m/>
  </r>
  <r>
    <s v="INV"/>
    <s v="NBN Sydney"/>
    <s v="5663689"/>
    <x v="1"/>
    <s v="Overhead"/>
    <x v="3"/>
    <d v="2017-02-15T00:00:00"/>
    <s v="Feb-17"/>
    <s v="Sydney Water - Amount overdue"/>
    <n v="2"/>
    <m/>
    <m/>
  </r>
  <r>
    <s v="INV"/>
    <s v="NBN Sydney"/>
    <s v="5663689"/>
    <x v="1"/>
    <s v="Overhead"/>
    <x v="3"/>
    <d v="2017-02-15T00:00:00"/>
    <s v="Feb-17"/>
    <s v="Sydney Water - Water"/>
    <n v="8"/>
    <m/>
    <m/>
  </r>
  <r>
    <s v="INV"/>
    <s v="NBN Sydney"/>
    <s v="5663689"/>
    <x v="1"/>
    <s v="Overhead"/>
    <x v="3"/>
    <d v="2017-02-15T00:00:00"/>
    <s v="Feb-17"/>
    <s v="Sydney Water - Water Service"/>
    <n v="35.130000000000003"/>
    <m/>
    <m/>
  </r>
  <r>
    <s v="INV"/>
    <s v="NBN Sydney"/>
    <s v="01-618784"/>
    <x v="1"/>
    <s v="Overhead"/>
    <x v="3"/>
    <d v="2017-02-28T00:00:00"/>
    <s v="Feb-17"/>
    <s v="BP Davis Road - Diesel 82.06L 1.249"/>
    <n v="93.18"/>
    <m/>
    <m/>
  </r>
  <r>
    <s v="INV"/>
    <s v="NBN Sydney"/>
    <s v="63087"/>
    <x v="1"/>
    <s v="Overhead"/>
    <x v="3"/>
    <d v="2017-02-15T00:00:00"/>
    <s v="Feb-17"/>
    <s v="Caltex Yass - ULP 65.05L 1.445"/>
    <n v="85.45"/>
    <m/>
    <m/>
  </r>
  <r>
    <s v="INV"/>
    <s v="NBN Sydney"/>
    <s v="9999999"/>
    <x v="1"/>
    <s v="Overhead"/>
    <x v="3"/>
    <d v="2017-02-16T00:00:00"/>
    <s v="Feb-17"/>
    <s v="Secure Parking - Berry Square Parking_x000d__x000a_1.09 hrs parking"/>
    <n v="26.09"/>
    <m/>
    <m/>
  </r>
  <r>
    <s v="INV"/>
    <s v="NBN Sydney"/>
    <s v="1452621"/>
    <x v="1"/>
    <s v="Overhead"/>
    <x v="3"/>
    <d v="2017-02-17T00:00:00"/>
    <s v="Feb-17"/>
    <s v="Eureka Operations - Coles Express - ULP 57.31L 1.169"/>
    <n v="60.91"/>
    <m/>
    <m/>
  </r>
  <r>
    <s v="INV"/>
    <s v="NBN Sydney"/>
    <s v="03408"/>
    <x v="5"/>
    <s v="Minchinbury Mobilisation"/>
    <x v="70"/>
    <d v="2017-02-01T00:00:00"/>
    <s v="Feb-17"/>
    <s v="Caltex Wagga Wagga - Hammond Ave - Diesel 59.70L 1.299"/>
    <n v="70.5"/>
    <m/>
    <m/>
  </r>
  <r>
    <s v="INV"/>
    <s v="NBN Sydney"/>
    <s v="2504430"/>
    <x v="5"/>
    <s v="NBN Greenfields DJC Internals"/>
    <x v="109"/>
    <d v="2017-02-01T00:00:00"/>
    <s v="Feb-17"/>
    <s v="BP Connect Carlingford - ULP 43.22L 1.299"/>
    <n v="51.04"/>
    <m/>
    <m/>
  </r>
  <r>
    <s v="INV"/>
    <s v="NBN Sydney"/>
    <s v="2432326"/>
    <x v="5"/>
    <s v="Minor Works"/>
    <x v="84"/>
    <d v="2017-02-03T00:00:00"/>
    <s v="Feb-17"/>
    <s v="BP 2Go Engadine - ULP 43.91L 1.349"/>
    <n v="53.85"/>
    <m/>
    <m/>
  </r>
  <r>
    <s v="INV"/>
    <s v="NBN Sydney"/>
    <s v="32950"/>
    <x v="5"/>
    <s v="DDA"/>
    <x v="124"/>
    <d v="2017-02-06T00:00:00"/>
    <s v="Feb-17"/>
    <s v="Caltex Eastern Creek - ULP 24.10L 1.279"/>
    <n v="28.02"/>
    <m/>
    <m/>
  </r>
  <r>
    <s v="INV"/>
    <s v="NBN Sydney"/>
    <s v="7562/01 05"/>
    <x v="5"/>
    <s v="DDA"/>
    <x v="124"/>
    <d v="2017-02-06T00:00:00"/>
    <s v="Feb-17"/>
    <s v="Shell Wellington - ULP 33.06L 1.349"/>
    <n v="40.549999999999997"/>
    <m/>
    <m/>
  </r>
  <r>
    <s v="INV"/>
    <s v="NBN Sydney"/>
    <s v="2419983"/>
    <x v="5"/>
    <s v="DDA"/>
    <x v="124"/>
    <d v="2017-02-07T00:00:00"/>
    <s v="Feb-17"/>
    <s v="Eureka Operations - Coles Express - ULP 30.99L 1.629"/>
    <n v="45.89"/>
    <m/>
    <m/>
  </r>
  <r>
    <s v="INV"/>
    <s v="NBN Sydney"/>
    <s v="1667802"/>
    <x v="5"/>
    <s v="DDA"/>
    <x v="124"/>
    <d v="2017-02-08T00:00:00"/>
    <s v="Feb-17"/>
    <s v="Eureka Operations - Coles Express - ULP 26.63L 1.419"/>
    <n v="34.35"/>
    <m/>
    <m/>
  </r>
  <r>
    <s v="INV"/>
    <s v="NBN Sydney"/>
    <s v="2568070"/>
    <x v="5"/>
    <s v="NBN Greenfields DJC Internals"/>
    <x v="108"/>
    <d v="2017-02-09T00:00:00"/>
    <s v="Feb-17"/>
    <s v="7 Eleven Burwood - ULP 48.83L 1.119"/>
    <n v="49.67"/>
    <m/>
    <m/>
  </r>
  <r>
    <s v="INV"/>
    <s v="NBN Sydney"/>
    <s v="2252887"/>
    <x v="5"/>
    <s v="NBN Greenfields DJC Internals"/>
    <x v="110"/>
    <d v="2017-02-10T00:00:00"/>
    <s v="Feb-17"/>
    <s v="Eureka Operations - Coles Express - Vpower 33.11L 1.679"/>
    <n v="50.55"/>
    <m/>
    <m/>
  </r>
  <r>
    <s v="INV"/>
    <s v="NBN Sydney"/>
    <s v="014-44792-7016"/>
    <x v="1"/>
    <s v="Test Equipment &amp; Tools"/>
    <x v="27"/>
    <d v="2017-02-13T00:00:00"/>
    <s v="Feb-17"/>
    <s v="Bunnings Warehouse - Garage Wall Storease 1200x150m Alum DIY00A"/>
    <n v="22.71"/>
    <m/>
    <m/>
  </r>
  <r>
    <s v="INV"/>
    <s v="NBN Sydney"/>
    <s v="014-44792-7016"/>
    <x v="1"/>
    <s v="Test Equipment &amp; Tools"/>
    <x v="27"/>
    <d v="2017-02-13T00:00:00"/>
    <s v="Feb-17"/>
    <s v="Bunnings Warehouse - Bracket Wall Access Storease Open wire Shelf DIY36"/>
    <n v="27.15"/>
    <m/>
    <m/>
  </r>
  <r>
    <s v="INV"/>
    <s v="NBN Sydney"/>
    <s v="1452367"/>
    <x v="5"/>
    <s v="NBN Minor Works DJC Internals"/>
    <x v="122"/>
    <d v="2017-02-15T00:00:00"/>
    <s v="Feb-17"/>
    <s v="7 Eleven Drummoyne - ULP 47.83L 1.167"/>
    <n v="50.75"/>
    <m/>
    <m/>
  </r>
  <r>
    <s v="INV"/>
    <s v="NBN Sydney"/>
    <s v="15288"/>
    <x v="5"/>
    <s v="NBN Minor Works DJC Internals"/>
    <x v="122"/>
    <d v="2017-02-16T00:00:00"/>
    <s v="Feb-17"/>
    <s v="Caltex Albion Park - ULP 35.42L 1.323"/>
    <n v="42.6"/>
    <m/>
    <m/>
  </r>
  <r>
    <s v="INV"/>
    <s v="NBN Sydney"/>
    <s v="2623056"/>
    <x v="5"/>
    <s v="NBN Greenfields DJC Internals"/>
    <x v="121"/>
    <d v="2017-02-20T00:00:00"/>
    <s v="Feb-17"/>
    <s v="BP Express Canterbury - ULP 42.25L 1.429"/>
    <n v="54.89"/>
    <m/>
    <m/>
  </r>
  <r>
    <s v="INV"/>
    <s v="NBN Sydney"/>
    <s v="2623839"/>
    <x v="5"/>
    <s v="NBN Greenfields DJC Internals"/>
    <x v="113"/>
    <d v="2017-02-21T00:00:00"/>
    <s v="Feb-17"/>
    <s v="BP Express Canterbury - ULP 40.64L 1.429"/>
    <n v="52.79"/>
    <m/>
    <m/>
  </r>
  <r>
    <s v="INV"/>
    <s v="NBN Sydney"/>
    <s v="86913"/>
    <x v="5"/>
    <s v="NBN Greenfields DJC Internals"/>
    <x v="115"/>
    <d v="2017-02-22T00:00:00"/>
    <s v="Feb-17"/>
    <s v="Lorven Fuels - ULP 40.92L 1.549"/>
    <n v="57.63"/>
    <m/>
    <m/>
  </r>
  <r>
    <s v="INV"/>
    <s v="NBN Sydney"/>
    <s v="2447050"/>
    <x v="5"/>
    <s v="NBN Greenfields DJC Internals"/>
    <x v="116"/>
    <d v="2017-02-23T00:00:00"/>
    <s v="Feb-17"/>
    <s v="BP 2Go Engadine - ULP 37.93L 1.429"/>
    <n v="49.27"/>
    <m/>
    <m/>
  </r>
  <r>
    <s v="INV"/>
    <s v="NBN Sydney"/>
    <s v="2595200"/>
    <x v="5"/>
    <s v="NBN Greenfields DJC Internals"/>
    <x v="116"/>
    <d v="2017-02-27T00:00:00"/>
    <s v="Feb-17"/>
    <s v="7 Eleven Burwood - ULP 45.14L 1.315"/>
    <n v="53.95"/>
    <m/>
    <m/>
  </r>
  <r>
    <s v="INV"/>
    <s v="NBN Sydney"/>
    <s v="9457/3303"/>
    <x v="1"/>
    <s v="Overhead"/>
    <x v="3"/>
    <d v="2017-02-09T00:00:00"/>
    <s v="Feb-17"/>
    <s v="Metro Petroleum Alfredtown - UPL 91 46.91L @  1.279/L"/>
    <n v="54.55"/>
    <m/>
    <m/>
  </r>
  <r>
    <s v="INV"/>
    <s v="NBN Sydney"/>
    <s v="1604150"/>
    <x v="1"/>
    <s v="Overhead"/>
    <x v="3"/>
    <d v="2017-02-10T00:00:00"/>
    <s v="Feb-17"/>
    <s v="7 -Eleven Kogarah - CGC00K_x000d__x000a_ULP 41.63L @ 1.129/L "/>
    <n v="42.73"/>
    <m/>
    <m/>
  </r>
  <r>
    <s v="INV"/>
    <s v="NBN Sydney"/>
    <s v="62531"/>
    <x v="1"/>
    <s v="Overhead"/>
    <x v="3"/>
    <d v="2017-02-12T00:00:00"/>
    <s v="Feb-17"/>
    <s v="Caltex Yass - E10  44.98L @ L 1.445/L"/>
    <n v="59.09"/>
    <m/>
    <m/>
  </r>
  <r>
    <s v="INV"/>
    <s v="NBN Sydney"/>
    <s v="28023083 170201"/>
    <x v="1"/>
    <s v="Overhead"/>
    <x v="3"/>
    <d v="2017-02-01T00:00:00"/>
    <s v="Feb-17"/>
    <s v="Eureka Operations - Coles Express - Diesel 63.36L 1.369"/>
    <n v="78.86"/>
    <m/>
    <m/>
  </r>
  <r>
    <s v="INV"/>
    <s v="NBN Sydney"/>
    <s v="3606/01 07"/>
    <x v="1"/>
    <s v="Overhead"/>
    <x v="3"/>
    <d v="2017-02-02T00:00:00"/>
    <s v="Feb-17"/>
    <s v="BP Woonona - Diesel 61.04L 1.339"/>
    <n v="74.3"/>
    <m/>
    <m/>
  </r>
  <r>
    <s v="INV"/>
    <s v="NBN Sydney"/>
    <s v="679"/>
    <x v="1"/>
    <s v="Overhead"/>
    <x v="3"/>
    <d v="2017-02-07T00:00:00"/>
    <s v="Feb-17"/>
    <s v="BP Eastern Creek - Diesel 67.59L @ 1.299L"/>
    <n v="79.819999999999993"/>
    <m/>
    <m/>
  </r>
  <r>
    <s v="INV"/>
    <s v="NBN Sydney"/>
    <s v="2002455"/>
    <x v="1"/>
    <s v="Overhead"/>
    <x v="3"/>
    <d v="2017-02-10T00:00:00"/>
    <s v="Feb-17"/>
    <s v="Eureka Operations - Coles Express - Diesel 64.03L 1.369"/>
    <n v="79.69"/>
    <m/>
    <m/>
  </r>
  <r>
    <s v="INV"/>
    <s v="NBN Sydney"/>
    <s v="2246455"/>
    <x v="1"/>
    <s v="Overhead"/>
    <x v="3"/>
    <d v="2017-02-15T00:00:00"/>
    <s v="Feb-17"/>
    <s v="7 Eleven Minchinbury - Diesel 65.6L 1.279"/>
    <n v="76.27"/>
    <m/>
    <m/>
  </r>
  <r>
    <s v="INV"/>
    <s v="NBN Sydney"/>
    <s v="17368"/>
    <x v="1"/>
    <s v="Overhead"/>
    <x v="3"/>
    <d v="2017-02-17T00:00:00"/>
    <s v="Feb-17"/>
    <s v="Eddie's Mobile Mechanic Services - Labour"/>
    <n v="80"/>
    <m/>
    <m/>
  </r>
  <r>
    <s v="INV"/>
    <s v="NBN Sydney"/>
    <s v="17368"/>
    <x v="1"/>
    <s v="Overhead"/>
    <x v="3"/>
    <d v="2017-02-17T00:00:00"/>
    <s v="Feb-17"/>
    <s v="Eddie's Mobile Mechanic Services - Gearbox Fluid - Caltex"/>
    <n v="47.78"/>
    <m/>
    <m/>
  </r>
  <r>
    <s v="INV"/>
    <s v="NBN Sydney"/>
    <s v="17368"/>
    <x v="1"/>
    <s v="Overhead"/>
    <x v="3"/>
    <d v="2017-02-17T00:00:00"/>
    <s v="Feb-17"/>
    <s v="Eddie's Mobile Mechanic Services - Wheel Balance &amp; Rotate"/>
    <n v="20"/>
    <m/>
    <m/>
  </r>
  <r>
    <s v="INV"/>
    <s v="NBN Sydney"/>
    <s v="17368"/>
    <x v="1"/>
    <s v="Overhead"/>
    <x v="3"/>
    <d v="2017-02-17T00:00:00"/>
    <s v="Feb-17"/>
    <s v="Eddie's Mobile Mechanic Services - Front Pads"/>
    <n v="99.9"/>
    <m/>
    <m/>
  </r>
  <r>
    <s v="INV"/>
    <s v="NBN Sydney"/>
    <s v="17368"/>
    <x v="1"/>
    <s v="Overhead"/>
    <x v="3"/>
    <d v="2017-02-17T00:00:00"/>
    <s v="Feb-17"/>
    <s v="Eddie's Mobile Mechanic Services - Brake Fluid Valvoline"/>
    <n v="8.64"/>
    <m/>
    <m/>
  </r>
  <r>
    <s v="INV"/>
    <s v="NBN Sydney"/>
    <s v="17368"/>
    <x v="1"/>
    <s v="Overhead"/>
    <x v="3"/>
    <d v="2017-02-17T00:00:00"/>
    <s v="Feb-17"/>
    <s v="Eddie's Mobile Mechanic Services - Disc Machine"/>
    <n v="54.54"/>
    <m/>
    <m/>
  </r>
  <r>
    <s v="INV"/>
    <s v="NBN Sydney"/>
    <s v="17368"/>
    <x v="1"/>
    <s v="Overhead"/>
    <x v="3"/>
    <d v="2017-02-17T00:00:00"/>
    <s v="Feb-17"/>
    <s v="Eddie's Mobile Mechanic Services - Oil Filter"/>
    <n v="8.18"/>
    <m/>
    <m/>
  </r>
  <r>
    <s v="INV"/>
    <s v="NBN Sydney"/>
    <s v="17368"/>
    <x v="1"/>
    <s v="Overhead"/>
    <x v="3"/>
    <d v="2017-02-17T00:00:00"/>
    <s v="Feb-17"/>
    <s v="Eddie's Mobile Mechanic Services - Sump Plug Washer"/>
    <n v="3.24"/>
    <m/>
    <m/>
  </r>
  <r>
    <s v="INV"/>
    <s v="NBN Sydney"/>
    <s v="17368"/>
    <x v="1"/>
    <s v="Overhead"/>
    <x v="3"/>
    <d v="2017-02-17T00:00:00"/>
    <s v="Feb-17"/>
    <s v="Eddie's Mobile Mechanic Services - Sundries"/>
    <n v="17.55"/>
    <m/>
    <m/>
  </r>
  <r>
    <s v="INV"/>
    <s v="NBN Sydney"/>
    <s v="17368"/>
    <x v="1"/>
    <s v="Overhead"/>
    <x v="3"/>
    <d v="2017-02-17T00:00:00"/>
    <s v="Feb-17"/>
    <s v="Eddie's Mobile Mechanic Services - Log Book Service 140,000km"/>
    <n v="160"/>
    <m/>
    <m/>
  </r>
  <r>
    <s v="INV"/>
    <s v="NBN Sydney"/>
    <s v="17368"/>
    <x v="1"/>
    <s v="Overhead"/>
    <x v="3"/>
    <d v="2017-02-17T00:00:00"/>
    <s v="Feb-17"/>
    <s v="Eddie's Mobile Mechanic Services - Hi-Tec Evolution"/>
    <n v="53.04"/>
    <m/>
    <m/>
  </r>
  <r>
    <s v="INV"/>
    <s v="NBN Sydney"/>
    <s v="17368"/>
    <x v="1"/>
    <s v="Overhead"/>
    <x v="3"/>
    <d v="2017-02-17T00:00:00"/>
    <s v="Feb-17"/>
    <s v="Eddie's Mobile Mechanic Services - Engine Flush"/>
    <n v="10.06"/>
    <m/>
    <m/>
  </r>
  <r>
    <s v="INV"/>
    <s v="NBN Sydney"/>
    <s v="17368"/>
    <x v="1"/>
    <s v="Overhead"/>
    <x v="3"/>
    <d v="2017-02-17T00:00:00"/>
    <s v="Feb-17"/>
    <s v="Eddie's Mobile Mechanic Services - Washer Additive"/>
    <n v="2.57"/>
    <m/>
    <m/>
  </r>
  <r>
    <s v="INV"/>
    <s v="NBN Sydney"/>
    <s v="56847"/>
    <x v="1"/>
    <s v="Overhead"/>
    <x v="3"/>
    <d v="2017-02-20T00:00:00"/>
    <s v="Feb-17"/>
    <s v="Caltex Eastern Creek - Diesel 60.73L 1.313"/>
    <n v="72.489999999999995"/>
    <m/>
    <m/>
  </r>
  <r>
    <s v="INV"/>
    <s v="NBN Sydney"/>
    <s v="9288/33 03"/>
    <x v="1"/>
    <s v="Overhead"/>
    <x v="3"/>
    <d v="2017-02-22T00:00:00"/>
    <s v="Feb-17"/>
    <s v="Alliance Petroleum P/L - Diesel 57.49L 1.299"/>
    <n v="67.89"/>
    <m/>
    <m/>
  </r>
  <r>
    <s v="INV"/>
    <s v="NBN Sydney"/>
    <s v="01-139771"/>
    <x v="1"/>
    <s v="Overhead"/>
    <x v="3"/>
    <d v="2017-02-27T00:00:00"/>
    <s v="Feb-17"/>
    <s v="Westside Petroleum Campbelltown - Diesel 39.19L 1.329"/>
    <n v="47.35"/>
    <m/>
    <m/>
  </r>
  <r>
    <s v="MJ"/>
    <s v="NBN Sydney"/>
    <s v="#30187"/>
    <x v="5"/>
    <s v="NBN Greenfields DJC Internals"/>
    <x v="109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Greenfields DJC Internals"/>
    <x v="113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Minor Works DJC Internals"/>
    <x v="107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Minor Works DJC Internals"/>
    <x v="84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Greenfields DJC Internals"/>
    <x v="108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Greenfields DJC Internals"/>
    <x v="110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Minor Works DJC Internals"/>
    <x v="118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Greenfields DJC Internals"/>
    <x v="116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Minor Works DJC Internals"/>
    <x v="122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Greenfields DJC Internals"/>
    <x v="121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Greenfields DJC Internals"/>
    <x v="113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Greenfields DJC Internals"/>
    <x v="121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Greenfields DJC Internals"/>
    <x v="115"/>
    <d v="2017-02-01T00:00:00"/>
    <s v="Feb-17"/>
    <s v="SYDNEY VEHICLE  AND TEST EQUIPMENT RENTAL - TEST EQUIPMENT MONTHLY RENTAL"/>
    <n v="64.428571428571431"/>
    <m/>
    <m/>
  </r>
  <r>
    <s v="MJ"/>
    <s v="NBN Sydney"/>
    <s v="#30187"/>
    <x v="5"/>
    <s v="NBN Greenfields DJC Internals"/>
    <x v="116"/>
    <d v="2017-02-01T00:00:00"/>
    <s v="Feb-17"/>
    <s v="SYDNEY VEHICLE  AND TEST EQUIPMENT RENTAL - TEST EQUIPMENT MONTHLY RENTAL"/>
    <n v="64.428571428571431"/>
    <m/>
    <m/>
  </r>
  <r>
    <s v="MJ"/>
    <s v="NBN Sydney"/>
    <s v="#30187"/>
    <x v="1"/>
    <s v="Overhead"/>
    <x v="3"/>
    <d v="2017-02-01T00:00:00"/>
    <s v="Feb-17"/>
    <s v="SYDNEY VEHICLE  AND TEST EQUIPMENT RENTAL - Forklift"/>
    <n v="487"/>
    <m/>
    <m/>
  </r>
  <r>
    <s v="MJ"/>
    <s v="NBN Sydney"/>
    <s v="#30187"/>
    <x v="1"/>
    <s v="Overhead"/>
    <x v="3"/>
    <d v="2017-02-01T00:00:00"/>
    <s v="Feb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833"/>
    <m/>
    <m/>
  </r>
  <r>
    <s v="MJ"/>
    <s v="NBN Sydney"/>
    <s v="#30187"/>
    <x v="5"/>
    <s v="NBN Greenfields DJC Internals"/>
    <x v="109"/>
    <d v="2017-02-01T00:00:00"/>
    <s v="Feb-17"/>
    <s v="SYDNEY VEHICLE  AND TEST EQUIPMENT RENTAL - BU59MS -HIACE RENTAL - "/>
    <n v="59.5"/>
    <m/>
    <m/>
  </r>
  <r>
    <s v="MJ"/>
    <s v="NBN Sydney"/>
    <s v="#30187"/>
    <x v="5"/>
    <s v="NBN Greenfields DJC Internals"/>
    <x v="113"/>
    <d v="2017-02-01T00:00:00"/>
    <s v="Feb-17"/>
    <s v="SYDNEY VEHICLE  AND TEST EQUIPMENT RENTAL - BU59MS -HIACE RENTAL - "/>
    <n v="59.5"/>
    <m/>
    <m/>
  </r>
  <r>
    <s v="MJ"/>
    <s v="NBN Sydney"/>
    <s v="#30187"/>
    <x v="5"/>
    <s v="NBN Minor Works DJC Internals"/>
    <x v="107"/>
    <d v="2017-02-01T00:00:00"/>
    <s v="Feb-17"/>
    <s v="SYDNEY VEHICLE  AND TEST EQUIPMENT RENTAL - BU59MS -HIACE RENTAL - "/>
    <n v="59.5"/>
    <m/>
    <m/>
  </r>
  <r>
    <s v="MJ"/>
    <s v="NBN Sydney"/>
    <s v="#30187"/>
    <x v="5"/>
    <s v="NBN Minor Works DJC Internals"/>
    <x v="84"/>
    <d v="2017-02-01T00:00:00"/>
    <s v="Feb-17"/>
    <s v="SYDNEY VEHICLE  AND TEST EQUIPMENT RENTAL - BU59MS -HIACE RENTAL - "/>
    <n v="59.5"/>
    <m/>
    <m/>
  </r>
  <r>
    <s v="MJ"/>
    <s v="NBN Sydney"/>
    <s v="#30187"/>
    <x v="5"/>
    <s v="NBN Greenfields DJC Internals"/>
    <x v="108"/>
    <d v="2017-02-01T00:00:00"/>
    <s v="Feb-17"/>
    <s v="SYDNEY VEHICLE  AND TEST EQUIPMENT RENTAL - BU59MS -HIACE RENTAL - "/>
    <n v="59.5"/>
    <m/>
    <m/>
  </r>
  <r>
    <s v="MJ"/>
    <s v="NBN Sydney"/>
    <s v="#30187"/>
    <x v="5"/>
    <s v="NBN Greenfields DJC Internals"/>
    <x v="110"/>
    <d v="2017-02-01T00:00:00"/>
    <s v="Feb-17"/>
    <s v="SYDNEY VEHICLE  AND TEST EQUIPMENT RENTAL - BU59MS -HIACE RENTAL - "/>
    <n v="59.5"/>
    <m/>
    <m/>
  </r>
  <r>
    <s v="MJ"/>
    <s v="NBN Sydney"/>
    <s v="#30187"/>
    <x v="5"/>
    <s v="NBN Minor Works DJC Internals"/>
    <x v="118"/>
    <d v="2017-02-01T00:00:00"/>
    <s v="Feb-17"/>
    <s v="SYDNEY VEHICLE  AND TEST EQUIPMENT RENTAL - BU59MS -HIACE RENTAL - "/>
    <n v="59.5"/>
    <m/>
    <m/>
  </r>
  <r>
    <s v="MJ"/>
    <s v="NBN Sydney"/>
    <s v="#30187"/>
    <x v="5"/>
    <s v="NBN Greenfields DJC Internals"/>
    <x v="116"/>
    <d v="2017-02-01T00:00:00"/>
    <s v="Feb-17"/>
    <s v="SYDNEY VEHICLE  AND TEST EQUIPMENT RENTAL - BU59MS -HIACE RENTAL - "/>
    <n v="59.5"/>
    <m/>
    <m/>
  </r>
  <r>
    <s v="MJ"/>
    <s v="NBN Sydney"/>
    <s v="#30187"/>
    <x v="5"/>
    <s v="NBN Minor Works DJC Internals"/>
    <x v="122"/>
    <d v="2017-02-01T00:00:00"/>
    <s v="Feb-17"/>
    <s v="SYDNEY VEHICLE  AND TEST EQUIPMENT RENTAL - BU59MS -HIACE RENTAL - "/>
    <n v="59.5"/>
    <m/>
    <m/>
  </r>
  <r>
    <s v="MJ"/>
    <s v="NBN Sydney"/>
    <s v="#30187"/>
    <x v="5"/>
    <s v="NBN Greenfields DJC Internals"/>
    <x v="121"/>
    <d v="2017-02-01T00:00:00"/>
    <s v="Feb-17"/>
    <s v="SYDNEY VEHICLE  AND TEST EQUIPMENT RENTAL - BU59MS -HIACE RENTAL - "/>
    <n v="59.5"/>
    <m/>
    <m/>
  </r>
  <r>
    <s v="MJ"/>
    <s v="NBN Sydney"/>
    <s v="#30187"/>
    <x v="5"/>
    <s v="NBN Greenfields DJC Internals"/>
    <x v="113"/>
    <d v="2017-02-01T00:00:00"/>
    <s v="Feb-17"/>
    <s v="SYDNEY VEHICLE  AND TEST EQUIPMENT RENTAL - BU59MS -HIACE RENTAL - "/>
    <n v="59.5"/>
    <m/>
    <m/>
  </r>
  <r>
    <s v="MJ"/>
    <s v="NBN Sydney"/>
    <s v="#30187"/>
    <x v="5"/>
    <s v="NBN Greenfields DJC Internals"/>
    <x v="121"/>
    <d v="2017-02-01T00:00:00"/>
    <s v="Feb-17"/>
    <s v="SYDNEY VEHICLE  AND TEST EQUIPMENT RENTAL - BU59MS -HIACE RENTAL - "/>
    <n v="59.5"/>
    <m/>
    <m/>
  </r>
  <r>
    <s v="MJ"/>
    <s v="NBN Sydney"/>
    <s v="#30187"/>
    <x v="5"/>
    <s v="NBN Greenfields DJC Internals"/>
    <x v="115"/>
    <d v="2017-02-01T00:00:00"/>
    <s v="Feb-17"/>
    <s v="SYDNEY VEHICLE  AND TEST EQUIPMENT RENTAL - BU59MS -HIACE RENTAL - "/>
    <n v="59.5"/>
    <m/>
    <m/>
  </r>
  <r>
    <s v="MJ"/>
    <s v="NBN Sydney"/>
    <s v="#30187"/>
    <x v="5"/>
    <s v="NBN Greenfields DJC Internals"/>
    <x v="116"/>
    <d v="2017-02-01T00:00:00"/>
    <s v="Feb-17"/>
    <s v="SYDNEY VEHICLE  AND TEST EQUIPMENT RENTAL - BU59MS -HIACE RENTAL - "/>
    <n v="59.5"/>
    <m/>
    <m/>
  </r>
  <r>
    <s v="INV"/>
    <s v="NBN Sydney"/>
    <s v="88990-2-2017"/>
    <x v="1"/>
    <s v="Overhead"/>
    <x v="3"/>
    <d v="2017-02-28T00:00:00"/>
    <s v="Feb-17"/>
    <s v="Supagas - 2 x Monthly Rental of LPG 15kg Cylinder"/>
    <n v="10"/>
    <m/>
    <m/>
  </r>
  <r>
    <s v="INV"/>
    <s v="NBN Sydney"/>
    <s v="INV-12076"/>
    <x v="3"/>
    <s v="NBN Minor Works"/>
    <x v="61"/>
    <d v="2017-03-01T00:00:00"/>
    <s v="Mar-17"/>
    <s v="NBN Co Sydney - 2GOS-03-BF-NS-Gosford 03_x000d__x000a_Variation Additional to Scope"/>
    <m/>
    <s v="Minor Works - 2GOS-06 LNDN and MDU"/>
    <n v="10041.14"/>
  </r>
  <r>
    <s v="INV"/>
    <s v="NBN Sydney"/>
    <s v="INV-11794a"/>
    <x v="3"/>
    <s v="NBN Minor Works"/>
    <x v="69"/>
    <d v="2017-03-01T00:00:00"/>
    <s v="Mar-17"/>
    <s v="NBN Co Sydney - MWA - 2GOS-06-02 - Manns Road Build"/>
    <m/>
    <s v="Minor Works - 2GOS-06 Manns Road Aerial"/>
    <n v="61.52"/>
  </r>
  <r>
    <s v="INV"/>
    <s v="NBN Sydney"/>
    <s v="INV-12027"/>
    <x v="3"/>
    <s v="NBN Greenfields"/>
    <x v="125"/>
    <d v="2017-03-21T00:00:00"/>
    <s v="Mar-17"/>
    <s v="NBN Co Sydney - AYCA-428F2C - 167-173 Foxall"/>
    <m/>
    <s v="NBN Greenfields - AYCA-428F2C - 167-173 Foxall"/>
    <n v="76676.5"/>
  </r>
  <r>
    <s v="INV"/>
    <s v="NBN Sydney"/>
    <s v="INV-12026"/>
    <x v="3"/>
    <s v="NBN Greenfields"/>
    <x v="121"/>
    <d v="2017-03-21T00:00:00"/>
    <s v="Mar-17"/>
    <s v="NBN Co Sydney - 2TAH-01-62-64 Menangle Rd, Picton "/>
    <m/>
    <s v="NBN Greenfields - NENSW0156 - 2TAH-01-62-64 Menangle Rd, Picton V2"/>
    <n v="7439.67"/>
  </r>
  <r>
    <s v="INV"/>
    <s v="NBN Sydney"/>
    <s v="INV-12024"/>
    <x v="3"/>
    <s v="NBN Greenfields"/>
    <x v="126"/>
    <d v="2017-03-21T00:00:00"/>
    <s v="Mar-17"/>
    <s v="NBN Co Sydney - AYCA-3EXE83 - Mission_x000d__x000a_Australia Orange RACF - 1"/>
    <m/>
    <s v="NBN Greenfields - AYCA-3EXE83 - Mission Australia Orange RACF"/>
    <n v="5082.29"/>
  </r>
  <r>
    <s v="INV"/>
    <s v="NBN Sydney"/>
    <s v="INV-11971a"/>
    <x v="3"/>
    <s v="NBN Minor Works"/>
    <x v="84"/>
    <d v="2017-03-22T00:00:00"/>
    <s v="Mar-17"/>
    <s v="NBN Co Sydney -  MWA, 2COR-05 Build Drops - FDAs 04, 06 &amp; 09"/>
    <m/>
    <s v="Minor Works - 2COR-05 Drops"/>
    <n v="289.99"/>
  </r>
  <r>
    <s v="INV"/>
    <s v="NBN Sydney"/>
    <s v="INV-12032"/>
    <x v="3"/>
    <s v="NBN Greenfields"/>
    <x v="127"/>
    <d v="2017-03-22T00:00:00"/>
    <s v="Mar-17"/>
    <s v="NBN Co Sydney - MW20347 - AYCA-39BLYW - 18_x000d_ Victoria St, Coffs Harbour ? 1_x000d__x000a_RCTI-249480-202582"/>
    <m/>
    <s v="NBN Greenfields - AYCA-39BLYW - 18 Victoria St, Coffs Harbour"/>
    <n v="4236.0600000000004"/>
  </r>
  <r>
    <s v="INV"/>
    <s v="NBN Sydney"/>
    <s v="INV-12028"/>
    <x v="3"/>
    <s v="NBN Minor Works"/>
    <x v="111"/>
    <d v="2017-03-22T00:00:00"/>
    <s v="Mar-17"/>
    <s v="NBN Co Sydney - 2DAL-20, FttB designs"/>
    <m/>
    <s v="Minor Works - 2DAL - 20 FttB Survey &amp; Design "/>
    <n v="5805"/>
  </r>
  <r>
    <s v="INV"/>
    <s v="NBN Sydney"/>
    <s v="INV-12029"/>
    <x v="3"/>
    <s v="NBN Greenfields"/>
    <x v="128"/>
    <d v="2017-03-22T00:00:00"/>
    <s v="Mar-17"/>
    <s v="NBN Co Sydney -  AYCA-35RM69 - 209 Hill St – 3 Copper"/>
    <m/>
    <s v="NBN Greenfields - AYCA-35RM69 - 209 Hill St"/>
    <n v="8813.2099999999991"/>
  </r>
  <r>
    <s v="INV"/>
    <s v="NBN Sydney"/>
    <s v="INV-12056"/>
    <x v="3"/>
    <s v="NBN Greenfields"/>
    <x v="94"/>
    <d v="2017-03-29T00:00:00"/>
    <s v="Mar-17"/>
    <s v="NBN Co Sydney - AYCA-37LWLY - Backhouse Street - 1 "/>
    <m/>
    <s v="NBN Greenfields - AYCA-37LWLY - Backhouse Street"/>
    <n v="4682.05"/>
  </r>
  <r>
    <s v="INV"/>
    <s v="NBN Sydney"/>
    <s v="INV-12055"/>
    <x v="3"/>
    <s v="NBN Greenfields"/>
    <x v="129"/>
    <d v="2017-03-29T00:00:00"/>
    <s v="Mar-17"/>
    <s v="NBN Co Sydney - AYCA-3G7XGQ    Loaders Lane Coffs Harbour - 2A."/>
    <m/>
    <s v="NBN Greenfields - AYCA-3G7XGQ  Loaders Lane Coffs Harbour"/>
    <n v="4004.35"/>
  </r>
  <r>
    <s v="INV"/>
    <s v="NBN Sydney"/>
    <s v="INV-12054"/>
    <x v="3"/>
    <s v="NBN Greenfields"/>
    <x v="130"/>
    <d v="2017-03-29T00:00:00"/>
    <s v="Mar-17"/>
    <s v="NBN Co Sydney - AYCA-36D744 - Grace-SHA - 1 "/>
    <m/>
    <s v="NBN Greenfields - AYCA-36D744 - Grace-SHA"/>
    <n v="6008.19"/>
  </r>
  <r>
    <s v="INV"/>
    <s v="NBN Sydney"/>
    <s v="INV-12057"/>
    <x v="3"/>
    <s v="NBN Greenfields"/>
    <x v="131"/>
    <d v="2017-03-29T00:00:00"/>
    <s v="Mar-17"/>
    <s v="NBN Co Sydney - AYCA-1RO4NM - 31 CROWN STREET"/>
    <m/>
    <s v="NBN Greenfields - AYCA-1RO4NM - 31 CROWN STREET"/>
    <n v="12321.94"/>
  </r>
  <r>
    <s v="INV"/>
    <s v="NBN Sydney"/>
    <s v="INV-12058"/>
    <x v="3"/>
    <s v="NBN Greenfields"/>
    <x v="94"/>
    <d v="2017-03-29T00:00:00"/>
    <s v="Mar-17"/>
    <s v="NBN Co Sydney -  AYCA-37LWLY - Backhouse Street - 1 _x000d__x000a_RCTI-250365-203545_x000d__x000a_2KTB-04-GF-AYCA-37LWLY"/>
    <m/>
    <s v="NBN Greenfields - AYCA-37LWLY - Backhouse Street"/>
    <n v="4682.05"/>
  </r>
  <r>
    <s v="INV"/>
    <s v="NBN Sydney"/>
    <s v="INV-12060"/>
    <x v="3"/>
    <s v="NBN Greenfields"/>
    <x v="132"/>
    <d v="2017-03-29T00:00:00"/>
    <s v="Mar-17"/>
    <s v="NBN Co Sydney - AYCA-3DOTZW - Industrial Development - 6 Money C"/>
    <m/>
    <s v="NBN Greenfields - AYCA-3DOTZW - Industrial Development - 6 Money Cl"/>
    <n v="2574.54"/>
  </r>
  <r>
    <s v="INV"/>
    <s v="NBN Sydney"/>
    <s v="INV-12059"/>
    <x v="3"/>
    <s v="NBN Greenfields"/>
    <x v="96"/>
    <d v="2017-03-29T00:00:00"/>
    <s v="Mar-17"/>
    <s v="NBN Co Sydney - AYCA-3HNMNR - Uraga Pty Ltd"/>
    <m/>
    <s v="NBN Greenfields - AYCA-3HNMNR - Uraga"/>
    <n v="4110.7700000000004"/>
  </r>
  <r>
    <s v="INV"/>
    <s v="NBN Sydney"/>
    <s v="INV-12049"/>
    <x v="3"/>
    <s v="NBN Greenfields"/>
    <x v="133"/>
    <d v="2017-03-29T00:00:00"/>
    <s v="Mar-17"/>
    <s v="NBN Co Sydney -  8 Miller St, Coniston NSW"/>
    <m/>
    <s v="NBN Greenfield -  MDU Design - 8 Miller St"/>
    <n v="3301.29"/>
  </r>
  <r>
    <s v="INV"/>
    <s v="NBN Sydney"/>
    <s v="INV-12048"/>
    <x v="3"/>
    <s v="NBN Greenfields"/>
    <x v="134"/>
    <d v="2017-03-29T00:00:00"/>
    <s v="Mar-17"/>
    <s v="NBN Co Sydney - AYCA-2UEHH4- Greenway Village - 1"/>
    <m/>
    <s v="NBN Greenfields - AYCA-2UEHH4 - Greenway Village"/>
    <n v="1471.37"/>
  </r>
  <r>
    <s v="INV"/>
    <s v="NBN Sydney"/>
    <s v="INV-12046"/>
    <x v="3"/>
    <s v="NBN Minor Works"/>
    <x v="135"/>
    <d v="2017-03-29T00:00:00"/>
    <s v="Mar-17"/>
    <s v="NBN Co Sydney -  2LJT03MPS030 220 Hansens Rd "/>
    <m/>
    <s v="Minor Works - 2LJT03MPS030 220 Hansens Rd "/>
    <n v="2106.2399999999998"/>
  </r>
  <r>
    <s v="INV"/>
    <s v="NBN Sydney"/>
    <s v="INV-12050"/>
    <x v="3"/>
    <s v="NBN Greenfields"/>
    <x v="136"/>
    <d v="2017-03-29T00:00:00"/>
    <s v="Mar-17"/>
    <s v="NBN Co Sydney -  AYCA-3LJLKQ - 72 CAM ST CAMBRIDGE PARK - 1"/>
    <m/>
    <s v="NBN Greenfields - AYCA-3LJLKQ - 72 CAM ST CAMBRIDGE PARK"/>
    <n v="1079.49"/>
  </r>
  <r>
    <s v="INV"/>
    <s v="NBN Sydney"/>
    <s v="INV-12053"/>
    <x v="3"/>
    <s v="NBN Greenfields"/>
    <x v="137"/>
    <d v="2017-03-29T00:00:00"/>
    <s v="Mar-17"/>
    <s v="NBN Co Sydney - AYCA-2LPEZ4 - 2-6 Messiter Street Campsie - 1 "/>
    <m/>
    <s v="NBN Greenfields - AYCA-2LPEZ4 - 2-6 Messiter Street Campsie"/>
    <n v="5644.6"/>
  </r>
  <r>
    <s v="INV"/>
    <s v="NBN Sydney"/>
    <s v="INV-12052"/>
    <x v="3"/>
    <s v="NBN Greenfields"/>
    <x v="138"/>
    <d v="2017-03-29T00:00:00"/>
    <s v="Mar-17"/>
    <s v="NBN Co Sydney - AYCA-3OGHM6 - Botanica - Lidcombe - 88a "/>
    <m/>
    <s v="NBN Greenfields - AYCA-3OGHM6 - Botanica - Lidcombe"/>
    <n v="1466.16"/>
  </r>
  <r>
    <s v="INV"/>
    <s v="NBN Sydney"/>
    <s v="INV-12051"/>
    <x v="3"/>
    <s v="NBN Greenfields"/>
    <x v="139"/>
    <d v="2017-03-29T00:00:00"/>
    <s v="Mar-17"/>
    <s v="NBN Co Sydney - AYCA-3HE07T - 37 Bridge Street - 1 "/>
    <m/>
    <s v="NBN Greenfields - AYCA-3HE07T - 37 Bridge Street"/>
    <n v="1683.2"/>
  </r>
  <r>
    <s v="INV"/>
    <s v="NBN Sydney"/>
    <s v="INV-12064"/>
    <x v="3"/>
    <s v="NBN Minor Works"/>
    <x v="122"/>
    <d v="2017-03-30T00:00:00"/>
    <s v="Mar-17"/>
    <s v="NBN Co Sydney -  2GOS-07 1 AMBER CR Point Clare"/>
    <m/>
    <s v="Minor Works - 2GOS-07 - 1 Amber Cr, Point Clare"/>
    <n v="2371.66"/>
  </r>
  <r>
    <s v="INV"/>
    <s v="NBN Sydney"/>
    <s v="INV-12065"/>
    <x v="3"/>
    <s v="NBN Minor Works"/>
    <x v="120"/>
    <d v="2017-03-31T00:00:00"/>
    <s v="Mar-17"/>
    <s v="NBN Co Sydney -  2CBT-01-14_10 &amp; 2CBT-04-14"/>
    <m/>
    <s v="Minor Works - 2CBT-01 &amp; 04 Drops"/>
    <n v="121004.16"/>
  </r>
  <r>
    <s v="INV"/>
    <s v="NBN Sydney"/>
    <s v="460 170307"/>
    <x v="1"/>
    <s v="Overhead"/>
    <x v="3"/>
    <d v="2017-03-07T00:00:00"/>
    <s v="Mar-17"/>
    <s v="OTTO Environmental Systems Pty Ltd - Factory Over-Run MGB 1100L"/>
    <n v="480"/>
    <m/>
    <m/>
  </r>
  <r>
    <s v="INV"/>
    <s v="NBN Sydney"/>
    <s v="INV163495"/>
    <x v="1"/>
    <s v="Overhead"/>
    <x v="3"/>
    <d v="2017-03-15T00:00:00"/>
    <s v="Mar-17"/>
    <s v="Southland Supply Group - 2062-BP_x000d_  600x450mm - Poly - Danger Asbestos"/>
    <n v="50.2"/>
    <m/>
    <m/>
  </r>
  <r>
    <s v="INV"/>
    <s v="NBN Sydney"/>
    <s v="B VISA E-TOLL March 2017"/>
    <x v="1"/>
    <s v="Overhead"/>
    <x v="3"/>
    <d v="2017-03-01T00:00:00"/>
    <s v="Mar-17"/>
    <s v="E-Toll Business Operations Centre - PLATE IDENTIFIED "/>
    <n v="34.53"/>
    <m/>
    <m/>
  </r>
  <r>
    <s v="INV"/>
    <s v="NBN Sydney"/>
    <s v="B VISA E-TOLL March 2017"/>
    <x v="1"/>
    <s v="Overhead"/>
    <x v="3"/>
    <d v="2017-03-01T00:00:00"/>
    <s v="Mar-17"/>
    <s v="E-Toll Business Operations Centre - No Tag"/>
    <n v="3.55"/>
    <m/>
    <m/>
  </r>
  <r>
    <s v="INV"/>
    <s v="NBN Sydney"/>
    <s v="B VISA E-TOLL March 2017"/>
    <x v="1"/>
    <s v="Overhead"/>
    <x v="3"/>
    <d v="2017-03-01T00:00:00"/>
    <s v="Mar-17"/>
    <s v="E-Toll Business Operations Centre - TAG NO 4088301 _x000d__x000a_PJ CHV14B Toyota Hilux SYD"/>
    <n v="169.3"/>
    <m/>
    <m/>
  </r>
  <r>
    <s v="INV"/>
    <s v="NBN Sydney"/>
    <s v="B VISA E-TOLL March 2017"/>
    <x v="5"/>
    <s v="NBN Greenfields DJC Internals"/>
    <x v="109"/>
    <d v="2017-03-01T00:00:00"/>
    <s v="Mar-17"/>
    <s v="E-Toll Business Operations Centre - TAG NO 3665998 Greg Baylis BU59MS Toyota Hiace Van"/>
    <n v="14.335555555555556"/>
    <m/>
    <m/>
  </r>
  <r>
    <s v="INV"/>
    <s v="NBN Sydney"/>
    <s v="B VISA E-TOLL March 2018"/>
    <x v="5"/>
    <s v="NBN Greenfields DJC Internals"/>
    <x v="113"/>
    <d v="2017-03-01T00:00:00"/>
    <s v="Mar-17"/>
    <s v="E-Toll Business Operations Centre - TAG NO 3665998 Greg Baylis BU59MS Toyota Hiace Van"/>
    <n v="14.335555555555556"/>
    <m/>
    <m/>
  </r>
  <r>
    <s v="INV"/>
    <s v="NBN Sydney"/>
    <s v="B VISA E-TOLL March 2019"/>
    <x v="5"/>
    <s v="NBN Greenfields DJC Internals"/>
    <x v="107"/>
    <d v="2017-03-01T00:00:00"/>
    <s v="Mar-17"/>
    <s v="E-Toll Business Operations Centre - TAG NO 3665998 Greg Baylis BU59MS Toyota Hiace Van"/>
    <n v="14.335555555555556"/>
    <m/>
    <m/>
  </r>
  <r>
    <s v="INV"/>
    <s v="NBN Sydney"/>
    <s v="B VISA E-TOLL March 2020"/>
    <x v="5"/>
    <s v="NBN Greenfields DJC Internals"/>
    <x v="84"/>
    <d v="2017-03-01T00:00:00"/>
    <s v="Mar-17"/>
    <s v="E-Toll Business Operations Centre - TAG NO 3665998 Greg Baylis BU59MS Toyota Hiace Van"/>
    <n v="14.335555555555556"/>
    <m/>
    <m/>
  </r>
  <r>
    <s v="INV"/>
    <s v="NBN Sydney"/>
    <s v="B VISA E-TOLL March 2021"/>
    <x v="5"/>
    <s v="NBN Greenfields DJC Internals"/>
    <x v="108"/>
    <d v="2017-03-01T00:00:00"/>
    <s v="Mar-17"/>
    <s v="E-Toll Business Operations Centre - TAG NO 3665998 Greg Baylis BU59MS Toyota Hiace Van"/>
    <n v="14.335555555555556"/>
    <m/>
    <m/>
  </r>
  <r>
    <s v="INV"/>
    <s v="NBN Sydney"/>
    <s v="B VISA E-TOLL March 2022"/>
    <x v="5"/>
    <s v="NBN Greenfields DJC Internals"/>
    <x v="110"/>
    <d v="2017-03-01T00:00:00"/>
    <s v="Mar-17"/>
    <s v="E-Toll Business Operations Centre - TAG NO 3665998 Greg Baylis BU59MS Toyota Hiace Van"/>
    <n v="14.335555555555556"/>
    <m/>
    <m/>
  </r>
  <r>
    <s v="INV"/>
    <s v="NBN Sydney"/>
    <s v="B VISA E-TOLL March 2023"/>
    <x v="5"/>
    <s v="NBN Greenfields DJC Internals"/>
    <x v="118"/>
    <d v="2017-03-01T00:00:00"/>
    <s v="Mar-17"/>
    <s v="E-Toll Business Operations Centre - TAG NO 3665998 Greg Baylis BU59MS Toyota Hiace Van"/>
    <n v="14.335555555555556"/>
    <m/>
    <m/>
  </r>
  <r>
    <s v="INV"/>
    <s v="NBN Sydney"/>
    <s v="B VISA E-TOLL March 2024"/>
    <x v="5"/>
    <s v="NBN Greenfields DJC Internals"/>
    <x v="116"/>
    <d v="2017-03-01T00:00:00"/>
    <s v="Mar-17"/>
    <s v="E-Toll Business Operations Centre - TAG NO 3665998 Greg Baylis BU59MS Toyota Hiace Van"/>
    <n v="14.335555555555556"/>
    <m/>
    <m/>
  </r>
  <r>
    <s v="INV"/>
    <s v="NBN Sydney"/>
    <s v="B VISA E-TOLL March 2025"/>
    <x v="5"/>
    <s v="NBN Greenfields DJC Internals"/>
    <x v="122"/>
    <d v="2017-03-01T00:00:00"/>
    <s v="Mar-17"/>
    <s v="E-Toll Business Operations Centre - TAG NO 3665998 Greg Baylis BU59MS Toyota Hiace Van"/>
    <n v="14.335555555555556"/>
    <m/>
    <m/>
  </r>
  <r>
    <s v="INV"/>
    <s v="NBN Sydney"/>
    <s v="B VISA E-TOLL March 2017"/>
    <x v="1"/>
    <s v="Overhead"/>
    <x v="3"/>
    <d v="2017-03-01T00:00:00"/>
    <s v="Mar-17"/>
    <s v="E-Toll Business Operations Centre - TAG NO 3829695 _x000d__x000a_GC GCC00K F250 Ford"/>
    <n v="87.58"/>
    <m/>
    <m/>
  </r>
  <r>
    <s v="INV"/>
    <s v="NBN Sydney"/>
    <s v="460 170307"/>
    <x v="1"/>
    <s v="Overhead"/>
    <x v="3"/>
    <d v="2017-03-07T00:00:00"/>
    <s v="Mar-17"/>
    <s v="OTTO Environmental Systems Pty Ltd - Post code based shipping"/>
    <n v="90"/>
    <m/>
    <m/>
  </r>
  <r>
    <s v="INV"/>
    <s v="NBN Sydney"/>
    <s v="00018643"/>
    <x v="1"/>
    <s v="Overhead"/>
    <x v="3"/>
    <d v="2017-03-22T00:00:00"/>
    <s v="Mar-17"/>
    <s v="Express Safety Solutions - Delivery and Handling"/>
    <n v="10"/>
    <m/>
    <m/>
  </r>
  <r>
    <s v="INV"/>
    <s v="NBN Sydney"/>
    <s v="133"/>
    <x v="1"/>
    <s v="Overhead"/>
    <x v="3"/>
    <d v="2017-03-03T00:00:00"/>
    <s v="Mar-17"/>
    <s v="K R and L G Ewerlin Pty Limited - Hire of Truck &amp; Excavator @ $200/day for 27/2/2017 - 3/3/2017"/>
    <n v="600"/>
    <m/>
    <m/>
  </r>
  <r>
    <s v="INV"/>
    <s v="NBN Sydney"/>
    <s v="133"/>
    <x v="5"/>
    <s v="NBN Greenfields DJC Internals"/>
    <x v="131"/>
    <d v="2017-03-03T00:00:00"/>
    <s v="Mar-17"/>
    <s v="K R and L G Ewerlin Pty Limited - Hire of Truck &amp; Excavator @ $200/day for 27/2/2017 - 3/3/2018"/>
    <n v="400"/>
    <m/>
    <m/>
  </r>
  <r>
    <s v="INV"/>
    <s v="NBN Sydney"/>
    <s v="133"/>
    <x v="5"/>
    <s v="NBN Greenfields DJC Internals"/>
    <x v="131"/>
    <d v="2017-03-10T00:00:00"/>
    <s v="Mar-17"/>
    <s v="K R and L G Ewerlin Pty Limited - Hire of Truck &amp; Excavator @ $200/day 6/3/17 - 10/3/17"/>
    <n v="200"/>
    <m/>
    <m/>
  </r>
  <r>
    <s v="INV"/>
    <s v="NBN Sydney"/>
    <s v="133"/>
    <x v="5"/>
    <s v="NBN Greenfields DJC Internals"/>
    <x v="128"/>
    <d v="2017-03-10T00:00:00"/>
    <s v="Mar-17"/>
    <s v="K R and L G Ewerlin Pty Limited - Hire of Truck &amp; Excavator @ $200/day 6/3/17 - 10/3/18"/>
    <n v="600"/>
    <m/>
    <m/>
  </r>
  <r>
    <s v="INV"/>
    <s v="NBN Sydney"/>
    <s v="133"/>
    <x v="5"/>
    <s v="NBN Greenfields DJC Internals"/>
    <x v="126"/>
    <d v="2017-03-10T00:00:00"/>
    <s v="Mar-17"/>
    <s v="K R and L G Ewerlin Pty Limited - Hire of Truck &amp; Excavator @ $200/day 6/3/17 - 10/3/19"/>
    <n v="200"/>
    <m/>
    <m/>
  </r>
  <r>
    <s v="INV"/>
    <s v="NBN Sydney"/>
    <s v="866403"/>
    <x v="1"/>
    <s v="Overhead"/>
    <x v="3"/>
    <d v="2017-03-14T00:00:00"/>
    <s v="Mar-17"/>
    <s v="Mitronics - Digital Support Agreement - Chargeable"/>
    <n v="39.950000000000003"/>
    <m/>
    <m/>
  </r>
  <r>
    <s v="INV"/>
    <s v="NBN Sydney"/>
    <s v="866403"/>
    <x v="1"/>
    <s v="Overhead"/>
    <x v="3"/>
    <d v="2017-03-14T00:00:00"/>
    <s v="Mar-17"/>
    <s v="Mitronics - S/N AO2E041005704- Colour_x000d__x000a_Last Read - 199,530 8/2/17_x000d__x000a_Current Read - 204,410 Prints - 4880"/>
    <n v="546.54999999999995"/>
    <m/>
    <m/>
  </r>
  <r>
    <s v="INV"/>
    <s v="NBN Sydney"/>
    <s v="866403"/>
    <x v="1"/>
    <s v="Overhead"/>
    <x v="3"/>
    <d v="2017-03-14T00:00:00"/>
    <s v="Mar-17"/>
    <s v="Mitronics - S/N AO2E041005704- Black _x000d__x000a_Last read- 204,700 8/2/17_x000d__x000a_Current Read - 207,676 Prints - 2,976"/>
    <n v="30.65"/>
    <m/>
    <m/>
  </r>
  <r>
    <s v="INV"/>
    <s v="NBN Sydney"/>
    <s v="136"/>
    <x v="5"/>
    <s v="NBN Greenfields DJC Internals"/>
    <x v="140"/>
    <d v="2017-03-17T00:00:00"/>
    <s v="Mar-17"/>
    <s v="K R and L G Ewerlin Pty Limited - Hire of Truck &amp; Excavator @ $200/day 13/3/17 - 17/3/17"/>
    <n v="300"/>
    <m/>
    <m/>
  </r>
  <r>
    <s v="INV"/>
    <s v="NBN Sydney"/>
    <s v="136"/>
    <x v="5"/>
    <s v="NBN Greenfields DJC Internals"/>
    <x v="137"/>
    <d v="2017-03-17T00:00:00"/>
    <s v="Mar-17"/>
    <s v="K R and L G Ewerlin Pty Limited - Hire of Truck &amp; Excavator @ $200/day 13/3/17 - 17/3/17"/>
    <n v="200"/>
    <m/>
    <m/>
  </r>
  <r>
    <s v="INV"/>
    <s v="NBN Sydney"/>
    <s v="136"/>
    <x v="5"/>
    <s v="NBN Greenfields DJC Internals"/>
    <x v="139"/>
    <d v="2017-03-17T00:00:00"/>
    <s v="Mar-17"/>
    <s v="K R and L G Ewerlin Pty Limited - Hire of Truck &amp; Excavator @ $200/day 13/3/17 - 17/3/17"/>
    <n v="200"/>
    <m/>
    <m/>
  </r>
  <r>
    <s v="INV"/>
    <s v="NBN Sydney"/>
    <s v="136"/>
    <x v="5"/>
    <s v="NBN Greenfields DJC Internals"/>
    <x v="141"/>
    <d v="2017-03-17T00:00:00"/>
    <s v="Mar-17"/>
    <s v="K R and L G Ewerlin Pty Limited - Hire of Truck &amp; Excavator @ $200/day 13/3/17 - 17/3/17"/>
    <n v="200"/>
    <m/>
    <m/>
  </r>
  <r>
    <s v="INV"/>
    <s v="NBN Sydney"/>
    <s v="136"/>
    <x v="5"/>
    <s v="NBN Greenfields DJC Internals"/>
    <x v="94"/>
    <d v="2017-03-17T00:00:00"/>
    <s v="Mar-17"/>
    <s v="K R and L G Ewerlin Pty Limited - Hire of Truck &amp; Excavator @ $200/day 13/3/17 - 17/3/17"/>
    <n v="100"/>
    <m/>
    <m/>
  </r>
  <r>
    <s v="INV"/>
    <s v="NBN Sydney"/>
    <s v="18169292"/>
    <x v="4"/>
    <s v="NBN Greenfields DJC Internals"/>
    <x v="142"/>
    <d v="2017-03-22T00:00:00"/>
    <s v="Mar-17"/>
    <s v="Kennards Hire - Equipment Waiver Plus (Medium Equip)"/>
    <n v="18.18"/>
    <m/>
    <m/>
  </r>
  <r>
    <s v="INV"/>
    <s v="NBN Sydney"/>
    <s v="18169292"/>
    <x v="4"/>
    <s v="NBN Greenfields DJC Internals"/>
    <x v="142"/>
    <d v="2017-03-22T00:00:00"/>
    <s v="Mar-17"/>
    <s v="Kennards Hire - 138148 Fuel - Diesel (per Litre)"/>
    <n v="7.77"/>
    <m/>
    <m/>
  </r>
  <r>
    <s v="INV"/>
    <s v="NBN Sydney"/>
    <s v="18169292"/>
    <x v="4"/>
    <s v="NBN Greenfields DJC Internals"/>
    <x v="142"/>
    <d v="2017-03-22T00:00:00"/>
    <s v="Mar-17"/>
    <s v="Kennards Hire - Air Hose 19mm x 15m"/>
    <n v="18.18"/>
    <m/>
    <m/>
  </r>
  <r>
    <s v="INV"/>
    <s v="NBN Sydney"/>
    <s v="18169292"/>
    <x v="4"/>
    <s v="NBN Greenfields DJC Internals"/>
    <x v="142"/>
    <d v="2017-03-22T00:00:00"/>
    <s v="Mar-17"/>
    <s v="Kennards Hire - Underground Borer - Horizontal Pneumatic 75mm "/>
    <n v="320.91000000000003"/>
    <m/>
    <m/>
  </r>
  <r>
    <s v="INV"/>
    <s v="NBN Sydney"/>
    <s v="18169292"/>
    <x v="4"/>
    <s v="NBN Greenfields DJC Internals"/>
    <x v="142"/>
    <d v="2017-03-22T00:00:00"/>
    <s v="Mar-17"/>
    <s v="Kennards Hire - Air Compressor 160-190 CFM"/>
    <n v="220"/>
    <m/>
    <m/>
  </r>
  <r>
    <s v="INV"/>
    <s v="NBN Sydney"/>
    <s v="138"/>
    <x v="4"/>
    <s v="NBN Greenfields DJC Internals"/>
    <x v="141"/>
    <d v="2017-03-24T00:00:00"/>
    <s v="Mar-17"/>
    <s v="K R and L G Ewerlin Pty Limited - Hire of Truck &amp; Excavator @ $200/day 27/3/17 - 31/3/17"/>
    <n v="400"/>
    <m/>
    <m/>
  </r>
  <r>
    <s v="INV"/>
    <s v="NBN Sydney"/>
    <s v="138"/>
    <x v="4"/>
    <s v="NBN Greenfields DJC Internals"/>
    <x v="143"/>
    <d v="2017-03-24T00:00:00"/>
    <s v="Mar-17"/>
    <s v="K R and L G Ewerlin Pty Limited - Hire of Truck &amp; Excavator @ $200/day 27/3/17 - 31/3/17"/>
    <n v="200"/>
    <m/>
    <m/>
  </r>
  <r>
    <s v="INV"/>
    <s v="NBN Sydney"/>
    <s v="138"/>
    <x v="4"/>
    <s v="NBN Greenfields DJC Internals"/>
    <x v="142"/>
    <d v="2017-03-24T00:00:00"/>
    <s v="Mar-17"/>
    <s v="K R and L G Ewerlin Pty Limited - Hire of Truck &amp; Excavator @ $200/day 27/3/17 - 31/3/17"/>
    <n v="200"/>
    <m/>
    <m/>
  </r>
  <r>
    <s v="INV"/>
    <s v="NBN Sydney"/>
    <s v="138"/>
    <x v="4"/>
    <s v="NBN Greenfields DJC Internals"/>
    <x v="125"/>
    <d v="2017-03-24T00:00:00"/>
    <s v="Mar-17"/>
    <s v="K R and L G Ewerlin Pty Limited - Hire of Truck &amp; Excavator @ $200/day 27/3/17 - 31/3/17"/>
    <n v="200"/>
    <m/>
    <m/>
  </r>
  <r>
    <s v="INV"/>
    <s v="NBN Sydney"/>
    <s v="137"/>
    <x v="4"/>
    <s v="NBN Greenfields DJC Internals"/>
    <x v="144"/>
    <d v="2017-03-24T00:00:00"/>
    <s v="Mar-17"/>
    <s v="K R and L G Ewerlin Pty Limited - Hire of Truck &amp; Excavator @ $200/day 20/3/17 - 24/3/17"/>
    <n v="200"/>
    <m/>
    <m/>
  </r>
  <r>
    <s v="INV"/>
    <s v="NBN Sydney"/>
    <s v="137"/>
    <x v="4"/>
    <s v="NBN Greenfields DJC Internals"/>
    <x v="142"/>
    <d v="2017-03-24T00:00:00"/>
    <s v="Mar-17"/>
    <s v="K R and L G Ewerlin Pty Limited - Hire of Truck &amp; Excavator @ $200/day 20/3/17 - 24/3/17"/>
    <n v="200"/>
    <m/>
    <m/>
  </r>
  <r>
    <s v="INV"/>
    <s v="NBN Sydney"/>
    <s v="137"/>
    <x v="4"/>
    <s v="NBN Greenfields DJC Internals"/>
    <x v="143"/>
    <d v="2017-03-24T00:00:00"/>
    <s v="Mar-17"/>
    <s v="K R and L G Ewerlin Pty Limited - Hire of Truck &amp; Excavator @ $200/day 20/3/17 - 24/3/17"/>
    <n v="200"/>
    <m/>
    <m/>
  </r>
  <r>
    <s v="INV"/>
    <s v="NBN Sydney"/>
    <s v="137"/>
    <x v="4"/>
    <s v="NBN Greenfields DJC Internals"/>
    <x v="145"/>
    <d v="2017-03-24T00:00:00"/>
    <s v="Mar-17"/>
    <s v="K R and L G Ewerlin Pty Limited - Hire of Truck &amp; Excavator @ $200/day 20/3/17 - 24/3/17"/>
    <n v="200"/>
    <m/>
    <m/>
  </r>
  <r>
    <s v="INV"/>
    <s v="NBN Sydney"/>
    <s v="137"/>
    <x v="4"/>
    <s v="NBN Greenfields DJC Internals"/>
    <x v="139"/>
    <d v="2017-03-24T00:00:00"/>
    <s v="Mar-17"/>
    <s v="K R and L G Ewerlin Pty Limited - Hire of Truck &amp; Excavator @ $200/day 20/3/17 - 24/3/17"/>
    <n v="200"/>
    <m/>
    <m/>
  </r>
  <r>
    <s v="INV"/>
    <s v="NBN Sydney"/>
    <s v="18193710 GB"/>
    <x v="4"/>
    <s v="NBN Greenfields DJC Internals"/>
    <x v="141"/>
    <d v="2017-03-31T00:00:00"/>
    <s v="Mar-17"/>
    <s v="Kennards Hire - Delivery/Pickup"/>
    <n v="90.92"/>
    <m/>
    <m/>
  </r>
  <r>
    <s v="INV"/>
    <s v="NBN Sydney"/>
    <s v="18193710 GB"/>
    <x v="4"/>
    <s v="NBN Greenfields DJC Internals"/>
    <x v="141"/>
    <d v="2017-03-31T00:00:00"/>
    <s v="Mar-17"/>
    <s v="Kennards Hire - 111530_x000d__x000a_Ladder - Step 4.2m (14ft)"/>
    <n v="55.44"/>
    <m/>
    <m/>
  </r>
  <r>
    <s v="INV"/>
    <s v="NBN Sydney"/>
    <s v="19222"/>
    <x v="9"/>
    <s v="Overhead Materials"/>
    <x v="119"/>
    <d v="2017-03-01T00:00:00"/>
    <s v="Mar-17"/>
    <s v="ISG Management Pty Ltd - 9900163_x000d__x000a_Pit Cable Jointing Plastic P9, Viscount"/>
    <n v="579.65"/>
    <m/>
    <m/>
  </r>
  <r>
    <s v="INV"/>
    <s v="NBN Sydney"/>
    <s v="19222"/>
    <x v="9"/>
    <s v="Overhead Materials"/>
    <x v="119"/>
    <d v="2017-03-01T00:00:00"/>
    <s v="Mar-17"/>
    <s v="ISG Management Pty Ltd - 9900161_x000d__x000a_Pit Cable Jointing Plastic P6, Viscount"/>
    <n v="597.36"/>
    <m/>
    <m/>
  </r>
  <r>
    <s v="INV"/>
    <s v="NBN Sydney"/>
    <s v="19222"/>
    <x v="9"/>
    <s v="Overhead Materials"/>
    <x v="119"/>
    <d v="2017-03-01T00:00:00"/>
    <s v="Mar-17"/>
    <s v="ISG Management Pty Ltd - 9900177_x000d__x000a_Gasket, Thermoplastic Pit P5"/>
    <n v="25.92"/>
    <m/>
    <m/>
  </r>
  <r>
    <s v="INV"/>
    <s v="NBN Sydney"/>
    <s v="19222"/>
    <x v="9"/>
    <s v="Overhead Materials"/>
    <x v="119"/>
    <d v="2017-03-01T00:00:00"/>
    <s v="Mar-17"/>
    <s v="ISG Management Pty Ltd - 9900164_x000d__x000a_Gasket, Thermoplastic Pit 6 8 and 9"/>
    <n v="32.520000000000003"/>
    <m/>
    <m/>
  </r>
  <r>
    <s v="INV"/>
    <s v="NBN Sydney"/>
    <s v="19222"/>
    <x v="9"/>
    <s v="Overhead Materials"/>
    <x v="119"/>
    <d v="2017-03-01T00:00:00"/>
    <s v="Mar-17"/>
    <s v="ISG Management Pty Ltd - 9900165_x000d__x000a_Pit Cable Jointing Plastic P5, Viscount"/>
    <n v="255.42"/>
    <m/>
    <m/>
  </r>
  <r>
    <s v="INV"/>
    <s v="NBN Sydney"/>
    <s v="416914-760"/>
    <x v="4"/>
    <s v="NBN Greenfields DJC Internals"/>
    <x v="141"/>
    <d v="2017-03-01T00:00:00"/>
    <s v="Mar-17"/>
    <s v="TLE Electrical - APPSC100WH_x000d__x000a_Slip Coupling 100mm Communications"/>
    <n v="28.5"/>
    <m/>
    <m/>
  </r>
  <r>
    <s v="INV"/>
    <s v="NBN Sydney"/>
    <s v="416914-760"/>
    <x v="4"/>
    <s v="NBN Greenfields DJC Internals"/>
    <x v="141"/>
    <d v="2017-03-01T00:00:00"/>
    <s v="Mar-17"/>
    <s v="TLE Electrical - APPBU100WH_x000d__x000a_Conduit Bush 100mm PVC White"/>
    <n v="53.12"/>
    <m/>
    <m/>
  </r>
  <r>
    <s v="INV"/>
    <s v="NBN Sydney"/>
    <s v="15108789"/>
    <x v="4"/>
    <s v="NBN Minor Works DJC Internals"/>
    <x v="69"/>
    <d v="2017-03-01T00:00:00"/>
    <s v="Mar-17"/>
    <s v="Tri Underground Australia Pty Ltd - Visa/Mastercard/Bankcard Fee"/>
    <n v="0.42"/>
    <m/>
    <m/>
  </r>
  <r>
    <s v="INV"/>
    <s v="NBN Sydney"/>
    <s v="15108789"/>
    <x v="4"/>
    <s v="NBN Minor Works DJC Internals"/>
    <x v="69"/>
    <d v="2017-03-01T00:00:00"/>
    <s v="Mar-17"/>
    <s v="Tri Underground Australia Pty Ltd - TS5063PVCPECOUP _x000d__x000a_50PVC - 63PE Telstra Adaptor"/>
    <n v="26.4"/>
    <m/>
    <m/>
  </r>
  <r>
    <s v="INV"/>
    <s v="NBN Sydney"/>
    <s v="C416834"/>
    <x v="4"/>
    <s v="NBN Greenfields DJC Internals"/>
    <x v="131"/>
    <d v="2017-03-06T00:00:00"/>
    <s v="Mar-17"/>
    <s v="Bunnings Warehouse - Bitumen quick repair dingo 20kg "/>
    <n v="181.36"/>
    <m/>
    <m/>
  </r>
  <r>
    <s v="INV"/>
    <s v="NBN Sydney"/>
    <s v="C416834"/>
    <x v="4"/>
    <s v="NBN Greenfields DJC Internals"/>
    <x v="131"/>
    <d v="2017-03-06T00:00:00"/>
    <s v="Mar-17"/>
    <s v="Bunnings Warehouse - Concrete Mix Quick set 20kg Aussie quick set"/>
    <n v="29.09"/>
    <m/>
    <m/>
  </r>
  <r>
    <s v="INV"/>
    <s v="NBN Sydney"/>
    <s v="414591-860"/>
    <x v="4"/>
    <s v="NBN Greenfields DJC Internals"/>
    <x v="141"/>
    <d v="2017-03-06T00:00:00"/>
    <s v="Mar-17"/>
    <s v="TLE Electrical - APPQSB100WH_x000d__x000a_Quarter Sweep Bend 22.5 Deg 100mm PVC White"/>
    <n v="70.48"/>
    <m/>
    <m/>
  </r>
  <r>
    <s v="INV"/>
    <s v="NBN Sydney"/>
    <s v="71 A87632"/>
    <x v="9"/>
    <s v="Overhead Materials"/>
    <x v="119"/>
    <d v="2017-03-07T00:00:00"/>
    <s v="Mar-17"/>
    <s v="Middy's Data &amp; Electrical - KYP CT73119_x000d__x000a_Telco Bend 50mm 45d 0.3 rad"/>
    <n v="23.32"/>
    <m/>
    <m/>
  </r>
  <r>
    <s v="INV"/>
    <s v="NBN Sydney"/>
    <s v="71 A87632"/>
    <x v="9"/>
    <s v="Overhead Materials"/>
    <x v="119"/>
    <d v="2017-03-07T00:00:00"/>
    <s v="Mar-17"/>
    <s v="Middy's Data &amp; Electrical - AUS QSB100WH_x000d__x000a_Sweep Bend Comms 100mm 22deg"/>
    <n v="112"/>
    <m/>
    <m/>
  </r>
  <r>
    <s v="INV"/>
    <s v="NBN Sydney"/>
    <s v="71 A87632"/>
    <x v="9"/>
    <s v="Overhead Materials"/>
    <x v="119"/>
    <d v="2017-03-07T00:00:00"/>
    <s v="Mar-17"/>
    <s v="Middy's Data &amp; Electrical - AUS HSB100WH_x000d__x000a_Bend Sweep P/Pipe 100mm 45deg White"/>
    <n v="124.2"/>
    <m/>
    <m/>
  </r>
  <r>
    <s v="INV"/>
    <s v="NBN Sydney"/>
    <s v="71 A87632"/>
    <x v="9"/>
    <s v="Overhead Materials"/>
    <x v="119"/>
    <d v="2017-03-07T00:00:00"/>
    <s v="Mar-17"/>
    <s v="Middy's Data &amp; Electrical - TRD A5422_x000d__x000a_Pipe Cement PVC Blue Type N 500mL"/>
    <n v="6.66"/>
    <m/>
    <m/>
  </r>
  <r>
    <s v="INV"/>
    <s v="NBN Sydney"/>
    <s v="1153220"/>
    <x v="5"/>
    <s v="2BLK-12 PMRWs"/>
    <x v="146"/>
    <d v="2017-03-07T00:00:00"/>
    <s v="Mar-17"/>
    <s v="Blacktown Mitre 10 - Blue metal 10mm 20kg"/>
    <n v="5.41"/>
    <m/>
    <m/>
  </r>
  <r>
    <s v="INV"/>
    <s v="NBN Sydney"/>
    <s v="1153220"/>
    <x v="5"/>
    <s v="2BLK-12 PMRWs"/>
    <x v="146"/>
    <d v="2017-03-07T00:00:00"/>
    <s v="Mar-17"/>
    <s v="Blacktown Mitre 10 - Pipe S/M 90mm per metre"/>
    <n v="2.97"/>
    <m/>
    <m/>
  </r>
  <r>
    <s v="INV"/>
    <s v="NBN Sydney"/>
    <s v="71 A87632"/>
    <x v="9"/>
    <s v="Overhead Materials"/>
    <x v="119"/>
    <d v="2017-03-07T00:00:00"/>
    <s v="Mar-17"/>
    <s v="Middy's Data &amp; Electrical - TRD A5589_x000d__x000a_Pipe Cement PVC - Blue Type N 4ltr"/>
    <n v="28"/>
    <m/>
    <m/>
  </r>
  <r>
    <s v="INV"/>
    <s v="NBN Sydney"/>
    <s v="71 A87632"/>
    <x v="9"/>
    <s v="Overhead Materials"/>
    <x v="119"/>
    <d v="2017-03-07T00:00:00"/>
    <s v="Mar-17"/>
    <s v="Middy's Data &amp; Electrical - VIN TEL100SL-COUP_x000d__x000a_Coupling-Slip 100mm White 33060 73/112"/>
    <n v="36.99"/>
    <m/>
    <m/>
  </r>
  <r>
    <s v="INV"/>
    <s v="NBN Sydney"/>
    <s v="71 A87632"/>
    <x v="9"/>
    <s v="Overhead Materials"/>
    <x v="119"/>
    <d v="2017-03-07T00:00:00"/>
    <s v="Mar-17"/>
    <s v="Middy's Data &amp; Electrical - AUS NBN20WH4500_x000d__x000a_Conduit 20mm NBN 4.5m Wh MOQ Crate 730L"/>
    <n v="27.12"/>
    <m/>
    <m/>
  </r>
  <r>
    <s v="INV"/>
    <s v="NBN Sydney"/>
    <s v="71 A87632"/>
    <x v="9"/>
    <s v="Overhead Materials"/>
    <x v="119"/>
    <d v="2017-03-07T00:00:00"/>
    <s v="Mar-17"/>
    <s v="Middy's Data &amp; Electrical - AUS NBN50WH4500_x000d__x000a_Conduit 50mm NBN 4.5m Wht MOQ Crate 175L"/>
    <n v="87.45"/>
    <m/>
    <m/>
  </r>
  <r>
    <s v="INV"/>
    <s v="NBN Sydney"/>
    <s v="71 A87632"/>
    <x v="9"/>
    <s v="Overhead Materials"/>
    <x v="119"/>
    <d v="2017-03-07T00:00:00"/>
    <s v="Mar-17"/>
    <s v="Middy's Data &amp; Electrical - AUS NBN100WH4500_x000d__x000a_Conduit 100mm NBN 4.5m Wht MOQ Crate 54L"/>
    <n v="211.14"/>
    <m/>
    <m/>
  </r>
  <r>
    <s v="INV"/>
    <s v="NBN Sydney"/>
    <s v="71 A87632"/>
    <x v="9"/>
    <s v="Overhead Materials"/>
    <x v="119"/>
    <d v="2017-03-07T00:00:00"/>
    <s v="Mar-17"/>
    <s v="Middy's Data &amp; Electrical - AUS BU100WH_x000d__x000a_Bush 100mm in White"/>
    <n v="25.9"/>
    <m/>
    <m/>
  </r>
  <r>
    <s v="INV"/>
    <s v="NBN Sydney"/>
    <s v="71 A87632"/>
    <x v="9"/>
    <s v="Overhead Materials"/>
    <x v="119"/>
    <d v="2017-03-07T00:00:00"/>
    <s v="Mar-17"/>
    <s v="Middy's Data &amp; Electrical - VIN TEL20B90/305_x000d__x000a_Bend Cond 20mm ID 90deg 305rad 32570"/>
    <n v="38.04"/>
    <m/>
    <m/>
  </r>
  <r>
    <s v="INV"/>
    <s v="NBN Sydney"/>
    <s v="71 A87632"/>
    <x v="9"/>
    <s v="Overhead Materials"/>
    <x v="119"/>
    <d v="2017-03-07T00:00:00"/>
    <s v="Mar-17"/>
    <s v="Middy's Data &amp; Electrical - VIN TEL20B90/100_x000d__x000a_Bend Cond 20mm ID 90Deg 100rad 30110"/>
    <n v="23.4"/>
    <m/>
    <m/>
  </r>
  <r>
    <s v="INV"/>
    <s v="NBN Sydney"/>
    <s v="71 A87632"/>
    <x v="9"/>
    <s v="Overhead Materials"/>
    <x v="119"/>
    <d v="2017-03-07T00:00:00"/>
    <s v="Mar-17"/>
    <s v="Middy's Data &amp; Electrical - AUS BU50WH_x000d__x000a_50mm ID NBN/TELS Bush/Bell Coup"/>
    <n v="7.9"/>
    <m/>
    <m/>
  </r>
  <r>
    <s v="INV"/>
    <s v="NBN Sydney"/>
    <s v="19420"/>
    <x v="9"/>
    <s v="Overhead Materials"/>
    <x v="119"/>
    <d v="2017-03-09T00:00:00"/>
    <s v="Mar-17"/>
    <s v="ISG Management Pty Ltd - 7300110_x000d__x000a_Bend, Conduit 50mm ID 90deg 0.8Rad"/>
    <n v="60.7"/>
    <m/>
    <m/>
  </r>
  <r>
    <s v="INV"/>
    <s v="NBN Sydney"/>
    <s v="19420"/>
    <x v="9"/>
    <s v="Overhead Materials"/>
    <x v="119"/>
    <d v="2017-03-09T00:00:00"/>
    <s v="Mar-17"/>
    <s v="ISG Management Pty Ltd - 7300070_x000d__x000a_Bush, Pipe PVC 50mm ea"/>
    <n v="21"/>
    <m/>
    <m/>
  </r>
  <r>
    <s v="INV"/>
    <s v="NBN Sydney"/>
    <s v="19420"/>
    <x v="9"/>
    <s v="Overhead Materials"/>
    <x v="119"/>
    <d v="2017-03-09T00:00:00"/>
    <s v="Mar-17"/>
    <s v="ISG Management Pty Ltd - 51300042_x000d__x000a_Grease Encapsulant 300g Cartridge ea"/>
    <n v="95.64"/>
    <m/>
    <m/>
  </r>
  <r>
    <s v="INV"/>
    <s v="NBN Sydney"/>
    <s v="006039"/>
    <x v="9"/>
    <s v="Overhead Materials"/>
    <x v="119"/>
    <d v="2017-03-09T00:00:00"/>
    <s v="Mar-17"/>
    <s v="CBC Australia Pty Ltd - P205ECO P205"/>
    <n v="18.05"/>
    <m/>
    <m/>
  </r>
  <r>
    <s v="INV"/>
    <s v="NBN Sydney"/>
    <s v="19420"/>
    <x v="9"/>
    <s v="Overhead Materials"/>
    <x v="119"/>
    <d v="2017-03-09T00:00:00"/>
    <s v="Mar-17"/>
    <s v="ISG Management Pty Ltd - 7300095_x000d__x000a_Pipe, PVC 50mm ID 4.5m L, ea"/>
    <n v="287.5"/>
    <m/>
    <m/>
  </r>
  <r>
    <s v="INV"/>
    <s v="NBN Sydney"/>
    <s v="19420"/>
    <x v="9"/>
    <s v="Overhead Materials"/>
    <x v="119"/>
    <d v="2017-03-09T00:00:00"/>
    <s v="Mar-17"/>
    <s v="ISG Management Pty Ltd - 7300102_x000d__x000a_Bush, Pipe PVC 100mm ea"/>
    <n v="33"/>
    <m/>
    <m/>
  </r>
  <r>
    <s v="INV"/>
    <s v="NBN Sydney"/>
    <s v="274971-235"/>
    <x v="10"/>
    <s v="NBN Greenfields DJC Internals"/>
    <x v="126"/>
    <d v="2017-03-09T00:00:00"/>
    <s v="Mar-17"/>
    <s v="TLE Electrical - KRO6460-1-042-00_x000d__x000a_Jumperable Frame Profil 11 Way 100pair c/w Earth"/>
    <n v="27.73"/>
    <m/>
    <m/>
  </r>
  <r>
    <s v="INV"/>
    <s v="NBN Sydney"/>
    <s v="274971-235"/>
    <x v="10"/>
    <s v="NBN Greenfields DJC Internals"/>
    <x v="126"/>
    <d v="2017-03-09T00:00:00"/>
    <s v="Mar-17"/>
    <s v="TLE Electrical - KRO6455-2-024-01_x000d__x000a_Plastic Cover Grey 11way 100pair"/>
    <n v="44.16"/>
    <m/>
    <m/>
  </r>
  <r>
    <s v="INV"/>
    <s v="NBN Sydney"/>
    <s v="274971-235"/>
    <x v="10"/>
    <s v="NBN Greenfields DJC Internals"/>
    <x v="126"/>
    <d v="2017-03-09T00:00:00"/>
    <s v="Mar-17"/>
    <s v="TLE Electrical - KRO6468-5-043-10_x000d__x000a_Disconnection Module 10Pair 1-0 10 Pack"/>
    <n v="9.98"/>
    <m/>
    <m/>
  </r>
  <r>
    <s v="INV"/>
    <s v="NBN Sydney"/>
    <s v="19420"/>
    <x v="9"/>
    <s v="Overhead Materials"/>
    <x v="119"/>
    <d v="2017-03-09T00:00:00"/>
    <s v="Mar-17"/>
    <s v="ISG Management Pty Ltd - 7300112_x000d__x000a_Coupling, Slip type 1, Conduit PVC Type"/>
    <n v="32.6"/>
    <m/>
    <m/>
  </r>
  <r>
    <s v="INV"/>
    <s v="NBN Sydney"/>
    <s v="19420"/>
    <x v="9"/>
    <s v="Overhead Materials"/>
    <x v="119"/>
    <d v="2017-03-09T00:00:00"/>
    <s v="Mar-17"/>
    <s v="ISG Management Pty Ltd - 7300207_x000d__x000a_Pipe/Conduit, PVC 4.5m Length 100mm"/>
    <n v="252.96"/>
    <m/>
    <m/>
  </r>
  <r>
    <s v="INV"/>
    <s v="NBN Sydney"/>
    <s v="51901"/>
    <x v="10"/>
    <s v="DDA"/>
    <x v="147"/>
    <d v="2017-03-13T00:00:00"/>
    <s v="Mar-17"/>
    <s v="AusOptic - 37-1116-959-050_x000d__x000a_Fibre Optic Patchlead, LC to SC-APC Singlemode G.657 Bend-Insensitive, Duplex 2mm, 5m, LSZH"/>
    <n v="25.94"/>
    <m/>
    <m/>
  </r>
  <r>
    <s v="INV"/>
    <s v="NBN Sydney"/>
    <s v="19509"/>
    <x v="9"/>
    <s v="Overhead Materials"/>
    <x v="119"/>
    <d v="2017-03-15T00:00:00"/>
    <s v="Mar-17"/>
    <s v="ISG Management Pty Ltd - 64202001_x000d__x000a_Screw, SD Type 17 SS Hex 14-10GX35mm P"/>
    <n v="51.23"/>
    <m/>
    <m/>
  </r>
  <r>
    <s v="INV"/>
    <s v="NBN Sydney"/>
    <s v="19509"/>
    <x v="9"/>
    <s v="Overhead Materials"/>
    <x v="119"/>
    <d v="2017-03-15T00:00:00"/>
    <s v="Mar-17"/>
    <s v="ISG Management Pty Ltd - 7300279_x000d__x000a_Adhesive, PVC 250mL Blue, Bottle of 250"/>
    <n v="29.2"/>
    <m/>
    <m/>
  </r>
  <r>
    <s v="INV"/>
    <s v="NBN Sydney"/>
    <s v="19509"/>
    <x v="9"/>
    <s v="Overhead Materials"/>
    <x v="119"/>
    <d v="2017-03-15T00:00:00"/>
    <s v="Mar-17"/>
    <s v="ISG Management Pty Ltd - 26900102_x000d__x000a_Tie, cable Self-Locking UV Res 300 x 3"/>
    <n v="12.85"/>
    <m/>
    <m/>
  </r>
  <r>
    <s v="INV"/>
    <s v="NBN Sydney"/>
    <s v="19509"/>
    <x v="9"/>
    <s v="Overhead Materials"/>
    <x v="119"/>
    <d v="2017-03-15T00:00:00"/>
    <s v="Mar-17"/>
    <s v="ISG Management Pty Ltd - 26900092_x000d__x000a_Tie, Cable Self-locking UV Res 2.5x100"/>
    <n v="3.45"/>
    <m/>
    <m/>
  </r>
  <r>
    <s v="INV"/>
    <s v="NBN Sydney"/>
    <s v="19530"/>
    <x v="9"/>
    <s v="Overhead Materials"/>
    <x v="119"/>
    <d v="2017-03-17T00:00:00"/>
    <s v="Mar-17"/>
    <s v="ISG Management Pty Ltd - 70000003_x000d__x000a_Tape, Legal/Linen 12mm x 36m access wh"/>
    <n v="13.14"/>
    <m/>
    <m/>
  </r>
  <r>
    <s v="INV"/>
    <s v="NBN Sydney"/>
    <s v="19530"/>
    <x v="9"/>
    <s v="Overhead Materials"/>
    <x v="119"/>
    <d v="2017-03-17T00:00:00"/>
    <s v="Mar-17"/>
    <s v="ISG Management Pty Ltd - 3400269_x000d__x000a_Bag, Asbestos Disposal "/>
    <n v="41.4"/>
    <m/>
    <m/>
  </r>
  <r>
    <s v="INV"/>
    <s v="NBN Sydney"/>
    <s v="19530"/>
    <x v="9"/>
    <s v="Overhead Materials"/>
    <x v="119"/>
    <d v="2017-03-17T00:00:00"/>
    <s v="Mar-17"/>
    <s v="ISG Management Pty Ltd - 51300097_x000d__x000a_Branch off Kit (Medium: 550, 82/25"/>
    <n v="55.71"/>
    <m/>
    <m/>
  </r>
  <r>
    <s v="INV"/>
    <s v="NBN Sydney"/>
    <s v="19530"/>
    <x v="9"/>
    <s v="Overhead Materials"/>
    <x v="119"/>
    <d v="2017-03-17T00:00:00"/>
    <s v="Mar-17"/>
    <s v="ISG Management Pty Ltd - 51300022_x000d__x000a_Branch off Kit (Small: 550 43/8 - 75"/>
    <n v="36.840000000000003"/>
    <m/>
    <m/>
  </r>
  <r>
    <s v="INV"/>
    <s v="NBN Sydney"/>
    <s v="71 A87784"/>
    <x v="9"/>
    <s v="Overhead Materials"/>
    <x v="119"/>
    <d v="2017-03-17T00:00:00"/>
    <s v="Mar-17"/>
    <s v="Middy's Data &amp; Electrical - WAB 438/53_x000d__x000a_Mesh Bag 25mm Dia 150mm Long"/>
    <n v="5.57"/>
    <m/>
    <m/>
  </r>
  <r>
    <s v="INV"/>
    <s v="NBN Sydney"/>
    <s v="71 A87784"/>
    <x v="9"/>
    <s v="Overhead Materials"/>
    <x v="119"/>
    <d v="2017-03-17T00:00:00"/>
    <s v="Mar-17"/>
    <s v="Middy's Data &amp; Electrical - WAB 51300182_x000d__x000a_Connector Moisture Resistant 2 Wire"/>
    <n v="56.94"/>
    <m/>
    <m/>
  </r>
  <r>
    <s v="INV"/>
    <s v="NBN Sydney"/>
    <s v="71 A87784"/>
    <x v="9"/>
    <s v="Overhead Materials"/>
    <x v="119"/>
    <d v="2017-03-17T00:00:00"/>
    <s v="Mar-17"/>
    <s v="Middy's Data &amp; Electrical - WAB 51300212_x000d__x000a_Closure Small Maintenance Openable"/>
    <n v="110"/>
    <m/>
    <m/>
  </r>
  <r>
    <s v="INV"/>
    <s v="NBN Sydney"/>
    <s v="71 A87784"/>
    <x v="9"/>
    <s v="Overhead Materials"/>
    <x v="119"/>
    <d v="2017-03-17T00:00:00"/>
    <s v="Mar-17"/>
    <s v="Middy's Data &amp; Electrical - WAB 51300173_x000d__x000a_Sealant 10B Cartridge 225mL (Dexbond TM)"/>
    <n v="146.96"/>
    <m/>
    <m/>
  </r>
  <r>
    <s v="INV"/>
    <s v="NBN Sydney"/>
    <s v="71 A87784"/>
    <x v="9"/>
    <s v="Overhead Materials"/>
    <x v="119"/>
    <d v="2017-03-17T00:00:00"/>
    <s v="Mar-17"/>
    <s v="Middy's Data &amp; Electrical - WAB 51300168_x000d__x000a_Closure Large (Dexgreen)"/>
    <n v="111.42"/>
    <m/>
    <m/>
  </r>
  <r>
    <s v="INV"/>
    <s v="NBN Sydney"/>
    <s v="014-32634-7313"/>
    <x v="4"/>
    <s v="NBN Greenfields DJC Internals"/>
    <x v="141"/>
    <d v="2017-03-20T00:00:00"/>
    <s v="Mar-17"/>
    <s v="Bunnings Warehouse - Bitumen Quick Repair Dingo 20kg TBA1"/>
    <n v="36.270000000000003"/>
    <m/>
    <m/>
  </r>
  <r>
    <s v="INV"/>
    <s v="NBN Sydney"/>
    <s v="415919-860"/>
    <x v="9"/>
    <s v="Overhead Materials"/>
    <x v="119"/>
    <d v="2017-03-22T00:00:00"/>
    <s v="Mar-17"/>
    <s v="TLE Electrical - TEL73/276_x000d__x000a_Bend Pipe 90d 305rad 50mm dia Vinidex P/No 32550"/>
    <n v="20.9"/>
    <m/>
    <m/>
  </r>
  <r>
    <s v="INV"/>
    <s v="NBN Sydney"/>
    <s v="415919-860"/>
    <x v="9"/>
    <s v="Overhead Materials"/>
    <x v="119"/>
    <d v="2017-03-22T00:00:00"/>
    <s v="Mar-17"/>
    <s v="TLE Electrical - APPNBN50WH4500_x000d__x000a_Rigid Conduit NBN 50mm 4.5m PVC White"/>
    <n v="89.1"/>
    <m/>
    <m/>
  </r>
  <r>
    <s v="INV"/>
    <s v="NBN Sydney"/>
    <s v="00018643"/>
    <x v="9"/>
    <s v="Overhead Materials"/>
    <x v="119"/>
    <d v="2017-03-22T00:00:00"/>
    <s v="Mar-17"/>
    <s v="Express Safety Solutions - 110927 M21-750-427+_x000d__x000a_19.05mm x 4.7mtB427 BLKonWH"/>
    <n v="70.66"/>
    <m/>
    <m/>
  </r>
  <r>
    <s v="INV"/>
    <s v="NBN Sydney"/>
    <s v="00441776"/>
    <x v="5"/>
    <s v="NBN Greenfields DJC Internals"/>
    <x v="142"/>
    <d v="2017-03-28T00:00:00"/>
    <s v="Mar-17"/>
    <s v="Gerringong Hardware - Turf Mix Soil_x000d__x000a_Sand Soil Dust Mix"/>
    <n v="45.44"/>
    <m/>
    <m/>
  </r>
  <r>
    <s v="INV"/>
    <s v="NBN Sydney"/>
    <s v="19717"/>
    <x v="9"/>
    <s v="Overhead Materials"/>
    <x v="119"/>
    <d v="2017-03-31T00:00:00"/>
    <s v="Mar-17"/>
    <s v="ISG Management Pty Ltd - _x000d__x000a_43800084 - COLLET, IDENTIFICATION BROWN 6MM ID PACK OF 100"/>
    <n v="3.28"/>
    <m/>
    <m/>
  </r>
  <r>
    <s v="INV"/>
    <s v="NBN Sydney"/>
    <s v="19717"/>
    <x v="9"/>
    <s v="Overhead Materials"/>
    <x v="119"/>
    <d v="2017-03-31T00:00:00"/>
    <s v="Mar-17"/>
    <s v="ISG Management Pty Ltd - 43800085 - COLLET, IDENTIFICATION GREY 6MM ID PACK OF 100"/>
    <n v="3.28"/>
    <m/>
    <m/>
  </r>
  <r>
    <s v="INV"/>
    <s v="NBN Sydney"/>
    <s v="19717"/>
    <x v="9"/>
    <s v="Overhead Materials"/>
    <x v="119"/>
    <d v="2017-03-31T00:00:00"/>
    <s v="Mar-17"/>
    <s v="ISG Management Pty Ltd - 43800086 - COLLET, IDENTIFICATION WHITE 6MM ID PACK OF 100"/>
    <n v="3.28"/>
    <m/>
    <m/>
  </r>
  <r>
    <s v="INV"/>
    <s v="NBN Sydney"/>
    <s v="19717"/>
    <x v="9"/>
    <s v="Overhead Materials"/>
    <x v="119"/>
    <d v="2017-03-31T00:00:00"/>
    <s v="Mar-17"/>
    <s v="ISG Management Pty Ltd - 43800081 - COLLET, IDENTIFICATION BLUE 6MM ID PACK OF 100"/>
    <n v="3.28"/>
    <m/>
    <m/>
  </r>
  <r>
    <s v="INV"/>
    <s v="NBN Sydney"/>
    <s v="19717"/>
    <x v="9"/>
    <s v="Overhead Materials"/>
    <x v="119"/>
    <d v="2017-03-31T00:00:00"/>
    <s v="Mar-17"/>
    <s v="ISG Management Pty Ltd - 43800082 - COLLET, IDENTIFICATION ORANGE 6MM ID PACK OF 100"/>
    <n v="3.28"/>
    <m/>
    <m/>
  </r>
  <r>
    <s v="INV"/>
    <s v="NBN Sydney"/>
    <s v="19717"/>
    <x v="9"/>
    <s v="Overhead Materials"/>
    <x v="119"/>
    <d v="2017-03-31T00:00:00"/>
    <s v="Mar-17"/>
    <s v="ISG Management Pty Ltd - 43800083 - COLLET, IDENTIFICATION GREEN 6MM ID PACK OF 100"/>
    <n v="3.28"/>
    <m/>
    <m/>
  </r>
  <r>
    <s v="INV"/>
    <s v="NBN Sydney"/>
    <s v="INV-0106"/>
    <x v="1"/>
    <s v="Overhead"/>
    <x v="3"/>
    <d v="2017-03-05T00:00:00"/>
    <s v="Mar-17"/>
    <s v="Warriewood Consultancy - Datateks Day Rate"/>
    <n v="9642.2999999999993"/>
    <m/>
    <m/>
  </r>
  <r>
    <s v="INV"/>
    <s v="NBN Sydney"/>
    <s v="17/977"/>
    <x v="0"/>
    <s v="NBN Greenfields DJC"/>
    <x v="127"/>
    <d v="2017-03-10T00:00:00"/>
    <s v="Mar-17"/>
    <s v="KSJDA Pty Ltd - NBN MWA - AYCA-39BLYW - 18 Victoria St, Coffs Harbour"/>
    <n v="1275.5"/>
    <m/>
    <m/>
  </r>
  <r>
    <s v="INV"/>
    <s v="NBN Sydney"/>
    <s v="17/978"/>
    <x v="0"/>
    <s v="NBN Greenfields DJC"/>
    <x v="129"/>
    <d v="2017-03-14T00:00:00"/>
    <s v="Mar-17"/>
    <s v="KSJDA Pty Ltd - NBN MWA - AYCA-3G7XGQ Loaders Lane, Coffs Harbour"/>
    <n v="457.35"/>
    <m/>
    <m/>
  </r>
  <r>
    <s v="INV"/>
    <s v="NBN Sydney"/>
    <s v="9498862"/>
    <x v="0"/>
    <s v="NBN Greenfields DJC"/>
    <x v="131"/>
    <d v="2017-03-17T00:00:00"/>
    <s v="Mar-17"/>
    <s v="ALTUS Traffic - NBN MWA TC DT 31 Crown St, Woolongong06032017_x000d__x000a_610476357-0306"/>
    <n v="792.32"/>
    <m/>
    <m/>
  </r>
  <r>
    <s v="INV"/>
    <s v="NBN Sydney"/>
    <s v="INV-0107"/>
    <x v="1"/>
    <s v="Overhead"/>
    <x v="3"/>
    <d v="2017-03-19T00:00:00"/>
    <s v="Mar-17"/>
    <s v="Warriewood Consultancy - Datateks Day Rate"/>
    <n v="9642.2999999999993"/>
    <m/>
    <m/>
  </r>
  <r>
    <s v="INV"/>
    <s v="NBN Sydney"/>
    <s v="0003114A"/>
    <x v="0"/>
    <s v="NBN Greenfields DJC"/>
    <x v="125"/>
    <d v="2017-03-20T00:00:00"/>
    <s v="Mar-17"/>
    <s v="L &amp; M Trenchless - NBN MWA - 2KEL-01"/>
    <n v="45949.68"/>
    <m/>
    <m/>
  </r>
  <r>
    <s v="INV"/>
    <s v="NBN Sydney"/>
    <s v="0003115A"/>
    <x v="0"/>
    <s v="NBN Minor Works DJC"/>
    <x v="84"/>
    <d v="2017-03-20T00:00:00"/>
    <s v="Mar-17"/>
    <s v="L &amp; M Trenchless - NBN MWA - 2COR 05"/>
    <n v="28062"/>
    <m/>
    <m/>
  </r>
  <r>
    <s v="INV"/>
    <s v="NBN Sydney"/>
    <s v="0003116A"/>
    <x v="0"/>
    <s v="NBN Greenfields DJC"/>
    <x v="125"/>
    <d v="2017-03-20T00:00:00"/>
    <s v="Mar-17"/>
    <s v="L &amp; M Trenchless - NBN MWA - Rock Report for Foxall Rd, Fulton Rd"/>
    <n v="150"/>
    <m/>
    <m/>
  </r>
  <r>
    <s v="INV"/>
    <s v="NBN Sydney"/>
    <s v="0003119A"/>
    <x v="0"/>
    <s v="NBN Minor Works DJC"/>
    <x v="84"/>
    <d v="2017-03-20T00:00:00"/>
    <s v="Mar-17"/>
    <s v="L &amp; M Trenchless - NBN MWA - 2COR 05 "/>
    <n v="1624.25"/>
    <m/>
    <m/>
  </r>
  <r>
    <s v="INV"/>
    <s v="NBN Sydney"/>
    <s v="0003118A"/>
    <x v="0"/>
    <s v="NBN Greenfields DJC"/>
    <x v="125"/>
    <d v="2017-03-20T00:00:00"/>
    <s v="Mar-17"/>
    <s v="L &amp; M Trenchless - NBN MWA - 2KEL 01"/>
    <n v="3299.93"/>
    <m/>
    <m/>
  </r>
  <r>
    <s v="INV"/>
    <s v="NBN Sydney"/>
    <s v="0003121A"/>
    <x v="0"/>
    <s v="NBN Greenfields DJC"/>
    <x v="84"/>
    <d v="2017-03-20T00:00:00"/>
    <s v="Mar-17"/>
    <s v="L &amp; M Trenchless - NBN MWA - Lab Rock Test Woonoona"/>
    <n v="150"/>
    <m/>
    <m/>
  </r>
  <r>
    <s v="INV"/>
    <s v="NBN Sydney"/>
    <s v="9500129"/>
    <x v="0"/>
    <s v="NBN Greenfields DJC"/>
    <x v="131"/>
    <d v="2017-03-22T00:00:00"/>
    <s v="Mar-17"/>
    <s v="ALTUS Traffic - NBN MWA TC DT 31 Crown St, Woolongong 01032017_x000d__x000a_610476357-0313"/>
    <n v="868.08"/>
    <m/>
    <m/>
  </r>
  <r>
    <s v="INV"/>
    <s v="NBN Sydney"/>
    <s v="987582.99"/>
    <x v="0"/>
    <s v="PipeNetworks"/>
    <x v="40"/>
    <d v="2017-03-24T00:00:00"/>
    <s v="Mar-17"/>
    <s v="Central Coast Council - Concrete Restoration Works, Vidler Ave &amp; Rawson Rd, Woy Woy"/>
    <n v="2567.73"/>
    <m/>
    <m/>
  </r>
  <r>
    <s v="INV"/>
    <s v="NBN Sydney"/>
    <s v="987582.99"/>
    <x v="0"/>
    <s v="NBN Minor Works DJC"/>
    <x v="69"/>
    <d v="2017-03-24T00:00:00"/>
    <s v="Mar-17"/>
    <s v="Central Coast Council - Concrete Restoration Works, 79 Manns Rd, Narara"/>
    <n v="7810.23"/>
    <m/>
    <m/>
  </r>
  <r>
    <s v="INV"/>
    <s v="NBN Sydney"/>
    <s v="01803379"/>
    <x v="0"/>
    <s v="NBN Greenfields DJC"/>
    <x v="127"/>
    <d v="2017-03-28T00:00:00"/>
    <s v="Mar-17"/>
    <s v="5SMITHS - AYCA-39BLYW - 18 Victoria St, Coffs Harbour – 1"/>
    <n v="504"/>
    <m/>
    <m/>
  </r>
  <r>
    <s v="INV"/>
    <s v="NBN Sydney"/>
    <s v="01803380"/>
    <x v="0"/>
    <s v="NBN Greenfields DJC"/>
    <x v="129"/>
    <d v="2017-03-28T00:00:00"/>
    <s v="Mar-17"/>
    <s v="5SMITHS - AYCA-3G7XGQ    Loaders Lane Coffs Harbour - 2A"/>
    <n v="1491"/>
    <m/>
    <m/>
  </r>
  <r>
    <s v="INV"/>
    <s v="NBN Sydney"/>
    <s v="01803381"/>
    <x v="0"/>
    <s v="NBN Greenfields DJC"/>
    <x v="139"/>
    <d v="2017-03-28T00:00:00"/>
    <s v="Mar-17"/>
    <s v="5SMITHS - AYCA-3HE07T - 37 Bridge Street – 1"/>
    <n v="594"/>
    <m/>
    <m/>
  </r>
  <r>
    <s v="INV"/>
    <s v="NBN Sydney"/>
    <s v="01803382"/>
    <x v="0"/>
    <s v="NBN Greenfields DJC"/>
    <x v="131"/>
    <d v="2017-03-28T00:00:00"/>
    <s v="Mar-17"/>
    <s v="5SMITHS - AYCA-1RO4NM - 31 CROWN STREET"/>
    <n v="1852"/>
    <m/>
    <m/>
  </r>
  <r>
    <s v="INV"/>
    <s v="NBN Sydney"/>
    <s v="01803383"/>
    <x v="0"/>
    <s v="NBN Greenfields DJC"/>
    <x v="130"/>
    <d v="2017-03-28T00:00:00"/>
    <s v="Mar-17"/>
    <s v="5SMITHS - AYCA-36D744-Grace-SHA"/>
    <n v="855"/>
    <m/>
    <m/>
  </r>
  <r>
    <s v="INV"/>
    <s v="NBN Sydney"/>
    <s v="2118"/>
    <x v="0"/>
    <s v="NBN Greenfields DJC"/>
    <x v="134"/>
    <d v="2017-03-30T00:00:00"/>
    <s v="Mar-17"/>
    <s v="Schokman Pty Limited - NBN MWA_x000d_ MW20439 - AYCA-2UEHH4 - Greenway Village - 1"/>
    <n v="908"/>
    <m/>
    <m/>
  </r>
  <r>
    <s v="INV"/>
    <s v="NBN Sydney"/>
    <s v="2119"/>
    <x v="0"/>
    <s v="NBN Minor Works DJC"/>
    <x v="122"/>
    <d v="2017-03-30T00:00:00"/>
    <s v="Mar-17"/>
    <s v="Schokman Pty Limited - NBN MWA_x000d_ MW20411 - 2GOS-07 - 1 Amber Cr, Point Clare"/>
    <n v="495"/>
    <m/>
    <m/>
  </r>
  <r>
    <s v="INV"/>
    <s v="NBN Sydney"/>
    <s v="2120"/>
    <x v="0"/>
    <s v="NBN Greenfields DJC"/>
    <x v="125"/>
    <d v="2017-03-30T00:00:00"/>
    <s v="Mar-17"/>
    <s v="Schokman Pty Limited - NBN MWA_x000d_ MW20326 - AYCA-428F2C - 167-173 Foxall Rd, Kellyville"/>
    <n v="7187.07"/>
    <m/>
    <m/>
  </r>
  <r>
    <s v="INV"/>
    <s v="NBN Sydney"/>
    <s v="2117"/>
    <x v="0"/>
    <s v="NBN Greenfields DJC"/>
    <x v="132"/>
    <d v="2017-03-30T00:00:00"/>
    <s v="Mar-17"/>
    <s v="Schokman Pty Limited - NBN MWA_x000d_ MW20380 - 2ROU-02 - AYCA-3DOTZW - Industrial Development - 6 Money Cl"/>
    <n v="1185"/>
    <m/>
    <m/>
  </r>
  <r>
    <s v="INV"/>
    <s v="NBN Sydney"/>
    <s v="2115"/>
    <x v="0"/>
    <s v="NBN Minor Works DJC"/>
    <x v="111"/>
    <d v="2017-03-30T00:00:00"/>
    <s v="Mar-17"/>
    <s v="Schokman Pty Limited - FTTB Survey &amp; Design - 2DAL-20-00-MPS-010 - 210-214 George St"/>
    <n v="1220"/>
    <m/>
    <m/>
  </r>
  <r>
    <s v="INV"/>
    <s v="NBN Sydney"/>
    <s v="2115"/>
    <x v="0"/>
    <s v="NBN Minor Works DJC"/>
    <x v="111"/>
    <d v="2017-03-30T00:00:00"/>
    <s v="Mar-17"/>
    <s v="Schokman Pty Limited - FTTB Survey only - 2DAL-20-00-MPS-001 - 6-8 Underwood"/>
    <n v="688"/>
    <m/>
    <m/>
  </r>
  <r>
    <s v="INV"/>
    <s v="VPL Sydney"/>
    <s v="2116"/>
    <x v="0"/>
    <s v="Visionstream DJC"/>
    <x v="148"/>
    <d v="2017-03-30T00:00:00"/>
    <s v="Mar-17"/>
    <s v="Schokman Pty Limited - FTTB Survey &amp; Design - 2ROC-07 - 23 Queen St, Brighton Le-Sands"/>
    <n v="1220"/>
    <m/>
    <m/>
  </r>
  <r>
    <s v="INV"/>
    <s v="NBN Sydney"/>
    <s v="2124"/>
    <x v="0"/>
    <s v="NBN Minor Works DJC"/>
    <x v="120"/>
    <d v="2017-03-30T00:00:00"/>
    <s v="Mar-17"/>
    <s v="Schokman Pty Limited - NBN MWA_x000d_ 2CBT DRop (LNDN) as per Summary on Sheet 2"/>
    <n v="13481.97"/>
    <m/>
    <m/>
  </r>
  <r>
    <s v="CN"/>
    <s v="NBN Sydney"/>
    <s v="2126"/>
    <x v="0"/>
    <s v="NBN Minor Works DJC"/>
    <x v="69"/>
    <d v="2017-03-30T00:00:00"/>
    <s v="Mar-17"/>
    <s v="Schokman Pty Limited - NBN MWA - 2GOS-06 Drops_x000d__x000a_38 Manns Rd - Type B, Riser, Tree Trim, up kover guard and abson and travel for one drop"/>
    <n v="1192"/>
    <m/>
    <m/>
  </r>
  <r>
    <s v="INV"/>
    <s v="NBN Sydney"/>
    <s v="9501367"/>
    <x v="0"/>
    <s v="NBN Greenfields DJC"/>
    <x v="131"/>
    <d v="2017-03-30T00:00:00"/>
    <s v="Mar-17"/>
    <s v="ALTUS Traffic - LINE CREDITED IN FULL_x000d_ NBN MWA Order#01032017_x000d__x000a_610476357-0301_x000d__x000a_31 Crown St _x000d__x000a_Wollongong 01/03/2017  _x000d__x000a_Docket 610897094"/>
    <m/>
    <s v="NBN Greenfields - AYCA-1RO4NM - 31 CROWN STREET"/>
    <n v="699.04"/>
  </r>
  <r>
    <s v="INV"/>
    <s v="NBN Sydney"/>
    <s v="2124"/>
    <x v="0"/>
    <s v="NBN Minor Works DJC"/>
    <x v="120"/>
    <d v="2017-03-30T00:00:00"/>
    <s v="Mar-17"/>
    <s v="Schokman Pty Limited - NBN MWA_x000d_ 2CBT Drops as per Summary on Sheet 1"/>
    <n v="54791.38"/>
    <m/>
    <m/>
  </r>
  <r>
    <s v="INV"/>
    <s v="NBN Sydney"/>
    <s v="2121"/>
    <x v="0"/>
    <s v="NBN Greenfields DJC"/>
    <x v="130"/>
    <d v="2017-03-30T00:00:00"/>
    <s v="Mar-17"/>
    <s v="Schokman Pty Limited - NBN MWA_x000d_ 2CBT-01-AYCA-36D744 - Grace - SHA"/>
    <n v="3740.29"/>
    <m/>
    <m/>
  </r>
  <r>
    <s v="INV"/>
    <s v="NBN Sydney"/>
    <s v="2122"/>
    <x v="0"/>
    <s v="NBN Minor Works DJC"/>
    <x v="149"/>
    <d v="2017-03-30T00:00:00"/>
    <s v="Mar-17"/>
    <s v="Schokman Pty Limited - NBN MWA_x000d_ 2LJT Various Site"/>
    <n v="1425"/>
    <m/>
    <m/>
  </r>
  <r>
    <s v="INV"/>
    <s v="NBN Sydney"/>
    <s v="2123"/>
    <x v="0"/>
    <s v="NBN Minor Works DJC"/>
    <x v="88"/>
    <d v="2017-03-30T00:00:00"/>
    <s v="Mar-17"/>
    <s v="Schokman Pty Limited - NBN MWA_x000d_ Salem Labour Works in Liverpool per Hour"/>
    <n v="328"/>
    <m/>
    <m/>
  </r>
  <r>
    <s v="INV"/>
    <s v="NBN Sydney"/>
    <s v="9497820"/>
    <x v="0"/>
    <s v="NBN Greenfields DJC"/>
    <x v="131"/>
    <d v="2017-03-30T00:00:00"/>
    <s v="Mar-17"/>
    <s v="ALTUS Traffic - NBN MWA Order#01032017_x000d_ 610476357-0303_x000d_ 31 Crown St _x000d_ Wollongong 03/03/2017  _x000d__x000a_Docket 610898251"/>
    <n v="615.54999999999995"/>
    <m/>
    <m/>
  </r>
  <r>
    <s v="INV"/>
    <s v="NBN Sydney"/>
    <s v="2125"/>
    <x v="0"/>
    <s v="NBN Minor Works DJC"/>
    <x v="120"/>
    <d v="2017-03-30T00:00:00"/>
    <s v="Mar-17"/>
    <s v="Schokman Pty Limited - NBN MWA_x000d_ ACM Pit Removal 16-18 Blackbutt Ave"/>
    <n v="750"/>
    <m/>
    <m/>
  </r>
  <r>
    <s v="INV"/>
    <s v="NBN Sydney"/>
    <s v="2125"/>
    <x v="0"/>
    <s v="NBN Minor Works DJC"/>
    <x v="120"/>
    <d v="2017-03-30T00:00:00"/>
    <s v="Mar-17"/>
    <s v="Schokman Pty Limited - NBN MWA_x000d_ ACM Pit Removal 23-25 Blackbutt Ave"/>
    <n v="750"/>
    <m/>
    <m/>
  </r>
  <r>
    <s v="INV"/>
    <s v="NBN Sydney"/>
    <s v="9497820"/>
    <x v="0"/>
    <s v="NBN Greenfields DJC"/>
    <x v="131"/>
    <d v="2017-03-30T00:00:00"/>
    <s v="Mar-17"/>
    <s v="ALTUS Traffic - NBN MWA Order#01032017_x000d_610476357-0302_x000d_ 31 Crown St _x000d_Wollongong 02/03/2017  _x000d__x000a_Docket 610897773"/>
    <n v="951.56"/>
    <m/>
    <m/>
  </r>
  <r>
    <s v="INV"/>
    <s v="NBN Sydney"/>
    <s v="9501292"/>
    <x v="0"/>
    <s v="NBN Minor Works DJC"/>
    <x v="120"/>
    <d v="2017-03-30T00:00:00"/>
    <s v="Mar-17"/>
    <s v="ALTUS Traffic - NBN MWA 'TC DT BROUGHTON 14032017'_x000d_ 610476357-03 _x000d_Cnr Broughton St &amp; Waminda Ave _x000d_Campbelltown 30/03/17 _x000d__x000a_Docket 610902313"/>
    <n v="951.56"/>
    <m/>
    <m/>
  </r>
  <r>
    <s v="INV"/>
    <s v="NBN Sydney"/>
    <s v="9501292"/>
    <x v="0"/>
    <s v="NBN Minor Works DJC"/>
    <x v="120"/>
    <d v="2017-03-30T00:00:00"/>
    <s v="Mar-17"/>
    <s v="ALTUS Traffic - NBN MWA 14032017' 610479253-0321_x000d_Cnr Broughton St &amp; Waminda Ave _x000d_Campbelltown 30/03/17 _x000d__x000a_Docket 610904462"/>
    <n v="716.56"/>
    <m/>
    <m/>
  </r>
  <r>
    <s v="INV"/>
    <s v="NBN Sydney"/>
    <s v="9497820"/>
    <x v="0"/>
    <s v="NBN Greenfields DJC"/>
    <x v="131"/>
    <d v="2017-03-30T00:00:00"/>
    <s v="Mar-17"/>
    <s v="ALTUS Traffic - LINE TO BE CREDITED IN FULL_x000d__x000d_ NBN MWA Order#01032017_x000d_ 610476357-030 1 Crown St _x000d__x000a_Wollongong 01/03/2017  _x000d__x000a_Docket 610897094"/>
    <n v="699.04"/>
    <m/>
    <m/>
  </r>
  <r>
    <s v="INV"/>
    <s v="NBN Sydney"/>
    <s v="2114"/>
    <x v="0"/>
    <s v="NBN Minor Works DJC"/>
    <x v="118"/>
    <d v="2017-03-30T00:00:00"/>
    <s v="Mar-17"/>
    <s v="Schokman Pty Limited - NBN MWA_x000d_ FTTB Design - 51 Huntingwood Dr - 2BLK-07-16"/>
    <n v="1220"/>
    <m/>
    <m/>
  </r>
  <r>
    <s v="INV"/>
    <s v="NBN Sydney"/>
    <s v="2114"/>
    <x v="0"/>
    <s v="NBN Minor Works DJC"/>
    <x v="118"/>
    <d v="2017-03-30T00:00:00"/>
    <s v="Mar-17"/>
    <s v="Schokman Pty Limited - Lead in scoping and multiple site revisit - 51 Huntingwood Dr - 2BLK-07-16"/>
    <n v="1000"/>
    <m/>
    <m/>
  </r>
  <r>
    <s v="INV"/>
    <s v="NBN Sydney"/>
    <s v="2115"/>
    <x v="0"/>
    <s v="NBN Minor Works DJC"/>
    <x v="111"/>
    <d v="2017-03-30T00:00:00"/>
    <s v="Mar-17"/>
    <s v="Schokman Pty Limited - NBN MWA_x000d_ FTTB Survey &amp; Design - 2DAL-20-00-MPS-014 - 167-199 George St"/>
    <n v="1220"/>
    <m/>
    <m/>
  </r>
  <r>
    <s v="INV"/>
    <s v="NBN Sydney"/>
    <s v="2113"/>
    <x v="0"/>
    <s v="NBN Minor Works DJC"/>
    <x v="150"/>
    <d v="2017-03-30T00:00:00"/>
    <s v="Mar-17"/>
    <s v="Schokman Pty Limited - NBN MWA_x000d_ MDU Design - 8 Miller St"/>
    <n v="1450"/>
    <m/>
    <m/>
  </r>
  <r>
    <s v="INV"/>
    <s v="NBN Sydney"/>
    <s v="2125"/>
    <x v="0"/>
    <s v="NBN Minor Works DJC"/>
    <x v="120"/>
    <d v="2017-03-30T00:00:00"/>
    <s v="Mar-17"/>
    <s v="Schokman Pty Limited - NBN MWA _x000d_ ACM Pit Removal 43-45 Campbellfield Road"/>
    <n v="750"/>
    <m/>
    <m/>
  </r>
  <r>
    <s v="INV"/>
    <s v="NBN Sydney"/>
    <s v="2112"/>
    <x v="0"/>
    <s v="NBN Greenfields DJC"/>
    <x v="110"/>
    <d v="2017-03-30T00:00:00"/>
    <s v="Mar-17"/>
    <s v="Schokman Pty Limited - NBN MWA_x000d_ Salem working with Karsten civil work per hour"/>
    <n v="1066"/>
    <m/>
    <m/>
  </r>
  <r>
    <s v="INV"/>
    <s v="NBN Sydney"/>
    <s v="2112"/>
    <x v="0"/>
    <s v="NBN Minor Works DJC"/>
    <x v="84"/>
    <d v="2017-03-30T00:00:00"/>
    <s v="Mar-17"/>
    <s v="Schokman Pty Limited - NBN MWA_x000d_ Salem working with Karsten civil work per hour"/>
    <n v="1066"/>
    <m/>
    <m/>
  </r>
  <r>
    <s v="CN"/>
    <s v="NBN Sydney"/>
    <s v="2112"/>
    <x v="0"/>
    <s v="Sub Contractor Revenue"/>
    <x v="123"/>
    <d v="2017-03-30T00:00:00"/>
    <s v="Mar-17"/>
    <s v="Schokman Pty Limited - NBN MWA_x000d_ Greg back charge hours for repair work per hour"/>
    <m/>
    <s v="Sub Contractor Revenue"/>
    <n v="260"/>
  </r>
  <r>
    <s v="INV"/>
    <s v="NBN Sydney"/>
    <s v="INV163519 BC PPE"/>
    <x v="1"/>
    <s v="Overhead"/>
    <x v="3"/>
    <d v="2017-03-15T00:00:00"/>
    <s v="Mar-17"/>
    <s v="Southland Supply Group - AH1081_x000d__x000a_Flynet"/>
    <n v="7.5"/>
    <m/>
    <m/>
  </r>
  <r>
    <s v="INV"/>
    <s v="NBN Sydney"/>
    <s v="INV163519 BC PPE"/>
    <x v="1"/>
    <s v="Overhead"/>
    <x v="3"/>
    <d v="2017-03-15T00:00:00"/>
    <s v="Mar-17"/>
    <s v="Southland Supply Group - AF1044_x000d__x000a_Bushman Insect Repellant - 75g Gel"/>
    <n v="14.5"/>
    <m/>
    <m/>
  </r>
  <r>
    <s v="INV"/>
    <s v="NBN Sydney"/>
    <s v="INV163519 BC PPE"/>
    <x v="1"/>
    <s v="Overhead"/>
    <x v="3"/>
    <d v="2017-03-15T00:00:00"/>
    <s v="Mar-17"/>
    <s v="Southland Supply Group - AF1102_x000d__x000a_Sunscreen SPF 50+ 125mL Tube"/>
    <n v="8.4"/>
    <m/>
    <m/>
  </r>
  <r>
    <s v="INV"/>
    <s v="NBN Sydney"/>
    <s v="INV163519 BC PPE"/>
    <x v="1"/>
    <s v="Overhead"/>
    <x v="3"/>
    <d v="2017-03-15T00:00:00"/>
    <s v="Mar-17"/>
    <s v="Southland Supply Group - AD1471/09.L_x000d__x000a_Electravolt 360mm Insulating Gloves - Class 00 (500V working voltage) Size 9"/>
    <n v="63.6"/>
    <m/>
    <m/>
  </r>
  <r>
    <s v="INV"/>
    <s v="NBN Sydney"/>
    <s v="INV163519 BC PPE"/>
    <x v="1"/>
    <s v="Overhead"/>
    <x v="3"/>
    <d v="2017-03-15T00:00:00"/>
    <s v="Mar-17"/>
    <s v="Southland Supply Group - AB1051_x000d__x000a_Cotton Hardhat Sunbrim with Neckflap - Navy"/>
    <n v="12.4"/>
    <m/>
    <m/>
  </r>
  <r>
    <s v="INV"/>
    <s v="NBN Sydney"/>
    <s v="INV163519 BC PPE"/>
    <x v="1"/>
    <s v="Overhead"/>
    <x v="3"/>
    <d v="2017-03-15T00:00:00"/>
    <s v="Mar-17"/>
    <s v="Southland Supply Group - AK1081_x000d__x000a_Safetek Gear Bag - Black"/>
    <n v="26.7"/>
    <m/>
    <m/>
  </r>
  <r>
    <s v="INV"/>
    <s v="NBN Sydney"/>
    <s v="INV163519 BC PPE"/>
    <x v="1"/>
    <s v="Overhead"/>
    <x v="3"/>
    <d v="2017-03-15T00:00:00"/>
    <s v="Mar-17"/>
    <s v="Southland Supply Group - AC1101_x000d__x000a_QB2 Banded Earplugs - Class 3 - 21dB(A)"/>
    <n v="9"/>
    <m/>
    <m/>
  </r>
  <r>
    <s v="INV"/>
    <s v="NBN Sydney"/>
    <s v="INV163519 BC PPE"/>
    <x v="1"/>
    <s v="Overhead"/>
    <x v="3"/>
    <d v="2017-03-15T00:00:00"/>
    <s v="Mar-17"/>
    <s v="Southland Supply Group - AC1001_x000d__x000a_Prochoice VIPER Headband Earmuffs - Class 5 - 26db(A)"/>
    <n v="17.5"/>
    <m/>
    <m/>
  </r>
  <r>
    <s v="INV"/>
    <s v="NBN Sydney"/>
    <s v="INV163519 BC PPE"/>
    <x v="1"/>
    <s v="Overhead"/>
    <x v="3"/>
    <d v="2017-03-15T00:00:00"/>
    <s v="Mar-17"/>
    <s v="Southland Supply Group - AB1501/White_x000d__x000a_Honeywell ABS Vented Hardhat - White"/>
    <n v="13.8"/>
    <m/>
    <m/>
  </r>
  <r>
    <s v="INV"/>
    <s v="NBN Sydney"/>
    <s v="INV163519 BC PPE"/>
    <x v="1"/>
    <s v="Overhead"/>
    <x v="3"/>
    <d v="2017-03-15T00:00:00"/>
    <s v="Mar-17"/>
    <s v="Southland Supply Group - BH1001/02.M_x000d__x000a_HiVis Nylon Rainwear Set, Yellow - M"/>
    <n v="24.8"/>
    <m/>
    <m/>
  </r>
  <r>
    <s v="INV"/>
    <s v="NBN Sydney"/>
    <s v="INV163519 BC PPE"/>
    <x v="1"/>
    <s v="Overhead"/>
    <x v="3"/>
    <d v="2017-03-15T00:00:00"/>
    <s v="Mar-17"/>
    <s v="Southland Supply Group - BA1001/02.M_x000d__x000a_Norss Day Use Safety Vest - Yellow, Size Medium"/>
    <n v="5.4"/>
    <m/>
    <m/>
  </r>
  <r>
    <s v="INV"/>
    <s v="NBN Sydney"/>
    <s v="INV163519 BC PPE"/>
    <x v="1"/>
    <s v="Overhead"/>
    <x v="3"/>
    <d v="2017-03-15T00:00:00"/>
    <s v="Mar-17"/>
    <s v="Southland Supply Group - AK1001 _x000d__x000a_Professional Gel Kneepads"/>
    <n v="41.8"/>
    <m/>
    <m/>
  </r>
  <r>
    <s v="INV"/>
    <s v="NBN Sydney"/>
    <s v="INV164585 / BC Shirts"/>
    <x v="1"/>
    <s v="Overhead"/>
    <x v="3"/>
    <d v="2017-03-24T00:00:00"/>
    <s v="Mar-17"/>
    <s v="Southland Supply Group - BF1001/02.M _x000d__x000a_HiVis Two Tone 1/2 Zip polar Fleece, Yellow/Navy - M"/>
    <n v="50.2"/>
    <m/>
    <m/>
  </r>
  <r>
    <s v="INV"/>
    <s v="NBN Sydney"/>
    <s v="INV164585 / BC Shirts"/>
    <x v="1"/>
    <s v="Overhead"/>
    <x v="3"/>
    <d v="2017-03-24T00:00:00"/>
    <s v="Mar-17"/>
    <s v="Southland Supply Group - EMB-STD_x000d__x000a_Embroidery - DATATEKS Logo (80mm Wide)"/>
    <n v="9"/>
    <m/>
    <m/>
  </r>
  <r>
    <s v="INV"/>
    <s v="NBN Sydney"/>
    <s v="INV164585 / BC Shirts"/>
    <x v="1"/>
    <s v="Overhead"/>
    <x v="3"/>
    <d v="2017-03-24T00:00:00"/>
    <s v="Mar-17"/>
    <s v="Southland Supply Group - BC2871/02.M_x000d__x000a_Norss 3 Way Ventilate HiVis Two Tone (155gsm) Cotton Drill Shirt, Yellow/Navy, Long Sleeve, Medium"/>
    <n v="113"/>
    <m/>
    <m/>
  </r>
  <r>
    <s v="INV"/>
    <s v="NBN Sydney"/>
    <s v="INV164585 / BC Shirts"/>
    <x v="1"/>
    <s v="Overhead"/>
    <x v="3"/>
    <d v="2017-03-24T00:00:00"/>
    <s v="Mar-17"/>
    <s v="Southland Supply Group - EMB-STD _x000d__x000a_Embroidery - DATATEKS Logo (80mm Wide)"/>
    <n v="22.5"/>
    <m/>
    <m/>
  </r>
  <r>
    <s v="INV"/>
    <s v="NBN Sydney"/>
    <s v="INV162227"/>
    <x v="1"/>
    <s v="Overhead"/>
    <x v="3"/>
    <d v="2017-03-02T00:00:00"/>
    <s v="Mar-17"/>
    <s v="Southland Supply Group - KE - AD1471/09.L_x000d__x000a_Electravolt 360mm Insulating Gloves - Class 00 (500V Working Voltage) - Size 9"/>
    <n v="63.6"/>
    <m/>
    <m/>
  </r>
  <r>
    <s v="INV"/>
    <s v="NBN Sydney"/>
    <s v="INV162227"/>
    <x v="1"/>
    <s v="Overhead"/>
    <x v="3"/>
    <d v="2017-03-02T00:00:00"/>
    <s v="Mar-17"/>
    <s v="Southland Supply Group - KE - BE1051/102R_x000d__x000a_HiVis Two Tone Cotton Drill Coveralls, Yellow/Navy - 102R"/>
    <n v="66.7"/>
    <m/>
    <m/>
  </r>
  <r>
    <s v="INV"/>
    <s v="NBN Sydney"/>
    <s v="INV163519 BC PPE"/>
    <x v="1"/>
    <s v="Overhead"/>
    <x v="3"/>
    <d v="2017-03-15T00:00:00"/>
    <s v="Mar-17"/>
    <s v="Southland Supply Group - BG1001/02.M_x000d__x000a_Ultimum HiVis Two Tone Reflective 4 in 1 Jacket, Yellow/Navy - Medium"/>
    <n v="87"/>
    <m/>
    <m/>
  </r>
  <r>
    <s v="INV"/>
    <s v="NBN Sydney"/>
    <s v="240066"/>
    <x v="1"/>
    <s v="Overhead"/>
    <x v="3"/>
    <d v="2017-03-20T00:00:00"/>
    <s v="Mar-17"/>
    <s v="Mt Druitt Medical &amp; Dental Centre - GB - Audiometry Pre-Placement"/>
    <n v="38"/>
    <m/>
    <m/>
  </r>
  <r>
    <s v="INV"/>
    <s v="NBN Sydney"/>
    <s v="240066"/>
    <x v="1"/>
    <s v="Overhead"/>
    <x v="3"/>
    <d v="2017-03-20T00:00:00"/>
    <s v="Mar-17"/>
    <s v="Mt Druitt Medical &amp; Dental Centre - GB - Pre-Placement Employment"/>
    <n v="115"/>
    <m/>
    <m/>
  </r>
  <r>
    <s v="INV"/>
    <s v="NBN Sydney"/>
    <s v="240066"/>
    <x v="1"/>
    <s v="Overhead"/>
    <x v="3"/>
    <d v="2017-03-20T00:00:00"/>
    <s v="Mar-17"/>
    <s v="Mt Druitt Medical &amp; Dental Centre - GB - Spirometry Pre-Placement"/>
    <n v="35"/>
    <m/>
    <m/>
  </r>
  <r>
    <s v="INV"/>
    <s v="NBN Sydney"/>
    <s v="240066"/>
    <x v="1"/>
    <s v="Overhead"/>
    <x v="3"/>
    <d v="2017-03-20T00:00:00"/>
    <s v="Mar-17"/>
    <s v="Mt Druitt Medical &amp; Dental Centre - GB - Alcohol Breath Test"/>
    <n v="6"/>
    <m/>
    <m/>
  </r>
  <r>
    <s v="INV"/>
    <s v="NBN Sydney"/>
    <s v="240066"/>
    <x v="1"/>
    <s v="Overhead"/>
    <x v="3"/>
    <d v="2017-03-20T00:00:00"/>
    <s v="Mar-17"/>
    <s v="Mt Druitt Medical &amp; Dental Centre - GB - Instant Drug"/>
    <n v="60"/>
    <m/>
    <m/>
  </r>
  <r>
    <s v="INV"/>
    <s v="NBN Sydney"/>
    <s v="240061"/>
    <x v="1"/>
    <s v="Overhead"/>
    <x v="3"/>
    <d v="2017-03-20T00:00:00"/>
    <s v="Mar-17"/>
    <s v="Mt Druitt Medical &amp; Dental Centre - ST - Spirometry Pre-placement "/>
    <n v="35"/>
    <m/>
    <m/>
  </r>
  <r>
    <s v="INV"/>
    <s v="NBN Sydney"/>
    <s v="240061"/>
    <x v="1"/>
    <s v="Overhead"/>
    <x v="3"/>
    <d v="2017-03-20T00:00:00"/>
    <s v="Mar-17"/>
    <s v="Mt Druitt Medical &amp; Dental Centre - ST - Pre-placement employment"/>
    <n v="115"/>
    <m/>
    <m/>
  </r>
  <r>
    <s v="INV"/>
    <s v="NBN Sydney"/>
    <s v="240061"/>
    <x v="1"/>
    <s v="Overhead"/>
    <x v="3"/>
    <d v="2017-03-20T00:00:00"/>
    <s v="Mar-17"/>
    <s v="Mt Druitt Medical &amp; Dental Centre - ST - Audiometry Pre-Placement"/>
    <n v="38"/>
    <m/>
    <m/>
  </r>
  <r>
    <s v="INV"/>
    <s v="NBN Sydney"/>
    <s v="240061"/>
    <x v="1"/>
    <s v="Overhead"/>
    <x v="3"/>
    <d v="2017-03-20T00:00:00"/>
    <s v="Mar-17"/>
    <s v="Mt Druitt Medical &amp; Dental Centre - ST - Alcohol Breath Test"/>
    <n v="6"/>
    <m/>
    <m/>
  </r>
  <r>
    <s v="INV"/>
    <s v="NBN Sydney"/>
    <s v="240061"/>
    <x v="1"/>
    <s v="Overhead"/>
    <x v="3"/>
    <d v="2017-03-20T00:00:00"/>
    <s v="Mar-17"/>
    <s v="Mt Druitt Medical &amp; Dental Centre - ST - Instant Drug"/>
    <n v="60"/>
    <m/>
    <m/>
  </r>
  <r>
    <s v="INV"/>
    <s v="NBN Sydney"/>
    <s v="INV164157 ACh PPE"/>
    <x v="1"/>
    <s v="Overhead"/>
    <x v="3"/>
    <d v="2017-03-21T00:00:00"/>
    <s v="Mar-17"/>
    <s v="Southland Supply Group - AK1001_x000d__x000a_Professional Gel Knee Pads"/>
    <n v="41.8"/>
    <m/>
    <m/>
  </r>
  <r>
    <s v="INV"/>
    <s v="NBN Sydney"/>
    <s v="INV164157 ACh PPE"/>
    <x v="1"/>
    <s v="Overhead"/>
    <x v="3"/>
    <d v="2017-03-21T00:00:00"/>
    <s v="Mar-17"/>
    <s v="Southland Supply Group - BH1001/02.M_x000d__x000a_HiVis Nylon Rainwear Set, Yellow - M"/>
    <n v="24.8"/>
    <m/>
    <m/>
  </r>
  <r>
    <s v="INV"/>
    <s v="NBN Sydney"/>
    <s v="INV164157 ACh PPE"/>
    <x v="1"/>
    <s v="Overhead"/>
    <x v="3"/>
    <d v="2017-03-21T00:00:00"/>
    <s v="Mar-17"/>
    <s v="Southland Supply Group - AC1101_x000d__x000a_QB2 Banded Earplugs - Class 3 - 21dB(A)"/>
    <n v="9"/>
    <m/>
    <m/>
  </r>
  <r>
    <s v="INV"/>
    <s v="NBN Sydney"/>
    <s v="INV164157 ACh PPE"/>
    <x v="1"/>
    <s v="Overhead"/>
    <x v="3"/>
    <d v="2017-03-21T00:00:00"/>
    <s v="Mar-17"/>
    <s v="Southland Supply Group - AC1001_x000d__x000a_Prochoice VIPER Headband Earmuffs - Class 5 - 26db(A)_x000d__x000a_"/>
    <n v="17.5"/>
    <m/>
    <m/>
  </r>
  <r>
    <s v="INV"/>
    <s v="NBN Sydney"/>
    <s v="INV164157 ACh PPE"/>
    <x v="1"/>
    <s v="Overhead"/>
    <x v="3"/>
    <d v="2017-03-21T00:00:00"/>
    <s v="Mar-17"/>
    <s v="Southland Supply Group - BG1001/02.M_x000d__x000a_Ultimum HiVis Two Tone Reflective 4 in 1 Jacket, Yellow/Navy - Medium"/>
    <n v="87"/>
    <m/>
    <m/>
  </r>
  <r>
    <s v="INV"/>
    <s v="NBN Sydney"/>
    <s v="INV164157 ACh PPE"/>
    <x v="1"/>
    <s v="Overhead"/>
    <x v="3"/>
    <d v="2017-03-21T00:00:00"/>
    <s v="Mar-17"/>
    <s v="Southland Supply Group - AB1051_x000d__x000a_Cotton Hardhat Sunbrim with neckflap - Navy_x000d__x000a_"/>
    <n v="12.4"/>
    <m/>
    <m/>
  </r>
  <r>
    <s v="INV"/>
    <s v="NBN Sydney"/>
    <s v="INV164157 ACh PPE"/>
    <x v="1"/>
    <s v="Overhead"/>
    <x v="3"/>
    <d v="2017-03-21T00:00:00"/>
    <s v="Mar-17"/>
    <s v="Southland Supply Group - AK1081_x000d__x000a_Safetek Gear Bag - Black"/>
    <n v="26.7"/>
    <m/>
    <m/>
  </r>
  <r>
    <s v="INV"/>
    <s v="NBN Sydney"/>
    <s v="INV164157 ACh PPE"/>
    <x v="1"/>
    <s v="Overhead"/>
    <x v="3"/>
    <d v="2017-03-21T00:00:00"/>
    <s v="Mar-17"/>
    <s v="Southland Supply Group - AH1081_x000d__x000a_Flynet"/>
    <n v="7.5"/>
    <m/>
    <m/>
  </r>
  <r>
    <s v="INV"/>
    <s v="NBN Sydney"/>
    <s v="INV164157 ACh PPE"/>
    <x v="1"/>
    <s v="Overhead"/>
    <x v="3"/>
    <d v="2017-03-21T00:00:00"/>
    <s v="Mar-17"/>
    <s v="Southland Supply Group - AF1102_x000d__x000a_Sunscreen SPF 50+ 125mL Tube"/>
    <n v="8.4"/>
    <m/>
    <m/>
  </r>
  <r>
    <s v="INV"/>
    <s v="NBN Sydney"/>
    <s v="INV164157 ACh PPE"/>
    <x v="1"/>
    <s v="Overhead"/>
    <x v="3"/>
    <d v="2017-03-21T00:00:00"/>
    <s v="Mar-17"/>
    <s v="Southland Supply Group - AF1044_x000d__x000a_Bushman Insect Repellant - 75g Gel"/>
    <n v="14.5"/>
    <m/>
    <m/>
  </r>
  <r>
    <s v="INV"/>
    <s v="NBN Sydney"/>
    <s v="INV164351 ACh PPE"/>
    <x v="1"/>
    <s v="Overhead"/>
    <x v="3"/>
    <d v="2017-03-23T00:00:00"/>
    <s v="Mar-17"/>
    <s v="Southland Supply Group - AD1471/09.L_x000d__x000a_Electravolt 360mm Insulating Gloves - Class 00 (500V Working Voltage) - Size 9"/>
    <n v="63.6"/>
    <m/>
    <m/>
  </r>
  <r>
    <s v="INV"/>
    <s v="NBN Sydney"/>
    <s v="54171"/>
    <x v="1"/>
    <s v="Overhead"/>
    <x v="3"/>
    <d v="2017-03-17T00:00:00"/>
    <s v="Mar-17"/>
    <s v="SkillsAcq PTY LTD - BC - Telstra Network Site Induction eLearning Program"/>
    <n v="36.36"/>
    <m/>
    <m/>
  </r>
  <r>
    <s v="INV"/>
    <s v="NBN Sydney"/>
    <s v="IN31584"/>
    <x v="1"/>
    <s v="Overhead"/>
    <x v="3"/>
    <d v="2017-03-31T00:00:00"/>
    <s v="Mar-17"/>
    <s v="Inscope Training - ACh - White Card"/>
    <n v="35"/>
    <m/>
    <m/>
  </r>
  <r>
    <s v="INV"/>
    <s v="NBN Sydney"/>
    <s v="54632"/>
    <x v="1"/>
    <s v="Overhead"/>
    <x v="3"/>
    <d v="2017-03-31T00:00:00"/>
    <s v="Mar-17"/>
    <s v="SkillsAcq PTY LTD - Telstra Network Site Induction eLearning Program - Ashish Chakma "/>
    <n v="36.36"/>
    <m/>
    <m/>
  </r>
  <r>
    <s v="INV"/>
    <s v="NBN Sydney"/>
    <s v="002357"/>
    <x v="1"/>
    <s v="Overhead"/>
    <x v="3"/>
    <d v="2017-03-07T00:00:00"/>
    <s v="Mar-17"/>
    <s v="Woolworths Limited - Hotdog Roll 6 pk"/>
    <n v="3.64"/>
    <m/>
    <m/>
  </r>
  <r>
    <s v="INV"/>
    <s v="NBN Sydney"/>
    <s v="002357"/>
    <x v="1"/>
    <s v="Overhead"/>
    <x v="3"/>
    <d v="2017-03-07T00:00:00"/>
    <s v="Mar-17"/>
    <s v="Woolworths Limited - Chicken Thight Kebab Homestyle BBQ 375g"/>
    <n v="4.55"/>
    <m/>
    <m/>
  </r>
  <r>
    <s v="INV"/>
    <s v="NBN Sydney"/>
    <s v="002357"/>
    <x v="1"/>
    <s v="Overhead"/>
    <x v="3"/>
    <d v="2017-03-07T00:00:00"/>
    <s v="Mar-17"/>
    <s v="Woolworths Limited - Fountain Sauce Tomato Squeeze 500mL"/>
    <n v="1.82"/>
    <m/>
    <m/>
  </r>
  <r>
    <s v="INV"/>
    <s v="NBN Sydney"/>
    <s v="002357"/>
    <x v="1"/>
    <s v="Overhead"/>
    <x v="3"/>
    <d v="2017-03-07T00:00:00"/>
    <s v="Mar-17"/>
    <s v="Woolworths Limited - Fountain Sauce BBQ Squeeze 500mL"/>
    <n v="1.82"/>
    <m/>
    <m/>
  </r>
  <r>
    <s v="INV"/>
    <s v="NBN Sydney"/>
    <s v="002357"/>
    <x v="1"/>
    <s v="Overhead"/>
    <x v="3"/>
    <d v="2017-03-07T00:00:00"/>
    <s v="Mar-17"/>
    <s v="Woolworths Limited - Aussie Beef Sausages 680g"/>
    <n v="4.55"/>
    <m/>
    <m/>
  </r>
  <r>
    <s v="INV"/>
    <s v="NBN Sydney"/>
    <s v="002357"/>
    <x v="1"/>
    <s v="Overhead"/>
    <x v="3"/>
    <d v="2017-03-07T00:00:00"/>
    <s v="Mar-17"/>
    <s v="Woolworths Limited - HB/Ess Blended Vegetable Oil 750mL"/>
    <n v="2.04"/>
    <m/>
    <m/>
  </r>
  <r>
    <s v="INV"/>
    <s v="NBN Sydney"/>
    <s v="002357"/>
    <x v="1"/>
    <s v="Overhead"/>
    <x v="3"/>
    <d v="2017-03-07T00:00:00"/>
    <s v="Mar-17"/>
    <s v="Woolworths Limited - Satay Style Kebab RSPCA Approved Chkn"/>
    <n v="7.64"/>
    <m/>
    <m/>
  </r>
  <r>
    <s v="INV"/>
    <s v="NBN Sydney"/>
    <s v="002357"/>
    <x v="1"/>
    <s v="Overhead"/>
    <x v="3"/>
    <d v="2017-03-07T00:00:00"/>
    <s v="Mar-17"/>
    <s v="Woolworths Limited - Aussie Beef Herb &amp; Garlic Sausages 680g"/>
    <n v="4.55"/>
    <m/>
    <m/>
  </r>
  <r>
    <s v="PE"/>
    <s v="NBN Sydney"/>
    <s v="Payroll Expense Journal - PD-405"/>
    <x v="5"/>
    <s v="NBN Greenfields DJC Internals"/>
    <x v="128"/>
    <d v="2017-03-06T00:00:00"/>
    <s v="Mar-17"/>
    <s v="Earnings Greg &amp; Karsten"/>
    <n v="37.299999999999997"/>
    <m/>
    <m/>
  </r>
  <r>
    <s v="PE"/>
    <s v="NBN Sydney"/>
    <s v="Payroll Expense Journal - PD-409"/>
    <x v="5"/>
    <s v="NBN Greenfields DJC Internals"/>
    <x v="126"/>
    <d v="2017-03-13T00:00:00"/>
    <s v="Mar-17"/>
    <s v="Earnings Greg &amp; Karsten"/>
    <n v="37.299999999999997"/>
    <m/>
    <m/>
  </r>
  <r>
    <s v="PE"/>
    <s v="NBN Sydney"/>
    <s v="Payroll Expense Journal - PD-411"/>
    <x v="5"/>
    <s v="NBN Greenfields DJC Internals"/>
    <x v="140"/>
    <d v="2017-03-20T00:00:00"/>
    <s v="Mar-17"/>
    <s v="Earnings Greg &amp; Karsten"/>
    <n v="37.299999999999997"/>
    <m/>
    <m/>
  </r>
  <r>
    <s v="PE"/>
    <s v="NBN Sydney"/>
    <s v="Payroll Expense Journal - PD-413"/>
    <x v="5"/>
    <s v="NBN Greenfields DJC Internals"/>
    <x v="94"/>
    <d v="2017-03-27T00:00:00"/>
    <s v="Mar-17"/>
    <s v="Earnings Greg &amp; Karsten"/>
    <n v="37.299999999999997"/>
    <m/>
    <m/>
  </r>
  <r>
    <s v="PE"/>
    <s v="NBN Sydney"/>
    <s v="Payroll Expense Journal - PD-413"/>
    <x v="5"/>
    <s v="NBN Greenfields DJC Internals"/>
    <x v="126"/>
    <d v="2017-03-27T00:00:00"/>
    <s v="Mar-17"/>
    <s v="Gilbert Cook Tools"/>
    <n v="37.299999999999997"/>
    <m/>
    <m/>
  </r>
  <r>
    <s v="PE"/>
    <s v="NBN Sydney"/>
    <s v="Payroll Expense Journal - PD-411"/>
    <x v="5"/>
    <s v="NBN Greenfields DJC Internals"/>
    <x v="140"/>
    <d v="2017-03-20T00:00:00"/>
    <s v="Mar-17"/>
    <s v="Earnings Brendan Couper"/>
    <n v="18.649999999999999"/>
    <m/>
    <m/>
  </r>
  <r>
    <s v="PE"/>
    <s v="NBN Sydney"/>
    <s v="Payroll Expense Journal - PD-413"/>
    <x v="5"/>
    <s v="NBN Greenfields DJC Internals"/>
    <x v="94"/>
    <d v="2017-03-27T00:00:00"/>
    <s v="Mar-17"/>
    <s v="Earnings Brendan Couper"/>
    <n v="18.649999999999999"/>
    <m/>
    <m/>
  </r>
  <r>
    <s v="PE"/>
    <s v="NBN Sydney"/>
    <s v="Payroll Expense Journal - PD-409"/>
    <x v="5"/>
    <s v="NBN Greenfields DJC Internals"/>
    <x v="128"/>
    <d v="2017-03-13T00:00:00"/>
    <s v="Mar-17"/>
    <s v="Reimbursements TA Karsten, Peter &amp; Greg"/>
    <n v="449.61"/>
    <m/>
    <m/>
  </r>
  <r>
    <s v="PE"/>
    <s v="NBN Sydney"/>
    <s v="Payroll Expense Journal - PD-409"/>
    <x v="5"/>
    <s v="NBN Greenfields DJC Internals"/>
    <x v="126"/>
    <d v="2017-03-13T00:00:00"/>
    <s v="Mar-17"/>
    <s v="Reimbursements TA Karsten, Peter &amp; Greg"/>
    <n v="299.74"/>
    <m/>
    <m/>
  </r>
  <r>
    <s v="PE"/>
    <s v="NBN Sydney"/>
    <s v="Payroll Expense Journal - PD-409"/>
    <x v="1"/>
    <s v="Overhead"/>
    <x v="3"/>
    <d v="2017-03-13T00:00:00"/>
    <s v="Mar-17"/>
    <s v="Gilbert Cook TA"/>
    <n v="2213.9"/>
    <m/>
    <m/>
  </r>
  <r>
    <s v="PE"/>
    <s v="NBN Sydney"/>
    <s v="Payroll Expense Journal - PD-405"/>
    <x v="1"/>
    <s v="Overhead"/>
    <x v="3"/>
    <d v="2017-03-06T00:00:00"/>
    <s v="Mar-17"/>
    <s v="Earnings"/>
    <n v="6601.5925000000007"/>
    <m/>
    <m/>
  </r>
  <r>
    <s v="PE"/>
    <s v="NBN Sydney"/>
    <s v="Payroll Expense Journal - PD-405"/>
    <x v="5"/>
    <s v="NBN Greenfields DJC Internals"/>
    <x v="125"/>
    <d v="2017-03-06T00:00:00"/>
    <s v="Mar-17"/>
    <s v="Earnings  Greg Baylis"/>
    <n v="745.66"/>
    <m/>
    <m/>
  </r>
  <r>
    <s v="PE"/>
    <s v="NBN Sydney"/>
    <s v="Payroll Expense Journal - PD-405"/>
    <x v="5"/>
    <s v="NBN Greenfields DJC Internals"/>
    <x v="132"/>
    <d v="2017-03-06T00:00:00"/>
    <s v="Mar-17"/>
    <s v="Earnings  Greg Baylis"/>
    <n v="222.11"/>
    <m/>
    <m/>
  </r>
  <r>
    <s v="PE"/>
    <s v="NBN Sydney"/>
    <s v="Payroll Expense Journal - PD-405"/>
    <x v="5"/>
    <s v="NBN Greenfields DJC Internals"/>
    <x v="125"/>
    <d v="2017-03-06T00:00:00"/>
    <s v="Mar-17"/>
    <s v="Earnings  Greg Baylis"/>
    <n v="61.873500000000007"/>
    <m/>
    <m/>
  </r>
  <r>
    <s v="PE"/>
    <s v="NBN Sydney"/>
    <s v="Payroll Expense Journal - PD-405"/>
    <x v="5"/>
    <s v="NBN Minor Works DJC Internals"/>
    <x v="122"/>
    <d v="2017-03-06T00:00:00"/>
    <s v="Mar-17"/>
    <s v="Earnings  Greg Baylis"/>
    <n v="241.148"/>
    <m/>
    <m/>
  </r>
  <r>
    <s v="PE"/>
    <s v="NBN Sydney"/>
    <s v="Payroll Expense Journal - PD-405"/>
    <x v="5"/>
    <s v="NBN Greenfields DJC Internals"/>
    <x v="121"/>
    <d v="2017-03-06T00:00:00"/>
    <s v="Mar-17"/>
    <s v="Earnings  Greg Baylis"/>
    <n v="260.18599999999998"/>
    <m/>
    <m/>
  </r>
  <r>
    <s v="PE"/>
    <s v="NBN Sydney"/>
    <s v="Payroll Expense Journal - PD-405"/>
    <x v="5"/>
    <s v="NBN Greenfields DJC Internals"/>
    <x v="121"/>
    <d v="2017-03-06T00:00:00"/>
    <s v="Mar-17"/>
    <s v="Earning Karsten and Peter Jones"/>
    <n v="1844.69"/>
    <m/>
    <m/>
  </r>
  <r>
    <s v="PE"/>
    <s v="NBN Sydney"/>
    <s v="Payroll Expense Journal - PD-409"/>
    <x v="1"/>
    <s v="Overhead"/>
    <x v="3"/>
    <d v="2017-03-13T00:00:00"/>
    <s v="Mar-17"/>
    <s v="Earnings"/>
    <n v="4960.246500000002"/>
    <m/>
    <m/>
  </r>
  <r>
    <s v="PE"/>
    <s v="NBN Sydney"/>
    <s v="Payroll Expense Journal - PD-409"/>
    <x v="5"/>
    <s v="NBN Greenfields DJC Internals"/>
    <x v="121"/>
    <d v="2017-03-13T00:00:00"/>
    <s v="Mar-17"/>
    <s v="Earnings  Greg Baylis"/>
    <n v="190.38"/>
    <m/>
    <m/>
  </r>
  <r>
    <s v="PE"/>
    <s v="NBN Sydney"/>
    <s v="Payroll Expense Journal - PD-409"/>
    <x v="5"/>
    <s v="NBN Greenfields DJC Internals"/>
    <x v="131"/>
    <d v="2017-03-13T00:00:00"/>
    <s v="Mar-17"/>
    <s v="Earnings  Greg Baylis"/>
    <n v="93.603499999999997"/>
    <m/>
    <m/>
  </r>
  <r>
    <s v="PE"/>
    <s v="NBN Sydney"/>
    <s v="Payroll Expense Journal - PD-409"/>
    <x v="5"/>
    <s v="NBN Minor Works DJC Internals"/>
    <x v="69"/>
    <d v="2017-03-13T00:00:00"/>
    <s v="Mar-17"/>
    <s v="Earnings  Greg Baylis"/>
    <n v="361.72"/>
    <m/>
    <m/>
  </r>
  <r>
    <s v="PE"/>
    <s v="NBN Sydney"/>
    <s v="Payroll Expense Journal - PD-409"/>
    <x v="5"/>
    <s v="NBN Greenfields DJC Internals"/>
    <x v="126"/>
    <d v="2017-03-13T00:00:00"/>
    <s v="Mar-17"/>
    <s v="Earnings  Greg Baylis"/>
    <n v="379.17"/>
    <m/>
    <m/>
  </r>
  <r>
    <s v="PE"/>
    <s v="NBN Sydney"/>
    <s v="Payroll Expense Journal - PD-409"/>
    <x v="5"/>
    <s v="NBN Greenfields DJC Internals"/>
    <x v="128"/>
    <d v="2017-03-13T00:00:00"/>
    <s v="Mar-17"/>
    <s v="Earnings  Greg Baylis"/>
    <n v="1104.2"/>
    <m/>
    <m/>
  </r>
  <r>
    <s v="PE"/>
    <s v="NBN Sydney"/>
    <s v="Payroll Expense Journal - PD-409"/>
    <x v="5"/>
    <s v="NBN Greenfields DJC Internals"/>
    <x v="131"/>
    <d v="2017-03-13T00:00:00"/>
    <s v="Mar-17"/>
    <s v="Earning Karsten and Peter Jones"/>
    <n v="922.48"/>
    <m/>
    <m/>
  </r>
  <r>
    <s v="PE"/>
    <s v="NBN Sydney"/>
    <s v="Payroll Expense Journal - PD-409"/>
    <x v="5"/>
    <s v="NBN Greenfields DJC Internals"/>
    <x v="126"/>
    <d v="2017-03-13T00:00:00"/>
    <s v="Mar-17"/>
    <s v="Earning Karsten and Peter Jones"/>
    <n v="1083.22"/>
    <m/>
    <m/>
  </r>
  <r>
    <s v="PE"/>
    <s v="NBN Sydney"/>
    <s v="Payroll Expense Journal - PD-409"/>
    <x v="5"/>
    <s v="NBN Greenfields DJC Internals"/>
    <x v="128"/>
    <d v="2017-03-13T00:00:00"/>
    <s v="Mar-17"/>
    <s v="Earning Karsten and Peter Jones"/>
    <n v="2464.2399999999998"/>
    <m/>
    <m/>
  </r>
  <r>
    <s v="PE"/>
    <s v="NBN Sydney"/>
    <s v="Payroll Expense Journal - PD-411"/>
    <x v="1"/>
    <s v="Overhead"/>
    <x v="3"/>
    <d v="2017-03-20T00:00:00"/>
    <s v="Mar-17"/>
    <s v="Earnings"/>
    <n v="3778.2799999999984"/>
    <m/>
    <m/>
  </r>
  <r>
    <s v="PE"/>
    <s v="NBN Sydney"/>
    <s v="Payroll Expense Journal - PD-411"/>
    <x v="5"/>
    <s v="NBN Greenfields DJC Internals"/>
    <x v="140"/>
    <d v="2017-03-20T00:00:00"/>
    <s v="Mar-17"/>
    <s v="Earning Karsten and Peter Jones"/>
    <n v="1922.21"/>
    <m/>
    <m/>
  </r>
  <r>
    <s v="PE"/>
    <s v="NBN Sydney"/>
    <s v="Payroll Expense Journal - PD-411"/>
    <x v="5"/>
    <s v="NBN Greenfields DJC Internals"/>
    <x v="137"/>
    <d v="2017-03-20T00:00:00"/>
    <s v="Mar-17"/>
    <s v="Earning Karsten and Peter Jones"/>
    <n v="1024.28"/>
    <m/>
    <m/>
  </r>
  <r>
    <s v="PE"/>
    <s v="NBN Sydney"/>
    <s v="Payroll Expense Journal - PD-411"/>
    <x v="5"/>
    <s v="NBN Greenfields DJC Internals"/>
    <x v="139"/>
    <d v="2017-03-20T00:00:00"/>
    <s v="Mar-17"/>
    <s v="Earning Karsten and Peter Jones"/>
    <n v="1064.47"/>
    <m/>
    <m/>
  </r>
  <r>
    <s v="PE"/>
    <s v="NBN Sydney"/>
    <s v="Payroll Expense Journal - PD-411"/>
    <x v="5"/>
    <s v="NBN Greenfields DJC Internals"/>
    <x v="138"/>
    <d v="2017-03-20T00:00:00"/>
    <s v="Mar-17"/>
    <s v="Earning Karsten and Peter Jones"/>
    <n v="431.33"/>
    <m/>
    <m/>
  </r>
  <r>
    <s v="PE"/>
    <s v="NBN Sydney"/>
    <s v="Payroll Expense Journal - PD-411"/>
    <x v="5"/>
    <s v="NBN Greenfields DJC Internals"/>
    <x v="141"/>
    <d v="2017-03-20T00:00:00"/>
    <s v="Mar-17"/>
    <s v="Earning Karsten and Peter Jones"/>
    <n v="375.96"/>
    <m/>
    <m/>
  </r>
  <r>
    <s v="PE"/>
    <s v="NBN Sydney"/>
    <s v="Payroll Expense Journal - PD-411"/>
    <x v="5"/>
    <s v="NBN Greenfields DJC Internals"/>
    <x v="94"/>
    <d v="2017-03-20T00:00:00"/>
    <s v="Mar-17"/>
    <s v="Earning Karsten and Peter Jones"/>
    <n v="520.17999999999995"/>
    <m/>
    <m/>
  </r>
  <r>
    <s v="PE"/>
    <s v="NBN Sydney"/>
    <s v="Payroll Expense Journal - PD-411"/>
    <x v="5"/>
    <s v="NBN Minor Works DJC Internals"/>
    <x v="151"/>
    <d v="2017-03-20T00:00:00"/>
    <s v="Mar-17"/>
    <s v="Earnings  Greg Baylis"/>
    <n v="248.29"/>
    <m/>
    <m/>
  </r>
  <r>
    <s v="PE"/>
    <s v="NBN Sydney"/>
    <s v="Payroll Expense Journal - PD-411"/>
    <x v="5"/>
    <s v="DDA"/>
    <x v="147"/>
    <d v="2017-03-20T00:00:00"/>
    <s v="Mar-17"/>
    <s v="Earnings  Greg Baylis"/>
    <n v="176.89"/>
    <m/>
    <m/>
  </r>
  <r>
    <s v="PE"/>
    <s v="NBN Sydney"/>
    <s v="Payroll Expense Journal - PD-411"/>
    <x v="5"/>
    <s v="NBN Greenfields DJC Internals"/>
    <x v="96"/>
    <d v="2017-03-20T00:00:00"/>
    <s v="Mar-17"/>
    <s v="Earnings  Greg Baylis"/>
    <n v="418.84"/>
    <m/>
    <m/>
  </r>
  <r>
    <s v="PE"/>
    <s v="NBN Sydney"/>
    <s v="Payroll Expense Journal - PD-411"/>
    <x v="5"/>
    <s v="NBN Greenfields DJC Internals"/>
    <x v="140"/>
    <d v="2017-03-20T00:00:00"/>
    <s v="Mar-17"/>
    <s v="Earnings  Greg Baylis"/>
    <n v="524.34"/>
    <m/>
    <m/>
  </r>
  <r>
    <s v="PE"/>
    <s v="NBN Sydney"/>
    <s v="Payroll Expense Journal - PD-411"/>
    <x v="5"/>
    <s v="NBN Greenfields DJC Internals"/>
    <x v="138"/>
    <d v="2017-03-20T00:00:00"/>
    <s v="Mar-17"/>
    <s v="Earnings  Greg Baylis"/>
    <n v="260.19"/>
    <m/>
    <m/>
  </r>
  <r>
    <s v="PE"/>
    <s v="NBN Sydney"/>
    <s v="Payroll Expense Journal - PD-413"/>
    <x v="1"/>
    <s v="Overhead"/>
    <x v="3"/>
    <d v="2017-03-27T00:00:00"/>
    <s v="Mar-17"/>
    <s v="Earnings"/>
    <n v="4418.8600000000006"/>
    <m/>
    <m/>
  </r>
  <r>
    <s v="PE"/>
    <s v="NBN Sydney"/>
    <s v="Payroll Expense Journal - PD-413"/>
    <x v="5"/>
    <s v="NBN Greenfields DJC Internals"/>
    <x v="138"/>
    <d v="2017-03-27T00:00:00"/>
    <s v="Mar-17"/>
    <s v="Earnings  Greg Baylis"/>
    <n v="193.99"/>
    <m/>
    <m/>
  </r>
  <r>
    <s v="PE"/>
    <s v="NBN Sydney"/>
    <s v="Payroll Expense Journal - PD-413"/>
    <x v="5"/>
    <s v="NBN Greenfields DJC Internals"/>
    <x v="94"/>
    <d v="2017-03-27T00:00:00"/>
    <s v="Mar-17"/>
    <s v="Earnings  Greg Baylis"/>
    <n v="1246.49"/>
    <m/>
    <m/>
  </r>
  <r>
    <s v="PE"/>
    <s v="NBN Sydney"/>
    <s v="Payroll Expense Journal - PD-413"/>
    <x v="5"/>
    <s v="NBN Minor Works DJC Internals"/>
    <x v="149"/>
    <d v="2017-03-27T00:00:00"/>
    <s v="Mar-17"/>
    <s v="Earnings  Greg Baylis"/>
    <n v="579.38"/>
    <m/>
    <m/>
  </r>
  <r>
    <s v="PE"/>
    <s v="NBN Sydney"/>
    <s v="Payroll Expense Journal - PD-413"/>
    <x v="5"/>
    <s v="NBN Greenfields DJC Internals"/>
    <x v="137"/>
    <d v="2017-03-27T00:00:00"/>
    <s v="Mar-17"/>
    <s v="Earnings  Greg Baylis"/>
    <n v="719.05"/>
    <m/>
    <m/>
  </r>
  <r>
    <s v="PE"/>
    <s v="NBN Sydney"/>
    <s v="Payroll Expense Journal - PD-413"/>
    <x v="5"/>
    <s v="NBN Greenfields DJC Internals"/>
    <x v="141"/>
    <d v="2017-03-27T00:00:00"/>
    <s v="Mar-17"/>
    <s v="Earning Karsten and Peter Jones"/>
    <n v="1458.28"/>
    <m/>
    <m/>
  </r>
  <r>
    <s v="PE"/>
    <s v="NBN Sydney"/>
    <s v="Payroll Expense Journal - PD-413"/>
    <x v="5"/>
    <s v="NBN Greenfields DJC Internals"/>
    <x v="143"/>
    <d v="2017-03-27T00:00:00"/>
    <s v="Mar-17"/>
    <s v="Earning Karsten and Peter Jones"/>
    <n v="645.20000000000005"/>
    <m/>
    <m/>
  </r>
  <r>
    <s v="PE"/>
    <s v="NBN Sydney"/>
    <s v="Payroll Expense Journal - PD-413"/>
    <x v="5"/>
    <s v="NBN Greenfields DJC Internals"/>
    <x v="142"/>
    <d v="2017-03-27T00:00:00"/>
    <s v="Mar-17"/>
    <s v="Earning Karsten and Peter Jones"/>
    <n v="822.01"/>
    <m/>
    <m/>
  </r>
  <r>
    <s v="PE"/>
    <s v="NBN Sydney"/>
    <s v="Payroll Expense Journal - PD-413"/>
    <x v="5"/>
    <s v="NBN Greenfields DJC Internals"/>
    <x v="125"/>
    <d v="2017-03-27T00:00:00"/>
    <s v="Mar-17"/>
    <s v="Earning Karsten and Peter Jones"/>
    <n v="631.79999999999995"/>
    <m/>
    <m/>
  </r>
  <r>
    <s v="PE"/>
    <s v="NBN Sydney"/>
    <s v="Payroll Expense Journal - PD-413"/>
    <x v="1"/>
    <s v="Overhead"/>
    <x v="3"/>
    <d v="2017-03-27T00:00:00"/>
    <s v="Mar-17"/>
    <s v="Gilbert Cook Wages"/>
    <n v="3323.07"/>
    <m/>
    <m/>
  </r>
  <r>
    <s v="PE"/>
    <s v="NBN Sydney"/>
    <s v="Payroll Expense Journal - PD-411"/>
    <x v="1"/>
    <s v="Overhead"/>
    <x v="3"/>
    <d v="2017-03-20T00:00:00"/>
    <s v="Mar-17"/>
    <s v="Earnings Brendan Couper"/>
    <m/>
    <m/>
    <m/>
  </r>
  <r>
    <s v="PE"/>
    <s v="NBN Sydney"/>
    <s v="Payroll Expense Journal - PD-413"/>
    <x v="1"/>
    <s v="Overhead"/>
    <x v="3"/>
    <d v="2017-03-27T00:00:00"/>
    <s v="Mar-17"/>
    <s v="Earnings Brendan Couper"/>
    <m/>
    <m/>
    <m/>
  </r>
  <r>
    <s v="PE"/>
    <s v="NBN Sydney"/>
    <s v="Payroll Expense Journal - PD-405"/>
    <x v="1"/>
    <s v="Overhead"/>
    <x v="3"/>
    <d v="2017-03-06T00:00:00"/>
    <s v="Mar-17"/>
    <s v="Superannuation Expense"/>
    <n v="92.44"/>
    <m/>
    <m/>
  </r>
  <r>
    <s v="PE"/>
    <s v="NBN Sydney"/>
    <s v="Payroll Expense Journal - PD-409"/>
    <x v="1"/>
    <s v="Overhead"/>
    <x v="3"/>
    <d v="2017-03-13T00:00:00"/>
    <s v="Mar-17"/>
    <s v="Superannuation Expense"/>
    <n v="92.44"/>
    <m/>
    <m/>
  </r>
  <r>
    <s v="PE"/>
    <s v="NBN Sydney"/>
    <s v="Payroll Expense Journal - PD-411"/>
    <x v="1"/>
    <s v="Overhead"/>
    <x v="3"/>
    <d v="2017-03-20T00:00:00"/>
    <s v="Mar-17"/>
    <s v="Superannuation Expense"/>
    <n v="92.44"/>
    <m/>
    <m/>
  </r>
  <r>
    <s v="PE"/>
    <s v="NBN Sydney"/>
    <s v="Payroll Expense Journal - PD-413"/>
    <x v="1"/>
    <s v="Overhead"/>
    <x v="3"/>
    <d v="2017-03-27T00:00:00"/>
    <s v="Mar-17"/>
    <s v="Superannuation Expense"/>
    <n v="92.44"/>
    <m/>
    <m/>
  </r>
  <r>
    <s v="PE"/>
    <s v="NBN Sydney"/>
    <s v="Payroll Expense Journal - PD-413"/>
    <x v="1"/>
    <s v="Overhead"/>
    <x v="3"/>
    <d v="2017-03-27T00:00:00"/>
    <s v="Mar-17"/>
    <s v="Superannuation Expense RM &amp; AA"/>
    <n v="186.75"/>
    <m/>
    <m/>
  </r>
  <r>
    <s v="PE"/>
    <s v="NBN Sydney"/>
    <s v="Payroll Expense Journal - PD-405"/>
    <x v="1"/>
    <s v="Overhead"/>
    <x v="3"/>
    <d v="2017-03-06T00:00:00"/>
    <s v="Mar-17"/>
    <s v="Superannuation Expense"/>
    <n v="738.96"/>
    <m/>
    <m/>
  </r>
  <r>
    <s v="PE"/>
    <s v="NBN Sydney"/>
    <s v="Payroll Expense Journal - PD-405"/>
    <x v="5"/>
    <s v="NBN Greenfields DJC Internals"/>
    <x v="131"/>
    <d v="2017-03-06T00:00:00"/>
    <s v="Mar-17"/>
    <s v="Superannuation Expense KE"/>
    <n v="51.58"/>
    <m/>
    <m/>
  </r>
  <r>
    <s v="PE"/>
    <s v="NBN Sydney"/>
    <s v="Payroll Expense Journal - PD-405"/>
    <x v="5"/>
    <s v="NBN Greenfields DJC Internals"/>
    <x v="121"/>
    <d v="2017-03-06T00:00:00"/>
    <s v="Mar-17"/>
    <s v="Superannuation Expense GB"/>
    <n v="22.91"/>
    <m/>
    <m/>
  </r>
  <r>
    <s v="PE"/>
    <s v="NBN Sydney"/>
    <s v="Payroll Expense Journal - PD-405"/>
    <x v="5"/>
    <s v="NBN Greenfields DJC Internals"/>
    <x v="125"/>
    <d v="2017-03-06T00:00:00"/>
    <s v="Mar-17"/>
    <s v="Superannuation Expense GB"/>
    <n v="47.63"/>
    <m/>
    <m/>
  </r>
  <r>
    <s v="PE"/>
    <s v="NBN Sydney"/>
    <s v="Payroll Expense Journal - PD-405"/>
    <x v="5"/>
    <s v="NBN Greenfields DJC Internals"/>
    <x v="132"/>
    <d v="2017-03-06T00:00:00"/>
    <s v="Mar-17"/>
    <s v="Superannuation Expense GB"/>
    <n v="21.1"/>
    <m/>
    <m/>
  </r>
  <r>
    <s v="PE"/>
    <s v="NBN Sydney"/>
    <s v="Payroll Expense Journal - PD-405"/>
    <x v="5"/>
    <s v="NBN Minor Works DJC Internals"/>
    <x v="122"/>
    <d v="2017-03-06T00:00:00"/>
    <s v="Mar-17"/>
    <s v="Superannuation Expense GB"/>
    <n v="22.91"/>
    <m/>
    <m/>
  </r>
  <r>
    <s v="PE"/>
    <s v="NBN Sydney"/>
    <s v="Payroll Expense Journal - PD-409"/>
    <x v="1"/>
    <s v="Overhead"/>
    <x v="3"/>
    <d v="2017-03-13T00:00:00"/>
    <s v="Mar-17"/>
    <s v="Superannuation Expense"/>
    <n v="581.43999999999994"/>
    <m/>
    <m/>
  </r>
  <r>
    <s v="PE"/>
    <s v="NBN Sydney"/>
    <s v="Payroll Expense Journal - PD-409"/>
    <x v="5"/>
    <s v="NBN Greenfields DJC Internals"/>
    <x v="131"/>
    <d v="2017-03-13T00:00:00"/>
    <s v="Mar-17"/>
    <s v="Superannuation Expense KE"/>
    <n v="59.82"/>
    <m/>
    <m/>
  </r>
  <r>
    <s v="PE"/>
    <s v="NBN Sydney"/>
    <s v="Payroll Expense Journal - PD-409"/>
    <x v="5"/>
    <s v="NBN Greenfields DJC Internals"/>
    <x v="128"/>
    <d v="2017-03-13T00:00:00"/>
    <s v="Mar-17"/>
    <s v="Superannuation Expense KE"/>
    <n v="68.64"/>
    <m/>
    <m/>
  </r>
  <r>
    <s v="PE"/>
    <s v="NBN Sydney"/>
    <s v="Payroll Expense Journal - PD-409"/>
    <x v="5"/>
    <s v="NBN Greenfields DJC Internals"/>
    <x v="140"/>
    <d v="2017-03-13T00:00:00"/>
    <s v="Mar-17"/>
    <s v="Superannuation Expense KE"/>
    <n v="103.25"/>
    <m/>
    <m/>
  </r>
  <r>
    <s v="PE"/>
    <s v="NBN Sydney"/>
    <s v="Payroll Expense Journal - PD-409"/>
    <x v="5"/>
    <s v="NBN Greenfields DJC Internals"/>
    <x v="131"/>
    <d v="2017-03-13T00:00:00"/>
    <s v="Mar-17"/>
    <s v="Superannuation Expense GB"/>
    <n v="4.82"/>
    <m/>
    <m/>
  </r>
  <r>
    <s v="PE"/>
    <s v="NBN Sydney"/>
    <s v="Payroll Expense Journal - PD-409"/>
    <x v="5"/>
    <s v="NBN Minor Works DJC Internals"/>
    <x v="69"/>
    <d v="2017-03-13T00:00:00"/>
    <s v="Mar-17"/>
    <s v="Superannuation Expense GB"/>
    <n v="18.39"/>
    <m/>
    <m/>
  </r>
  <r>
    <s v="PE"/>
    <s v="NBN Sydney"/>
    <s v="Payroll Expense Journal - PD-409"/>
    <x v="5"/>
    <s v="NBN Greenfields DJC Internals"/>
    <x v="126"/>
    <d v="2017-03-13T00:00:00"/>
    <s v="Mar-17"/>
    <s v="Superannuation Expense GB"/>
    <n v="22.91"/>
    <m/>
    <m/>
  </r>
  <r>
    <s v="PE"/>
    <s v="NBN Sydney"/>
    <s v="Payroll Expense Journal - PD-409"/>
    <x v="5"/>
    <s v="NBN Greenfields DJC Internals"/>
    <x v="128"/>
    <d v="2017-03-13T00:00:00"/>
    <s v="Mar-17"/>
    <s v="Superannuation Expense GB"/>
    <n v="45.82"/>
    <m/>
    <m/>
  </r>
  <r>
    <s v="PE"/>
    <s v="NBN Sydney"/>
    <s v="Payroll Expense Journal - PD-411"/>
    <x v="1"/>
    <s v="Overhead"/>
    <x v="3"/>
    <d v="2017-03-20T00:00:00"/>
    <s v="Mar-17"/>
    <s v="Superannuation Expense"/>
    <n v="503.81999999999994"/>
    <m/>
    <m/>
  </r>
  <r>
    <s v="PE"/>
    <s v="NBN Sydney"/>
    <s v="Payroll Expense Journal - PD-411"/>
    <x v="5"/>
    <s v="NBN Greenfields DJC Internals"/>
    <x v="140"/>
    <d v="2017-03-20T00:00:00"/>
    <s v="Mar-17"/>
    <s v="Superannuation Expense KE"/>
    <n v="90.7"/>
    <m/>
    <m/>
  </r>
  <r>
    <s v="PE"/>
    <s v="NBN Sydney"/>
    <s v="Payroll Expense Journal - PD-411"/>
    <x v="5"/>
    <s v="NBN Greenfields DJC Internals"/>
    <x v="137"/>
    <d v="2017-03-20T00:00:00"/>
    <s v="Mar-17"/>
    <s v="Superannuation Expense KE"/>
    <n v="68.64"/>
    <m/>
    <m/>
  </r>
  <r>
    <s v="PE"/>
    <s v="NBN Sydney"/>
    <s v="Payroll Expense Journal - PD-411"/>
    <x v="5"/>
    <s v="NBN Greenfields DJC Internals"/>
    <x v="139"/>
    <d v="2017-03-20T00:00:00"/>
    <s v="Mar-17"/>
    <s v="Superannuation Expense KE"/>
    <n v="68.64"/>
    <m/>
    <m/>
  </r>
  <r>
    <s v="PE"/>
    <s v="NBN Sydney"/>
    <s v="Payroll Expense Journal - PD-411"/>
    <x v="5"/>
    <s v="NBN Greenfields DJC Internals"/>
    <x v="138"/>
    <d v="2017-03-20T00:00:00"/>
    <s v="Mar-17"/>
    <s v="Superannuation Expense KE"/>
    <n v="63.21"/>
    <m/>
    <m/>
  </r>
  <r>
    <s v="PE"/>
    <s v="NBN Sydney"/>
    <s v="Payroll Expense Journal - PD-411"/>
    <x v="5"/>
    <s v="NBN Greenfields DJC Internals"/>
    <x v="141"/>
    <d v="2017-03-20T00:00:00"/>
    <s v="Mar-17"/>
    <s v="Superannuation Expense KE"/>
    <n v="0.34"/>
    <m/>
    <m/>
  </r>
  <r>
    <s v="PE"/>
    <s v="NBN Sydney"/>
    <s v="Payroll Expense Journal - PD-411"/>
    <x v="5"/>
    <s v="NBN Greenfields DJC Internals"/>
    <x v="94"/>
    <d v="2017-03-20T00:00:00"/>
    <s v="Mar-17"/>
    <s v="Superannuation Expense KE"/>
    <n v="8.82"/>
    <m/>
    <m/>
  </r>
  <r>
    <s v="PE"/>
    <s v="NBN Sydney"/>
    <s v="Payroll Expense Journal - PD-411"/>
    <x v="5"/>
    <s v="NBN Minor Works DJC Internals"/>
    <x v="151"/>
    <d v="2017-03-20T00:00:00"/>
    <s v="Mar-17"/>
    <s v="Superannuation Expense GB"/>
    <n v="22.91"/>
    <m/>
    <m/>
  </r>
  <r>
    <s v="PE"/>
    <s v="NBN Sydney"/>
    <s v="Payroll Expense Journal - PD-411"/>
    <x v="5"/>
    <s v="NBN Greenfields DJC Internals"/>
    <x v="96"/>
    <d v="2017-03-20T00:00:00"/>
    <s v="Mar-17"/>
    <s v="Superannuation Expense GB"/>
    <n v="28.94"/>
    <m/>
    <m/>
  </r>
  <r>
    <s v="PE"/>
    <s v="NBN Sydney"/>
    <s v="Payroll Expense Journal - PD-411"/>
    <x v="5"/>
    <s v="NBN Greenfields DJC Internals"/>
    <x v="140"/>
    <d v="2017-03-20T00:00:00"/>
    <s v="Mar-17"/>
    <s v="Superannuation Expense GB"/>
    <n v="42.8"/>
    <m/>
    <m/>
  </r>
  <r>
    <s v="PE"/>
    <s v="NBN Sydney"/>
    <s v="Payroll Expense Journal - PD-411"/>
    <x v="5"/>
    <s v="NBN Greenfields DJC Internals"/>
    <x v="138"/>
    <d v="2017-03-20T00:00:00"/>
    <s v="Mar-17"/>
    <s v="Superannuation Expense GB"/>
    <n v="13.87"/>
    <m/>
    <m/>
  </r>
  <r>
    <s v="PE"/>
    <s v="NBN Sydney"/>
    <s v="Payroll Expense Journal - PD-413"/>
    <x v="1"/>
    <s v="Overhead"/>
    <x v="3"/>
    <d v="2017-03-27T00:00:00"/>
    <s v="Mar-17"/>
    <s v="Superannuation Expense"/>
    <n v="987.66"/>
    <m/>
    <m/>
  </r>
  <r>
    <s v="PE"/>
    <s v="NBN Sydney"/>
    <s v="Payroll Expense Journal - PD-413"/>
    <x v="5"/>
    <s v="NBN Greenfields DJC Internals"/>
    <x v="143"/>
    <d v="2017-03-27T00:00:00"/>
    <s v="Mar-17"/>
    <s v="Superannuation Expense KE"/>
    <n v="108.07"/>
    <m/>
    <m/>
  </r>
  <r>
    <s v="PE"/>
    <s v="NBN Sydney"/>
    <s v="Payroll Expense Journal - PD-413"/>
    <x v="5"/>
    <s v="NBN Greenfields DJC Internals"/>
    <x v="142"/>
    <d v="2017-03-27T00:00:00"/>
    <s v="Mar-17"/>
    <s v="Superannuation Expense KE"/>
    <n v="67.569999999999993"/>
    <m/>
    <m/>
  </r>
  <r>
    <s v="PE"/>
    <s v="NBN Sydney"/>
    <s v="Payroll Expense Journal - PD-413"/>
    <x v="5"/>
    <s v="NBN Greenfields DJC Internals"/>
    <x v="141"/>
    <d v="2017-03-27T00:00:00"/>
    <s v="Mar-17"/>
    <s v="Superannuation Expense KE"/>
    <n v="83.35"/>
    <m/>
    <m/>
  </r>
  <r>
    <s v="PE"/>
    <s v="NBN Sydney"/>
    <s v="Payroll Expense Journal - PD-413"/>
    <x v="5"/>
    <s v="NBN Greenfields DJC Internals"/>
    <x v="125"/>
    <d v="2017-03-27T00:00:00"/>
    <s v="Mar-17"/>
    <s v="Superannuation Expense KE"/>
    <n v="83.35"/>
    <m/>
    <m/>
  </r>
  <r>
    <s v="PE"/>
    <s v="NBN Sydney"/>
    <s v="Payroll Expense Journal - PD-413"/>
    <x v="5"/>
    <s v="NBN Greenfields DJC Internals"/>
    <x v="138"/>
    <d v="2017-03-27T00:00:00"/>
    <s v="Mar-17"/>
    <s v="Superannuation Expense GB"/>
    <n v="11.3"/>
    <m/>
    <m/>
  </r>
  <r>
    <s v="PE"/>
    <s v="NBN Sydney"/>
    <s v="Payroll Expense Journal - PD-413"/>
    <x v="5"/>
    <s v="NBN Greenfields DJC Internals"/>
    <x v="94"/>
    <d v="2017-03-27T00:00:00"/>
    <s v="Mar-17"/>
    <s v="Superannuation Expense GB"/>
    <n v="60.32"/>
    <m/>
    <m/>
  </r>
  <r>
    <s v="PE"/>
    <s v="NBN Sydney"/>
    <s v="Payroll Expense Journal - PD-413"/>
    <x v="5"/>
    <s v="NBN Minor Works DJC Internals"/>
    <x v="149"/>
    <d v="2017-03-27T00:00:00"/>
    <s v="Mar-17"/>
    <s v="Superannuation Expense GB"/>
    <n v="27.47"/>
    <m/>
    <m/>
  </r>
  <r>
    <s v="PE"/>
    <s v="NBN Sydney"/>
    <s v="Payroll Expense Journal - PD-413"/>
    <x v="5"/>
    <s v="NBN Greenfields DJC Internals"/>
    <x v="137"/>
    <d v="2017-03-27T00:00:00"/>
    <s v="Mar-17"/>
    <s v="Superannuation Expense GB"/>
    <n v="28.61"/>
    <m/>
    <m/>
  </r>
  <r>
    <s v="PE"/>
    <s v="NBN Sydney"/>
    <s v="Payroll Expense Journal - PD-413"/>
    <x v="1"/>
    <s v="Overhead"/>
    <x v="3"/>
    <d v="2017-03-27T00:00:00"/>
    <s v="Mar-17"/>
    <s v="Superannuation Expense Gilbert Cook"/>
    <n v="309.26"/>
    <m/>
    <m/>
  </r>
  <r>
    <s v="PE"/>
    <s v="NBN Sydney"/>
    <s v="Payroll Expense Journal - PD-405"/>
    <x v="1"/>
    <s v="Overhead"/>
    <x v="3"/>
    <d v="2017-03-06T00:00:00"/>
    <s v="Mar-17"/>
    <s v="Earnings telephone allowance"/>
    <n v="23.08"/>
    <m/>
    <m/>
  </r>
  <r>
    <s v="PE"/>
    <s v="NBN Sydney"/>
    <s v="Payroll Expense Journal - PD-409"/>
    <x v="1"/>
    <s v="Overhead"/>
    <x v="3"/>
    <d v="2017-03-13T00:00:00"/>
    <s v="Mar-17"/>
    <s v="Earnings telephone allowance"/>
    <n v="23.08"/>
    <m/>
    <m/>
  </r>
  <r>
    <s v="PE"/>
    <s v="NBN Sydney"/>
    <s v="Payroll Expense Journal - PD-411"/>
    <x v="1"/>
    <s v="Overhead"/>
    <x v="3"/>
    <d v="2017-03-20T00:00:00"/>
    <s v="Mar-17"/>
    <s v="Earnings telephone allowance"/>
    <n v="23.08"/>
    <m/>
    <m/>
  </r>
  <r>
    <s v="PE"/>
    <s v="NBN Sydney"/>
    <s v="Payroll Expense Journal - PD-413"/>
    <x v="1"/>
    <s v="Overhead"/>
    <x v="3"/>
    <d v="2017-03-27T00:00:00"/>
    <s v="Mar-17"/>
    <s v="Earnings telephone allowance"/>
    <n v="23.08"/>
    <m/>
    <m/>
  </r>
  <r>
    <s v="PE"/>
    <s v="NBN Sydney"/>
    <s v="Payroll Expense Journal - PD-413"/>
    <x v="1"/>
    <s v="Overhead"/>
    <x v="3"/>
    <d v="2017-03-27T00:00:00"/>
    <s v="Mar-17"/>
    <s v="telephone allowance RM &amp; AA"/>
    <n v="20"/>
    <m/>
    <m/>
  </r>
  <r>
    <s v="PE"/>
    <s v="NBN Sydney"/>
    <s v="Payroll Expense Journal - PD-405"/>
    <x v="1"/>
    <s v="Overhead"/>
    <x v="3"/>
    <d v="2017-03-06T00:00:00"/>
    <s v="Mar-17"/>
    <s v="Earnings Sonya Tarr"/>
    <n v="959.38"/>
    <m/>
    <m/>
  </r>
  <r>
    <s v="PE"/>
    <s v="NBN Sydney"/>
    <s v="Payroll Expense Journal - PD-409"/>
    <x v="1"/>
    <s v="Overhead"/>
    <x v="3"/>
    <d v="2017-03-13T00:00:00"/>
    <s v="Mar-17"/>
    <s v="Earnings Sonya Tarr"/>
    <n v="1015.13"/>
    <m/>
    <m/>
  </r>
  <r>
    <s v="PE"/>
    <s v="NBN Sydney"/>
    <s v="Payroll Expense Journal - PD-411"/>
    <x v="1"/>
    <s v="Overhead"/>
    <x v="3"/>
    <d v="2017-03-20T00:00:00"/>
    <s v="Mar-17"/>
    <s v="Earnings Sonya Tarr"/>
    <n v="1000.62"/>
    <m/>
    <m/>
  </r>
  <r>
    <s v="PE"/>
    <s v="NBN Sydney"/>
    <s v="Payroll Expense Journal - PD-413"/>
    <x v="1"/>
    <s v="Overhead"/>
    <x v="3"/>
    <d v="2017-03-27T00:00:00"/>
    <s v="Mar-17"/>
    <s v="Earnings Sonya Tarr"/>
    <n v="959.38"/>
    <m/>
    <m/>
  </r>
  <r>
    <s v="PE"/>
    <s v="NBN Sydney"/>
    <s v="Payroll Expense Journal - PD-413"/>
    <x v="1"/>
    <s v="Overhead"/>
    <x v="3"/>
    <d v="2017-03-27T00:00:00"/>
    <s v="Mar-17"/>
    <s v="Earnings RM &amp; AA"/>
    <n v="2200.6799999999998"/>
    <m/>
    <m/>
  </r>
  <r>
    <s v="INV"/>
    <s v="NBN Sydney"/>
    <s v="E-Toll March 2017"/>
    <x v="1"/>
    <s v="Overhead"/>
    <x v="3"/>
    <d v="2017-03-02T00:00:00"/>
    <s v="Mar-17"/>
    <s v="E-Toll Business Operations Centre - Surcharge on Top- up account per transaction"/>
    <n v="0.4"/>
    <m/>
    <m/>
  </r>
  <r>
    <s v="INV"/>
    <s v="NBN Sydney"/>
    <s v="E-toll top up March 2017"/>
    <x v="1"/>
    <s v="Overhead"/>
    <x v="3"/>
    <d v="2017-03-08T00:00:00"/>
    <s v="Mar-17"/>
    <s v="E-Toll Business Operations Centre - Surcharge on Top- up account per transaction"/>
    <n v="0.4"/>
    <m/>
    <m/>
  </r>
  <r>
    <s v="INV"/>
    <s v="NBN Sydney"/>
    <s v="E-toll Top up "/>
    <x v="1"/>
    <s v="Overhead"/>
    <x v="3"/>
    <d v="2017-03-15T00:00:00"/>
    <s v="Mar-17"/>
    <s v="E-Toll Business Operations Centre - Surcharge on Top- up account per transaction"/>
    <n v="1.6"/>
    <m/>
    <m/>
  </r>
  <r>
    <s v="INV"/>
    <s v="NBN Sydney"/>
    <s v="120425"/>
    <x v="1"/>
    <s v="Overhead"/>
    <x v="3"/>
    <d v="2017-03-01T00:00:00"/>
    <s v="Mar-17"/>
    <s v="Easdowns Business Specialists - Monthly Instalment per 2017 Service Agreement"/>
    <n v="451.36"/>
    <m/>
    <m/>
  </r>
  <r>
    <s v="INV"/>
    <s v="NBN Sydney"/>
    <s v="NBN CO Bank Guarantee"/>
    <x v="1"/>
    <s v="Overhead"/>
    <x v="3"/>
    <d v="2017-03-30T00:00:00"/>
    <s v="Mar-17"/>
    <s v="National Australia Bank - Bank Guarantees"/>
    <n v="125"/>
    <m/>
    <m/>
  </r>
  <r>
    <s v="INV"/>
    <s v="NBN Sydney"/>
    <s v="7016/00134444"/>
    <x v="1"/>
    <s v="Overhead"/>
    <x v="3"/>
    <d v="2017-03-03T00:00:00"/>
    <s v="Mar-17"/>
    <s v="Bunnings Warehouse - BBQ Acc Utensils BBQ Buddy Spatula BSpat"/>
    <n v="7.72"/>
    <m/>
    <m/>
  </r>
  <r>
    <s v="INV"/>
    <s v="NBN Sydney"/>
    <s v="7016/00134444"/>
    <x v="1"/>
    <s v="Overhead"/>
    <x v="3"/>
    <d v="2017-03-03T00:00:00"/>
    <s v="Mar-17"/>
    <s v="Bunnings Warehouse - BBQ Acc Utensils BBQ Buddy Long Tongs Locking BBTongl"/>
    <n v="4.9800000000000004"/>
    <m/>
    <m/>
  </r>
  <r>
    <s v="INV"/>
    <s v="NBN Sydney"/>
    <s v="7016/00134444"/>
    <x v="1"/>
    <s v="Overhead"/>
    <x v="3"/>
    <d v="2017-03-03T00:00:00"/>
    <s v="Mar-17"/>
    <s v="Bunnings Warehouse - BBQ 2 Bnr Flat Jumbuck Black Legs HS-GG007JB"/>
    <n v="89.09"/>
    <m/>
    <m/>
  </r>
  <r>
    <s v="INV"/>
    <s v="NBN Sydney"/>
    <s v="7016/00134444"/>
    <x v="1"/>
    <s v="Overhead"/>
    <x v="3"/>
    <d v="2017-03-03T00:00:00"/>
    <s v="Mar-17"/>
    <s v="Bunnings Warehouse - Wipes BBQ Buddy 12pk BBWipe"/>
    <n v="4.5"/>
    <m/>
    <m/>
  </r>
  <r>
    <s v="INV"/>
    <s v="NBN Sydney"/>
    <s v="9079236001715760"/>
    <x v="1"/>
    <s v="Overhead"/>
    <x v="3"/>
    <d v="2017-03-07T00:00:00"/>
    <s v="Mar-17"/>
    <s v="Officeworks Superstores - Staedler Whiteboard Marker Bk"/>
    <n v="3.3"/>
    <m/>
    <m/>
  </r>
  <r>
    <s v="INV"/>
    <s v="NBN Sydney"/>
    <s v="9079236001715760"/>
    <x v="1"/>
    <s v="Overhead"/>
    <x v="3"/>
    <d v="2017-03-07T00:00:00"/>
    <s v="Mar-17"/>
    <s v="Officeworks Superstores - Pk4 JBurrows Highlighters Ast"/>
    <n v="3.62"/>
    <m/>
    <m/>
  </r>
  <r>
    <s v="INV"/>
    <s v="NBN Sydney"/>
    <s v="9080236001506480"/>
    <x v="1"/>
    <s v="Overhead"/>
    <x v="3"/>
    <d v="2017-03-15T00:00:00"/>
    <s v="Mar-17"/>
    <s v="Officeworks Superstores - D/Book Refillable 20pkt A4 Bk"/>
    <n v="4.01"/>
    <m/>
    <m/>
  </r>
  <r>
    <s v="INV"/>
    <s v="NBN Sydney"/>
    <s v="6494918067"/>
    <x v="1"/>
    <s v="Overhead"/>
    <x v="3"/>
    <d v="2017-03-16T00:00:00"/>
    <s v="Mar-17"/>
    <s v="Microsoft Pty Ltd - Upgrade to Windows 10 Pro"/>
    <n v="135.44999999999999"/>
    <m/>
    <m/>
  </r>
  <r>
    <s v="INV"/>
    <s v="NBN Sydney"/>
    <s v="908023600606945"/>
    <x v="1"/>
    <s v="Overhead"/>
    <x v="3"/>
    <d v="2017-03-16T00:00:00"/>
    <s v="Mar-17"/>
    <s v="Officeworks Superstores - Insert Binder A4 2D 25mm Be"/>
    <n v="9.4600000000000009"/>
    <m/>
    <m/>
  </r>
  <r>
    <s v="INV"/>
    <s v="NBN Sydney"/>
    <s v="908023600606945"/>
    <x v="1"/>
    <s v="Overhead"/>
    <x v="3"/>
    <d v="2017-03-16T00:00:00"/>
    <s v="Mar-17"/>
    <s v="Officeworks Superstores - Ctn Reflex cpy ppr 80GSM A4"/>
    <n v="22.68"/>
    <m/>
    <m/>
  </r>
  <r>
    <s v="INV"/>
    <s v="NBN Sydney"/>
    <s v="9080236001673991"/>
    <x v="1"/>
    <s v="Overhead"/>
    <x v="3"/>
    <d v="2017-03-17T00:00:00"/>
    <s v="Mar-17"/>
    <s v="Officeworks Superstores - Acer KA220H 21 5in Monitor"/>
    <n v="135.44999999999999"/>
    <m/>
    <m/>
  </r>
  <r>
    <s v="INV"/>
    <s v="NBN Sydney"/>
    <s v="9080236001673991"/>
    <x v="1"/>
    <s v="Overhead"/>
    <x v="3"/>
    <d v="2017-03-17T00:00:00"/>
    <s v="Mar-17"/>
    <s v="Officeworks Superstores - MS Office Home 5DVC 2016 Posa_x000d__x000a_Serial: 93376940313716298745510001580044_x000d__x000a_Ref: EP0130014000294798"/>
    <n v="87.27"/>
    <m/>
    <m/>
  </r>
  <r>
    <s v="INV"/>
    <s v="NBN Sydney"/>
    <s v="01/015598"/>
    <x v="5"/>
    <s v="NBN Minor Works DJC Internals"/>
    <x v="152"/>
    <d v="2017-03-09T00:00:00"/>
    <s v="Mar-17"/>
    <s v="Australia Post - DOM Regpost env-sml"/>
    <n v="4.45"/>
    <m/>
    <m/>
  </r>
  <r>
    <s v="INV"/>
    <s v="NBN Sydney"/>
    <s v="00/16381"/>
    <x v="5"/>
    <s v="NBN Minor Works DJC Internals"/>
    <x v="152"/>
    <d v="2017-03-20T00:00:00"/>
    <s v="Mar-17"/>
    <s v="Australia Post - 4.90 Sale"/>
    <n v="4.45"/>
    <m/>
    <m/>
  </r>
  <r>
    <s v="INV"/>
    <s v="NBN Sydney"/>
    <s v="797059288"/>
    <x v="1"/>
    <s v="Overhead"/>
    <x v="3"/>
    <d v="2017-03-16T00:00:00"/>
    <s v="Mar-17"/>
    <s v="Optus - Acct Number: 8106 5990 7001 41_x000d__x000a_0413257544 on Wireless Broadband 200GB"/>
    <n v="74.72"/>
    <m/>
    <m/>
  </r>
  <r>
    <s v="INV"/>
    <s v="NBN Sydney"/>
    <s v="P 653 503 431-8"/>
    <x v="1"/>
    <s v="Overhead"/>
    <x v="3"/>
    <d v="2017-03-21T00:00:00"/>
    <s v="Mar-17"/>
    <s v="Telstra Acc # 898 8808 200 - Sydney"/>
    <n v="136.36000000000001"/>
    <m/>
    <m/>
  </r>
  <r>
    <s v="INV"/>
    <s v="NBN Sydney"/>
    <s v="1248399"/>
    <x v="5"/>
    <s v="NBN Greenfields DJC Internals"/>
    <x v="126"/>
    <d v="2017-03-03T00:00:00"/>
    <s v="Mar-17"/>
    <s v="Eureka Operations - Coles Express - ULP 16.80L 1.429"/>
    <n v="21.83"/>
    <m/>
    <m/>
  </r>
  <r>
    <s v="INV"/>
    <s v="NBN Sydney"/>
    <s v="407292827-57"/>
    <x v="1"/>
    <s v="Overhead"/>
    <x v="3"/>
    <d v="2017-03-27T00:00:00"/>
    <s v="Mar-17"/>
    <s v="JB Hi-Fi Mt Druitt - Uniden UH510-2_x000d__x000a_843547"/>
    <n v="172.73"/>
    <m/>
    <m/>
  </r>
  <r>
    <s v="INV"/>
    <s v="NBN Sydney"/>
    <s v="3798887819"/>
    <x v="1"/>
    <s v="Overhead"/>
    <x v="3"/>
    <d v="2017-03-29T00:00:00"/>
    <s v="Mar-17"/>
    <s v="Energy Australia - Electricity from 14 Dec 2016 to 20 Mar 2017"/>
    <n v="417.5"/>
    <m/>
    <m/>
  </r>
  <r>
    <s v="INV"/>
    <s v="NBN Sydney"/>
    <s v="95813"/>
    <x v="1"/>
    <s v="Overhead"/>
    <x v="3"/>
    <d v="2017-03-02T00:00:00"/>
    <s v="Mar-17"/>
    <s v="Carpet Concepts Pty Ltd - Laneway_x000d__x000a_Blonde Rustic 2507_x000d__x000a_Office &amp; Kitchen Area"/>
    <n v="2454.5500000000002"/>
    <m/>
    <m/>
  </r>
  <r>
    <s v="INV"/>
    <s v="NBN Sydney"/>
    <s v="7016/00134447"/>
    <x v="1"/>
    <s v="Overhead"/>
    <x v="3"/>
    <d v="2017-03-03T00:00:00"/>
    <s v="Mar-17"/>
    <s v="Bunnings Warehouse - Workbench Garage Romak 900x1500x540 Blk P/C WBHD003"/>
    <n v="95"/>
    <m/>
    <m/>
  </r>
  <r>
    <s v="INV"/>
    <s v="NBN Sydney"/>
    <s v="2273457"/>
    <x v="1"/>
    <s v="Overhead"/>
    <x v="3"/>
    <d v="2017-03-07T00:00:00"/>
    <s v="Mar-17"/>
    <s v="7 Eleven Minchinbury - 8.5kg Gas Sale"/>
    <n v="76.36"/>
    <m/>
    <m/>
  </r>
  <r>
    <s v="INV"/>
    <s v="NBN Sydney"/>
    <s v="013-78380-7214"/>
    <x v="1"/>
    <s v="Overhead"/>
    <x v="3"/>
    <d v="2017-03-13T00:00:00"/>
    <s v="Mar-17"/>
    <s v="Bunnings Warehouse - Film Polythene Roll Grunt 4mx200umx10m Blk GRBF0049"/>
    <n v="45.45"/>
    <m/>
    <m/>
  </r>
  <r>
    <s v="INV"/>
    <s v="NBN Sydney"/>
    <s v="3071583"/>
    <x v="1"/>
    <s v="Overhead"/>
    <x v="3"/>
    <d v="2017-03-21T00:00:00"/>
    <s v="Mar-17"/>
    <s v="The Australian Reinforcing Company - Bulk Bags 90x90x90 with logo"/>
    <n v="9.7200000000000006"/>
    <m/>
    <m/>
  </r>
  <r>
    <s v="INV"/>
    <s v="NBN Sydney"/>
    <s v="3071582"/>
    <x v="1"/>
    <s v="Overhead"/>
    <x v="3"/>
    <d v="2017-03-21T00:00:00"/>
    <s v="Mar-17"/>
    <s v="The Australian Reinforcing Company - Bulk Bags 90x90x60 with Logo"/>
    <n v="8.5"/>
    <m/>
    <m/>
  </r>
  <r>
    <s v="INV"/>
    <s v="NBN Sydney"/>
    <s v="1945361"/>
    <x v="1"/>
    <s v="Overhead"/>
    <x v="3"/>
    <d v="2017-03-23T00:00:00"/>
    <s v="Mar-17"/>
    <s v="RP Data Pty Ltd - RP Data Professional Basic Subscription"/>
    <n v="1800"/>
    <m/>
    <m/>
  </r>
  <r>
    <s v="INV"/>
    <s v="NBN Sydney"/>
    <s v="11868816"/>
    <x v="1"/>
    <s v="Overhead"/>
    <x v="3"/>
    <d v="2017-03-31T00:00:00"/>
    <s v="Mar-17"/>
    <s v="Cleanaway - 21/03/2017_x000d__x000a_1 x Clear 1.5m Recycle Bin"/>
    <n v="11.57"/>
    <m/>
    <m/>
  </r>
  <r>
    <s v="INV"/>
    <s v="NBN Sydney"/>
    <s v="11868816"/>
    <x v="1"/>
    <s v="Overhead"/>
    <x v="3"/>
    <d v="2017-03-31T00:00:00"/>
    <s v="Mar-17"/>
    <s v="Cleanaway - 30/03/2017_x000d__x000a_1 x Clear 1.5m Recycle Bin"/>
    <n v="11.57"/>
    <m/>
    <m/>
  </r>
  <r>
    <s v="INV"/>
    <s v="NBN Sydney"/>
    <s v="11868816"/>
    <x v="1"/>
    <s v="Overhead"/>
    <x v="3"/>
    <d v="2017-03-31T00:00:00"/>
    <s v="Mar-17"/>
    <s v="Cleanaway - 31/03/2017_x000d__x000a_1 x Environmental Fee"/>
    <n v="10"/>
    <m/>
    <m/>
  </r>
  <r>
    <s v="INV"/>
    <s v="NBN Sydney"/>
    <s v="11868816"/>
    <x v="1"/>
    <s v="Overhead"/>
    <x v="3"/>
    <d v="2017-03-31T00:00:00"/>
    <s v="Mar-17"/>
    <s v="Cleanaway - 2/03/2017_x000d__x000a_1 x Clear 1.5m Recycle Bin"/>
    <n v="11.57"/>
    <m/>
    <m/>
  </r>
  <r>
    <s v="INV"/>
    <s v="NBN Sydney"/>
    <s v="11868816"/>
    <x v="1"/>
    <s v="Overhead"/>
    <x v="3"/>
    <d v="2017-03-31T00:00:00"/>
    <s v="Mar-17"/>
    <s v="Cleanaway - 7/03/2017_x000d__x000a_1 x Clear 1.5m Bin"/>
    <n v="83.8"/>
    <m/>
    <m/>
  </r>
  <r>
    <s v="INV"/>
    <s v="NBN Sydney"/>
    <s v="11868816"/>
    <x v="1"/>
    <s v="Overhead"/>
    <x v="3"/>
    <d v="2017-03-31T00:00:00"/>
    <s v="Mar-17"/>
    <s v="Cleanaway - 21/03/2017_x000d__x000a_1 x Clear 1.5m Bin"/>
    <n v="83.8"/>
    <m/>
    <m/>
  </r>
  <r>
    <s v="INV"/>
    <s v="NBN Sydney"/>
    <s v="0005"/>
    <x v="1"/>
    <s v="Overhead"/>
    <x v="3"/>
    <d v="2017-03-01T00:00:00"/>
    <s v="Mar-17"/>
    <s v="GILCIN - Rent 18/03/2017-18/04/2017_x000d__x000a_Unit 26, 23 John Hines Ave, Minchinbury"/>
    <n v="4416.66"/>
    <m/>
    <m/>
  </r>
  <r>
    <s v="INV"/>
    <s v="NBN Sydney"/>
    <s v="00081700"/>
    <x v="1"/>
    <s v="Overhead"/>
    <x v="3"/>
    <d v="2017-03-23T00:00:00"/>
    <s v="Mar-17"/>
    <s v="Tranquil Natural Spring Water - 15L SW BPA Free_x000d__x000a_15Litre Spring Water Bottles Delivered on 22/3/17"/>
    <n v="52.5"/>
    <m/>
    <m/>
  </r>
  <r>
    <s v="INV"/>
    <s v="NBN Sydney"/>
    <s v="2047591"/>
    <x v="1"/>
    <s v="Overhead"/>
    <x v="3"/>
    <d v="2017-03-28T00:00:00"/>
    <s v="Mar-17"/>
    <s v="BP Express Albion Park - Coolridgespring750mL"/>
    <n v="6.4"/>
    <m/>
    <m/>
  </r>
  <r>
    <s v="INV"/>
    <s v="NBN Sydney"/>
    <s v="79739"/>
    <x v="1"/>
    <s v="Overhead"/>
    <x v="3"/>
    <d v="2017-03-14T00:00:00"/>
    <s v="Mar-17"/>
    <s v="BP Eastern Creek - Diesel 164.28L 1.295, Gilbert Cook"/>
    <n v="193.4"/>
    <m/>
    <m/>
  </r>
  <r>
    <s v="INV"/>
    <s v="NBN Sydney"/>
    <s v="21891"/>
    <x v="5"/>
    <s v="NBN Greenfields DJC Internals"/>
    <x v="128"/>
    <d v="2017-03-15T00:00:00"/>
    <s v="Mar-17"/>
    <s v="South West Fuel - Diesel 59.62L 1.289 Alex Crawford"/>
    <n v="69.86"/>
    <m/>
    <m/>
  </r>
  <r>
    <s v="INV"/>
    <s v="NBN Sydney"/>
    <s v="06422"/>
    <x v="5"/>
    <s v="NBN Minor Works DJC Internals"/>
    <x v="122"/>
    <d v="2017-03-02T00:00:00"/>
    <s v="Mar-17"/>
    <s v="Woolworths Petrol - ULP 38.74L 1.429      GB"/>
    <n v="50.33"/>
    <m/>
    <m/>
  </r>
  <r>
    <s v="INV"/>
    <s v="NBN Sydney"/>
    <s v="56165"/>
    <x v="5"/>
    <s v="NBN Greenfields DJC Internals"/>
    <x v="121"/>
    <d v="2017-03-03T00:00:00"/>
    <s v="Mar-17"/>
    <s v="BP Picton - ULP 44.14L 1.329"/>
    <n v="26.664999999999999"/>
    <m/>
    <m/>
  </r>
  <r>
    <s v="INV"/>
    <s v="NBN Sydney"/>
    <s v="56165"/>
    <x v="5"/>
    <s v="NBN Greenfields DJC Internals"/>
    <x v="131"/>
    <d v="2017-03-03T00:00:00"/>
    <s v="Mar-17"/>
    <s v="BP Picton - ULP 44.14L 1.329"/>
    <n v="26.664999999999999"/>
    <m/>
    <m/>
  </r>
  <r>
    <s v="INV"/>
    <s v="NBN Sydney"/>
    <s v="1471720"/>
    <x v="5"/>
    <s v="NBN Greenfields DJC Internals"/>
    <x v="126"/>
    <d v="2017-03-07T00:00:00"/>
    <s v="Mar-17"/>
    <s v="7 Eleven Drummoyne - ULP E10 41.17L 1.349"/>
    <n v="50.48"/>
    <m/>
    <m/>
  </r>
  <r>
    <s v="INV"/>
    <s v="NBN Sydney"/>
    <s v="2608079"/>
    <x v="5"/>
    <s v="NBN Greenfields DJC Internals"/>
    <x v="128"/>
    <d v="2017-03-08T00:00:00"/>
    <s v="Mar-17"/>
    <s v="7 Eleven Burwood - ULP E10 40.38L 1.249"/>
    <n v="45.85"/>
    <m/>
    <m/>
  </r>
  <r>
    <s v="INV"/>
    <s v="NBN Sydney"/>
    <s v="187697"/>
    <x v="5"/>
    <s v="NBN Greenfields DJC Internals"/>
    <x v="128"/>
    <d v="2017-03-10T00:00:00"/>
    <s v="Mar-17"/>
    <s v="BP Summer St - ULP 50.08L 1.379"/>
    <n v="62.78"/>
    <m/>
    <m/>
  </r>
  <r>
    <s v="INV"/>
    <s v="NBN Sydney"/>
    <s v="4155850"/>
    <x v="5"/>
    <s v="NBN Minor Works DJC Internals"/>
    <x v="151"/>
    <d v="2017-03-13T00:00:00"/>
    <s v="Mar-17"/>
    <s v="BP Connect Runway - ULP 38.55L 1.339"/>
    <n v="9.3859999999999992"/>
    <m/>
    <m/>
  </r>
  <r>
    <s v="INV"/>
    <s v="NBN Sydney"/>
    <s v="4155851"/>
    <x v="5"/>
    <s v="DDA"/>
    <x v="147"/>
    <d v="2017-03-13T00:00:00"/>
    <s v="Mar-17"/>
    <s v="BP Connect Runway - ULP 38.55L 1.339"/>
    <n v="9.3859999999999992"/>
    <m/>
    <m/>
  </r>
  <r>
    <s v="INV"/>
    <s v="NBN Sydney"/>
    <s v="4155852"/>
    <x v="5"/>
    <s v="NBN Greenfields DJC Internals"/>
    <x v="96"/>
    <d v="2017-03-13T00:00:00"/>
    <s v="Mar-17"/>
    <s v="BP Connect Runway - ULP 38.55L 1.339"/>
    <n v="9.3859999999999992"/>
    <m/>
    <m/>
  </r>
  <r>
    <s v="INV"/>
    <s v="NBN Sydney"/>
    <s v="4155853"/>
    <x v="5"/>
    <s v="NBN Greenfields DJC Internals"/>
    <x v="96"/>
    <d v="2017-03-13T00:00:00"/>
    <s v="Mar-17"/>
    <s v="BP Connect Runway - ULP 38.55L 1.339"/>
    <n v="9.3859999999999992"/>
    <m/>
    <m/>
  </r>
  <r>
    <s v="INV"/>
    <s v="NBN Sydney"/>
    <s v="4155854"/>
    <x v="5"/>
    <s v="NBN Greenfields DJC Internals"/>
    <x v="140"/>
    <d v="2017-03-13T00:00:00"/>
    <s v="Mar-17"/>
    <s v="BP Connect Runway - ULP 38.55L 1.339"/>
    <n v="9.3859999999999992"/>
    <m/>
    <m/>
  </r>
  <r>
    <s v="INV"/>
    <s v="NBN Sydney"/>
    <s v="002/1138"/>
    <x v="5"/>
    <s v="NBN Greenfields DJC Internals"/>
    <x v="140"/>
    <d v="2017-03-16T00:00:00"/>
    <s v="Mar-17"/>
    <s v="Woolworths Petrol - E10 ULP 41.56L 1.149"/>
    <n v="21.704999999999998"/>
    <m/>
    <m/>
  </r>
  <r>
    <s v="INV"/>
    <s v="NBN Sydney"/>
    <s v="002/1138"/>
    <x v="5"/>
    <s v="NBN Greenfields DJC Internals"/>
    <x v="138"/>
    <d v="2017-03-16T00:00:00"/>
    <s v="Mar-17"/>
    <s v="Woolworths Petrol - E10 ULP 41.56L 1.149"/>
    <n v="21.704999999999998"/>
    <m/>
    <m/>
  </r>
  <r>
    <s v="INV"/>
    <s v="NBN Sydney"/>
    <s v="66484"/>
    <x v="5"/>
    <s v="NBN Greenfields DJC Internals"/>
    <x v="138"/>
    <d v="2017-03-20T00:00:00"/>
    <s v="Mar-17"/>
    <s v="Caltex Eastern Creek - Vortex ULP 40.53L 1.299"/>
    <n v="23.93"/>
    <m/>
    <m/>
  </r>
  <r>
    <s v="INV"/>
    <s v="NBN Sydney"/>
    <s v="66484"/>
    <x v="5"/>
    <s v="NBN Greenfields DJC Internals"/>
    <x v="94"/>
    <d v="2017-03-20T00:00:00"/>
    <s v="Mar-17"/>
    <s v="Caltex Eastern Creek - Vortex ULP 40.53L 1.299"/>
    <n v="23.93"/>
    <m/>
    <m/>
  </r>
  <r>
    <s v="INV"/>
    <s v="NBN Sydney"/>
    <s v="2627944"/>
    <x v="5"/>
    <s v="NBN Greenfields DJC Internals"/>
    <x v="94"/>
    <d v="2017-03-22T00:00:00"/>
    <s v="Mar-17"/>
    <s v="7 Eleven Burwood - Premium ULP 21.79L 1.269"/>
    <n v="25.14"/>
    <m/>
    <m/>
  </r>
  <r>
    <s v="INV"/>
    <s v="NBN Sydney"/>
    <s v="106238"/>
    <x v="5"/>
    <s v="NBN Minor Works DJC Internals"/>
    <x v="149"/>
    <d v="2017-03-22T00:00:00"/>
    <s v="Mar-17"/>
    <s v="BP Chatsworth - PULP 40.76L @ 1.289/L "/>
    <n v="47.76"/>
    <m/>
    <m/>
  </r>
  <r>
    <s v="INV"/>
    <s v="NBN Sydney"/>
    <s v="2649762"/>
    <x v="5"/>
    <s v="NBN Greenfields DJC Internals"/>
    <x v="137"/>
    <d v="2017-03-24T00:00:00"/>
    <s v="Mar-17"/>
    <s v="BP Express Canterbury - ULP 40.22L 1.109"/>
    <n v="40.549999999999997"/>
    <m/>
    <m/>
  </r>
  <r>
    <s v="INV"/>
    <s v="NBN Sydney"/>
    <s v="3140499"/>
    <x v="5"/>
    <s v="NBN Greenfields DJC Internals"/>
    <x v="142"/>
    <d v="2017-03-29T00:00:00"/>
    <s v="Mar-17"/>
    <s v="BP Express St Peters - ULP 44.03L 1.109"/>
    <n v="44.39"/>
    <m/>
    <m/>
  </r>
  <r>
    <s v="INV"/>
    <s v="NBN Sydney"/>
    <s v="1205486"/>
    <x v="5"/>
    <s v="NBN Greenfields DJC Internals"/>
    <x v="144"/>
    <d v="2017-03-30T00:00:00"/>
    <s v="Mar-17"/>
    <s v="7 Eleven Turramurra - E10 ULP 32.68L 1.129      GB"/>
    <n v="33.54"/>
    <m/>
    <m/>
  </r>
  <r>
    <s v="INV"/>
    <s v="NBN Sydney"/>
    <s v="1248399"/>
    <x v="5"/>
    <s v="NBN Greenfields DJC Internals"/>
    <x v="131"/>
    <d v="2017-03-03T00:00:00"/>
    <s v="Mar-17"/>
    <s v="Eureka Operations - Coles Express - Diesel 90.59L 1.349   KE"/>
    <n v="111.09"/>
    <m/>
    <m/>
  </r>
  <r>
    <s v="INV"/>
    <s v="NBN Sydney"/>
    <s v="01-623376"/>
    <x v="5"/>
    <s v="NBN Greenfields DJC Internals"/>
    <x v="128"/>
    <d v="2017-03-07T00:00:00"/>
    <s v="Mar-17"/>
    <s v="BP Davis Road - Diesel 92.34L 1.299    "/>
    <n v="109.05"/>
    <m/>
    <m/>
  </r>
  <r>
    <s v="INV"/>
    <s v="NBN Sydney"/>
    <s v="188276"/>
    <x v="5"/>
    <s v="NBN Greenfields DJC Internals"/>
    <x v="128"/>
    <d v="2017-03-10T00:00:00"/>
    <s v="Mar-17"/>
    <s v="BP Summer St - Diesel 92.38L 1.299"/>
    <n v="109.09"/>
    <m/>
    <m/>
  </r>
  <r>
    <s v="INV"/>
    <s v="NBN Sydney"/>
    <s v="50880"/>
    <x v="5"/>
    <s v="NBN Greenfields DJC Internals"/>
    <x v="128"/>
    <d v="2017-03-15T00:00:00"/>
    <s v="Mar-17"/>
    <s v="Woolworths Petrol - Diesel 66.41L 1.389"/>
    <n v="83.86"/>
    <m/>
    <m/>
  </r>
  <r>
    <s v="INV"/>
    <s v="NBN Sydney"/>
    <s v="139660"/>
    <x v="5"/>
    <s v="NBN Greenfields DJC Internals"/>
    <x v="140"/>
    <d v="2017-03-16T00:00:00"/>
    <s v="Mar-17"/>
    <s v="BP Summer Hill - Diesel 100.57L 1.229"/>
    <n v="18.726666666666667"/>
    <m/>
    <m/>
  </r>
  <r>
    <s v="INV"/>
    <s v="NBN Sydney"/>
    <s v="139660"/>
    <x v="5"/>
    <s v="NBN Greenfields DJC Internals"/>
    <x v="138"/>
    <d v="2017-03-16T00:00:00"/>
    <s v="Mar-17"/>
    <s v="BP Summer Hill - Diesel 100.57L 1.229"/>
    <n v="18.726666666666667"/>
    <m/>
    <m/>
  </r>
  <r>
    <s v="INV"/>
    <s v="NBN Sydney"/>
    <s v="139660"/>
    <x v="5"/>
    <s v="NBN Greenfields DJC Internals"/>
    <x v="141"/>
    <d v="2017-03-16T00:00:00"/>
    <s v="Mar-17"/>
    <s v="BP Summer Hill - Diesel 100.57L 1.229"/>
    <n v="18.726666666666667"/>
    <m/>
    <m/>
  </r>
  <r>
    <s v="INV"/>
    <s v="NBN Sydney"/>
    <s v="139660"/>
    <x v="5"/>
    <s v="NBN Greenfields DJC Internals"/>
    <x v="94"/>
    <d v="2017-03-16T00:00:00"/>
    <s v="Mar-17"/>
    <s v="BP Summer Hill - Diesel 100.57L 1.229"/>
    <n v="18.726666666666667"/>
    <m/>
    <m/>
  </r>
  <r>
    <s v="INV"/>
    <s v="NBN Sydney"/>
    <s v="139660"/>
    <x v="5"/>
    <s v="NBN Greenfields DJC Internals"/>
    <x v="141"/>
    <d v="2017-03-16T00:00:00"/>
    <s v="Mar-17"/>
    <s v="BP Summer Hill - Diesel 100.57L 1.229"/>
    <n v="18.726666666666667"/>
    <m/>
    <m/>
  </r>
  <r>
    <s v="INV"/>
    <s v="NBN Sydney"/>
    <s v="139660"/>
    <x v="5"/>
    <s v="NBN Greenfields DJC Internals"/>
    <x v="143"/>
    <d v="2017-03-16T00:00:00"/>
    <s v="Mar-17"/>
    <s v="BP Summer Hill - Diesel 100.57L 1.229"/>
    <n v="18.726666666666667"/>
    <m/>
    <m/>
  </r>
  <r>
    <s v="INV"/>
    <s v="NBN Sydney"/>
    <s v="139660"/>
    <x v="5"/>
    <s v="NBN Greenfields DJC Internals"/>
    <x v="142"/>
    <d v="2017-03-16T00:00:00"/>
    <s v="Mar-17"/>
    <s v="BP Summer Hill - Diesel 100.57L 1.229"/>
    <n v="18.726666666666667"/>
    <m/>
    <m/>
  </r>
  <r>
    <s v="INV"/>
    <s v="NBN Sydney"/>
    <s v="812468"/>
    <x v="5"/>
    <s v="NBN Greenfields DJC Internals"/>
    <x v="141"/>
    <d v="2017-03-22T00:00:00"/>
    <s v="Mar-17"/>
    <s v="BP Wollongong - Diesel 91.42L 1.329"/>
    <n v="55.225000000000001"/>
    <m/>
    <m/>
  </r>
  <r>
    <s v="INV"/>
    <s v="NBN Sydney"/>
    <s v="812468"/>
    <x v="5"/>
    <s v="NBN Greenfields DJC Internals"/>
    <x v="125"/>
    <d v="2017-03-22T00:00:00"/>
    <s v="Mar-17"/>
    <s v="BP Wollongong - Diesel 91.42L 1.329"/>
    <n v="55.225000000000001"/>
    <m/>
    <m/>
  </r>
  <r>
    <s v="INV"/>
    <s v="NBN Sydney"/>
    <s v="2047591"/>
    <x v="5"/>
    <s v="NBN Greenfields DJC Internals"/>
    <x v="144"/>
    <d v="2017-03-28T00:00:00"/>
    <s v="Mar-17"/>
    <s v="BP Express Albion Park - Diesel 83.82L 1.349"/>
    <n v="25.697500000000002"/>
    <m/>
    <m/>
  </r>
  <r>
    <s v="INV"/>
    <s v="NBN Sydney"/>
    <s v="2047591"/>
    <x v="5"/>
    <s v="NBN Greenfields DJC Internals"/>
    <x v="142"/>
    <d v="2017-03-28T00:00:00"/>
    <s v="Mar-17"/>
    <s v="BP Express Albion Park - Diesel 83.82L 1.349"/>
    <n v="25.697500000000002"/>
    <m/>
    <m/>
  </r>
  <r>
    <s v="INV"/>
    <s v="NBN Sydney"/>
    <s v="2047591"/>
    <x v="5"/>
    <s v="NBN Greenfields DJC Internals"/>
    <x v="143"/>
    <d v="2017-03-28T00:00:00"/>
    <s v="Mar-17"/>
    <s v="BP Express Albion Park - Diesel 83.82L 1.349"/>
    <n v="25.697500000000002"/>
    <m/>
    <m/>
  </r>
  <r>
    <s v="INV"/>
    <s v="NBN Sydney"/>
    <s v="2047591"/>
    <x v="5"/>
    <s v="NBN Greenfields DJC Internals"/>
    <x v="145"/>
    <d v="2017-03-28T00:00:00"/>
    <s v="Mar-17"/>
    <s v="BP Express Albion Park - Diesel 83.82L 1.349"/>
    <n v="25.697500000000002"/>
    <m/>
    <m/>
  </r>
  <r>
    <s v="INV"/>
    <s v="NBN Sydney"/>
    <s v="816061"/>
    <x v="5"/>
    <s v="NBN Greenfields DJC Internals"/>
    <x v="139"/>
    <d v="2017-03-31T00:00:00"/>
    <s v="Mar-17"/>
    <s v="BP Wollongong - Diesel 86.08L 1.329  KE"/>
    <n v="52"/>
    <m/>
    <m/>
  </r>
  <r>
    <s v="INV"/>
    <s v="NBN Sydney"/>
    <s v="816061"/>
    <x v="5"/>
    <s v="NBN Greenfields DJC Internals"/>
    <x v="153"/>
    <d v="2017-03-31T00:00:00"/>
    <s v="Mar-17"/>
    <s v="BP Wollongong - Diesel 86.08L 1.329  KE "/>
    <n v="52"/>
    <m/>
    <m/>
  </r>
  <r>
    <s v="INV"/>
    <s v="NBN Sydney"/>
    <s v="932066"/>
    <x v="1"/>
    <s v="Overhead"/>
    <x v="3"/>
    <d v="2017-03-01T00:00:00"/>
    <s v="Mar-17"/>
    <s v="Appin Petroleum - Diesel 64.23L 1.179"/>
    <n v="68.849999999999994"/>
    <m/>
    <m/>
  </r>
  <r>
    <s v="INV"/>
    <s v="NBN Sydney"/>
    <s v="1895476"/>
    <x v="5"/>
    <s v="NBN Greenfields DJC Internals"/>
    <x v="131"/>
    <d v="2017-03-03T00:00:00"/>
    <s v="Mar-17"/>
    <s v="BP Express Tuggerah - Diesel 65.57L 1.309"/>
    <n v="78.03"/>
    <m/>
    <m/>
  </r>
  <r>
    <s v="INV"/>
    <s v="NBN Sydney"/>
    <s v="98277"/>
    <x v="5"/>
    <s v="NBN Greenfields DJC Internals"/>
    <x v="128"/>
    <d v="2017-03-08T00:00:00"/>
    <s v="Mar-17"/>
    <s v="Caltex Glenbrook - Diesel 59.51L 1.369"/>
    <n v="74.06"/>
    <m/>
    <m/>
  </r>
  <r>
    <s v="INV"/>
    <s v="NBN Sydney"/>
    <s v="2421566"/>
    <x v="5"/>
    <s v="NBN Greenfields DJC Internals"/>
    <x v="126"/>
    <d v="2017-03-09T00:00:00"/>
    <s v="Mar-17"/>
    <s v="Eureka Operations - Coles Express - Diesel 65.95L 1.349"/>
    <n v="80.87"/>
    <m/>
    <m/>
  </r>
  <r>
    <s v="INV"/>
    <s v="NBN Sydney"/>
    <s v="CHV14B"/>
    <x v="1"/>
    <s v="Overhead"/>
    <x v="3"/>
    <d v="2017-03-14T00:00:00"/>
    <s v="Mar-17"/>
    <s v="RMS Road &amp; Marine Services - Motor Vehicle Tax"/>
    <n v="697"/>
    <m/>
    <m/>
  </r>
  <r>
    <s v="INV"/>
    <s v="NBN Sydney"/>
    <s v="CHV14B"/>
    <x v="1"/>
    <s v="Overhead"/>
    <x v="3"/>
    <d v="2017-03-14T00:00:00"/>
    <s v="Mar-17"/>
    <s v="RMS Road &amp; Marine Services - Registration Fee"/>
    <n v="64"/>
    <m/>
    <m/>
  </r>
  <r>
    <s v="INV"/>
    <s v="NBN Sydney"/>
    <s v="2284210"/>
    <x v="5"/>
    <s v="NBN Greenfields DJC Internals"/>
    <x v="140"/>
    <d v="2017-03-15T00:00:00"/>
    <s v="Mar-17"/>
    <s v="7 Eleven Minchinbury - Diesel 63.51L 1.279"/>
    <n v="12.308333333333332"/>
    <m/>
    <m/>
  </r>
  <r>
    <s v="INV"/>
    <s v="NBN Sydney"/>
    <s v="2284210"/>
    <x v="5"/>
    <s v="NBN Greenfields DJC Internals"/>
    <x v="138"/>
    <d v="2017-03-15T00:00:00"/>
    <s v="Mar-17"/>
    <s v="7 Eleven Minchinbury - Diesel 63.51L 1.279"/>
    <n v="12.308333333333332"/>
    <m/>
    <m/>
  </r>
  <r>
    <s v="INV"/>
    <s v="NBN Sydney"/>
    <s v="2284210"/>
    <x v="5"/>
    <s v="NBN Greenfields DJC Internals"/>
    <x v="141"/>
    <d v="2017-03-15T00:00:00"/>
    <s v="Mar-17"/>
    <s v="7 Eleven Minchinbury - Diesel 63.51L 1.279"/>
    <n v="12.308333333333332"/>
    <m/>
    <m/>
  </r>
  <r>
    <s v="INV"/>
    <s v="NBN Sydney"/>
    <s v="2284210"/>
    <x v="5"/>
    <s v="NBN Greenfields DJC Internals"/>
    <x v="94"/>
    <d v="2017-03-15T00:00:00"/>
    <s v="Mar-17"/>
    <s v="7 Eleven Minchinbury - Diesel 63.51L 1.279"/>
    <n v="12.308333333333332"/>
    <m/>
    <m/>
  </r>
  <r>
    <s v="INV"/>
    <s v="NBN Sydney"/>
    <s v="2284210"/>
    <x v="5"/>
    <s v="NBN Greenfields DJC Internals"/>
    <x v="141"/>
    <d v="2017-03-15T00:00:00"/>
    <s v="Mar-17"/>
    <s v="7 Eleven Minchinbury - Diesel 63.51L 1.279"/>
    <n v="12.308333333333332"/>
    <m/>
    <m/>
  </r>
  <r>
    <s v="INV"/>
    <s v="NBN Sydney"/>
    <s v="2284210"/>
    <x v="5"/>
    <s v="NBN Greenfields DJC Internals"/>
    <x v="143"/>
    <d v="2017-03-15T00:00:00"/>
    <s v="Mar-17"/>
    <s v="7 Eleven Minchinbury - Diesel 63.51L 1.279"/>
    <n v="12.308333333333332"/>
    <m/>
    <m/>
  </r>
  <r>
    <s v="INV"/>
    <s v="NBN Sydney"/>
    <s v="2284210"/>
    <x v="5"/>
    <s v="NBN Greenfields DJC Internals"/>
    <x v="140"/>
    <d v="2017-03-17T00:00:00"/>
    <s v="Mar-17"/>
    <s v="Eureka Operations - Coles Express - Diesel 64.14L 1.369"/>
    <n v="13.305"/>
    <m/>
    <m/>
  </r>
  <r>
    <s v="INV"/>
    <s v="NBN Sydney"/>
    <s v="2284210"/>
    <x v="5"/>
    <s v="NBN Greenfields DJC Internals"/>
    <x v="94"/>
    <d v="2017-03-17T00:00:00"/>
    <s v="Mar-17"/>
    <s v="Eureka Operations - Coles Express - Diesel 64.14L 1.369"/>
    <n v="13.305"/>
    <m/>
    <m/>
  </r>
  <r>
    <s v="INV"/>
    <s v="NBN Sydney"/>
    <s v="2284210"/>
    <x v="5"/>
    <s v="NBN Greenfields DJC Internals"/>
    <x v="141"/>
    <d v="2017-03-17T00:00:00"/>
    <s v="Mar-17"/>
    <s v="Eureka Operations - Coles Express - Diesel 64.14L 1.369"/>
    <n v="13.305"/>
    <m/>
    <m/>
  </r>
  <r>
    <s v="INV"/>
    <s v="NBN Sydney"/>
    <s v="2284210"/>
    <x v="5"/>
    <s v="NBN Greenfields DJC Internals"/>
    <x v="143"/>
    <d v="2017-03-17T00:00:00"/>
    <s v="Mar-17"/>
    <s v="Eureka Operations - Coles Express - Diesel 64.14L 1.369"/>
    <n v="13.305"/>
    <m/>
    <m/>
  </r>
  <r>
    <s v="INV"/>
    <s v="NBN Sydney"/>
    <s v="2284210"/>
    <x v="5"/>
    <s v="NBN Greenfields DJC Internals"/>
    <x v="142"/>
    <d v="2017-03-17T00:00:00"/>
    <s v="Mar-17"/>
    <s v="Eureka Operations - Coles Express - Diesel 64.14L 1.369"/>
    <n v="13.305"/>
    <m/>
    <m/>
  </r>
  <r>
    <s v="INV"/>
    <s v="NBN Sydney"/>
    <s v="2284210"/>
    <x v="5"/>
    <s v="NBN Greenfields DJC Internals"/>
    <x v="141"/>
    <d v="2017-03-17T00:00:00"/>
    <s v="Mar-17"/>
    <s v="Eureka Operations - Coles Express - Diesel 64.14L 1.369"/>
    <n v="13.305"/>
    <m/>
    <m/>
  </r>
  <r>
    <s v="INV"/>
    <s v="NBN Sydney"/>
    <s v="2284210"/>
    <x v="5"/>
    <s v="NBN Greenfields DJC Internals"/>
    <x v="125"/>
    <d v="2017-03-24T00:00:00"/>
    <s v="Mar-17"/>
    <s v="7 Eleven Minchinbury - Diesel 67.45L 1.279"/>
    <n v="26.143333333333334"/>
    <m/>
    <m/>
  </r>
  <r>
    <s v="INV"/>
    <s v="NBN Sydney"/>
    <s v="2284210"/>
    <x v="5"/>
    <s v="NBN Greenfields DJC Internals"/>
    <x v="144"/>
    <d v="2017-03-24T00:00:00"/>
    <s v="Mar-17"/>
    <s v="7 Eleven Minchinbury - Diesel 67.45L 1.279"/>
    <n v="26.143333333333334"/>
    <m/>
    <m/>
  </r>
  <r>
    <s v="INV"/>
    <s v="NBN Sydney"/>
    <s v="2284210"/>
    <x v="5"/>
    <s v="NBN Greenfields DJC Internals"/>
    <x v="142"/>
    <d v="2017-03-24T00:00:00"/>
    <s v="Mar-17"/>
    <s v="7 Eleven Minchinbury - Diesel 67.45L 1.279"/>
    <n v="26.143333333333334"/>
    <m/>
    <m/>
  </r>
  <r>
    <s v="INV"/>
    <s v="NBN Sydney"/>
    <s v="01-214878-00"/>
    <x v="5"/>
    <s v="NBN Greenfields DJC Internals"/>
    <x v="143"/>
    <d v="2017-03-28T00:00:00"/>
    <s v="Mar-17"/>
    <s v="Enhance Gerringong - Diesel 63.16L 1.299   PJ"/>
    <n v="24.863333333333333"/>
    <m/>
    <m/>
  </r>
  <r>
    <s v="INV"/>
    <s v="NBN Sydney"/>
    <s v="01-214878-00"/>
    <x v="5"/>
    <s v="NBN Greenfields DJC Internals"/>
    <x v="145"/>
    <d v="2017-03-28T00:00:00"/>
    <s v="Mar-17"/>
    <s v="Enhance Gerringong - Diesel 63.16L 1.299   PJ"/>
    <n v="24.863333333333333"/>
    <m/>
    <m/>
  </r>
  <r>
    <s v="INV"/>
    <s v="NBN Sydney"/>
    <s v="01-214878-00"/>
    <x v="5"/>
    <s v="NBN Greenfields DJC Internals"/>
    <x v="139"/>
    <d v="2017-03-28T00:00:00"/>
    <s v="Mar-17"/>
    <s v="Enhance Gerringong - Diesel 63.16L 1.299   PJ"/>
    <n v="24.863333333333333"/>
    <m/>
    <m/>
  </r>
  <r>
    <s v="INV"/>
    <s v="NBN Sydney"/>
    <s v="#31573"/>
    <x v="5"/>
    <s v="NBN Greenfields DJC Internals"/>
    <x v="94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Greenfields DJC Internals"/>
    <x v="121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Greenfields DJC Internals"/>
    <x v="125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Greenfields DJC Internals"/>
    <x v="132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Minor Works DJC Internals"/>
    <x v="122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Greenfields DJC Internals"/>
    <x v="131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Minor Works DJC Internals"/>
    <x v="69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Greenfields DJC Internals"/>
    <x v="126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Greenfields DJC Internals"/>
    <x v="128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Greenfields DJC Internals"/>
    <x v="151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DDA"/>
    <x v="147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Greenfields DJC Internals"/>
    <x v="96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Greenfields DJC Internals"/>
    <x v="140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Greenfields DJC Internals"/>
    <x v="138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Minor Works DJC Internals"/>
    <x v="149"/>
    <d v="2017-03-01T00:00:00"/>
    <s v="Mar-17"/>
    <s v="SYDNEY VEHICLE  AND TEST EQUIPMENT RENTAL - TEST EQUIPMENT MONTHLY RENTAL"/>
    <n v="56.375"/>
    <m/>
    <m/>
  </r>
  <r>
    <s v="INV"/>
    <s v="NBN Sydney"/>
    <s v="#31573"/>
    <x v="5"/>
    <s v="NBN Greenfields DJC Internals"/>
    <x v="137"/>
    <d v="2017-03-01T00:00:00"/>
    <s v="Mar-17"/>
    <s v="SYDNEY VEHICLE  AND TEST EQUIPMENT RENTAL - TEST EQUIPMENT MONTHLY RENTAL"/>
    <n v="56.375"/>
    <m/>
    <m/>
  </r>
  <r>
    <s v="INV"/>
    <s v="NBN Sydney"/>
    <s v="#31573"/>
    <x v="1"/>
    <s v="Overhead"/>
    <x v="3"/>
    <d v="2017-03-01T00:00:00"/>
    <s v="Mar-17"/>
    <s v="SYDNEY VEHICLE  AND TEST EQUIPMENT RENTAL - Forklift"/>
    <n v="487"/>
    <m/>
    <m/>
  </r>
  <r>
    <s v="INV"/>
    <s v="NBN Sydney"/>
    <s v="#31573"/>
    <x v="5"/>
    <s v="NBN Greenfields DJC Internals"/>
    <x v="131"/>
    <d v="2017-03-01T00:00:00"/>
    <s v="Ma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69.416666666666671"/>
    <m/>
    <m/>
  </r>
  <r>
    <s v="INV"/>
    <s v="NBN Sydney"/>
    <s v="#31573"/>
    <x v="5"/>
    <s v="NBN Greenfields DJC Internals"/>
    <x v="128"/>
    <d v="2017-03-01T00:00:00"/>
    <s v="Ma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69.416666666666671"/>
    <m/>
    <m/>
  </r>
  <r>
    <s v="INV"/>
    <s v="NBN Sydney"/>
    <s v="#31573"/>
    <x v="5"/>
    <s v="NBN Greenfields DJC Internals"/>
    <x v="126"/>
    <d v="2017-03-01T00:00:00"/>
    <s v="Ma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69.416666666666671"/>
    <m/>
    <m/>
  </r>
  <r>
    <s v="INV"/>
    <s v="NBN Sydney"/>
    <s v="#31573"/>
    <x v="5"/>
    <s v="NBN Greenfields DJC Internals"/>
    <x v="140"/>
    <d v="2017-03-01T00:00:00"/>
    <s v="Ma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69.416666666666671"/>
    <m/>
    <m/>
  </r>
  <r>
    <s v="INV"/>
    <s v="NBN Sydney"/>
    <s v="#31573"/>
    <x v="5"/>
    <s v="NBN Greenfields DJC Internals"/>
    <x v="137"/>
    <d v="2017-03-01T00:00:00"/>
    <s v="Ma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69.416666666666671"/>
    <m/>
    <m/>
  </r>
  <r>
    <s v="INV"/>
    <s v="NBN Sydney"/>
    <s v="#31573"/>
    <x v="5"/>
    <s v="NBN Greenfields DJC Internals"/>
    <x v="139"/>
    <d v="2017-03-01T00:00:00"/>
    <s v="Ma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69.416666666666671"/>
    <m/>
    <m/>
  </r>
  <r>
    <s v="INV"/>
    <s v="NBN Sydney"/>
    <s v="#31573"/>
    <x v="5"/>
    <s v="NBN Greenfields DJC Internals"/>
    <x v="138"/>
    <d v="2017-03-01T00:00:00"/>
    <s v="Ma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69.416666666666671"/>
    <m/>
    <m/>
  </r>
  <r>
    <s v="INV"/>
    <s v="NBN Sydney"/>
    <s v="#31573"/>
    <x v="5"/>
    <s v="NBN Greenfields DJC Internals"/>
    <x v="141"/>
    <d v="2017-03-01T00:00:00"/>
    <s v="Ma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69.416666666666671"/>
    <m/>
    <m/>
  </r>
  <r>
    <s v="INV"/>
    <s v="NBN Sydney"/>
    <s v="#31573"/>
    <x v="5"/>
    <s v="NBN Greenfields DJC Internals"/>
    <x v="94"/>
    <d v="2017-03-01T00:00:00"/>
    <s v="Ma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69.416666666666671"/>
    <m/>
    <m/>
  </r>
  <r>
    <s v="INV"/>
    <s v="NBN Sydney"/>
    <s v="#31573"/>
    <x v="5"/>
    <s v="NBN Greenfields DJC Internals"/>
    <x v="143"/>
    <d v="2017-03-01T00:00:00"/>
    <s v="Ma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69.416666666666671"/>
    <m/>
    <m/>
  </r>
  <r>
    <s v="INV"/>
    <s v="NBN Sydney"/>
    <s v="#31573"/>
    <x v="5"/>
    <s v="NBN Greenfields DJC Internals"/>
    <x v="142"/>
    <d v="2017-03-01T00:00:00"/>
    <s v="Ma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69.416666666666671"/>
    <m/>
    <m/>
  </r>
  <r>
    <s v="INV"/>
    <s v="NBN Sydney"/>
    <s v="#31573"/>
    <x v="5"/>
    <s v="NBN Greenfields DJC Internals"/>
    <x v="125"/>
    <d v="2017-03-01T00:00:00"/>
    <s v="Ma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69.416666666666671"/>
    <m/>
    <m/>
  </r>
  <r>
    <s v="INV"/>
    <s v="NBN Sydney"/>
    <s v="#31573"/>
    <x v="5"/>
    <s v="NBN Greenfields DJC Internals"/>
    <x v="94"/>
    <d v="2017-03-01T00:00:00"/>
    <s v="Mar-17"/>
    <s v="SYDNEY VEHICLE  AND TEST EQUIPMENT RENTAL - BU59MS -HIACE RENTAL - "/>
    <n v="52.0625"/>
    <m/>
    <m/>
  </r>
  <r>
    <s v="INV"/>
    <s v="NBN Sydney"/>
    <s v="#31573"/>
    <x v="5"/>
    <s v="NBN Greenfields DJC Internals"/>
    <x v="121"/>
    <d v="2017-03-02T00:00:00"/>
    <s v="Mar-17"/>
    <s v="SYDNEY VEHICLE  AND TEST EQUIPMENT RENTAL - BU59MS -HIACE RENTAL - "/>
    <n v="52.0625"/>
    <m/>
    <m/>
  </r>
  <r>
    <s v="INV"/>
    <s v="NBN Sydney"/>
    <s v="#31573"/>
    <x v="5"/>
    <s v="NBN Greenfields DJC Internals"/>
    <x v="125"/>
    <d v="2017-03-03T00:00:00"/>
    <s v="Mar-17"/>
    <s v="SYDNEY VEHICLE  AND TEST EQUIPMENT RENTAL - BU59MS -HIACE RENTAL - "/>
    <n v="52.0625"/>
    <m/>
    <m/>
  </r>
  <r>
    <s v="INV"/>
    <s v="NBN Sydney"/>
    <s v="#31573"/>
    <x v="5"/>
    <s v="NBN Greenfields DJC Internals"/>
    <x v="132"/>
    <d v="2017-03-04T00:00:00"/>
    <s v="Mar-17"/>
    <s v="SYDNEY VEHICLE  AND TEST EQUIPMENT RENTAL - BU59MS -HIACE RENTAL - "/>
    <n v="52.0625"/>
    <m/>
    <m/>
  </r>
  <r>
    <s v="INV"/>
    <s v="NBN Sydney"/>
    <s v="#31573"/>
    <x v="5"/>
    <s v="NBN Minor Works DJC Internals"/>
    <x v="122"/>
    <d v="2017-03-05T00:00:00"/>
    <s v="Mar-17"/>
    <s v="SYDNEY VEHICLE  AND TEST EQUIPMENT RENTAL - BU59MS -HIACE RENTAL - "/>
    <n v="52.0625"/>
    <m/>
    <m/>
  </r>
  <r>
    <s v="INV"/>
    <s v="NBN Sydney"/>
    <s v="#31573"/>
    <x v="5"/>
    <s v="NBN Greenfields DJC Internals"/>
    <x v="131"/>
    <d v="2017-03-06T00:00:00"/>
    <s v="Mar-17"/>
    <s v="SYDNEY VEHICLE  AND TEST EQUIPMENT RENTAL - BU59MS -HIACE RENTAL - "/>
    <n v="52.0625"/>
    <m/>
    <m/>
  </r>
  <r>
    <s v="INV"/>
    <s v="NBN Sydney"/>
    <s v="#31573"/>
    <x v="5"/>
    <s v="NBN Minor Works DJC Internals"/>
    <x v="69"/>
    <d v="2017-03-07T00:00:00"/>
    <s v="Mar-17"/>
    <s v="SYDNEY VEHICLE  AND TEST EQUIPMENT RENTAL - BU59MS -HIACE RENTAL - "/>
    <n v="52.0625"/>
    <m/>
    <m/>
  </r>
  <r>
    <s v="INV"/>
    <s v="NBN Sydney"/>
    <s v="#31573"/>
    <x v="5"/>
    <s v="NBN Greenfields DJC Internals"/>
    <x v="126"/>
    <d v="2017-03-08T00:00:00"/>
    <s v="Mar-17"/>
    <s v="SYDNEY VEHICLE  AND TEST EQUIPMENT RENTAL - BU59MS -HIACE RENTAL - "/>
    <n v="52.0625"/>
    <m/>
    <m/>
  </r>
  <r>
    <s v="INV"/>
    <s v="NBN Sydney"/>
    <s v="#31573"/>
    <x v="5"/>
    <s v="NBN Greenfields DJC Internals"/>
    <x v="128"/>
    <d v="2017-03-09T00:00:00"/>
    <s v="Mar-17"/>
    <s v="SYDNEY VEHICLE  AND TEST EQUIPMENT RENTAL - BU59MS -HIACE RENTAL - "/>
    <n v="52.0625"/>
    <m/>
    <m/>
  </r>
  <r>
    <s v="INV"/>
    <s v="NBN Sydney"/>
    <s v="#31573"/>
    <x v="5"/>
    <s v="NBN Greenfields DJC Internals"/>
    <x v="151"/>
    <d v="2017-03-10T00:00:00"/>
    <s v="Mar-17"/>
    <s v="SYDNEY VEHICLE  AND TEST EQUIPMENT RENTAL - BU59MS -HIACE RENTAL - "/>
    <n v="52.0625"/>
    <m/>
    <m/>
  </r>
  <r>
    <s v="INV"/>
    <s v="NBN Sydney"/>
    <s v="#31573"/>
    <x v="5"/>
    <s v="DDA"/>
    <x v="147"/>
    <d v="2017-03-11T00:00:00"/>
    <s v="Mar-17"/>
    <s v="SYDNEY VEHICLE  AND TEST EQUIPMENT RENTAL - BU59MS -HIACE RENTAL - "/>
    <n v="52.0625"/>
    <m/>
    <m/>
  </r>
  <r>
    <s v="INV"/>
    <s v="NBN Sydney"/>
    <s v="#31573"/>
    <x v="5"/>
    <s v="NBN Greenfields DJC Internals"/>
    <x v="96"/>
    <d v="2017-03-12T00:00:00"/>
    <s v="Mar-17"/>
    <s v="SYDNEY VEHICLE  AND TEST EQUIPMENT RENTAL - BU59MS -HIACE RENTAL - "/>
    <n v="52.0625"/>
    <m/>
    <m/>
  </r>
  <r>
    <s v="INV"/>
    <s v="NBN Sydney"/>
    <s v="#31573"/>
    <x v="5"/>
    <s v="NBN Greenfields DJC Internals"/>
    <x v="140"/>
    <d v="2017-03-13T00:00:00"/>
    <s v="Mar-17"/>
    <s v="SYDNEY VEHICLE  AND TEST EQUIPMENT RENTAL - BU59MS -HIACE RENTAL - "/>
    <n v="52.0625"/>
    <m/>
    <m/>
  </r>
  <r>
    <s v="INV"/>
    <s v="NBN Sydney"/>
    <s v="#31573"/>
    <x v="5"/>
    <s v="NBN Greenfields DJC Internals"/>
    <x v="138"/>
    <d v="2017-03-14T00:00:00"/>
    <s v="Mar-17"/>
    <s v="SYDNEY VEHICLE  AND TEST EQUIPMENT RENTAL - BU59MS -HIACE RENTAL - "/>
    <n v="52.0625"/>
    <m/>
    <m/>
  </r>
  <r>
    <s v="INV"/>
    <s v="NBN Sydney"/>
    <s v="#31573"/>
    <x v="5"/>
    <s v="NBN Minor Works DJC Internals"/>
    <x v="149"/>
    <d v="2017-03-15T00:00:00"/>
    <s v="Mar-17"/>
    <s v="SYDNEY VEHICLE  AND TEST EQUIPMENT RENTAL - BU59MS -HIACE RENTAL - "/>
    <n v="52.0625"/>
    <m/>
    <m/>
  </r>
  <r>
    <s v="INV"/>
    <s v="NBN Sydney"/>
    <s v="#31573"/>
    <x v="5"/>
    <s v="NBN Greenfields DJC Internals"/>
    <x v="137"/>
    <d v="2017-03-16T00:00:00"/>
    <s v="Mar-17"/>
    <s v="SYDNEY VEHICLE  AND TEST EQUIPMENT RENTAL - BU59MS -HIACE RENTAL - "/>
    <n v="52.0625"/>
    <m/>
    <m/>
  </r>
  <r>
    <s v="INV"/>
    <s v="NBN Sydney"/>
    <s v="2677033"/>
    <x v="1"/>
    <s v="Overhead"/>
    <x v="3"/>
    <d v="2017-03-09T00:00:00"/>
    <s v="Mar-17"/>
    <s v="Eureka Operations - Coles Express - Diesel 120.15L 1.349  GC"/>
    <n v="147.35"/>
    <m/>
    <m/>
  </r>
  <r>
    <s v="CN"/>
    <s v="NBN Sydney"/>
    <s v="CN-12093"/>
    <x v="3"/>
    <s v="NBN Greenfields"/>
    <x v="94"/>
    <d v="2017-04-01T00:00:00"/>
    <s v="Apr-17"/>
    <s v="NBN Co Sydney - AYCA-37LWLY - Backhouse Street - 1 "/>
    <n v="4682.05"/>
    <s v="NBN Greenfields - AYCA-37LWLY - Backhouse Street"/>
    <m/>
  </r>
  <r>
    <s v="INV"/>
    <s v="NBN Sydney"/>
    <s v="INV-12054b"/>
    <x v="3"/>
    <s v="NBN Greenfields"/>
    <x v="130"/>
    <d v="2017-04-01T00:00:00"/>
    <s v="Apr-17"/>
    <s v="NBN Co Sydney - AYCA-36D744 - Grace-SHA - 1 "/>
    <m/>
    <s v="NBN Greenfields - AYCA-36D744 - Grace-SHA"/>
    <n v="1219.68"/>
  </r>
  <r>
    <s v="INV"/>
    <s v="NBN Sydney"/>
    <s v="INV-12051b"/>
    <x v="3"/>
    <s v="NBN Greenfields"/>
    <x v="139"/>
    <d v="2017-04-01T00:00:00"/>
    <s v="Apr-17"/>
    <s v="NBN Co Sydney - AYCA-3HE07T - 37 Bridge Street - 1 "/>
    <m/>
    <s v="NBN Greenfields - AYCA-3HE07T - 37 Bridge Street"/>
    <n v="1240.74"/>
  </r>
  <r>
    <s v="INV"/>
    <s v="DDA Sydney"/>
    <s v="INV-12096"/>
    <x v="3"/>
    <s v="DDA "/>
    <x v="147"/>
    <d v="2017-04-12T00:00:00"/>
    <s v="Apr-17"/>
    <s v="Digital Distribution Australia (DDA) - DDA 4878_x000d__x000a_Lane Cove West DDA offices- Terminating and testing of Fibre Tie Cable as RFQ_x000d__x000a_"/>
    <m/>
    <s v="DDA Tie cable, Nth Ryde"/>
    <n v="3010"/>
  </r>
  <r>
    <s v="INV"/>
    <s v="NBN Sydney"/>
    <s v="INV-12105"/>
    <x v="3"/>
    <s v="NBN Greenfields"/>
    <x v="144"/>
    <d v="2017-04-13T00:00:00"/>
    <s v="Apr-17"/>
    <s v="NBN Co Sydney - AYCA-3V33UT Wyong Street"/>
    <m/>
    <s v="NBN Greenfields - AYCA-3V33UT - Wyong Street"/>
    <n v="2510"/>
  </r>
  <r>
    <s v="INV"/>
    <s v="NBN Sydney"/>
    <s v="INV-12141"/>
    <x v="3"/>
    <s v="NBN Greenfields"/>
    <x v="145"/>
    <d v="2017-04-24T00:00:00"/>
    <s v="Apr-17"/>
    <s v="NBN Co Sydney - 2ROU-02 - AYCA-2LIFR7 - 4 Stringer - 5A"/>
    <m/>
    <s v="NBN Greenfields - AYCA-2LIFR7 - 4 Stringer"/>
    <n v="2668.21"/>
  </r>
  <r>
    <s v="INV"/>
    <s v="NBN Sydney"/>
    <s v="INV-12144"/>
    <x v="3"/>
    <s v="NBN Minor Works"/>
    <x v="154"/>
    <d v="2017-04-27T00:00:00"/>
    <s v="Apr-17"/>
    <s v="NBN Co Sydney -  MW20428   2COR11  29 Park Rd &amp; MPS139"/>
    <m/>
    <s v="Minor Works - 2COR-11 - MW20248 - 29 Park Rd &amp; MPS-139 "/>
    <n v="3047.8"/>
  </r>
  <r>
    <s v="INV"/>
    <s v="NBN Sydney"/>
    <s v="INV-12145"/>
    <x v="3"/>
    <s v="NBN Greenfields"/>
    <x v="155"/>
    <d v="2017-04-27T00:00:00"/>
    <s v="Apr-17"/>
    <s v="NBN Co Sydney - AYCA-3UXW29 - 2 Ryan Lane Figtree"/>
    <m/>
    <s v="NBN Greenfields - AYCA-3UXW29 - 2 Ryan Lane Figtree"/>
    <n v="2663.09"/>
  </r>
  <r>
    <s v="INV"/>
    <s v="SECNET Sydney"/>
    <s v="INV-12146"/>
    <x v="3"/>
    <s v="SecNet"/>
    <x v="24"/>
    <d v="2017-04-27T00:00:00"/>
    <s v="Apr-17"/>
    <s v="SecNet Pty Ltd - tech labour"/>
    <m/>
    <s v="SecNet"/>
    <n v="881.25"/>
  </r>
  <r>
    <s v="INV"/>
    <s v="SECNET Sydney"/>
    <s v="INV-12146"/>
    <x v="3"/>
    <s v="SecNet"/>
    <x v="24"/>
    <d v="2017-04-27T00:00:00"/>
    <s v="Apr-17"/>
    <s v="SecNet Pty Ltd - Motorola MMode testing _x000d__x000a_completed: 13/4/2017_x000d__x000a_tech labour"/>
    <m/>
    <s v="SecNet"/>
    <n v="1116.25"/>
  </r>
  <r>
    <s v="INV"/>
    <s v="NBN Sydney"/>
    <s v="INV-12148"/>
    <x v="3"/>
    <s v="NBN A417 MDU"/>
    <x v="156"/>
    <d v="2017-04-27T00:00:00"/>
    <s v="Apr-17"/>
    <s v="NBN Co Sydney - AYCA-2TB25H - Glenmore Park 2 - 1"/>
    <m/>
    <s v="NBN A417 Greenfields - AYCA-2TB25H - Glenmore Park"/>
    <n v="725.87"/>
  </r>
  <r>
    <s v="INV"/>
    <s v="NBN Sydney"/>
    <s v="INV-12149"/>
    <x v="3"/>
    <s v="NBN A417 MDU"/>
    <x v="157"/>
    <d v="2017-04-27T00:00:00"/>
    <s v="Apr-17"/>
    <s v="NBN Co Sydney - AYCA-20T6JQ - 283 Blacktown Road, Prospect - 1"/>
    <m/>
    <s v="NBN A417 - AYCA-20T6JQ - 283 Blacktown Road, Prospect"/>
    <n v="475.52"/>
  </r>
  <r>
    <s v="INV"/>
    <s v="NBN Sydney"/>
    <s v="INV-12150"/>
    <x v="3"/>
    <s v="NBN Greenfields"/>
    <x v="158"/>
    <d v="2017-04-28T00:00:00"/>
    <s v="Apr-17"/>
    <s v="NBN Co Sydney - 2NRN03  AYCA3H6ZBG  61 Smeaton Grange Rd"/>
    <m/>
    <s v="NBN Greenfields - AYCA-3H6ZBG - 61 Smeaton Grange Rd "/>
    <n v="5986.22"/>
  </r>
  <r>
    <s v="INV"/>
    <s v="VPL Sydney"/>
    <s v="INV-12152"/>
    <x v="3"/>
    <s v="Visionstream"/>
    <x v="159"/>
    <d v="2017-04-28T00:00:00"/>
    <s v="Apr-17"/>
    <s v="Visionstream Australia P/L- NBN MIMA Project -  Works Order 2016/12/SR2059/MIMA, SAM DAL-21"/>
    <m/>
    <s v="Visionstream FttB re design 2DAL-26"/>
    <n v="2050"/>
  </r>
  <r>
    <s v="INV"/>
    <s v="VPL Sydney"/>
    <s v="INV-12153"/>
    <x v="3"/>
    <s v="Visionstream"/>
    <x v="148"/>
    <d v="2017-04-28T00:00:00"/>
    <s v="Apr-17"/>
    <s v="Visionstream Australia P/L- NBN MIMA Project -   Works Order 2016/12/SR2059/MIMA, SAM 2ROC-05"/>
    <m/>
    <s v="Visionstream FttB 2ROC-05 design"/>
    <n v="2350"/>
  </r>
  <r>
    <s v="INV"/>
    <s v="VPL Sydney"/>
    <s v="INV-12154"/>
    <x v="3"/>
    <s v="Visionstream"/>
    <x v="160"/>
    <d v="2017-04-28T00:00:00"/>
    <s v="Apr-17"/>
    <s v="Visionstream Australia P/L- NBN MIMA Project - Works Order 2016/12/SR2059/MIMA, SAM DAL-26"/>
    <m/>
    <s v="Visionstream FttB re design 2DAL-21"/>
    <n v="4100"/>
  </r>
  <r>
    <s v="INV"/>
    <s v="NBN Sydney"/>
    <s v="INV-12157"/>
    <x v="3"/>
    <s v="NBN Minor Works"/>
    <x v="149"/>
    <d v="2017-04-28T00:00:00"/>
    <s v="Apr-17"/>
    <s v="NBN Co Sydney - MW20447 - 2LJT-02-04-09 - 2 Blade, 100A Kathleen White, 2-6 Warrigal"/>
    <m/>
    <s v="Minor Works - 2LJT-02 - MW20447 - 2 Blade - 100 Kathleen"/>
    <n v="5367.09"/>
  </r>
  <r>
    <s v="INV"/>
    <s v="NBN Sydney"/>
    <s v="INV-12158"/>
    <x v="3"/>
    <s v="NBN Greenfields"/>
    <x v="141"/>
    <d v="2017-04-28T00:00:00"/>
    <s v="Apr-17"/>
    <s v="NBN Co Sydney - MW20330 - AYCA-30IORM - Luxe on Eve - 1"/>
    <m/>
    <s v="NBN Greenfields - AYCA-30IORM - Luxe on Eve"/>
    <n v="5165.2299999999996"/>
  </r>
  <r>
    <s v="INV"/>
    <s v="NBN Sydney"/>
    <s v="INV-12159"/>
    <x v="3"/>
    <s v="NBN Minor Works"/>
    <x v="161"/>
    <d v="2017-04-28T00:00:00"/>
    <s v="Apr-17"/>
    <s v="NBN Co Sydney - MW20393 - 2LIV-04 - Dapto  Liverpoool  Wollongong "/>
    <m/>
    <s v="Minor Works - 2LIV-04 - MW20393 -  Dapto, Liverpoool, Wollongong "/>
    <n v="7364.33"/>
  </r>
  <r>
    <s v="INV"/>
    <s v="NBN Sydney"/>
    <s v="INV-12160"/>
    <x v="3"/>
    <s v="NBN Greenfields"/>
    <x v="142"/>
    <d v="2017-04-28T00:00:00"/>
    <s v="Apr-17"/>
    <s v="NBN Co Sydney - MW20431 - 2GER-01 - AYCA-3BIZWX -2GER-01 - 4 Coal Street Development - 1 "/>
    <m/>
    <s v="NBN Greenfields - AYCA-3BIZWX -2GER-01 - 4 Coal Street Development "/>
    <n v="6520.18"/>
  </r>
  <r>
    <s v="INV"/>
    <s v="NBN Sydney"/>
    <s v="INV-12162"/>
    <x v="3"/>
    <s v="NBN Greenfields"/>
    <x v="162"/>
    <d v="2017-04-28T00:00:00"/>
    <s v="Apr-17"/>
    <s v="NBN Co Sydney - MW20460 - AYCA-3GD853 - 292-294 Gipps Road Keiraville"/>
    <m/>
    <s v="NBN Greenfields - AYCA-3GD853 - 292-294 Gipps Road Keiraville "/>
    <n v="3459.42"/>
  </r>
  <r>
    <s v="INV"/>
    <s v="NBN Sydney"/>
    <s v="INV-12163"/>
    <x v="3"/>
    <s v="NBN Greenfields"/>
    <x v="153"/>
    <d v="2017-04-28T00:00:00"/>
    <s v="Apr-17"/>
    <s v="NBN Co Sydney - MW20417 - AYCA-2XQPKW - Australian Int'l Academy Kellyville - 3 "/>
    <m/>
    <s v="NBN Greenfields - AYCA-2XQPKW - Australian Int'l Academy Kellyville"/>
    <n v="7195.49"/>
  </r>
  <r>
    <s v="INV"/>
    <s v="NBN Sydney"/>
    <s v="INV-12164"/>
    <x v="3"/>
    <s v="NBN Greenfields"/>
    <x v="163"/>
    <d v="2017-04-28T00:00:00"/>
    <s v="Apr-17"/>
    <s v="NBN Co Sydney - MW20511  AYCA3NR82Y  25 Devonshire  1"/>
    <m/>
    <s v="NBN Greenfields - AYCA-3NR82Y - 25 Devonshire"/>
    <n v="3841.25"/>
  </r>
  <r>
    <s v="INV"/>
    <s v="NBN Sydney"/>
    <s v="INV-12165"/>
    <x v="3"/>
    <s v="NBN Greenfields"/>
    <x v="164"/>
    <d v="2017-04-28T00:00:00"/>
    <s v="Apr-17"/>
    <s v="NBN Co Sydney - MW20446 - AYCA-406IYU- York Gardens - 1"/>
    <m/>
    <s v="NBN Greenfields - AYCA-406IYU- York Gardens"/>
    <n v="3472.69"/>
  </r>
  <r>
    <s v="INV"/>
    <s v="NBN Sydney"/>
    <s v="INV-12167"/>
    <x v="3"/>
    <s v="NBN Minor Works"/>
    <x v="151"/>
    <d v="2017-04-28T00:00:00"/>
    <s v="Apr-17"/>
    <s v="NBN Co Sydney - MW20321 - 2LIV-02 - MPS-041-076-146"/>
    <m/>
    <s v="Minor works - 2LIV-02 - MW20321 - MPS-041-076-146"/>
    <n v="7870.85"/>
  </r>
  <r>
    <s v="INV"/>
    <s v="NBN Sydney"/>
    <s v="INV-12168"/>
    <x v="3"/>
    <s v="NBN Greenfields"/>
    <x v="165"/>
    <d v="2017-04-28T00:00:00"/>
    <s v="Apr-17"/>
    <s v="NBN Co Sydney - MW20500 - AYCA-1ET803 - PEEL RIVER ESTATE"/>
    <m/>
    <s v="NBN Greenfields - AYCA-1ET803 - PEEL RIVER ESTATE"/>
    <n v="22583.200000000001"/>
  </r>
  <r>
    <s v="INV"/>
    <s v="NBN Sydney"/>
    <s v="B VISA E-TOLL April 2017"/>
    <x v="1"/>
    <s v="Overhead"/>
    <x v="3"/>
    <d v="2017-04-01T00:00:00"/>
    <s v="Apr-17"/>
    <s v="E-Toll Business Operations Centre - TAG NO 3829695 _x000d_GC GCC00K F250 Ford"/>
    <n v="25.47"/>
    <m/>
    <m/>
  </r>
  <r>
    <s v="INV"/>
    <s v="NBN Sydney"/>
    <s v="B VISA E-TOLL April 2017"/>
    <x v="5"/>
    <s v="NBN Greenfields DJC Internals"/>
    <x v="166"/>
    <d v="2017-04-01T00:00:00"/>
    <s v="Apr-17"/>
    <s v="E-Toll Business Operations Centre - TAG NO 4088301 _x000d_PJ CHV14B Toyota Hilux SYD"/>
    <n v="22.942857142857143"/>
    <m/>
    <m/>
  </r>
  <r>
    <s v="INV"/>
    <s v="NBN Sydney"/>
    <s v="B VISA E-TOLL April 2017"/>
    <x v="5"/>
    <s v="NBN Minor Works DJC Internals"/>
    <x v="167"/>
    <d v="2017-04-01T00:00:00"/>
    <s v="Apr-17"/>
    <s v="E-Toll Business Operations Centre - TAG NO 4088301 _x000d_PJ CHV14B Toyota Hilux SYD"/>
    <n v="22.942857142857143"/>
    <m/>
    <m/>
  </r>
  <r>
    <s v="INV"/>
    <s v="NBN Sydney"/>
    <s v="B VISA E-TOLL April 2017"/>
    <x v="5"/>
    <s v="NBN Greenfields DJC Internals"/>
    <x v="141"/>
    <d v="2017-04-01T00:00:00"/>
    <s v="Apr-17"/>
    <s v="E-Toll Business Operations Centre - TAG NO 4088301 _x000d_PJ CHV14B Toyota Hilux SYD"/>
    <n v="22.942857142857143"/>
    <m/>
    <m/>
  </r>
  <r>
    <s v="INV"/>
    <s v="NBN Sydney"/>
    <s v="B VISA E-TOLL April 2017"/>
    <x v="5"/>
    <s v="NBN Greenfields DJC Internals"/>
    <x v="153"/>
    <d v="2017-04-01T00:00:00"/>
    <s v="Apr-17"/>
    <s v="E-Toll Business Operations Centre - TAG NO 4088301 _x000d_PJ CHV14B Toyota Hilux SYD"/>
    <n v="22.942857142857143"/>
    <m/>
    <m/>
  </r>
  <r>
    <s v="INV"/>
    <s v="NBN Sydney"/>
    <s v="B VISA E-TOLL April 2017"/>
    <x v="5"/>
    <s v="NBN Greenfields DJC Internals"/>
    <x v="168"/>
    <d v="2017-04-01T00:00:00"/>
    <s v="Apr-17"/>
    <s v="E-Toll Business Operations Centre - TAG NO 4088301 _x000d_PJ CHV14B Toyota Hilux SYD"/>
    <n v="22.942857142857143"/>
    <m/>
    <m/>
  </r>
  <r>
    <s v="INV"/>
    <s v="NBN Sydney"/>
    <s v="B VISA E-TOLL April 2017"/>
    <x v="5"/>
    <s v="NBN Greenfields DJC Internals"/>
    <x v="156"/>
    <d v="2017-04-01T00:00:00"/>
    <s v="Apr-17"/>
    <s v="E-Toll Business Operations Centre - TAG NO 4088301 _x000d_PJ CHV14B Toyota Hilux SYD"/>
    <n v="22.942857142857143"/>
    <m/>
    <m/>
  </r>
  <r>
    <s v="INV"/>
    <s v="AARNet Sydney"/>
    <s v="B VISA E-TOLL April 2017"/>
    <x v="5"/>
    <s v="AARNet DJC "/>
    <x v="169"/>
    <d v="2017-04-01T00:00:00"/>
    <s v="Apr-17"/>
    <s v="E-Toll Business Operations Centre - TAG NO 4088301 _x000d_PJ CHV14B Toyota Hilux SYD"/>
    <n v="22.942857142857143"/>
    <m/>
    <m/>
  </r>
  <r>
    <s v="INV"/>
    <s v="NBN Sydney"/>
    <s v="BX10GL E-toll charges"/>
    <x v="5"/>
    <s v="NBN Greenfields DJC Internals"/>
    <x v="166"/>
    <d v="2017-04-01T00:00:00"/>
    <s v="Apr-17"/>
    <s v="E-Toll Business Operations Centre - KE E-toll charges from 27/02/2017 - 7/04/2017"/>
    <n v="58.054285714285712"/>
    <m/>
    <m/>
  </r>
  <r>
    <s v="INV"/>
    <s v="NBN Sydney"/>
    <s v="BX10GL E-toll charges"/>
    <x v="5"/>
    <s v="NBN Minor Works DJC Internals"/>
    <x v="167"/>
    <d v="2017-04-01T00:00:00"/>
    <s v="Apr-17"/>
    <s v="E-Toll Business Operations Centre - KE E-toll charges from 27/02/2017 - 7/04/2017"/>
    <n v="58.054285714285712"/>
    <m/>
    <m/>
  </r>
  <r>
    <s v="INV"/>
    <s v="NBN Sydney"/>
    <s v="BX10GL E-toll charges"/>
    <x v="5"/>
    <s v="NBN Greenfields DJC Internals"/>
    <x v="141"/>
    <d v="2017-04-01T00:00:00"/>
    <s v="Apr-17"/>
    <s v="E-Toll Business Operations Centre - KE E-toll charges from 27/02/2017 - 7/04/2017"/>
    <n v="58.054285714285712"/>
    <m/>
    <m/>
  </r>
  <r>
    <s v="INV"/>
    <s v="NBN Sydney"/>
    <s v="BX10GL E-toll charges"/>
    <x v="5"/>
    <s v="NBN Greenfields DJC Internals"/>
    <x v="153"/>
    <d v="2017-04-01T00:00:00"/>
    <s v="Apr-17"/>
    <s v="E-Toll Business Operations Centre - KE E-toll charges from 27/02/2017 - 7/04/2017"/>
    <n v="58.054285714285712"/>
    <m/>
    <m/>
  </r>
  <r>
    <s v="INV"/>
    <s v="NBN Sydney"/>
    <s v="BX10GL E-toll charges"/>
    <x v="5"/>
    <s v="NBN Greenfields DJC Internals"/>
    <x v="168"/>
    <d v="2017-04-01T00:00:00"/>
    <s v="Apr-17"/>
    <s v="E-Toll Business Operations Centre - KE E-toll charges from 27/02/2017 - 7/04/2017"/>
    <n v="58.054285714285712"/>
    <m/>
    <m/>
  </r>
  <r>
    <s v="INV"/>
    <s v="NBN Sydney"/>
    <s v="BX10GL E-toll charges"/>
    <x v="5"/>
    <s v="NBN Greenfields DJC Internals"/>
    <x v="156"/>
    <d v="2017-04-01T00:00:00"/>
    <s v="Apr-17"/>
    <s v="E-Toll Business Operations Centre - KE E-toll charges from 27/02/2017 - 7/04/2017"/>
    <n v="58.054285714285712"/>
    <m/>
    <m/>
  </r>
  <r>
    <s v="INV"/>
    <s v="AARNet Sydney"/>
    <s v="BX10GL E-toll charges"/>
    <x v="5"/>
    <s v="AARNet DJC "/>
    <x v="169"/>
    <d v="2017-04-01T00:00:00"/>
    <s v="Apr-17"/>
    <s v="E-Toll Business Operations Centre - KE E-toll charges from 27/02/2017 - 7/04/2017"/>
    <n v="58.054285714285712"/>
    <m/>
    <m/>
  </r>
  <r>
    <s v="INV"/>
    <s v="NBN Sydney"/>
    <s v="B VISA E-TOLL April 2017"/>
    <x v="5"/>
    <s v="NBN Greenfields DJC Internals"/>
    <x v="145"/>
    <d v="2017-04-01T00:00:00"/>
    <s v="Apr-17"/>
    <s v="E-Toll Business Operations Centre - TAG NO 3665998 GB BU59MS Toyota Hiace Van"/>
    <n v="22.82"/>
    <m/>
    <m/>
  </r>
  <r>
    <s v="INV"/>
    <s v="NBN Sydney"/>
    <s v="B VISA E-TOLL April 2018"/>
    <x v="5"/>
    <s v="NBN Greenfields DJC Internals"/>
    <x v="153"/>
    <d v="2017-04-01T00:00:00"/>
    <s v="Apr-17"/>
    <s v="E-Toll Business Operations Centre - TAG NO 3665998 GB BU59MS Toyota Hiace Van"/>
    <n v="22.82"/>
    <m/>
    <m/>
  </r>
  <r>
    <s v="INV"/>
    <s v="NBN Sydney"/>
    <s v="B VISA E-TOLL April 2019"/>
    <x v="5"/>
    <s v="NBN Greenfields DJC Internals"/>
    <x v="158"/>
    <d v="2017-04-01T00:00:00"/>
    <s v="Apr-17"/>
    <s v="E-Toll Business Operations Centre - TAG NO 3665998 GB BU59MS Toyota Hiace Van"/>
    <n v="22.82"/>
    <m/>
    <m/>
  </r>
  <r>
    <s v="INV"/>
    <s v="NBN Sydney"/>
    <s v="B VISA E-TOLL April 2020"/>
    <x v="5"/>
    <s v="NBN Greenfields DJC Internals"/>
    <x v="170"/>
    <d v="2017-04-01T00:00:00"/>
    <s v="Apr-17"/>
    <s v="E-Toll Business Operations Centre - TAG NO 3665998 GB BU59MS Toyota Hiace Van"/>
    <n v="22.82"/>
    <m/>
    <m/>
  </r>
  <r>
    <s v="INV"/>
    <s v="NBN Sydney"/>
    <s v="B VISA E-TOLL  new TAG"/>
    <x v="1"/>
    <s v="Overhead"/>
    <x v="3"/>
    <d v="2017-04-05T00:00:00"/>
    <s v="Apr-17"/>
    <s v="E-Toll Business Operations Centre - surcharge"/>
    <n v="0.32"/>
    <m/>
    <m/>
  </r>
  <r>
    <s v="INV"/>
    <s v="NBN Sydney"/>
    <s v="B VISA E-TOLL  new TAG"/>
    <x v="1"/>
    <s v="Overhead"/>
    <x v="3"/>
    <d v="2017-04-05T00:00:00"/>
    <s v="Apr-17"/>
    <s v="E-Toll Business Operations Centre - TAG NO  "/>
    <n v="36.36"/>
    <m/>
    <m/>
  </r>
  <r>
    <s v="INV"/>
    <s v="NBN Sydney"/>
    <s v="B VISA E-TOLL  new TAG"/>
    <x v="1"/>
    <s v="Overhead"/>
    <x v="3"/>
    <d v="2017-04-05T00:00:00"/>
    <s v="Apr-17"/>
    <s v="E-Toll Business Operations Centre - TAG NO _x000d__x000a_"/>
    <n v="36.36"/>
    <m/>
    <m/>
  </r>
  <r>
    <s v="INV"/>
    <s v="NBN Sydney"/>
    <s v="107094"/>
    <x v="9"/>
    <s v="Overhead Materials"/>
    <x v="119"/>
    <d v="2017-04-04T00:00:00"/>
    <s v="Apr-17"/>
    <s v="Rope Galore - Shipping"/>
    <n v="8.64"/>
    <m/>
    <m/>
  </r>
  <r>
    <s v="INV"/>
    <s v="AARNet Sydney"/>
    <s v="00070374 / PO-2716"/>
    <x v="4"/>
    <s v="AARNet DJC "/>
    <x v="169"/>
    <d v="2017-04-21T00:00:00"/>
    <s v="Apr-17"/>
    <s v="OSA Optical Solutions Australia - Freight "/>
    <n v="20"/>
    <m/>
    <m/>
  </r>
  <r>
    <s v="INV"/>
    <s v="NBN Wagga"/>
    <s v="18213459"/>
    <x v="4"/>
    <s v="NBN Greenfields DJC Internals"/>
    <x v="171"/>
    <d v="2017-04-07T00:00:00"/>
    <s v="Apr-17"/>
    <s v="Kennards Hire - 129616_x000d__x000a_Trailer - Excavator (S75660)"/>
    <m/>
    <m/>
    <m/>
  </r>
  <r>
    <s v="INV"/>
    <s v="NBN Wagga"/>
    <s v="18213459"/>
    <x v="4"/>
    <s v="NBN Greenfields DJC Internals"/>
    <x v="171"/>
    <d v="2017-04-07T00:00:00"/>
    <s v="Apr-17"/>
    <s v="Kennards Hire - B902041_x000d__x000a_Equipment Waiver Plus (Medium Equip)"/>
    <m/>
    <m/>
    <m/>
  </r>
  <r>
    <s v="INV"/>
    <s v="NBN Wagga"/>
    <s v="18213459"/>
    <x v="4"/>
    <s v="NBN Greenfields DJC Internals"/>
    <x v="171"/>
    <d v="2017-04-07T00:00:00"/>
    <s v="Apr-17"/>
    <s v="Kennards Hire - 1028698_x000d__x000a_Excavator Mini - 1.8T - (57808D)_x000d__x000a_5/04/2017 - 7/04/2017"/>
    <m/>
    <m/>
    <m/>
  </r>
  <r>
    <s v="INV"/>
    <s v="NBN Sydney"/>
    <s v="869128"/>
    <x v="1"/>
    <s v="Overhead"/>
    <x v="3"/>
    <d v="2017-04-10T00:00:00"/>
    <s v="Apr-17"/>
    <s v="Mitronics - Digital Support Agreement - Chargeable"/>
    <n v="39.950000000000003"/>
    <m/>
    <m/>
  </r>
  <r>
    <s v="INV"/>
    <s v="NBN Sydney"/>
    <s v="869128"/>
    <x v="1"/>
    <s v="Overhead"/>
    <x v="3"/>
    <d v="2017-04-10T00:00:00"/>
    <s v="Apr-17"/>
    <s v="Mitronics - S/N AO2E041005704- Colour_x000d__x000a_Last Read - 204,410 8/3/17_x000d__x000a_Current Read - 208,750 Prints - 4,340"/>
    <n v="486.08"/>
    <m/>
    <m/>
  </r>
  <r>
    <s v="INV"/>
    <s v="NBN Sydney"/>
    <s v="869128"/>
    <x v="1"/>
    <s v="Overhead"/>
    <x v="3"/>
    <d v="2017-04-10T00:00:00"/>
    <s v="Apr-17"/>
    <s v="Mitronics - S/N AO2E041005704- Black _x000d__x000a_Last read- 207,676 8/3/17_x000d__x000a_Current Read - 208,878 Prints - 1,202"/>
    <n v="12.37"/>
    <m/>
    <m/>
  </r>
  <r>
    <s v="INV"/>
    <s v="NBN Sydney"/>
    <s v="7310/C195065"/>
    <x v="4"/>
    <s v="NBN Greenfields DJC Internals"/>
    <x v="153"/>
    <d v="2017-04-04T00:00:00"/>
    <s v="Apr-17"/>
    <s v="Bunnings Warehouse - NBN MWA - Aust Intl Academy_x000d__x000a_Concrete Mix Quick Set 20KG"/>
    <n v="14.55"/>
    <m/>
    <m/>
  </r>
  <r>
    <s v="INV"/>
    <s v="NBN Sydney"/>
    <s v="7310/C195065"/>
    <x v="4"/>
    <s v="NBN Greenfields DJC Internals"/>
    <x v="153"/>
    <d v="2017-04-04T00:00:00"/>
    <s v="Apr-17"/>
    <s v="Bunnings Warehouse - NBN MWA - Aust Intl Academy_x000d__x000a_Bitumen Quick Repair Dingo 20KG TBA1"/>
    <n v="36.270000000000003"/>
    <m/>
    <m/>
  </r>
  <r>
    <s v="INV"/>
    <s v="NBN Sydney"/>
    <s v="107094"/>
    <x v="1"/>
    <s v="Overhead Credit"/>
    <x v="119"/>
    <d v="2017-04-04T00:00:00"/>
    <s v="Apr-17"/>
    <s v="Rope Galore - Coupon Code (123rope4me)"/>
    <m/>
    <s v="Overhead Credit"/>
    <n v="109.41"/>
  </r>
  <r>
    <s v="INV"/>
    <s v="NBN Sydney"/>
    <s v="107094"/>
    <x v="9"/>
    <s v="Overhead Materials"/>
    <x v="119"/>
    <d v="2017-04-04T00:00:00"/>
    <s v="Apr-17"/>
    <s v="Rope Galore - 1 Pallet or 45 x 400m Coils x 06mm Donaghys Telstra approved Rope Free Delivery"/>
    <n v="1815.45"/>
    <m/>
    <m/>
  </r>
  <r>
    <s v="INV"/>
    <s v="NBN Sydney"/>
    <s v="107094"/>
    <x v="9"/>
    <s v="Overhead Materials"/>
    <x v="119"/>
    <d v="2017-04-04T00:00:00"/>
    <s v="Apr-17"/>
    <s v="Rope Galore - 5 x 03mm x 1000m Reel of PP Mono Braid Orange"/>
    <n v="372.73"/>
    <m/>
    <m/>
  </r>
  <r>
    <s v="INV"/>
    <s v="NBN Sydney"/>
    <s v="9176529"/>
    <x v="4"/>
    <s v="NBN Greenfields DJC Internals"/>
    <x v="153"/>
    <d v="2017-04-05T00:00:00"/>
    <s v="Apr-17"/>
    <s v="Dencol Transport - 1T Fill Sand"/>
    <n v="32"/>
    <m/>
    <m/>
  </r>
  <r>
    <s v="INV"/>
    <s v="NBN Sydney"/>
    <s v="605001-762"/>
    <x v="1"/>
    <s v="Overhead Credit"/>
    <x v="119"/>
    <d v="2017-04-06T00:00:00"/>
    <s v="Apr-17"/>
    <s v="TLE Electrical - KRO6451-2-077-10_x000d__x000a_Test Cord 2Pole 2Banana Socket_x000d__x000a_"/>
    <m/>
    <s v="Overhead Credit"/>
    <n v="59.55"/>
  </r>
  <r>
    <s v="INV"/>
    <s v="NBN Sydney"/>
    <s v="095-06842-7145"/>
    <x v="4"/>
    <s v="NBN Greenfields DJC Internals"/>
    <x v="153"/>
    <d v="2017-04-06T00:00:00"/>
    <s v="Apr-17"/>
    <s v="Bunnings Warehouse - Soil Improver Hortico 25L Top Dress Mix 52690"/>
    <n v="14.36"/>
    <m/>
    <m/>
  </r>
  <r>
    <s v="INV"/>
    <s v="NBN Sydney"/>
    <s v="095-06842-7145"/>
    <x v="4"/>
    <s v="NBN Greenfields DJC Internals"/>
    <x v="153"/>
    <d v="2017-04-06T00:00:00"/>
    <s v="Apr-17"/>
    <s v="Bunnings Warehouse - Soil Improver Hortico 25L Garden Soil 52691"/>
    <n v="21.76"/>
    <m/>
    <m/>
  </r>
  <r>
    <s v="INV"/>
    <s v="NBN Sydney"/>
    <s v="100052509"/>
    <x v="1"/>
    <s v="Test Equipment &amp; Tools"/>
    <x v="27"/>
    <d v="2017-04-06T00:00:00"/>
    <s v="Apr-17"/>
    <s v="AusOptic - 3m SID Test lead 2 Pole - 2 Banana Sockets"/>
    <n v="165.3"/>
    <m/>
    <m/>
  </r>
  <r>
    <s v="INV"/>
    <s v="NBN Sydney"/>
    <s v="604883-762 / PO2664"/>
    <x v="9"/>
    <s v="Overhead Materials"/>
    <x v="119"/>
    <d v="2017-04-06T00:00:00"/>
    <s v="Apr-17"/>
    <s v="TLE Electrical - KRO6451-2-077-10_x000d__x000a_Test Cord 2Pole 2Banana Socket_x000d__x000a_"/>
    <n v="89.33"/>
    <m/>
    <m/>
  </r>
  <r>
    <s v="INV"/>
    <s v="NBN Sydney"/>
    <s v="275832-235"/>
    <x v="9"/>
    <s v="Overhead Materials"/>
    <x v="119"/>
    <d v="2017-04-06T00:00:00"/>
    <s v="Apr-17"/>
    <s v="TLE Electrical - TEL490/5023_x000d__x000a_Supply 500m of Telstra Cable 2/0.40 PEIFLI/PE Prysmian 5447224"/>
    <n v="232.44"/>
    <m/>
    <m/>
  </r>
  <r>
    <s v="INV"/>
    <s v="NBN Sydney"/>
    <s v="7347/01153785"/>
    <x v="4"/>
    <s v="NBN Greenfields DJC Internals"/>
    <x v="153"/>
    <d v="2017-04-07T00:00:00"/>
    <s v="Apr-17"/>
    <s v="Bunnings Warehouse - Bitumen Quick Repair Dingo 20kg TBA1"/>
    <n v="172.27"/>
    <m/>
    <m/>
  </r>
  <r>
    <s v="INV"/>
    <s v="NBN Sydney"/>
    <s v="7347/01587819"/>
    <x v="4"/>
    <s v="NBN Greenfields DJC Internals"/>
    <x v="153"/>
    <d v="2017-04-07T00:00:00"/>
    <s v="Apr-17"/>
    <s v="Bunnings Warehouse - Bitumen Quick Repair Dingo 20kg TBA1"/>
    <n v="120.59"/>
    <m/>
    <m/>
  </r>
  <r>
    <s v="INV"/>
    <s v="NBN Sydney"/>
    <s v="7347/01587750"/>
    <x v="4"/>
    <s v="NBN Greenfields DJC Internals"/>
    <x v="153"/>
    <d v="2017-04-07T00:00:00"/>
    <s v="Apr-17"/>
    <s v="Bunnings Warehouse - Bitumen Quick Repair Dingo 20kg TBA1"/>
    <n v="172.27"/>
    <m/>
    <m/>
  </r>
  <r>
    <s v="INV"/>
    <s v="NBN Sydney"/>
    <s v="013-9667-7145"/>
    <x v="4"/>
    <s v="NBN Greenfields DJC Internals"/>
    <x v="153"/>
    <d v="2017-04-10T00:00:00"/>
    <s v="Apr-17"/>
    <s v="Bunnings Warehouse - Concrete Mix Quick Set 20kg Aussie Quick Set"/>
    <n v="29.09"/>
    <m/>
    <m/>
  </r>
  <r>
    <s v="INV"/>
    <s v="AARNet Sydney"/>
    <s v="233232"/>
    <x v="4"/>
    <s v="AARNet DJC "/>
    <x v="169"/>
    <d v="2017-04-11T00:00:00"/>
    <s v="Apr-17"/>
    <s v="Tapex Pty Ltd - 350153_x000d__x000a_Aarnet Wavelay 100mm x 2000m"/>
    <n v="440"/>
    <m/>
    <m/>
  </r>
  <r>
    <s v="INV"/>
    <s v="NBN Sydney"/>
    <s v="SI-500187"/>
    <x v="9"/>
    <s v="Overhead Materials"/>
    <x v="119"/>
    <d v="2017-04-12T00:00:00"/>
    <s v="Apr-17"/>
    <s v="Service Stream Communications Pty Ltd - Material Transaction Fee"/>
    <n v="2.5"/>
    <m/>
    <m/>
  </r>
  <r>
    <s v="INV"/>
    <s v="NBN Sydney"/>
    <s v="SI-500187"/>
    <x v="9"/>
    <s v="Overhead Materials"/>
    <x v="119"/>
    <d v="2017-04-12T00:00:00"/>
    <s v="Apr-17"/>
    <s v="Service Stream Communications Pty Ltd - 07300295_x000d__x000a_Bend 50mm 22.5Deg 305Rad"/>
    <n v="126"/>
    <m/>
    <m/>
  </r>
  <r>
    <s v="INV"/>
    <s v="NBN Sydney"/>
    <s v="33"/>
    <x v="9"/>
    <s v="Overhead Materials"/>
    <x v="119"/>
    <d v="2017-04-13T00:00:00"/>
    <s v="Apr-17"/>
    <s v="Mark's Landscaping Supplies Pty Ltd - 3 x Q/Set"/>
    <n v="21.82"/>
    <m/>
    <m/>
  </r>
  <r>
    <s v="INV"/>
    <s v="NBN Sydney"/>
    <s v="71 A88190"/>
    <x v="9"/>
    <s v="Overhead Materials"/>
    <x v="119"/>
    <d v="2017-04-13T00:00:00"/>
    <s v="Apr-17"/>
    <s v="Middy's Data &amp; Electrical - Gas Cylinder TDUX Box of 10"/>
    <n v="39.9"/>
    <m/>
    <m/>
  </r>
  <r>
    <s v="INV"/>
    <s v="NBN Sydney"/>
    <s v="71 A88190"/>
    <x v="9"/>
    <s v="Overhead Materials"/>
    <x v="119"/>
    <d v="2017-04-13T00:00:00"/>
    <s v="Apr-17"/>
    <s v="Middy's Data &amp; Electrical - TDUX Inflation Kit"/>
    <n v="430"/>
    <m/>
    <m/>
  </r>
  <r>
    <s v="INV"/>
    <s v="NBN Sydney"/>
    <s v="19908"/>
    <x v="9"/>
    <s v="Overhead Materials"/>
    <x v="119"/>
    <d v="2017-04-18T00:00:00"/>
    <s v="Apr-17"/>
    <s v="ISG Management Pty Ltd - 7300091_x000d__x000a_Pipe, PVC 20mm ID 4.5m L each"/>
    <n v="137"/>
    <m/>
    <m/>
  </r>
  <r>
    <s v="INV"/>
    <s v="AARNet Sydney"/>
    <s v="ROADS/173/2017///ROP"/>
    <x v="4"/>
    <s v="AARNet DJC "/>
    <x v="169"/>
    <d v="2017-04-20T00:00:00"/>
    <s v="Apr-17"/>
    <s v="City of Parramatta - Road Opening Application Fee"/>
    <n v="76.91"/>
    <m/>
    <m/>
  </r>
  <r>
    <s v="INV"/>
    <s v="AARNet Sydney"/>
    <s v="ROADS/173/2017///ROP"/>
    <x v="4"/>
    <s v="AARNet DJC "/>
    <x v="169"/>
    <d v="2017-04-20T00:00:00"/>
    <s v="Apr-17"/>
    <s v="City of Parramatta - road occupancy fee"/>
    <n v="52"/>
    <m/>
    <m/>
  </r>
  <r>
    <s v="INV"/>
    <s v="AARNet Sydney"/>
    <s v="10021158"/>
    <x v="4"/>
    <s v="AARNet DJC "/>
    <x v="169"/>
    <d v="2017-04-20T00:00:00"/>
    <s v="Apr-17"/>
    <s v="Secure Parking - Parking at Riverbank 20/04/2017 2h26m"/>
    <n v="8.18"/>
    <m/>
    <m/>
  </r>
  <r>
    <s v="INV"/>
    <s v="AARNet Sydney"/>
    <s v="00070374 / PO-2716"/>
    <x v="4"/>
    <s v="AARNet DJC "/>
    <x v="169"/>
    <d v="2017-04-21T00:00:00"/>
    <s v="Apr-17"/>
    <s v="OSA Optical Solutions Australia - RTCG Adap Plate SC12Z +Latches"/>
    <n v="48"/>
    <m/>
    <m/>
  </r>
  <r>
    <s v="INV"/>
    <s v="AARNet Sydney"/>
    <s v="00070374 / PO-2716"/>
    <x v="4"/>
    <s v="AARNet DJC "/>
    <x v="169"/>
    <d v="2017-04-21T00:00:00"/>
    <s v="Apr-17"/>
    <s v="OSA Optical Solutions Australia - RTC2G-0-48-FS "/>
    <n v="250"/>
    <m/>
    <m/>
  </r>
  <r>
    <s v="INV"/>
    <s v="AARNet Sydney"/>
    <s v="00070374 / PO-2716"/>
    <x v="4"/>
    <s v="AARNet DJC "/>
    <x v="169"/>
    <d v="2017-04-21T00:00:00"/>
    <s v="Apr-17"/>
    <s v="OSA Optical Solutions Australia - SC SM Simplex Through Adapter "/>
    <n v="184.8"/>
    <m/>
    <m/>
  </r>
  <r>
    <s v="INV"/>
    <s v="AARNet Sydney"/>
    <s v="00070374 / PO-2716"/>
    <x v="4"/>
    <s v="AARNet DJC "/>
    <x v="169"/>
    <d v="2017-04-21T00:00:00"/>
    <s v="Apr-17"/>
    <s v="OSA Optical Solutions Australia - WTCR-0-96-FS-SOSA2 "/>
    <n v="352.85"/>
    <m/>
    <m/>
  </r>
  <r>
    <s v="INV"/>
    <s v="AARNet Sydney"/>
    <s v="00070374 / PO-2716"/>
    <x v="4"/>
    <s v="AARNet DJC "/>
    <x v="169"/>
    <d v="2017-04-21T00:00:00"/>
    <s v="Apr-17"/>
    <s v="OSA Optical Solutions Australia - SC SM 900UM 2 Meter Pigtail, 12 Packet, Colour Coded"/>
    <n v="240"/>
    <m/>
    <m/>
  </r>
  <r>
    <s v="INV"/>
    <s v="AARNet Sydney"/>
    <s v="00070374 / PO-2716"/>
    <x v="4"/>
    <s v="AARNet DJC "/>
    <x v="169"/>
    <d v="2017-04-21T00:00:00"/>
    <s v="Apr-17"/>
    <s v="OSA Optical Solutions Australia - FIST-GC02-OSK-LTS"/>
    <n v="40"/>
    <m/>
    <m/>
  </r>
  <r>
    <s v="INV"/>
    <s v="AARNet Sydney"/>
    <s v="00070374 / PO-2716"/>
    <x v="4"/>
    <s v="AARNet DJC "/>
    <x v="169"/>
    <d v="2017-04-21T00:00:00"/>
    <s v="Apr-17"/>
    <s v="OSA Optical Solutions Australia - FIST-GC02-BC6-NV"/>
    <n v="321"/>
    <m/>
    <m/>
  </r>
  <r>
    <s v="INV"/>
    <s v="AARNet Sydney"/>
    <s v="00070374 / PO-2716"/>
    <x v="4"/>
    <s v="AARNet DJC "/>
    <x v="169"/>
    <d v="2017-04-21T00:00:00"/>
    <s v="Apr-17"/>
    <s v="OSA Optical Solutions Australia - FIST-SOSA2-4SE-S "/>
    <n v="339.5"/>
    <m/>
    <m/>
  </r>
  <r>
    <s v="INV"/>
    <s v="AARNet Sydney"/>
    <s v="00070374 / PO-2716"/>
    <x v="4"/>
    <s v="AARNet DJC "/>
    <x v="169"/>
    <d v="2017-04-21T00:00:00"/>
    <s v="Apr-17"/>
    <s v="OSA Optical Solutions Australia - FIST-Mounting-Kit-Wall-PE-Strap"/>
    <n v="81"/>
    <m/>
    <m/>
  </r>
  <r>
    <s v="INV"/>
    <s v="AARNet Sydney"/>
    <s v="00070374 / PO-2716"/>
    <x v="4"/>
    <s v="AARNet DJC "/>
    <x v="169"/>
    <d v="2017-04-21T00:00:00"/>
    <s v="Apr-17"/>
    <s v="OSA Optical Solutions Australia - SMOUV-1120-02 45mm Splice Protectors"/>
    <n v="241.5"/>
    <m/>
    <m/>
  </r>
  <r>
    <s v="INV"/>
    <s v="AARNet Sydney"/>
    <s v="00070409 / PO2716"/>
    <x v="4"/>
    <s v="AARNet DJC "/>
    <x v="169"/>
    <d v="2017-04-26T00:00:00"/>
    <s v="Apr-17"/>
    <s v="OSA Optical Solutions Australia - AMP-2-1154033-9_x000d__x000a_RTCG Adap Plate SCD12Z+ latches right hand side 1-12"/>
    <n v="40"/>
    <m/>
    <m/>
  </r>
  <r>
    <s v="INV"/>
    <s v="AARNet Sydney"/>
    <s v="00070409 / PO2716"/>
    <x v="4"/>
    <s v="AARNet DJC "/>
    <x v="169"/>
    <d v="2017-04-26T00:00:00"/>
    <s v="Apr-17"/>
    <s v="OSA Optical Solutions Australia - OSA-SCA-SM-DTA_x000d__x000a_SC/APC SM Duplex Through Adapter"/>
    <n v="139.91999999999999"/>
    <m/>
    <m/>
  </r>
  <r>
    <s v="INV"/>
    <s v="AARNet Sydney"/>
    <s v="00070409 / PO2716"/>
    <x v="4"/>
    <s v="AARNet DJC "/>
    <x v="169"/>
    <d v="2017-04-26T00:00:00"/>
    <s v="Apr-17"/>
    <s v="OSA Optical Solutions Australia - OSA1-SCA00-SM-910-2_x000d__x000a_SC/APC SM 900um 2 meter pigtail, 12 packet, colour coded"/>
    <n v="240"/>
    <m/>
    <m/>
  </r>
  <r>
    <s v="INV"/>
    <s v="AARNet Sydney"/>
    <s v="00070409 / PO2716"/>
    <x v="4"/>
    <s v="AARNet DJC "/>
    <x v="169"/>
    <d v="2017-04-26T00:00:00"/>
    <s v="Apr-17"/>
    <s v="OSA Optical Solutions Australia - AMP-2-1154033-8_x000d__x000a_RTCG Adap Plate SCD12Z+ Latches left hand side 1-12"/>
    <n v="40"/>
    <m/>
    <m/>
  </r>
  <r>
    <s v="INV"/>
    <s v="AARNet Sydney"/>
    <s v="00070409 / PO2716"/>
    <x v="4"/>
    <s v="AARNet DJC "/>
    <x v="169"/>
    <d v="2017-04-26T00:00:00"/>
    <s v="Apr-17"/>
    <s v="OSA Optical Solutions Australia - AMP-742376-000_x000d__x000a_Fist-GC02-BE6-NV"/>
    <n v="402"/>
    <m/>
    <m/>
  </r>
  <r>
    <s v="INV"/>
    <s v="AARNet Sydney"/>
    <s v="00070409 / PO2716"/>
    <x v="4"/>
    <s v="AARNet DJC "/>
    <x v="169"/>
    <d v="2017-04-26T00:00:00"/>
    <s v="Apr-17"/>
    <s v="OSA Optical Solutions Australia - AMP-536788-000_x000d__x000a_Fist-SOSA-4SE-S"/>
    <n v="97"/>
    <m/>
    <m/>
  </r>
  <r>
    <s v="INV"/>
    <s v="AARNet Sydney"/>
    <s v="00070409 / PO2716"/>
    <x v="4"/>
    <s v="AARNet DJC "/>
    <x v="169"/>
    <d v="2017-04-26T00:00:00"/>
    <s v="Apr-17"/>
    <s v="OSA Optical Solutions Australia - AMP-1154505-1_x000d__x000a_Fist-Mounting Kit-BE6- (PE-Strap_"/>
    <n v="77"/>
    <m/>
    <m/>
  </r>
  <r>
    <s v="INV"/>
    <s v="AARNet Sydney"/>
    <s v="00070447"/>
    <x v="4"/>
    <s v="Overhead Credit"/>
    <x v="119"/>
    <d v="2017-04-27T00:00:00"/>
    <s v="Apr-17"/>
    <s v="OSA Optical Solutions Australia - FIST-Mounting-Kit-Wall-PE-Strap"/>
    <m/>
    <s v="Overhead Credit"/>
    <n v="81"/>
  </r>
  <r>
    <s v="INV"/>
    <s v="AARNet Sydney"/>
    <s v="00070447"/>
    <x v="4"/>
    <s v="Overhead Credit"/>
    <x v="119"/>
    <d v="2017-04-27T00:00:00"/>
    <s v="Apr-17"/>
    <s v="OSA Optical Solutions Australia - FIST-GC02-BC6-NV"/>
    <m/>
    <s v="Overhead Credit"/>
    <n v="321"/>
  </r>
  <r>
    <s v="INV"/>
    <s v="AARNet Sydney"/>
    <s v="00070447"/>
    <x v="4"/>
    <s v="Overhead Credit"/>
    <x v="119"/>
    <d v="2017-04-27T00:00:00"/>
    <s v="Apr-17"/>
    <s v="OSA Optical Solutions Australia - RTCG Adap Plate SC12Z +Latches"/>
    <m/>
    <s v="Overhead Credit"/>
    <n v="48"/>
  </r>
  <r>
    <s v="INV"/>
    <s v="AARNet Sydney"/>
    <s v="00070447"/>
    <x v="4"/>
    <s v="Overhead Credit"/>
    <x v="119"/>
    <d v="2017-04-27T00:00:00"/>
    <s v="Apr-17"/>
    <s v="OSA Optical Solutions Australia - SC SM 900UM 2 Meter Pigtail, 12 Packet, Colour Coded"/>
    <m/>
    <s v="Overhead Credit"/>
    <n v="240"/>
  </r>
  <r>
    <s v="INV"/>
    <s v="AARNet Sydney"/>
    <s v="00070447"/>
    <x v="4"/>
    <s v="Overhead Credit"/>
    <x v="119"/>
    <d v="2017-04-27T00:00:00"/>
    <s v="Apr-17"/>
    <s v="OSA Optical Solutions Australia - SC SM Simplex Through Adapter "/>
    <m/>
    <s v="Overhead Credit"/>
    <n v="184.8"/>
  </r>
  <r>
    <s v="INV"/>
    <s v="AARNet Sydney"/>
    <s v="4908133"/>
    <x v="4"/>
    <s v="AARNet DJC "/>
    <x v="169"/>
    <d v="2017-04-27T00:00:00"/>
    <s v="Apr-17"/>
    <s v="City of Parramatta - Road/Asphalt establishment fee"/>
    <n v="129.91"/>
    <m/>
    <m/>
  </r>
  <r>
    <s v="INV"/>
    <s v="AARNet Sydney"/>
    <s v="4908133"/>
    <x v="4"/>
    <s v="AARNet DJC "/>
    <x v="169"/>
    <d v="2017-04-27T00:00:00"/>
    <s v="Apr-17"/>
    <s v="City of Parramatta - Concrete establishment fee"/>
    <n v="129.91"/>
    <m/>
    <m/>
  </r>
  <r>
    <s v="INV"/>
    <s v="AARNet Sydney"/>
    <s v="4908133"/>
    <x v="4"/>
    <s v="AARNet DJC "/>
    <x v="169"/>
    <d v="2017-04-27T00:00:00"/>
    <s v="Apr-17"/>
    <s v="City of Parramatta - Footpaths - Brick Pavers (m2)"/>
    <n v="1478.18"/>
    <m/>
    <m/>
  </r>
  <r>
    <s v="INV"/>
    <s v="AARNet Sydney"/>
    <s v="4908133"/>
    <x v="4"/>
    <s v="AARNet DJC "/>
    <x v="169"/>
    <d v="2017-04-27T00:00:00"/>
    <s v="Apr-17"/>
    <s v="City of Parramatta - Other/Surcharge"/>
    <n v="712.36"/>
    <m/>
    <m/>
  </r>
  <r>
    <s v="INV"/>
    <s v="AARNet Sydney"/>
    <s v="4908133"/>
    <x v="4"/>
    <s v="AARNet DJC "/>
    <x v="169"/>
    <d v="2017-04-27T00:00:00"/>
    <s v="Apr-17"/>
    <s v="City of Parramatta - Footpaths - Bitumen/Asphalt"/>
    <n v="896.36"/>
    <m/>
    <m/>
  </r>
  <r>
    <s v="INV"/>
    <s v="AARNet Sydney"/>
    <s v="8068000033"/>
    <x v="4"/>
    <s v="AARNet DJC "/>
    <x v="169"/>
    <d v="2017-04-28T00:00:00"/>
    <s v="Apr-17"/>
    <s v="Prysmian Australia Pty Ltd - YAUX26F216SLTN_x000d__x000a_216F SM LT UG Sm@rtcore NY (AARNet)_x000d__x000a_F216SLTNX26"/>
    <n v="3092.25"/>
    <m/>
    <m/>
  </r>
  <r>
    <s v="INV"/>
    <s v="AARNet Sydney"/>
    <s v="8068000033"/>
    <x v="4"/>
    <s v="AARNet DJC "/>
    <x v="169"/>
    <d v="2017-04-28T00:00:00"/>
    <s v="Apr-17"/>
    <s v="Prysmian Australia Pty Ltd - YAUX26F48SLTN_x000d__x000a_48F SM LT UG PE NY Sm@rtcore (AARNet)_x000d__x000a_F48SLTNX26"/>
    <n v="522.37"/>
    <m/>
    <m/>
  </r>
  <r>
    <s v="INV"/>
    <s v="NBN Sydney"/>
    <s v="INV-0109"/>
    <x v="1"/>
    <s v="Overhead"/>
    <x v="3"/>
    <d v="2017-04-02T00:00:00"/>
    <s v="Apr-17"/>
    <s v="Warriewood Consultancy - Datateks Day Rate"/>
    <n v="9642.2999999999993"/>
    <m/>
    <m/>
  </r>
  <r>
    <s v="INV"/>
    <s v="NBN Sydney"/>
    <s v="2145"/>
    <x v="0"/>
    <s v="NBN Greenfields DJC Internals"/>
    <x v="162"/>
    <d v="2017-04-10T00:00:00"/>
    <s v="Apr-17"/>
    <s v="Schokman Pty Limited - NBN MWA Cnr Gipps Rd/William St_x000d__x000a_Vac truck used to pump out water from manhole._x000d__x000a_$270 had to keep vac running while hauling cable._x000d__x000a_$390 Waste disposal"/>
    <n v="660"/>
    <m/>
    <m/>
  </r>
  <r>
    <s v="INV"/>
    <s v="NBN Sydney"/>
    <s v="INV-0111"/>
    <x v="1"/>
    <s v="Overhead"/>
    <x v="3"/>
    <d v="2017-04-16T00:00:00"/>
    <s v="Apr-17"/>
    <s v="Warriewood Consultancy - Datateks Day Rate"/>
    <n v="9160.19"/>
    <m/>
    <m/>
  </r>
  <r>
    <s v="INV"/>
    <s v="VPL Sydney"/>
    <s v="0002"/>
    <x v="0"/>
    <s v="Visionstream DJC"/>
    <x v="159"/>
    <d v="2017-04-20T00:00:00"/>
    <s v="Apr-17"/>
    <s v="Rainer James Barrozo - 2DAL-26-00-MPS-022 (11-Apr-17)"/>
    <n v="135"/>
    <m/>
    <m/>
  </r>
  <r>
    <s v="INV"/>
    <s v="VPL Sydney"/>
    <s v="0002"/>
    <x v="0"/>
    <s v="Visionstream DJC"/>
    <x v="159"/>
    <d v="2017-04-20T00:00:00"/>
    <s v="Apr-17"/>
    <s v="Rainer James Barrozo - 2DAL-26-00-MPS-007 (18-Apr-17)"/>
    <n v="135"/>
    <m/>
    <m/>
  </r>
  <r>
    <s v="INV"/>
    <s v="VPL Sydney"/>
    <s v="0002"/>
    <x v="0"/>
    <s v="Visionstream DJC"/>
    <x v="148"/>
    <d v="2017-04-20T00:00:00"/>
    <s v="Apr-17"/>
    <s v="Rainer James Barrozo - 2ROC-51-00-MPS-001 (08-Mar-17)"/>
    <n v="135"/>
    <m/>
    <m/>
  </r>
  <r>
    <s v="INV"/>
    <s v="VPL Sydney"/>
    <s v="0002"/>
    <x v="0"/>
    <s v="Visionstream DJC"/>
    <x v="160"/>
    <d v="2017-04-20T00:00:00"/>
    <s v="Apr-17"/>
    <s v="Rainer James Barrozo - 2DAL-21-00-MPS-017 (28-Mar-17)"/>
    <n v="180"/>
    <m/>
    <m/>
  </r>
  <r>
    <s v="INV"/>
    <s v="NBN Sydney"/>
    <s v="2180"/>
    <x v="0"/>
    <s v="NBN Greenfields DJC"/>
    <x v="172"/>
    <d v="2017-04-28T00:00:00"/>
    <s v="Apr-17"/>
    <s v="Schokman Pty Limited - NBN MWA_x000d_ MW20378 - AYCA-2LPEZ4 206 Messiter St Campsie - as per supplied summary"/>
    <n v="1165.5"/>
    <m/>
    <m/>
  </r>
  <r>
    <s v="INV"/>
    <s v="NBN Sydney"/>
    <s v="01803422"/>
    <x v="0"/>
    <s v="NBN Minor Works DJC"/>
    <x v="120"/>
    <d v="2017-04-28T00:00:00"/>
    <s v="Apr-17"/>
    <s v="5SMITHS - NBN MWA_x000d_ 2CBT-01-14 &amp; 2CBT-04-14 Splicing and Testing 12F Ribbon Cable"/>
    <n v="831"/>
    <m/>
    <m/>
  </r>
  <r>
    <s v="INV"/>
    <s v="NBN Sydney"/>
    <s v="01803421"/>
    <x v="0"/>
    <s v="NBN Greenfields DJC"/>
    <x v="165"/>
    <d v="2017-04-28T00:00:00"/>
    <s v="Apr-17"/>
    <s v="5SMITHS - NBN MWA _x000d_ TAM - AYCA-1ET803 Peel River Estate Tamworth_x000d__x000a_Cable preparation, installation, splicing and testing"/>
    <n v="2955.56"/>
    <m/>
    <m/>
  </r>
  <r>
    <s v="INV"/>
    <s v="NBN Sydney"/>
    <s v="2179"/>
    <x v="0"/>
    <s v="NBN Minor Works DJC"/>
    <x v="161"/>
    <d v="2017-04-28T00:00:00"/>
    <s v="Apr-17"/>
    <s v="Schokman Pty Limited - Minor Works NBN Liverpool, Dapto &amp; Wollongong  "/>
    <n v="10764"/>
    <m/>
    <m/>
  </r>
  <r>
    <s v="INV"/>
    <s v="NBN Sydney"/>
    <s v="17/995"/>
    <x v="0"/>
    <s v="NBN Greenfields DJC"/>
    <x v="165"/>
    <d v="2017-04-28T00:00:00"/>
    <s v="Apr-17"/>
    <s v="KSJDA Pty Ltd - NBN MWA_x000d_ AYCA-1ET803 Peel River Estate Tamworth 06/04/17 Works total (excluding ACM Removal)"/>
    <n v="11841.31"/>
    <m/>
    <m/>
  </r>
  <r>
    <s v="INV"/>
    <s v="NBN Sydney"/>
    <s v="17/994"/>
    <x v="0"/>
    <s v="NBN Greenfields DJC"/>
    <x v="165"/>
    <d v="2017-04-28T00:00:00"/>
    <s v="Apr-17"/>
    <s v="KSJDA Pty Ltd - NBN MWA_x000d_ AYCA-1ET803 Peel River Estate Tamworth 6/4/17_x000d__x000a_ACM Pit Removal "/>
    <n v="750"/>
    <m/>
    <m/>
  </r>
  <r>
    <s v="INV"/>
    <s v="NBN Sydney"/>
    <s v="INV-0112"/>
    <x v="1"/>
    <s v="Overhead"/>
    <x v="3"/>
    <d v="2017-04-30T00:00:00"/>
    <s v="Apr-17"/>
    <s v="Warriewood Consultancy - Datateks Day Rate"/>
    <n v="7713.84"/>
    <m/>
    <m/>
  </r>
  <r>
    <s v="INV"/>
    <s v="NBN Sydney"/>
    <s v="56234"/>
    <x v="1"/>
    <s v="Overhead"/>
    <x v="3"/>
    <d v="2017-04-02T00:00:00"/>
    <s v="Apr-17"/>
    <s v="Target - ACh - Mens Shoe"/>
    <n v="80.91"/>
    <m/>
    <m/>
  </r>
  <r>
    <s v="INV"/>
    <s v="NBN Sydney"/>
    <s v="BAB810683"/>
    <x v="1"/>
    <s v="Overhead"/>
    <x v="3"/>
    <d v="2017-04-12T00:00:00"/>
    <s v="Apr-17"/>
    <s v="Workscene - Narellan - GB - Black Boot Puma LU"/>
    <n v="163.63999999999999"/>
    <m/>
    <m/>
  </r>
  <r>
    <s v="INV"/>
    <s v="NBN Sydney"/>
    <s v="INV166780"/>
    <x v="1"/>
    <s v="Overhead"/>
    <x v="3"/>
    <d v="2017-04-18T00:00:00"/>
    <s v="Apr-17"/>
    <s v="Southland Supply Group - AD1281/09.L_x000d__x000a_Mamba Nylon Latex Grip Coated Gloves - Large"/>
    <n v="46.8"/>
    <m/>
    <m/>
  </r>
  <r>
    <s v="INV"/>
    <s v="NBN Sydney"/>
    <s v="93338545BX9918111"/>
    <x v="1"/>
    <s v="Overhead"/>
    <x v="3"/>
    <d v="2017-04-23T00:00:00"/>
    <s v="Apr-17"/>
    <s v="SkillsAcq PTY LTD - YT - Telstra Induction"/>
    <n v="36.36"/>
    <m/>
    <m/>
  </r>
  <r>
    <s v="PE"/>
    <s v="NBN Sydney"/>
    <s v="Payroll Expense Journal - PD-414"/>
    <x v="5"/>
    <s v="NBN Greenfields DJC Internals"/>
    <x v="137"/>
    <d v="2017-04-03T00:00:00"/>
    <s v="Apr-17"/>
    <s v="Earnings Tool Allowance"/>
    <n v="5.5950000000000006"/>
    <m/>
    <m/>
  </r>
  <r>
    <s v="PE"/>
    <s v="NBN Sydney"/>
    <s v="Payroll Expense Journal - PD-414"/>
    <x v="5"/>
    <s v="NBN Greenfields DJC Internals"/>
    <x v="142"/>
    <d v="2017-04-03T00:00:00"/>
    <s v="Apr-17"/>
    <s v="Earnings Tool Allowance"/>
    <n v="5.5950000000000006"/>
    <m/>
    <m/>
  </r>
  <r>
    <s v="PE"/>
    <s v="NBN Sydney"/>
    <s v="Payroll Expense Journal - PD-414"/>
    <x v="5"/>
    <s v="NBN Greenfields DJC Internals"/>
    <x v="144"/>
    <d v="2017-04-03T00:00:00"/>
    <s v="Apr-17"/>
    <s v="Earnings Tool Allowance"/>
    <n v="5.5950000000000006"/>
    <m/>
    <m/>
  </r>
  <r>
    <s v="PE"/>
    <s v="NBN Sydney"/>
    <s v="Payroll Expense Journal - PD-414"/>
    <x v="5"/>
    <s v="NBN Greenfields DJC Internals"/>
    <x v="141"/>
    <d v="2017-04-03T00:00:00"/>
    <s v="Apr-17"/>
    <s v="Earnings Tool Allowance"/>
    <n v="5.5950000000000006"/>
    <m/>
    <m/>
  </r>
  <r>
    <s v="PE"/>
    <s v="NBN Sydney"/>
    <s v="Payroll Expense Journal - PD-414"/>
    <x v="5"/>
    <s v="Overhead"/>
    <x v="3"/>
    <d v="2017-04-03T00:00:00"/>
    <s v="Apr-17"/>
    <s v="Earnings Tool Allowance"/>
    <n v="5.5950000000000006"/>
    <m/>
    <m/>
  </r>
  <r>
    <s v="PE"/>
    <s v="NBN Sydney"/>
    <s v="Payroll Expense Journal - PD-414"/>
    <x v="5"/>
    <s v="NBN Greenfields DJC Internals"/>
    <x v="142"/>
    <d v="2017-04-03T00:00:00"/>
    <s v="Apr-17"/>
    <s v="Earnings Tool Allowance"/>
    <n v="5.5950000000000006"/>
    <m/>
    <m/>
  </r>
  <r>
    <s v="PE"/>
    <s v="NBN Sydney"/>
    <s v="Payroll Expense Journal - PD-414"/>
    <x v="5"/>
    <s v="NBN Greenfields DJC Internals"/>
    <x v="143"/>
    <d v="2017-04-03T00:00:00"/>
    <s v="Apr-17"/>
    <s v="Earnings Tool Allowance"/>
    <n v="5.5950000000000006"/>
    <m/>
    <m/>
  </r>
  <r>
    <s v="PE"/>
    <s v="NBN Sydney"/>
    <s v="Payroll Expense Journal - PD-414"/>
    <x v="5"/>
    <s v="NBN Greenfields DJC Internals"/>
    <x v="145"/>
    <d v="2017-04-03T00:00:00"/>
    <s v="Apr-17"/>
    <s v="Earnings Tool Allowance"/>
    <n v="5.5950000000000006"/>
    <m/>
    <m/>
  </r>
  <r>
    <s v="PE"/>
    <s v="NBN Sydney"/>
    <s v="Payroll Expense Journal - PD-414"/>
    <x v="5"/>
    <s v="NBN Greenfields DJC Internals"/>
    <x v="139"/>
    <d v="2017-04-03T00:00:00"/>
    <s v="Apr-17"/>
    <s v="Earnings Tool Allowance"/>
    <n v="5.5950000000000006"/>
    <m/>
    <m/>
  </r>
  <r>
    <s v="PE"/>
    <s v="NBN Sydney"/>
    <s v="Payroll Expense Journal - PD-414"/>
    <x v="5"/>
    <s v="NBN Greenfields DJC Internals"/>
    <x v="144"/>
    <d v="2017-04-03T00:00:00"/>
    <s v="Apr-17"/>
    <s v="Earnings Tool Allowance"/>
    <n v="5.5950000000000006"/>
    <m/>
    <m/>
  </r>
  <r>
    <s v="PE"/>
    <s v="NBN Sydney"/>
    <s v="Payroll Expense Journal - PD-423"/>
    <x v="5"/>
    <s v="NBN Greenfields DJC Internals"/>
    <x v="155"/>
    <d v="2017-04-10T00:00:00"/>
    <s v="Apr-17"/>
    <s v="Earnings Tool Allowance"/>
    <n v="8.2888888888888879"/>
    <s v=" "/>
    <m/>
  </r>
  <r>
    <s v="PE"/>
    <s v="NBN Sydney"/>
    <s v="Payroll Expense Journal - PD-423"/>
    <x v="5"/>
    <s v="NBN Greenfields DJC Internals"/>
    <x v="166"/>
    <d v="2017-04-10T00:00:00"/>
    <s v="Apr-17"/>
    <s v="Earnings Tool Allowance"/>
    <n v="8.2888888888888879"/>
    <s v=" "/>
    <m/>
  </r>
  <r>
    <s v="PE"/>
    <s v="NBN Sydney"/>
    <s v="Payroll Expense Journal - PD-423"/>
    <x v="1"/>
    <s v="Overhead"/>
    <x v="3"/>
    <d v="2017-04-10T00:00:00"/>
    <s v="Apr-17"/>
    <s v="Earnings Tool Allowance"/>
    <n v="8.2888888888888879"/>
    <m/>
    <m/>
  </r>
  <r>
    <s v="PE"/>
    <s v="NBN Sydney"/>
    <s v="Payroll Expense Journal - PD-423"/>
    <x v="5"/>
    <s v="NBN Greenfields DJC Internals"/>
    <x v="141"/>
    <d v="2017-04-10T00:00:00"/>
    <s v="Apr-17"/>
    <s v="Earnings Tool Allowance"/>
    <n v="8.2888888888888879"/>
    <m/>
    <m/>
  </r>
  <r>
    <s v="PE"/>
    <s v="NBN Sydney"/>
    <s v="Payroll Expense Journal - PD-423"/>
    <x v="5"/>
    <s v="NBN Greenfields DJC Internals"/>
    <x v="145"/>
    <d v="2017-04-10T00:00:00"/>
    <s v="Apr-17"/>
    <s v="Earnings Tool Allowance"/>
    <n v="8.2888888888888879"/>
    <m/>
    <m/>
  </r>
  <r>
    <s v="PE"/>
    <s v="NBN Sydney"/>
    <s v="Payroll Expense Journal - PD-423"/>
    <x v="5"/>
    <s v="NBN Greenfields DJC Internals"/>
    <x v="153"/>
    <d v="2017-04-10T00:00:00"/>
    <s v="Apr-17"/>
    <s v="Earnings Tool Allowance"/>
    <n v="8.2888888888888879"/>
    <m/>
    <m/>
  </r>
  <r>
    <s v="PE"/>
    <s v="NBN Sydney"/>
    <s v="Payroll Expense Journal - PD-423"/>
    <x v="5"/>
    <s v="NBN Greenfields DJC Internals"/>
    <x v="155"/>
    <d v="2017-04-10T00:00:00"/>
    <s v="Apr-17"/>
    <s v="Earnings Tool Allowance"/>
    <n v="8.2888888888888879"/>
    <s v=" "/>
    <m/>
  </r>
  <r>
    <s v="PE"/>
    <s v="NBN Sydney"/>
    <s v="Payroll Expense Journal - PD-423"/>
    <x v="5"/>
    <s v="NBN Greenfields DJC Internals"/>
    <x v="162"/>
    <d v="2017-04-10T00:00:00"/>
    <s v="Apr-17"/>
    <s v="Earnings Tool Allowance"/>
    <n v="8.2888888888888879"/>
    <m/>
    <m/>
  </r>
  <r>
    <s v="PE"/>
    <s v="NBN Sydney"/>
    <s v="Payroll Expense Journal - PD-423"/>
    <x v="5"/>
    <s v="NBN Greenfields DJC Internals"/>
    <x v="153"/>
    <d v="2017-04-10T00:00:00"/>
    <s v="Apr-17"/>
    <s v="Earnings Tool Allowance"/>
    <n v="8.2888888888888879"/>
    <m/>
    <m/>
  </r>
  <r>
    <s v="PE"/>
    <s v="NBN Sydney"/>
    <s v="Payroll Expense Journal - PD-437"/>
    <x v="5"/>
    <s v="NBN Greenfields DJC Internals"/>
    <x v="139"/>
    <d v="2017-04-17T00:00:00"/>
    <s v="Apr-17"/>
    <s v="Earnings Tool Allowance"/>
    <n v="6.2166666666666659"/>
    <m/>
    <m/>
  </r>
  <r>
    <s v="PE"/>
    <s v="NBN Sydney"/>
    <s v="Payroll Expense Journal - PD-437"/>
    <x v="1"/>
    <s v="Overhead"/>
    <x v="3"/>
    <d v="2017-04-17T00:00:00"/>
    <s v="Apr-17"/>
    <s v="Earnings Tool Allowance"/>
    <n v="6.2166666666666659"/>
    <m/>
    <m/>
  </r>
  <r>
    <s v="PE"/>
    <s v="NBN Sydney"/>
    <s v="Payroll Expense Journal - PD-437"/>
    <x v="5"/>
    <s v="NBN Greenfields DJC Internals"/>
    <x v="173"/>
    <d v="2017-04-17T00:00:00"/>
    <s v="Apr-17"/>
    <s v="Earnings Tool Allowance"/>
    <n v="6.2166666666666659"/>
    <m/>
    <m/>
  </r>
  <r>
    <s v="PE"/>
    <s v="NBN Sydney"/>
    <s v="Payroll Expense Journal - PD-437"/>
    <x v="5"/>
    <s v="NBN Minor Works DJC Internals"/>
    <x v="167"/>
    <d v="2017-04-17T00:00:00"/>
    <s v="Apr-17"/>
    <s v="Earnings Tool Allowance"/>
    <n v="6.2166666666666659"/>
    <m/>
    <m/>
  </r>
  <r>
    <s v="PE"/>
    <s v="NBN Sydney"/>
    <s v="Payroll Expense Journal - PD-437"/>
    <x v="5"/>
    <s v="NBN Greenfields DJC Internals"/>
    <x v="141"/>
    <d v="2017-04-17T00:00:00"/>
    <s v="Apr-17"/>
    <s v="Earnings Tool Allowance"/>
    <n v="6.2166666666666659"/>
    <m/>
    <m/>
  </r>
  <r>
    <s v="PE"/>
    <s v="NBN Sydney"/>
    <s v="Payroll Expense Journal - PD-437"/>
    <x v="5"/>
    <s v="NBN Greenfields DJC Internals"/>
    <x v="164"/>
    <d v="2017-04-17T00:00:00"/>
    <s v="Apr-17"/>
    <s v="Earnings Tool Allowance"/>
    <n v="6.2166666666666659"/>
    <m/>
    <m/>
  </r>
  <r>
    <s v="PE"/>
    <s v="NBN Sydney"/>
    <s v="Payroll Expense Journal - PD-437"/>
    <x v="5"/>
    <s v="NBN Greenfields DJC Internals"/>
    <x v="153"/>
    <d v="2017-04-17T00:00:00"/>
    <s v="Apr-17"/>
    <s v="Earnings Tool Allowance"/>
    <n v="6.2166666666666659"/>
    <s v=" "/>
    <m/>
  </r>
  <r>
    <s v="PE"/>
    <s v="NBN Sydney"/>
    <s v="Payroll Expense Journal - PD-437"/>
    <x v="5"/>
    <s v="NBN Greenfields DJC Internals"/>
    <x v="168"/>
    <d v="2017-04-17T00:00:00"/>
    <s v="Apr-17"/>
    <s v="Earnings Tool Allowance"/>
    <n v="6.2166666666666659"/>
    <m/>
    <m/>
  </r>
  <r>
    <s v="PE"/>
    <s v="NBN Sydney"/>
    <s v="Payroll Expense Journal - PD-437"/>
    <x v="1"/>
    <s v="Overhead"/>
    <x v="3"/>
    <d v="2017-04-17T00:00:00"/>
    <s v="Apr-17"/>
    <s v="Earnings Tool Allowance"/>
    <n v="6.2166666666666659"/>
    <m/>
    <m/>
  </r>
  <r>
    <s v="PE"/>
    <s v="NBN Sydney"/>
    <s v="Payroll Expense Journal - PD-437"/>
    <x v="5"/>
    <s v="NBN Greenfields DJC Internals"/>
    <x v="144"/>
    <d v="2017-04-17T00:00:00"/>
    <s v="Apr-17"/>
    <s v="Earnings Tool Allowance"/>
    <n v="6.2166666666666659"/>
    <m/>
    <m/>
  </r>
  <r>
    <s v="PE"/>
    <s v="NBN Sydney"/>
    <s v="Payroll Expense Journal - PD-437"/>
    <x v="5"/>
    <s v="NBN Greenfields DJC Internals"/>
    <x v="153"/>
    <d v="2017-04-17T00:00:00"/>
    <s v="Apr-17"/>
    <s v="Earnings Tool Allowance"/>
    <n v="6.2166666666666659"/>
    <m/>
    <m/>
  </r>
  <r>
    <s v="PE"/>
    <s v="NBN Sydney"/>
    <s v="Payroll Expense Journal - PD-437"/>
    <x v="5"/>
    <s v="NBN Greenfields DJC Internals"/>
    <x v="158"/>
    <d v="2017-04-17T00:00:00"/>
    <s v="Apr-17"/>
    <s v="Earnings Tool Allowance"/>
    <n v="6.2166666666666659"/>
    <m/>
    <m/>
  </r>
  <r>
    <s v="PE"/>
    <s v="NBN Sydney"/>
    <s v="Payroll Expense Journal - PD-444"/>
    <x v="5"/>
    <s v="Overhead"/>
    <x v="3"/>
    <d v="2017-04-24T00:00:00"/>
    <s v="Apr-17"/>
    <s v="Earnings Tool Allowance"/>
    <n v="10.657142857142857"/>
    <m/>
    <m/>
  </r>
  <r>
    <s v="PE"/>
    <s v="NBN Sydney"/>
    <s v="Payroll Expense Journal - PD-444"/>
    <x v="5"/>
    <s v="Overhead"/>
    <x v="3"/>
    <d v="2017-04-24T00:00:00"/>
    <s v="Apr-17"/>
    <s v="Earnings Tool Allowance"/>
    <n v="10.657142857142857"/>
    <m/>
    <m/>
  </r>
  <r>
    <s v="PE"/>
    <s v="NBN Sydney"/>
    <s v="Payroll Expense Journal - PD-444"/>
    <x v="5"/>
    <s v="NBN Minor Works DJC Internals"/>
    <x v="167"/>
    <d v="2017-04-24T00:00:00"/>
    <s v="Apr-17"/>
    <s v="Earnings Tool Allowance"/>
    <n v="10.657142857142857"/>
    <m/>
    <m/>
  </r>
  <r>
    <s v="PE"/>
    <s v="NBN Sydney"/>
    <s v="Payroll Expense Journal - PD-444"/>
    <x v="5"/>
    <s v="NBN A417 MDU DJC Internals"/>
    <x v="156"/>
    <d v="2017-04-24T00:00:00"/>
    <s v="Apr-17"/>
    <s v="Earnings Tool Allowance"/>
    <n v="10.657142857142857"/>
    <m/>
    <m/>
  </r>
  <r>
    <s v="PE"/>
    <s v="NBN Sydney"/>
    <s v="Payroll Expense Journal - PD-444"/>
    <x v="5"/>
    <s v="NBN Greenfields DJC Internals"/>
    <x v="174"/>
    <d v="2017-04-24T00:00:00"/>
    <s v="Apr-17"/>
    <s v="Earnings Tool Allowance"/>
    <n v="10.657142857142857"/>
    <m/>
    <m/>
  </r>
  <r>
    <s v="PE"/>
    <s v="AARNet Sydney"/>
    <s v="Payroll Expense Journal - PD-444"/>
    <x v="5"/>
    <s v="AARNet DJC "/>
    <x v="169"/>
    <d v="2017-04-24T00:00:00"/>
    <s v="Apr-17"/>
    <s v="Earnings Tool Allowance"/>
    <n v="10.657142857142857"/>
    <m/>
    <m/>
  </r>
  <r>
    <s v="PE"/>
    <s v="NBN Sydney"/>
    <s v="Payroll Expense Journal - PD-444"/>
    <x v="5"/>
    <s v="NBN Greenfields DJC Internals"/>
    <x v="163"/>
    <d v="2017-04-24T00:00:00"/>
    <s v="Apr-17"/>
    <s v="Earnings Tool Allowance"/>
    <n v="10.657142857142857"/>
    <m/>
    <m/>
  </r>
  <r>
    <s v="PE"/>
    <s v="NBN Sydney"/>
    <s v="Tools"/>
    <x v="1"/>
    <s v="Overhead"/>
    <x v="3"/>
    <d v="2017-04-24T00:00:00"/>
    <s v="Apr-17"/>
    <s v="GC Tool Allowance"/>
    <n v="37.299999999999997"/>
    <m/>
    <m/>
  </r>
  <r>
    <s v="PE"/>
    <s v="NBN Sydney"/>
    <s v="Payroll Expense Journal - PD-414"/>
    <x v="5"/>
    <s v="NBN Greenfields DJC Internals"/>
    <x v="158"/>
    <d v="2017-04-03T00:00:00"/>
    <s v="Apr-17"/>
    <s v="Earnings"/>
    <n v="18.649999999999999"/>
    <m/>
    <m/>
  </r>
  <r>
    <s v="PE"/>
    <s v="NBN Sydney"/>
    <s v="Payroll Expense Journal - PD-423"/>
    <x v="5"/>
    <s v="NBN Greenfields DJC Internals"/>
    <x v="164"/>
    <d v="2017-04-10T00:00:00"/>
    <s v="Apr-17"/>
    <s v="Earnings"/>
    <n v="18.649999999999999"/>
    <m/>
    <m/>
  </r>
  <r>
    <s v="PE"/>
    <s v="NBN Sydney"/>
    <s v="Payroll Expense Journal - PD-437"/>
    <x v="5"/>
    <s v="NBN Greenfields DJC Internals"/>
    <x v="141"/>
    <d v="2017-04-17T00:00:00"/>
    <s v="Apr-17"/>
    <s v="Earnings"/>
    <n v="18.649999999999999"/>
    <m/>
    <m/>
  </r>
  <r>
    <s v="PE"/>
    <s v="NBN Sydney"/>
    <s v="Payroll Expense Journal - PD-444"/>
    <x v="5"/>
    <s v="NBN Minor Works DJC Internals"/>
    <x v="167"/>
    <d v="2017-04-24T00:00:00"/>
    <s v="Apr-17"/>
    <s v="Earnings"/>
    <n v="18.649999999999999"/>
    <m/>
    <m/>
  </r>
  <r>
    <s v="PE"/>
    <s v="NBN Sydney"/>
    <s v="Payroll Expense Journal - PD-425"/>
    <x v="1"/>
    <s v="Overhead"/>
    <x v="3"/>
    <d v="2017-04-10T00:00:00"/>
    <s v="Apr-17"/>
    <s v="Reimbursements, Marsh TA Tamworth"/>
    <n v="149.87"/>
    <m/>
    <m/>
  </r>
  <r>
    <s v="PE"/>
    <s v="NBN Sydney"/>
    <s v="OTTA"/>
    <x v="1"/>
    <s v="Overhead"/>
    <x v="3"/>
    <d v="2017-04-24T00:00:00"/>
    <s v="Apr-17"/>
    <s v="GC"/>
    <n v="1031.3"/>
    <m/>
    <m/>
  </r>
  <r>
    <s v="PE"/>
    <s v="NBN Sydney"/>
    <s v="Payroll Expense Journal - PD-414"/>
    <x v="1"/>
    <s v="Overhead"/>
    <x v="3"/>
    <d v="2017-04-03T00:00:00"/>
    <s v="Apr-17"/>
    <s v="Earnings"/>
    <n v="4544.9944999999998"/>
    <m/>
    <m/>
  </r>
  <r>
    <s v="PE"/>
    <s v="NBN Sydney"/>
    <s v="Payroll Expense Journal - PD-414"/>
    <x v="5"/>
    <s v="NBN Greenfields DJC Internals"/>
    <x v="142"/>
    <d v="2017-04-03T00:00:00"/>
    <s v="Apr-17"/>
    <s v="Earnings"/>
    <n v="483.28000000000003"/>
    <m/>
    <m/>
  </r>
  <r>
    <s v="PE"/>
    <s v="NBN Sydney"/>
    <s v="Payroll Expense Journal - PD-414"/>
    <x v="5"/>
    <s v="NBN Greenfields DJC Internals"/>
    <x v="143"/>
    <d v="2017-04-03T00:00:00"/>
    <s v="Apr-17"/>
    <s v="Earnings"/>
    <n v="640.44800000000009"/>
    <m/>
    <m/>
  </r>
  <r>
    <s v="PE"/>
    <s v="NBN Sydney"/>
    <s v="Payroll Expense Journal - PD-414"/>
    <x v="5"/>
    <s v="NBN Greenfields DJC Internals"/>
    <x v="145"/>
    <d v="2017-04-03T00:00:00"/>
    <s v="Apr-17"/>
    <s v="Earnings"/>
    <n v="877.26"/>
    <m/>
    <m/>
  </r>
  <r>
    <s v="PE"/>
    <s v="NBN Sydney"/>
    <s v="Payroll Expense Journal - PD-414"/>
    <x v="5"/>
    <s v="NBN Greenfields DJC Internals"/>
    <x v="139"/>
    <d v="2017-04-03T00:00:00"/>
    <s v="Apr-17"/>
    <s v="Earnings"/>
    <n v="752.24"/>
    <m/>
    <m/>
  </r>
  <r>
    <s v="PE"/>
    <s v="NBN Sydney"/>
    <s v="Payroll Expense Journal - PD-414"/>
    <x v="5"/>
    <s v="NBN Greenfields DJC Internals"/>
    <x v="144"/>
    <d v="2017-04-03T00:00:00"/>
    <s v="Apr-17"/>
    <s v="Earnings"/>
    <n v="1036.2139999999999"/>
    <m/>
    <m/>
  </r>
  <r>
    <s v="PE"/>
    <s v="NBN Sydney"/>
    <s v="Payroll Expense Journal - PD-414"/>
    <x v="5"/>
    <s v="NBN Greenfields DJC Internals"/>
    <x v="137"/>
    <d v="2017-04-03T00:00:00"/>
    <s v="Apr-17"/>
    <s v="Earnings"/>
    <n v="1188.4285"/>
    <m/>
    <m/>
  </r>
  <r>
    <s v="PE"/>
    <s v="NBN Sydney"/>
    <s v="Payroll Expense Journal - PD-414"/>
    <x v="5"/>
    <s v="NBN Greenfields DJC Internals"/>
    <x v="142"/>
    <d v="2017-04-03T00:00:00"/>
    <s v="Apr-17"/>
    <s v="Earnings"/>
    <n v="1034.999"/>
    <m/>
    <m/>
  </r>
  <r>
    <s v="PE"/>
    <s v="NBN Sydney"/>
    <s v="Payroll Expense Journal - PD-414"/>
    <x v="5"/>
    <s v="NBN Greenfields DJC Internals"/>
    <x v="144"/>
    <d v="2017-04-03T00:00:00"/>
    <s v="Apr-17"/>
    <s v="Earnings"/>
    <n v="670.92899999999997"/>
    <m/>
    <m/>
  </r>
  <r>
    <s v="PE"/>
    <s v="NBN Sydney"/>
    <s v="Payroll Expense Journal - PD-414"/>
    <x v="5"/>
    <s v="NBN Greenfields DJC Internals"/>
    <x v="141"/>
    <d v="2017-04-03T00:00:00"/>
    <s v="Apr-17"/>
    <s v="Earnings"/>
    <n v="504.49700000000001"/>
    <m/>
    <m/>
  </r>
  <r>
    <s v="PE"/>
    <s v="NBN Sydney"/>
    <s v="Payroll Expense Journal - PD-423"/>
    <x v="1"/>
    <s v="Overhead"/>
    <x v="3"/>
    <d v="2017-04-10T00:00:00"/>
    <s v="Apr-17"/>
    <s v="Earnings"/>
    <n v="3016.2820000000011"/>
    <m/>
    <m/>
  </r>
  <r>
    <s v="PE"/>
    <s v="NBN Sydney"/>
    <s v="Payroll Expense Journal - PD-423"/>
    <x v="5"/>
    <s v="NBN Greenfields DJC Internals"/>
    <x v="155"/>
    <d v="2017-04-10T00:00:00"/>
    <s v="Apr-17"/>
    <s v="Earnings"/>
    <n v="1024.1279999999999"/>
    <m/>
    <m/>
  </r>
  <r>
    <s v="PE"/>
    <s v="NBN Sydney"/>
    <s v="Payroll Expense Journal - PD-423"/>
    <x v="5"/>
    <s v="NBN Greenfields DJC Internals"/>
    <x v="166"/>
    <d v="2017-04-10T00:00:00"/>
    <s v="Apr-17"/>
    <s v="Earnings"/>
    <n v="852.678"/>
    <m/>
    <m/>
  </r>
  <r>
    <s v="PE"/>
    <s v="NBN Sydney"/>
    <s v="Payroll Expense Journal - PD-423"/>
    <x v="5"/>
    <s v="NBN Greenfields DJC Internals"/>
    <x v="153"/>
    <d v="2017-04-10T00:00:00"/>
    <s v="Apr-17"/>
    <s v="Earnings"/>
    <n v="1574.62"/>
    <m/>
    <m/>
  </r>
  <r>
    <s v="PE"/>
    <s v="NBN Sydney"/>
    <s v="Payroll Expense Journal - PD-423"/>
    <x v="5"/>
    <s v="NBN Greenfields DJC Internals"/>
    <x v="141"/>
    <d v="2017-04-10T00:00:00"/>
    <s v="Apr-17"/>
    <s v="Earnings"/>
    <n v="546.10500000000002"/>
    <m/>
    <m/>
  </r>
  <r>
    <s v="PE"/>
    <s v="NBN Sydney"/>
    <s v="Payroll Expense Journal - PD-423"/>
    <x v="5"/>
    <s v="NBN Greenfields DJC Internals"/>
    <x v="145"/>
    <d v="2017-04-10T00:00:00"/>
    <s v="Apr-17"/>
    <s v="Earnings"/>
    <n v="452.48700000000002"/>
    <m/>
    <m/>
  </r>
  <r>
    <s v="PE"/>
    <s v="NBN Sydney"/>
    <s v="Payroll Expense Journal - PD-423"/>
    <x v="5"/>
    <s v="NBN Greenfields DJC Internals"/>
    <x v="153"/>
    <d v="2017-04-10T00:00:00"/>
    <s v="Apr-17"/>
    <s v="Earnings"/>
    <n v="571.32650000000001"/>
    <m/>
    <m/>
  </r>
  <r>
    <s v="PE"/>
    <s v="NBN Sydney"/>
    <s v="Payroll Expense Journal - PD-423"/>
    <x v="5"/>
    <s v="NBN Greenfields DJC Internals"/>
    <x v="155"/>
    <d v="2017-04-10T00:00:00"/>
    <s v="Apr-17"/>
    <s v="Earnings"/>
    <n v="322.46199999999999"/>
    <m/>
    <m/>
  </r>
  <r>
    <s v="PE"/>
    <s v="NBN Sydney"/>
    <s v="Payroll Expense Journal - PD-440"/>
    <x v="5"/>
    <s v="NBN Greenfields DJC Internals"/>
    <x v="162"/>
    <d v="2017-04-10T00:00:00"/>
    <s v="Apr-17"/>
    <s v="Earnings"/>
    <n v="891.97149999999999"/>
    <m/>
    <m/>
  </r>
  <r>
    <s v="PE"/>
    <s v="NBN Sydney"/>
    <s v="Payroll Expense Journal - PD-437"/>
    <x v="1"/>
    <s v="Overhead"/>
    <x v="119"/>
    <d v="2017-04-17T00:00:00"/>
    <s v="Apr-17"/>
    <s v="Earnings"/>
    <n v="768"/>
    <m/>
    <m/>
  </r>
  <r>
    <s v="PE"/>
    <s v="NBN Sydney"/>
    <s v="Payroll Expense Journal - PD-437"/>
    <x v="1"/>
    <s v="Overhead"/>
    <x v="119"/>
    <d v="2017-04-17T00:00:00"/>
    <s v="Apr-17"/>
    <s v="Earnings"/>
    <n v="2567.3743500000005"/>
    <m/>
    <m/>
  </r>
  <r>
    <s v="PE"/>
    <s v="NBN Sydney"/>
    <s v="Payroll Expense Journal - PD-437"/>
    <x v="5"/>
    <s v="NBN Greenfields DJC Internals"/>
    <x v="139"/>
    <d v="2017-04-17T00:00:00"/>
    <s v="Apr-17"/>
    <s v="Earnings"/>
    <n v="818.38799999999969"/>
    <m/>
    <m/>
  </r>
  <r>
    <s v="PE"/>
    <s v="NBN Sydney"/>
    <s v="Payroll Expense Journal - PD-437"/>
    <x v="5"/>
    <s v="NBN Greenfields DJC Internals"/>
    <x v="173"/>
    <d v="2017-04-17T00:00:00"/>
    <s v="Apr-17"/>
    <s v="Earnings"/>
    <n v="457.2"/>
    <m/>
    <m/>
  </r>
  <r>
    <s v="PE"/>
    <s v="NBN Sydney"/>
    <s v="Payroll Expense Journal - PD-437"/>
    <x v="5"/>
    <s v="NBN Minor Works DJC Internals"/>
    <x v="167"/>
    <d v="2017-04-17T00:00:00"/>
    <s v="Apr-17"/>
    <s v="Earnings"/>
    <n v="228.6"/>
    <m/>
    <m/>
  </r>
  <r>
    <s v="PE"/>
    <s v="NBN Sydney"/>
    <s v="Payroll Expense Journal - PD-437"/>
    <x v="5"/>
    <s v="NBN Greenfields DJC Internals"/>
    <x v="141"/>
    <d v="2017-04-17T00:00:00"/>
    <s v="Apr-17"/>
    <s v="Earnings"/>
    <n v="585.21600000000001"/>
    <m/>
    <m/>
  </r>
  <r>
    <s v="PE"/>
    <s v="NBN Sydney"/>
    <s v="Payroll Expense Journal - PD-437"/>
    <x v="5"/>
    <s v="NBN Greenfields DJC Internals"/>
    <x v="164"/>
    <d v="2017-04-17T00:00:00"/>
    <s v="Apr-17"/>
    <s v="Earnings"/>
    <n v="1422.8063999999999"/>
    <m/>
    <m/>
  </r>
  <r>
    <s v="PE"/>
    <s v="NBN Sydney"/>
    <s v="Payroll Expense Journal - PD-437"/>
    <x v="5"/>
    <s v="NBN Greenfields DJC Internals"/>
    <x v="153"/>
    <d v="2017-04-17T00:00:00"/>
    <s v="Apr-17"/>
    <s v="Earnings"/>
    <n v="509.77799999999996"/>
    <m/>
    <m/>
  </r>
  <r>
    <s v="PE"/>
    <s v="NBN Sydney"/>
    <s v="Payroll Expense Journal - PD-437"/>
    <x v="5"/>
    <s v="NBN Greenfields DJC Internals"/>
    <x v="168"/>
    <d v="2017-04-17T00:00:00"/>
    <s v="Apr-17"/>
    <s v="Earnings"/>
    <n v="914.4"/>
    <m/>
    <m/>
  </r>
  <r>
    <s v="PE"/>
    <s v="NBN Sydney"/>
    <s v="Payroll Expense Journal - PD-437"/>
    <x v="5"/>
    <s v="NBN Greenfields DJC Internals"/>
    <x v="144"/>
    <d v="2017-04-17T00:00:00"/>
    <s v="Apr-17"/>
    <s v="Earnings"/>
    <n v="272.08474999999999"/>
    <m/>
    <m/>
  </r>
  <r>
    <s v="PE"/>
    <s v="NBN Sydney"/>
    <s v="Payroll Expense Journal - PD-437"/>
    <x v="5"/>
    <s v="NBN Greenfields DJC Internals"/>
    <x v="153"/>
    <d v="2017-04-17T00:00:00"/>
    <s v="Apr-17"/>
    <s v="Earnings"/>
    <n v="585.60500000000002"/>
    <m/>
    <m/>
  </r>
  <r>
    <s v="PE"/>
    <s v="NBN Sydney"/>
    <s v="Payroll Expense Journal - PD-437"/>
    <x v="5"/>
    <s v="NBN Greenfields DJC Internals"/>
    <x v="158"/>
    <d v="2017-04-17T00:00:00"/>
    <s v="Apr-17"/>
    <s v="Earnings"/>
    <n v="195.03750000000002"/>
    <m/>
    <m/>
  </r>
  <r>
    <s v="PE"/>
    <s v="NBN Sydney"/>
    <s v="Payroll Expense Journal - PD-440"/>
    <x v="5"/>
    <s v="SecNet DJC internals"/>
    <x v="24"/>
    <d v="2017-04-10T00:00:00"/>
    <s v="Apr-17"/>
    <s v="Earnings"/>
    <n v="670.93"/>
    <m/>
    <m/>
  </r>
  <r>
    <s v="PE"/>
    <s v="NBN Sydney"/>
    <s v="Payroll Expense Journal - PD-434"/>
    <x v="5"/>
    <s v="NBN Greenfields DJC Internals"/>
    <x v="171"/>
    <d v="2017-04-17T00:00:00"/>
    <s v="Apr-17"/>
    <s v="Earnings, Steve yassine nd Peter Jones payout"/>
    <n v="23684.52"/>
    <m/>
    <m/>
  </r>
  <r>
    <s v="PE"/>
    <s v="NBN Sydney"/>
    <s v="Payroll Expense Journal - PD-444"/>
    <x v="1"/>
    <s v="Overhead"/>
    <x v="3"/>
    <d v="2017-04-24T00:00:00"/>
    <s v="Apr-17"/>
    <s v="Earnings"/>
    <n v="7146.3526000000002"/>
    <m/>
    <m/>
  </r>
  <r>
    <s v="PE"/>
    <s v="NBN Sydney"/>
    <s v="Payroll Expense Journal - PD-444"/>
    <x v="5"/>
    <s v="NBN Minor Works DJC Internals"/>
    <x v="167"/>
    <d v="2017-04-24T00:00:00"/>
    <s v="Apr-17"/>
    <s v="Earnings"/>
    <n v="909.87400000000002"/>
    <m/>
    <m/>
  </r>
  <r>
    <s v="PE"/>
    <s v="NBN Sydney"/>
    <s v="Payroll Expense Journal - PD-444"/>
    <x v="5"/>
    <s v="NBN A417 MDU DJC Internals"/>
    <x v="156"/>
    <d v="2017-04-24T00:00:00"/>
    <s v="Apr-17"/>
    <s v="Earnings"/>
    <n v="227.16"/>
    <m/>
    <m/>
  </r>
  <r>
    <s v="PE"/>
    <s v="NBN Sydney"/>
    <s v="Payroll Expense Journal - PD-444"/>
    <x v="5"/>
    <s v="NBN Greenfields DJC Internals"/>
    <x v="174"/>
    <d v="2017-04-24T00:00:00"/>
    <s v="Apr-17"/>
    <s v="Earnings"/>
    <n v="2818.4254000000001"/>
    <m/>
    <m/>
  </r>
  <r>
    <s v="PE"/>
    <s v="AARNet Sydney"/>
    <s v="Payroll Expense Journal - PD-444"/>
    <x v="5"/>
    <s v="AARNet DJC "/>
    <x v="169"/>
    <d v="2017-04-24T00:00:00"/>
    <s v="Apr-17"/>
    <s v="Earnings"/>
    <n v="151.81"/>
    <m/>
    <m/>
  </r>
  <r>
    <s v="PE"/>
    <s v="NBN Sydney"/>
    <s v="Payroll Expense Journal - PD-444"/>
    <x v="5"/>
    <s v="NBN Greenfields DJC Internals"/>
    <x v="119"/>
    <d v="2017-04-24T00:00:00"/>
    <s v="Apr-17"/>
    <s v="Earnings"/>
    <n v="1331.7079999999999"/>
    <m/>
    <m/>
  </r>
  <r>
    <s v="PE"/>
    <s v="NBN Sydney"/>
    <s v="Wages"/>
    <x v="1"/>
    <s v="Overhead"/>
    <x v="3"/>
    <d v="2017-04-24T00:00:00"/>
    <s v="Apr-17"/>
    <s v="GC"/>
    <n v="3255.38"/>
    <m/>
    <m/>
  </r>
  <r>
    <s v="PE"/>
    <s v="NBN Sydney"/>
    <s v="Payroll Expense Journal - PD-414"/>
    <x v="1"/>
    <s v="Overhead"/>
    <x v="3"/>
    <d v="2017-04-03T00:00:00"/>
    <s v="Apr-17"/>
    <s v="Superannuation Expense PA"/>
    <n v="92.44"/>
    <m/>
    <m/>
  </r>
  <r>
    <s v="PE"/>
    <s v="NBN Sydney"/>
    <s v="Payroll Expense Journal - PD-423"/>
    <x v="1"/>
    <s v="Overhead"/>
    <x v="3"/>
    <d v="2017-04-10T00:00:00"/>
    <s v="Apr-17"/>
    <s v="Superannuation Expense PA"/>
    <n v="92.44"/>
    <m/>
    <m/>
  </r>
  <r>
    <s v="PE"/>
    <s v="NBN Sydney"/>
    <s v="Payroll Expense Journal - PD-437"/>
    <x v="1"/>
    <s v="Overhead"/>
    <x v="3"/>
    <d v="2017-04-17T00:00:00"/>
    <s v="Apr-17"/>
    <s v="Superannuation Expense PA"/>
    <n v="92.44"/>
    <m/>
    <m/>
  </r>
  <r>
    <s v="PE"/>
    <s v="NBN Sydney"/>
    <s v="Payroll Expense Journal - PD-444"/>
    <x v="1"/>
    <s v="Overhead"/>
    <x v="3"/>
    <d v="2017-04-24T00:00:00"/>
    <s v="Apr-17"/>
    <s v="Superannuation Expense PA"/>
    <n v="92.44"/>
    <m/>
    <m/>
  </r>
  <r>
    <s v="PE"/>
    <s v="NBN Sydney"/>
    <s v="SUPER"/>
    <x v="1"/>
    <s v="Overhead"/>
    <x v="3"/>
    <d v="2017-04-24T00:00:00"/>
    <s v="Apr-17"/>
    <s v="RM &amp; AA"/>
    <n v="186.75"/>
    <m/>
    <m/>
  </r>
  <r>
    <s v="PE"/>
    <s v="NBN Sydney"/>
    <s v="Payroll Expense Journal - PD-414"/>
    <x v="1"/>
    <s v="Overhead"/>
    <x v="3"/>
    <d v="2017-04-03T00:00:00"/>
    <s v="Apr-17"/>
    <s v="Superannuation Expense"/>
    <n v="711.45355999999992"/>
    <m/>
    <m/>
  </r>
  <r>
    <s v="PE"/>
    <s v="NBN Sydney"/>
    <s v="Payroll Expense Journal - PD-414"/>
    <x v="5"/>
    <s v="NBN Greenfields DJC Internals"/>
    <x v="137"/>
    <d v="2017-04-03T00:00:00"/>
    <s v="Apr-17"/>
    <s v="Superannuation Expense"/>
    <n v="16.966999999999999"/>
    <m/>
    <m/>
  </r>
  <r>
    <s v="PE"/>
    <s v="NBN Sydney"/>
    <s v="Payroll Expense Journal - PD-414"/>
    <x v="5"/>
    <s v="NBN Greenfields DJC Internals"/>
    <x v="142"/>
    <d v="2017-04-03T00:00:00"/>
    <s v="Apr-17"/>
    <s v="Superannuation Expense"/>
    <n v="8.8228399999999993"/>
    <m/>
    <m/>
  </r>
  <r>
    <s v="PE"/>
    <s v="NBN Sydney"/>
    <s v="Payroll Expense Journal - PD-414"/>
    <x v="5"/>
    <s v="NBN Greenfields DJC Internals"/>
    <x v="144"/>
    <d v="2017-04-03T00:00:00"/>
    <s v="Apr-17"/>
    <s v="Superannuation Expense"/>
    <n v="25.450499999999998"/>
    <m/>
    <m/>
  </r>
  <r>
    <s v="PE"/>
    <s v="NBN Sydney"/>
    <s v="Payroll Expense Journal - PD-414"/>
    <x v="5"/>
    <s v="NBN Greenfields DJC Internals"/>
    <x v="141"/>
    <d v="2017-04-03T00:00:00"/>
    <s v="Apr-17"/>
    <s v="Superannuation Expense"/>
    <n v="25.79"/>
    <m/>
    <m/>
  </r>
  <r>
    <s v="PE"/>
    <s v="NBN Sydney"/>
    <s v="Payroll Expense Journal - PD-414"/>
    <x v="5"/>
    <s v="NBN Greenfields DJC Internals"/>
    <x v="142"/>
    <d v="2017-04-03T00:00:00"/>
    <s v="Apr-17"/>
    <s v="Superannuation Expense"/>
    <n v="75.102440000000001"/>
    <m/>
    <m/>
  </r>
  <r>
    <s v="PE"/>
    <s v="NBN Sydney"/>
    <s v="Payroll Expense Journal - PD-414"/>
    <x v="5"/>
    <s v="NBN Greenfields DJC Internals"/>
    <x v="143"/>
    <d v="2017-04-03T00:00:00"/>
    <s v="Apr-17"/>
    <s v="Superannuation Expense"/>
    <n v="37.551220000000001"/>
    <m/>
    <m/>
  </r>
  <r>
    <s v="PE"/>
    <s v="NBN Sydney"/>
    <s v="Payroll Expense Journal - PD-414"/>
    <x v="5"/>
    <s v="NBN Greenfields DJC Internals"/>
    <x v="145"/>
    <d v="2017-04-03T00:00:00"/>
    <s v="Apr-17"/>
    <s v="Superannuation Expense"/>
    <n v="37.551220000000001"/>
    <m/>
    <m/>
  </r>
  <r>
    <s v="PE"/>
    <s v="NBN Sydney"/>
    <s v="Payroll Expense Journal - PD-414"/>
    <x v="5"/>
    <s v="NBN Greenfields DJC Internals"/>
    <x v="139"/>
    <d v="2017-04-03T00:00:00"/>
    <s v="Apr-17"/>
    <s v="Superannuation Expense"/>
    <n v="37.551220000000001"/>
    <m/>
    <m/>
  </r>
  <r>
    <s v="PE"/>
    <s v="NBN Sydney"/>
    <s v="Payroll Expense Journal - PD-423"/>
    <x v="1"/>
    <s v="Overhead"/>
    <x v="3"/>
    <d v="2017-04-10T00:00:00"/>
    <s v="Apr-17"/>
    <s v="Superannuation Expense"/>
    <n v="316.52037000000007"/>
    <m/>
    <m/>
  </r>
  <r>
    <s v="PE"/>
    <s v="NBN Sydney"/>
    <s v="Payroll Expense Journal - PD-423"/>
    <x v="5"/>
    <s v="NBN Greenfields DJC Internals"/>
    <x v="155"/>
    <d v="2017-04-10T00:00:00"/>
    <s v="Apr-17"/>
    <s v="Superannuation Expense"/>
    <n v="66.02"/>
    <m/>
    <m/>
  </r>
  <r>
    <s v="PE"/>
    <s v="NBN Sydney"/>
    <s v="Payroll Expense Journal - PD-423"/>
    <x v="5"/>
    <s v="NBN Greenfields DJC Internals"/>
    <x v="166"/>
    <d v="2017-04-10T00:00:00"/>
    <s v="Apr-17"/>
    <s v="Superannuation Expense"/>
    <n v="66.02"/>
    <m/>
    <m/>
  </r>
  <r>
    <s v="PE"/>
    <s v="NBN Sydney"/>
    <s v="Payroll Expense Journal - PD-423"/>
    <x v="5"/>
    <s v="NBN Greenfields DJC Internals"/>
    <x v="153"/>
    <d v="2017-04-10T00:00:00"/>
    <s v="Apr-17"/>
    <s v="Superannuation Expense"/>
    <n v="132.04"/>
    <m/>
    <m/>
  </r>
  <r>
    <s v="PE"/>
    <s v="NBN Sydney"/>
    <s v="Payroll Expense Journal - PD-423"/>
    <x v="5"/>
    <s v="NBN Greenfields DJC Internals"/>
    <x v="141"/>
    <d v="2017-04-10T00:00:00"/>
    <s v="Apr-17"/>
    <s v="Superannuation Expense"/>
    <n v="51.879975000000009"/>
    <m/>
    <m/>
  </r>
  <r>
    <s v="PE"/>
    <s v="NBN Sydney"/>
    <s v="Payroll Expense Journal - PD-423"/>
    <x v="5"/>
    <s v="NBN Greenfields DJC Internals"/>
    <x v="145"/>
    <d v="2017-04-10T00:00:00"/>
    <s v="Apr-17"/>
    <s v="Superannuation Expense"/>
    <n v="10.375995000000001"/>
    <m/>
    <m/>
  </r>
  <r>
    <s v="PE"/>
    <s v="NBN Sydney"/>
    <s v="Payroll Expense Journal - PD-423"/>
    <x v="5"/>
    <s v="NBN Greenfields DJC Internals"/>
    <x v="153"/>
    <d v="2017-04-10T00:00:00"/>
    <s v="Apr-17"/>
    <s v="Superannuation Expense"/>
    <n v="37.551220000000001"/>
    <m/>
    <m/>
  </r>
  <r>
    <s v="PE"/>
    <s v="NBN Sydney"/>
    <s v="Payroll Expense Journal - PD-423"/>
    <x v="5"/>
    <s v="NBN Greenfields DJC Internals"/>
    <x v="155"/>
    <d v="2017-04-10T00:00:00"/>
    <s v="Apr-17"/>
    <s v="Superannuation Expense"/>
    <n v="16.552182500000001"/>
    <m/>
    <m/>
  </r>
  <r>
    <s v="PE"/>
    <s v="NBN Sydney"/>
    <s v="Payroll Expense Journal - PD-423"/>
    <x v="5"/>
    <s v="NBN Greenfields DJC Internals"/>
    <x v="162"/>
    <d v="2017-04-10T00:00:00"/>
    <s v="Apr-17"/>
    <s v="Superannuation Expense"/>
    <n v="58.550257500000001"/>
    <m/>
    <m/>
  </r>
  <r>
    <s v="PE"/>
    <s v="NBN Sydney"/>
    <s v="Payroll Expense Journal - PD-440"/>
    <x v="1"/>
    <s v="Overhead"/>
    <x v="3"/>
    <d v="2017-04-17T00:00:00"/>
    <s v="Apr-17"/>
    <s v="Superannuation Expense"/>
    <n v="50.16"/>
    <m/>
    <m/>
  </r>
  <r>
    <s v="PE"/>
    <s v="NBN Sydney"/>
    <s v="Payroll Expense Journal - PD-437"/>
    <x v="1"/>
    <s v="Overhead"/>
    <x v="3"/>
    <d v="2017-04-17T00:00:00"/>
    <s v="Apr-17"/>
    <s v="Superannuation Expense"/>
    <n v="265.12813999999997"/>
    <m/>
    <m/>
  </r>
  <r>
    <s v="PE"/>
    <s v="NBN Sydney"/>
    <s v="Payroll Expense Journal - PD-437"/>
    <x v="5"/>
    <s v="NBN Greenfields DJC Internals"/>
    <x v="139"/>
    <d v="2017-04-17T00:00:00"/>
    <s v="Apr-17"/>
    <s v="Superannuation Expense"/>
    <n v="66.02"/>
    <m/>
    <m/>
  </r>
  <r>
    <s v="PE"/>
    <s v="NBN Sydney"/>
    <s v="Payroll Expense Journal - PD-437"/>
    <x v="5"/>
    <s v="NBN Greenfields DJC Internals"/>
    <x v="153"/>
    <d v="2017-04-17T00:00:00"/>
    <s v="Apr-17"/>
    <s v="Superannuation Expense"/>
    <n v="33.444180000000003"/>
    <m/>
    <m/>
  </r>
  <r>
    <s v="PE"/>
    <s v="NBN Sydney"/>
    <s v="Payroll Expense Journal - PD-437"/>
    <x v="5"/>
    <s v="NBN Greenfields DJC Internals"/>
    <x v="168"/>
    <d v="2017-04-17T00:00:00"/>
    <s v="Apr-17"/>
    <s v="Superannuation Expense"/>
    <n v="86.867999999999995"/>
    <m/>
    <m/>
  </r>
  <r>
    <s v="PE"/>
    <s v="NBN Sydney"/>
    <s v="Payroll Expense Journal - PD-437"/>
    <x v="5"/>
    <s v="NBN Greenfields DJC Internals"/>
    <x v="173"/>
    <d v="2017-04-17T00:00:00"/>
    <s v="Apr-17"/>
    <s v="Superannuation Expense"/>
    <n v="43.433999999999997"/>
    <m/>
    <m/>
  </r>
  <r>
    <s v="PE"/>
    <s v="NBN Sydney"/>
    <s v="Payroll Expense Journal - PD-437"/>
    <x v="5"/>
    <s v="NBN Greenfields DJC Internals"/>
    <x v="167"/>
    <d v="2017-04-17T00:00:00"/>
    <s v="Apr-17"/>
    <s v="Superannuation Expense"/>
    <n v="22.58568"/>
    <m/>
    <m/>
  </r>
  <r>
    <s v="PE"/>
    <s v="NBN Sydney"/>
    <s v="Payroll Expense Journal - PD-437"/>
    <x v="5"/>
    <s v="NBN Greenfields DJC Internals"/>
    <x v="164"/>
    <d v="2017-04-17T00:00:00"/>
    <s v="Apr-17"/>
    <s v="Superannuation Expense"/>
    <n v="66.02"/>
    <m/>
    <m/>
  </r>
  <r>
    <s v="PE"/>
    <s v="NBN Sydney"/>
    <s v="Payroll Expense Journal - PD-437"/>
    <x v="5"/>
    <s v="NBN Greenfields DJC Internals"/>
    <x v="144"/>
    <d v="2017-04-17T00:00:00"/>
    <s v="Apr-17"/>
    <s v="Superannuation Expense"/>
    <n v="37.549999999999997"/>
    <m/>
    <m/>
  </r>
  <r>
    <s v="PE"/>
    <s v="NBN Sydney"/>
    <s v="Payroll Expense Journal - PD-437"/>
    <x v="5"/>
    <s v="NBN Greenfields DJC Internals"/>
    <x v="153"/>
    <d v="2017-04-17T00:00:00"/>
    <s v="Apr-17"/>
    <s v="Superannuation Expense"/>
    <n v="37.549999999999997"/>
    <m/>
    <m/>
  </r>
  <r>
    <s v="PE"/>
    <s v="NBN Sydney"/>
    <s v="Payroll Expense Journal - PD-437"/>
    <x v="5"/>
    <s v="NBN Greenfields DJC Internals"/>
    <x v="158"/>
    <d v="2017-04-17T00:00:00"/>
    <s v="Apr-17"/>
    <s v="Superannuation Expense"/>
    <n v="18.53"/>
    <m/>
    <m/>
  </r>
  <r>
    <s v="PE"/>
    <s v="NBN Sydney"/>
    <s v="Payroll Expense Journal - PD-437"/>
    <x v="5"/>
    <s v="SecNet DJC internals"/>
    <x v="24"/>
    <d v="2017-04-17T00:00:00"/>
    <s v="Apr-17"/>
    <s v="Superannuation Expense"/>
    <n v="37.549999999999997"/>
    <m/>
    <m/>
  </r>
  <r>
    <s v="PE"/>
    <s v="NBN Sydney"/>
    <s v="Payroll Expense Journal - PD-434"/>
    <x v="1"/>
    <s v="Overhead"/>
    <x v="3"/>
    <d v="2017-04-17T00:00:00"/>
    <s v="Apr-17"/>
    <s v="Superannuation Expense, Steve Yassine and Peter Jones pay out"/>
    <n v="2079.5"/>
    <m/>
    <m/>
  </r>
  <r>
    <s v="PE"/>
    <s v="NBN Sydney"/>
    <s v="Payroll Expense Journal - PD-444"/>
    <x v="1"/>
    <s v="Overhead"/>
    <x v="3"/>
    <d v="2017-04-24T00:00:00"/>
    <s v="Apr-17"/>
    <s v="Superannuation Expense"/>
    <n v="648.66088000000002"/>
    <m/>
    <m/>
  </r>
  <r>
    <s v="PE"/>
    <s v="NBN Sydney"/>
    <s v="Payroll Expense Journal - PD-444"/>
    <x v="5"/>
    <s v="NBN Minor Works DJC Internals"/>
    <x v="167"/>
    <d v="2017-04-24T00:00:00"/>
    <s v="Apr-17"/>
    <s v="Superannuation Expense"/>
    <n v="39.96"/>
    <m/>
    <m/>
  </r>
  <r>
    <s v="PE"/>
    <s v="NBN Sydney"/>
    <s v="Payroll Expense Journal - PD-444"/>
    <x v="5"/>
    <s v="NBN A417 MDU DJC Internals"/>
    <x v="156"/>
    <d v="2017-04-24T00:00:00"/>
    <s v="Apr-17"/>
    <s v="Superannuation Expense"/>
    <n v="26.060399999999998"/>
    <m/>
    <m/>
  </r>
  <r>
    <s v="PE"/>
    <s v="NBN Sydney"/>
    <s v="Payroll Expense Journal - PD-444"/>
    <x v="5"/>
    <s v="NBN Greenfields DJC Internals"/>
    <x v="174"/>
    <d v="2017-04-24T00:00:00"/>
    <s v="Apr-17"/>
    <s v="Superannuation Expense"/>
    <n v="161.14013999999997"/>
    <m/>
    <m/>
  </r>
  <r>
    <s v="PE"/>
    <s v="AARNet Sydney"/>
    <s v="Payroll Expense Journal - PD-444"/>
    <x v="5"/>
    <s v="AARNet DJC "/>
    <x v="169"/>
    <d v="2017-04-24T00:00:00"/>
    <s v="Apr-17"/>
    <s v="Superannuation Expense"/>
    <n v="36.918900000000001"/>
    <m/>
    <m/>
  </r>
  <r>
    <s v="PE"/>
    <s v="NBN Sydney"/>
    <s v="Payroll Expense Journal - PD-444"/>
    <x v="5"/>
    <s v="NBN Greenfields DJC Internals"/>
    <x v="163"/>
    <d v="2017-04-24T00:00:00"/>
    <s v="Apr-17"/>
    <s v="Superannuation Expense"/>
    <n v="66.019679999999994"/>
    <m/>
    <m/>
  </r>
  <r>
    <s v="PE"/>
    <s v="NBN Sydney"/>
    <s v="Payroll Expense Journal - PD-414"/>
    <x v="1"/>
    <s v="Overhead"/>
    <x v="3"/>
    <d v="2017-04-24T00:00:00"/>
    <s v="Apr-17"/>
    <s v="GC SUPER"/>
    <n v="312.8"/>
    <m/>
    <m/>
  </r>
  <r>
    <s v="PE"/>
    <s v="NBN Sydney"/>
    <s v="Payroll Expense Journal - PD-423"/>
    <x v="1"/>
    <s v="Overhead"/>
    <x v="3"/>
    <d v="2017-04-03T00:00:00"/>
    <s v="Apr-17"/>
    <s v="Earnings telephone Allowance PA"/>
    <n v="23.08"/>
    <m/>
    <m/>
  </r>
  <r>
    <s v="PE"/>
    <s v="NBN Sydney"/>
    <s v="Payroll Expense Journal - PD-437"/>
    <x v="1"/>
    <s v="Overhead"/>
    <x v="3"/>
    <d v="2017-04-10T00:00:00"/>
    <s v="Apr-17"/>
    <s v="Earnings"/>
    <n v="23.08"/>
    <m/>
    <m/>
  </r>
  <r>
    <s v="PE"/>
    <s v="NBN Sydney"/>
    <s v="Payroll Expense Journal - PD-444"/>
    <x v="1"/>
    <s v="Overhead"/>
    <x v="3"/>
    <d v="2017-04-17T00:00:00"/>
    <s v="Apr-17"/>
    <s v="Earnings"/>
    <n v="23.08"/>
    <m/>
    <m/>
  </r>
  <r>
    <s v="PE"/>
    <s v="NBN Sydney"/>
    <s v="Payroll Expense Journal - PD-444"/>
    <x v="1"/>
    <s v="Overhead"/>
    <x v="3"/>
    <d v="2017-04-24T00:00:00"/>
    <s v="Apr-17"/>
    <s v="Earnings"/>
    <n v="23.08"/>
    <m/>
    <m/>
  </r>
  <r>
    <s v="PE"/>
    <s v="NBN Sydney"/>
    <s v="Tele"/>
    <x v="1"/>
    <s v="Overhead"/>
    <x v="3"/>
    <d v="2017-04-24T00:00:00"/>
    <s v="Apr-17"/>
    <s v="Earnings"/>
    <n v="20"/>
    <m/>
    <m/>
  </r>
  <r>
    <s v="PE"/>
    <s v="NBN Sydney"/>
    <s v="Payroll Expense Journal - PD-414"/>
    <x v="1"/>
    <s v="Overhead"/>
    <x v="3"/>
    <d v="2017-04-03T00:00:00"/>
    <s v="Apr-17"/>
    <s v="Earnings PA wages"/>
    <n v="950"/>
    <m/>
    <m/>
  </r>
  <r>
    <s v="PE"/>
    <s v="NBN Sydney"/>
    <s v="Payroll Expense Journal - PD-423"/>
    <x v="1"/>
    <s v="Overhead"/>
    <x v="3"/>
    <d v="2017-04-10T00:00:00"/>
    <s v="Apr-17"/>
    <s v="Earnings"/>
    <n v="978.12"/>
    <m/>
    <m/>
  </r>
  <r>
    <s v="PE"/>
    <s v="NBN Sydney"/>
    <s v="Payroll Expense Journal - PD-437"/>
    <x v="1"/>
    <s v="Overhead"/>
    <x v="3"/>
    <d v="2017-04-17T00:00:00"/>
    <s v="Apr-17"/>
    <s v="Earnings"/>
    <n v="1019.38"/>
    <m/>
    <m/>
  </r>
  <r>
    <s v="PE"/>
    <s v="NBN Sydney"/>
    <s v="Payroll Expense Journal - PD-444"/>
    <x v="1"/>
    <s v="Overhead"/>
    <x v="3"/>
    <d v="2017-04-24T00:00:00"/>
    <s v="Apr-17"/>
    <s v="Earnings"/>
    <n v="1079.3800000000001"/>
    <m/>
    <m/>
  </r>
  <r>
    <s v="PE"/>
    <s v="NBN Sydney"/>
    <s v="Wages"/>
    <x v="1"/>
    <s v="Overhead"/>
    <x v="3"/>
    <d v="2017-04-24T00:00:00"/>
    <s v="Apr-17"/>
    <s v="RM &amp; AA"/>
    <n v="2196.1799999999998"/>
    <m/>
    <m/>
  </r>
  <r>
    <s v="INV"/>
    <s v="NBN Sydney"/>
    <s v="120965"/>
    <x v="1"/>
    <s v="Overhead"/>
    <x v="3"/>
    <d v="2017-04-11T00:00:00"/>
    <s v="Apr-17"/>
    <s v="E-Toll Business Operations Centre - Surcharge on Top- up account per transaction"/>
    <n v="1.6"/>
    <m/>
    <m/>
  </r>
  <r>
    <s v="INV"/>
    <s v="NBN Sydney"/>
    <m/>
    <x v="1"/>
    <s v="Overhead"/>
    <x v="3"/>
    <d v="2017-04-01T00:00:00"/>
    <s v="Apr-17"/>
    <s v="Easdowns Business Specialists - Monthly Instalment per 2017 Service Agreement"/>
    <n v="451.36"/>
    <m/>
    <m/>
  </r>
  <r>
    <s v="INV"/>
    <s v="NBN Sydney"/>
    <s v="6BA24710AJ330221V"/>
    <x v="1"/>
    <s v="Overhead"/>
    <x v="3"/>
    <d v="2017-04-13T00:00:00"/>
    <s v="Apr-17"/>
    <s v="National Australia Bank - NBN CO Guarantee fee"/>
    <n v="162.78"/>
    <m/>
    <m/>
  </r>
  <r>
    <s v="INV"/>
    <s v="NBN Sydney"/>
    <s v="6BA24710AJ330221V"/>
    <x v="1"/>
    <s v="Overhead"/>
    <x v="3"/>
    <d v="2017-04-09T00:00:00"/>
    <s v="Apr-17"/>
    <s v="TSheets - Monthly subscriptions for T-Sheets Sydney 7 Staff"/>
    <n v="49.72"/>
    <m/>
    <m/>
  </r>
  <r>
    <s v="INV"/>
    <s v="NBN Sydney"/>
    <s v="I144577"/>
    <x v="1"/>
    <s v="Overhead"/>
    <x v="3"/>
    <d v="2017-04-01T00:00:00"/>
    <s v="Apr-17"/>
    <s v="Arthur J. Gallagher - Brokers Fee"/>
    <n v="15"/>
    <m/>
    <m/>
  </r>
  <r>
    <s v="INV"/>
    <s v="NBN Sydney"/>
    <s v="I144577"/>
    <x v="1"/>
    <s v="Overhead"/>
    <x v="3"/>
    <d v="2017-04-01T00:00:00"/>
    <s v="Apr-17"/>
    <s v="Arthur J. Gallagher - Stamp Duty"/>
    <n v="41.25"/>
    <m/>
    <m/>
  </r>
  <r>
    <s v="INV"/>
    <s v="NBN Sydney"/>
    <s v="I144577"/>
    <x v="1"/>
    <s v="Overhead"/>
    <x v="3"/>
    <d v="2017-04-01T00:00:00"/>
    <s v="Apr-17"/>
    <s v="Arthur J. Gallagher - Premium"/>
    <n v="750"/>
    <m/>
    <m/>
  </r>
  <r>
    <s v="INV"/>
    <s v="NBN Sydney"/>
    <s v="I144872"/>
    <x v="1"/>
    <s v="Overhead"/>
    <x v="3"/>
    <d v="2017-04-06T00:00:00"/>
    <s v="Apr-17"/>
    <s v="Arthur J. Gallagher - Brokers Fee"/>
    <n v="25"/>
    <m/>
    <m/>
  </r>
  <r>
    <s v="INV"/>
    <s v="NBN Sydney"/>
    <s v="I144872"/>
    <x v="1"/>
    <s v="Overhead"/>
    <x v="3"/>
    <d v="2017-04-06T00:00:00"/>
    <s v="Apr-17"/>
    <s v="Arthur J. Gallagher - Stamp Duty"/>
    <n v="47.11"/>
    <m/>
    <m/>
  </r>
  <r>
    <s v="INV"/>
    <s v="NBN Sydney"/>
    <s v="I144872"/>
    <x v="1"/>
    <s v="Overhead"/>
    <x v="3"/>
    <d v="2017-04-06T00:00:00"/>
    <s v="Apr-17"/>
    <s v="Arthur J. Gallagher - Premium"/>
    <n v="856.6"/>
    <m/>
    <m/>
  </r>
  <r>
    <s v="INV"/>
    <s v="NBN Sydney"/>
    <s v="I144925"/>
    <x v="1"/>
    <s v="Overhead"/>
    <x v="3"/>
    <d v="2017-04-10T00:00:00"/>
    <s v="Apr-17"/>
    <s v="Arthur J. Gallagher - Brokers Fee"/>
    <n v="25"/>
    <m/>
    <m/>
  </r>
  <r>
    <s v="INV"/>
    <s v="NBN Sydney"/>
    <s v="I144925"/>
    <x v="1"/>
    <s v="Overhead"/>
    <x v="3"/>
    <d v="2017-04-10T00:00:00"/>
    <s v="Apr-17"/>
    <s v="Arthur J. Gallagher - Stamp Duty"/>
    <n v="25.08"/>
    <m/>
    <m/>
  </r>
  <r>
    <s v="INV"/>
    <s v="NBN Sydney"/>
    <s v="I144925"/>
    <x v="1"/>
    <s v="Overhead"/>
    <x v="3"/>
    <d v="2017-04-10T00:00:00"/>
    <s v="Apr-17"/>
    <s v="Arthur J. Gallagher - Premium"/>
    <n v="456.02"/>
    <m/>
    <m/>
  </r>
  <r>
    <s v="INV"/>
    <s v="NBN Sydney"/>
    <s v="35448368"/>
    <x v="1"/>
    <s v="Overhead"/>
    <x v="3"/>
    <d v="2017-04-06T00:00:00"/>
    <s v="Apr-17"/>
    <s v="Officeworks Superstores - Insert Binder A4 3D 38m we"/>
    <n v="11.65"/>
    <m/>
    <m/>
  </r>
  <r>
    <s v="INV"/>
    <s v="NBN Sydney"/>
    <s v="35448368"/>
    <x v="1"/>
    <s v="Overhead"/>
    <x v="3"/>
    <d v="2017-04-06T00:00:00"/>
    <s v="Apr-17"/>
    <s v="Officeworks Superstores - Avery PP White Divider 1-10_x000d__x000a_"/>
    <n v="8.1"/>
    <m/>
    <m/>
  </r>
  <r>
    <s v="INV"/>
    <s v="NBN Sydney"/>
    <s v="35448368"/>
    <x v="1"/>
    <s v="Overhead"/>
    <x v="3"/>
    <d v="2017-04-06T00:00:00"/>
    <s v="Apr-17"/>
    <s v="Officeworks Superstores - KY-PK8 Scott Roll Towel 140M_x000d__x000a_"/>
    <n v="32.67"/>
    <m/>
    <m/>
  </r>
  <r>
    <s v="INV"/>
    <s v="NBN Sydney"/>
    <s v="9083236001906778"/>
    <x v="1"/>
    <s v="Overhead"/>
    <x v="3"/>
    <d v="2017-04-18T00:00:00"/>
    <s v="Apr-17"/>
    <s v="Officeworks Superstores - Ctn Reflex Cpy Ppr 80GSM A4"/>
    <n v="45.36"/>
    <m/>
    <m/>
  </r>
  <r>
    <s v="INV"/>
    <s v="NBN Sydney"/>
    <s v="9084236002008581"/>
    <x v="1"/>
    <s v="Overhead"/>
    <x v="3"/>
    <d v="2017-04-19T00:00:00"/>
    <s v="Apr-17"/>
    <s v="Officeworks Superstores - Pk100 Manila Folders A4 FSC BG"/>
    <n v="16.29"/>
    <m/>
    <m/>
  </r>
  <r>
    <s v="INV"/>
    <s v="NBN Sydney"/>
    <s v="240135"/>
    <x v="1"/>
    <s v="Overhead"/>
    <x v="3"/>
    <d v="2017-04-07T00:00:00"/>
    <s v="Apr-17"/>
    <s v="Australia Post - Dom Reg Post env-sml x 1"/>
    <n v="4.45"/>
    <m/>
    <m/>
  </r>
  <r>
    <s v="INV"/>
    <s v="NBN Sydney"/>
    <s v="01/44159"/>
    <x v="1"/>
    <s v="Overhead"/>
    <x v="3"/>
    <d v="2017-04-18T00:00:00"/>
    <s v="Apr-17"/>
    <s v="Australia Post - 6.40 Sale"/>
    <n v="5.82"/>
    <m/>
    <m/>
  </r>
  <r>
    <s v="INV"/>
    <s v="NBN Sydney"/>
    <s v="2939236"/>
    <x v="1"/>
    <s v="Test Equipment &amp; Tools"/>
    <x v="27"/>
    <d v="2017-04-24T00:00:00"/>
    <s v="Apr-17"/>
    <s v="Gasweld Pty Ltd - 525356601-Hus_x000d__x000a_Core Drill 127mm x 450mm"/>
    <n v="209.09"/>
    <m/>
    <m/>
  </r>
  <r>
    <s v="INV"/>
    <s v="NBN Sydney"/>
    <s v="2939236"/>
    <x v="1"/>
    <s v="Test Equipment &amp; Tools"/>
    <x v="27"/>
    <d v="2017-04-24T00:00:00"/>
    <s v="Apr-17"/>
    <s v="Gasweld Pty Ltd - 589755401-Hus_x000d__x000a_Core Drill 65mm"/>
    <n v="180.9"/>
    <m/>
    <m/>
  </r>
  <r>
    <s v="INV"/>
    <s v="NBN Sydney"/>
    <s v="2939236"/>
    <x v="1"/>
    <s v="Test Equipment &amp; Tools"/>
    <x v="27"/>
    <d v="2017-04-24T00:00:00"/>
    <s v="Apr-17"/>
    <s v="Gasweld Pty Ltd - 591047_x000d__x000a_Generator TH3.5 6.5HP Honda 3.5Kva Recoil Start Twin 10Amp 240V Outlets"/>
    <n v="904.55"/>
    <m/>
    <m/>
  </r>
  <r>
    <s v="INV"/>
    <s v="NBN Sydney"/>
    <s v="2939236"/>
    <x v="1"/>
    <s v="Test Equipment &amp; Tools"/>
    <x v="27"/>
    <d v="2017-04-24T00:00:00"/>
    <s v="Apr-17"/>
    <s v="Gasweld Pty Ltd - 966563504-Hus_x000d__x000a_Core Drill 1850w Electronic Guidance built in, Wet or Dry DM220"/>
    <n v="1635.45"/>
    <m/>
    <m/>
  </r>
  <r>
    <s v="INV"/>
    <s v="NBN Sydney"/>
    <s v="53386"/>
    <x v="1"/>
    <s v="Test Equipment &amp; Tools"/>
    <x v="27"/>
    <d v="2017-04-26T00:00:00"/>
    <s v="Apr-17"/>
    <s v="All Trades MFG Pty Ltd - VAN-PKSET_x000d__x000a_Pit Key set c/w 2 x Long Handle, 1 x Short Handle Seal Breaker, 2 x Roll Bars, 1 x Spanner, 1 x Scraper, 1 x Canvas Carry Bag"/>
    <n v="299"/>
    <m/>
    <m/>
  </r>
  <r>
    <s v="INV"/>
    <s v="NBN Sydney"/>
    <s v="90995"/>
    <x v="9"/>
    <s v="Overhead Materials"/>
    <x v="119"/>
    <d v="2017-04-04T00:00:00"/>
    <s v="Apr-17"/>
    <s v="Budget Petrol Erskineville - 1.25kg Gas Refill"/>
    <n v="6.19"/>
    <m/>
    <m/>
  </r>
  <r>
    <s v="INV"/>
    <s v="NBN Sydney"/>
    <s v="604986-762 / PO2664"/>
    <x v="9"/>
    <s v="Overhead Materials"/>
    <x v="119"/>
    <d v="2017-04-06T00:00:00"/>
    <s v="Apr-17"/>
    <s v="TLE Electrical - CLI30RJ45SMA5WE _x000d__x000a_Outlet Mechanism Cat5e UTP RJ45 568A/B White"/>
    <n v="57.3"/>
    <m/>
    <m/>
  </r>
  <r>
    <s v="INV"/>
    <s v="NBN Sydney"/>
    <s v="604986-762 / PO2664"/>
    <x v="9"/>
    <s v="Overhead Materials"/>
    <x v="119"/>
    <d v="2017-04-06T00:00:00"/>
    <s v="Apr-17"/>
    <s v="TLE Electrical - MMSSLNM _x000d__x000a_Appliance Test Tags 100 pack for NSW use, colour rainbow pack"/>
    <n v="36.86"/>
    <m/>
    <m/>
  </r>
  <r>
    <s v="INV"/>
    <s v="NBN Sydney"/>
    <s v="3077289"/>
    <x v="9"/>
    <s v="Overhead Materials"/>
    <x v="119"/>
    <d v="2017-04-28T00:00:00"/>
    <s v="Apr-17"/>
    <s v="The Australian Reinforcing Company - Bulk Bags 90x90x90_x000d__x000a_Length 0.900_x000d__x000a_Width 0.900"/>
    <n v="27.45"/>
    <m/>
    <m/>
  </r>
  <r>
    <s v="INV"/>
    <s v="NBN Sydney"/>
    <s v="3077289"/>
    <x v="9"/>
    <s v="Overhead Materials"/>
    <x v="119"/>
    <d v="2017-04-28T00:00:00"/>
    <s v="Apr-17"/>
    <s v="The Australian Reinforcing Company - Bulk Bags 60x60x60 with Logo_x000d__x000a_Length 0.600 _x000d__x000a_Width 0.600"/>
    <n v="36"/>
    <m/>
    <m/>
  </r>
  <r>
    <s v="INV"/>
    <s v="NBN Sydney"/>
    <s v="11878611"/>
    <x v="1"/>
    <s v="Overhead"/>
    <x v="3"/>
    <d v="2017-04-30T00:00:00"/>
    <s v="Apr-17"/>
    <s v="Cleanaway - 27/04/2017_x000d__x000a_1 x Clear 1.5m Recycle Bin"/>
    <n v="11.57"/>
    <m/>
    <m/>
  </r>
  <r>
    <s v="INV"/>
    <s v="NBN Sydney"/>
    <s v="11878611"/>
    <x v="1"/>
    <s v="Overhead"/>
    <x v="3"/>
    <d v="2017-04-30T00:00:00"/>
    <s v="Apr-17"/>
    <s v="Cleanaway - 1 x Environmental Fee"/>
    <n v="10"/>
    <m/>
    <m/>
  </r>
  <r>
    <s v="INV"/>
    <s v="NBN Sydney"/>
    <s v="11878611"/>
    <x v="1"/>
    <s v="Overhead"/>
    <x v="3"/>
    <d v="2017-04-30T00:00:00"/>
    <s v="Apr-17"/>
    <s v="Cleanaway - 4/04/2017_x000d__x000a_1 x Clear 1.5m Bin"/>
    <n v="83.8"/>
    <m/>
    <m/>
  </r>
  <r>
    <s v="INV"/>
    <s v="NBN Sydney"/>
    <s v="11878611"/>
    <x v="1"/>
    <s v="Overhead"/>
    <x v="3"/>
    <d v="2017-04-30T00:00:00"/>
    <s v="Apr-17"/>
    <s v="Cleanaway - 18/04/2017_x000d__x000a_1 x Clear 1.5m Bin"/>
    <n v="83.8"/>
    <m/>
    <m/>
  </r>
  <r>
    <s v="INV"/>
    <s v="NBN Sydney"/>
    <s v="0006"/>
    <x v="1"/>
    <s v="Overhead"/>
    <x v="3"/>
    <d v="2017-04-03T00:00:00"/>
    <s v="Apr-17"/>
    <s v="GILCIN - Rent 19/04/2017 - 18/05/2017_x000d__x000a_Unit 26, 10 John Hines Ave, Minchinbury NSW"/>
    <n v="4416.66"/>
    <m/>
    <m/>
  </r>
  <r>
    <s v="INV"/>
    <s v="NBN Sydney"/>
    <s v="00082799"/>
    <x v="1"/>
    <s v="Overhead"/>
    <x v="3"/>
    <d v="2017-04-24T00:00:00"/>
    <s v="Apr-17"/>
    <s v="Tranquil Natural Spring Water - 15L SW BPA Free_x000d__x000a_15Litre Spring Water Bottles Delivered on 19/04/17"/>
    <n v="52.5"/>
    <m/>
    <m/>
  </r>
  <r>
    <s v="INV"/>
    <s v="NBN Sydney"/>
    <s v="2689717"/>
    <x v="1"/>
    <s v="Overhead"/>
    <x v="3"/>
    <d v="2017-04-03T00:00:00"/>
    <s v="Apr-17"/>
    <s v="Eureka Operations - Coles Express - ULP E10 63.09L @ $1.284 GC ute"/>
    <n v="73.650000000000006"/>
    <m/>
    <m/>
  </r>
  <r>
    <s v="INV"/>
    <s v="NBN Sydney"/>
    <s v="00128787"/>
    <x v="5"/>
    <s v="NBN Greenfields DJC Internals"/>
    <x v="171"/>
    <d v="2017-04-04T00:00:00"/>
    <s v="Apr-17"/>
    <s v="United Orange - Diesel 93.12L @ $1.223  Excavator Hire Orange"/>
    <n v="103.53"/>
    <m/>
    <m/>
  </r>
  <r>
    <s v="INV"/>
    <s v="NBN Sydney"/>
    <s v="90995"/>
    <x v="5"/>
    <s v="SecNet DJC internals"/>
    <x v="24"/>
    <d v="2017-04-04T00:00:00"/>
    <s v="Apr-17"/>
    <s v="Budget Petrol Erskineville - ULP E10 46.98L @ $1.079 GB"/>
    <n v="46.08"/>
    <m/>
    <m/>
  </r>
  <r>
    <s v="INV"/>
    <s v="NBN Sydney"/>
    <s v="898525"/>
    <x v="5"/>
    <s v="NBN Greenfields DJC Internals"/>
    <x v="142"/>
    <d v="2017-04-06T00:00:00"/>
    <s v="Apr-17"/>
    <s v="BP Fairy Meadow - ULP 50.01L @ $1.269"/>
    <n v="57.69"/>
    <m/>
    <m/>
  </r>
  <r>
    <s v="INV"/>
    <s v="NBN Sydney"/>
    <s v="2567220"/>
    <x v="5"/>
    <s v="NBN Greenfields DJC Internals"/>
    <x v="137"/>
    <d v="2017-04-07T00:00:00"/>
    <s v="Apr-17"/>
    <s v="7 Eleven Granville East - ULP 43.87L @ $1.077"/>
    <n v="42.95"/>
    <m/>
    <m/>
  </r>
  <r>
    <s v="INV"/>
    <s v="NBN Sydney"/>
    <s v="BU59MS Rego"/>
    <x v="1"/>
    <s v="Overhead Vehicles"/>
    <x v="3"/>
    <d v="2017-04-18T00:00:00"/>
    <s v="Apr-17"/>
    <s v="RMS Road &amp; Maritime Services - Motor Vehicle Tax"/>
    <n v="697"/>
    <m/>
    <m/>
  </r>
  <r>
    <s v="INV"/>
    <s v="NBN Sydney"/>
    <s v="BU59MS Rego"/>
    <x v="1"/>
    <s v="Overhead Vehicles"/>
    <x v="3"/>
    <d v="2017-04-18T00:00:00"/>
    <s v="Apr-17"/>
    <s v="RMS Road &amp; Maritime Services - Registration Fee"/>
    <n v="64"/>
    <m/>
    <m/>
  </r>
  <r>
    <s v="INV"/>
    <s v="NBN Sydney"/>
    <s v="TJ26226459"/>
    <x v="1"/>
    <s v="Overhead Vehicles"/>
    <x v="3"/>
    <d v="2017-04-19T00:00:00"/>
    <s v="Apr-17"/>
    <s v="Sydney City Toyota - Sundry Environmental Levy"/>
    <n v="19.38"/>
    <m/>
    <m/>
  </r>
  <r>
    <s v="INV"/>
    <s v="NBN Sydney"/>
    <s v="TJ26226459"/>
    <x v="1"/>
    <s v="Overhead Vehicles"/>
    <x v="3"/>
    <d v="2017-04-19T00:00:00"/>
    <s v="Apr-17"/>
    <s v="Sydney City Toyota - Differential Oil"/>
    <n v="54.31"/>
    <m/>
    <m/>
  </r>
  <r>
    <s v="INV"/>
    <s v="NBN Sydney"/>
    <s v="TJ26226459"/>
    <x v="1"/>
    <s v="Overhead Vehicles"/>
    <x v="3"/>
    <d v="2017-04-19T00:00:00"/>
    <s v="Apr-17"/>
    <s v="Sydney City Toyota - Brake Cleaning Solvent"/>
    <n v="8.35"/>
    <m/>
    <m/>
  </r>
  <r>
    <s v="INV"/>
    <s v="NBN Sydney"/>
    <s v="TJ26226459"/>
    <x v="1"/>
    <s v="Overhead Vehicles"/>
    <x v="3"/>
    <d v="2017-04-19T00:00:00"/>
    <s v="Apr-17"/>
    <s v="Sydney City Toyota - Toyota Genuine Motor Oil 10w30"/>
    <n v="60.78"/>
    <m/>
    <m/>
  </r>
  <r>
    <s v="INV"/>
    <s v="NBN Sydney"/>
    <s v="TJ26226459"/>
    <x v="1"/>
    <s v="Overhead Vehicles"/>
    <x v="3"/>
    <d v="2017-04-19T00:00:00"/>
    <s v="Apr-17"/>
    <s v="Sydney City Toyota - 1% Surcharge"/>
    <n v="9.4700000000000006"/>
    <m/>
    <m/>
  </r>
  <r>
    <s v="INV"/>
    <s v="NBN Sydney"/>
    <s v="TJ26226459"/>
    <x v="1"/>
    <s v="Overhead Vehicles"/>
    <x v="3"/>
    <d v="2017-04-19T00:00:00"/>
    <s v="Apr-17"/>
    <s v="Sydney City Toyota - Bulb LMP RH7802"/>
    <n v="7.59"/>
    <m/>
    <m/>
  </r>
  <r>
    <s v="INV"/>
    <s v="NBN Sydney"/>
    <s v="TJ26226459"/>
    <x v="1"/>
    <s v="Overhead Vehicles"/>
    <x v="3"/>
    <d v="2017-04-19T00:00:00"/>
    <s v="Apr-17"/>
    <s v="Sydney City Toyota - Replaced Number Plate Globes as blown"/>
    <n v="22.4"/>
    <m/>
    <m/>
  </r>
  <r>
    <s v="INV"/>
    <s v="NBN Sydney"/>
    <s v="TJ26226459"/>
    <x v="1"/>
    <s v="Overhead Vehicles"/>
    <x v="175"/>
    <d v="2017-04-19T00:00:00"/>
    <s v="Apr-17"/>
    <s v="Sydney City Toyota - Washer Additive"/>
    <n v="0.84"/>
    <m/>
    <m/>
  </r>
  <r>
    <s v="INV"/>
    <s v="NBN Sydney"/>
    <s v="TJ26226459"/>
    <x v="1"/>
    <s v="Overhead Vehicles"/>
    <x v="175"/>
    <d v="2017-04-19T00:00:00"/>
    <s v="Apr-17"/>
    <s v="Sydney City Toyota - Brakefluid 500mL"/>
    <n v="9.2899999999999991"/>
    <m/>
    <m/>
  </r>
  <r>
    <s v="INV"/>
    <s v="NBN Sydney"/>
    <s v="TJ26226459"/>
    <x v="1"/>
    <s v="Overhead Vehicles"/>
    <x v="175"/>
    <d v="2017-04-19T00:00:00"/>
    <s v="Apr-17"/>
    <s v="Sydney City Toyota - Carry out 120,000 km service as per handbook"/>
    <n v="470.9"/>
    <m/>
    <m/>
  </r>
  <r>
    <s v="INV"/>
    <s v="NBN Sydney"/>
    <s v="TJ26226459"/>
    <x v="1"/>
    <s v="Overhead Vehicles"/>
    <x v="175"/>
    <d v="2017-04-19T00:00:00"/>
    <s v="Apr-17"/>
    <s v="Sydney City Toyota - Gasket, Fuel SU HF05"/>
    <n v="8.2200000000000006"/>
    <m/>
    <m/>
  </r>
  <r>
    <s v="INV"/>
    <s v="NBN Sydney"/>
    <s v="TJ26226459"/>
    <x v="1"/>
    <s v="Overhead Vehicles"/>
    <x v="175"/>
    <d v="2017-04-19T00:00:00"/>
    <s v="Apr-17"/>
    <s v="Sydney City Toyota - Fuel Filter Assy"/>
    <n v="177.77"/>
    <m/>
    <m/>
  </r>
  <r>
    <s v="INV"/>
    <s v="NBN Sydney"/>
    <s v="TJ26226459"/>
    <x v="1"/>
    <s v="Overhead Vehicles"/>
    <x v="175"/>
    <d v="2017-04-19T00:00:00"/>
    <s v="Apr-17"/>
    <s v="Sydney City Toyota - Oil Filter MVP"/>
    <n v="19.45"/>
    <m/>
    <m/>
  </r>
  <r>
    <s v="INV"/>
    <s v="NBN Sydney"/>
    <s v="TJ26226459"/>
    <x v="1"/>
    <s v="Overhead Vehicles"/>
    <x v="175"/>
    <d v="2017-04-19T00:00:00"/>
    <s v="Apr-17"/>
    <s v="Sydney City Toyota - Sump Plug Washer"/>
    <n v="1.72"/>
    <m/>
    <m/>
  </r>
  <r>
    <s v="INV"/>
    <s v="NBN Sydney"/>
    <s v="1920955"/>
    <x v="5"/>
    <s v="NBN Greenfields DJC Internals"/>
    <x v="153"/>
    <d v="2017-04-24T00:00:00"/>
    <s v="Apr-17"/>
    <s v="Eureka Operations - Coles Express - E10 ULP 47.32L @ $1.287"/>
    <n v="55.36"/>
    <m/>
    <m/>
  </r>
  <r>
    <s v="INV"/>
    <s v="NBN Sydney"/>
    <s v="93653"/>
    <x v="5"/>
    <s v="NBN Greenfields DJC Internals"/>
    <x v="155"/>
    <d v="2017-04-26T00:00:00"/>
    <s v="Apr-17"/>
    <s v="7 Eleven Albion Park - E10 ULP 46.99L @ $1.183"/>
    <n v="50.54"/>
    <m/>
    <m/>
  </r>
  <r>
    <s v="INV"/>
    <s v="NBN Sydney"/>
    <s v="3713230459-3"/>
    <x v="1"/>
    <s v="Overhead Vehicles"/>
    <x v="175"/>
    <d v="2017-04-26T00:00:00"/>
    <s v="Apr-17"/>
    <s v="Allianz - MCIS Levies"/>
    <n v="92.62"/>
    <m/>
    <m/>
  </r>
  <r>
    <s v="INV"/>
    <s v="NBN Sydney"/>
    <s v="3713230459-3"/>
    <x v="1"/>
    <s v="Overhead Vehicles"/>
    <x v="175"/>
    <d v="2017-04-26T00:00:00"/>
    <s v="Apr-17"/>
    <s v="Allianz - Premium"/>
    <n v="287.43"/>
    <m/>
    <m/>
  </r>
  <r>
    <s v="INV"/>
    <s v="NBN Sydney"/>
    <s v="2678032"/>
    <x v="5"/>
    <s v="NBN Greenfields DJC Internals"/>
    <x v="145"/>
    <d v="2017-04-28T00:00:00"/>
    <s v="Apr-17"/>
    <s v="BP Express Canterbury - ULP 39.58L @ $1.179 GB"/>
    <n v="42.42"/>
    <m/>
    <m/>
  </r>
  <r>
    <s v="INV"/>
    <s v="NBN Sydney"/>
    <s v="01-644361"/>
    <x v="5"/>
    <s v="NBN Greenfields DJC Internals"/>
    <x v="164"/>
    <d v="2017-04-05T00:00:00"/>
    <s v="Apr-17"/>
    <s v="BP Davis Road - Diesel  92.75L @ $1.249  KE Truck"/>
    <n v="105.32"/>
    <m/>
    <m/>
  </r>
  <r>
    <s v="INV"/>
    <s v="NBN Sydney"/>
    <s v="829627"/>
    <x v="5"/>
    <s v="NBN Greenfields DJC Internals"/>
    <x v="174"/>
    <d v="2017-04-07T00:00:00"/>
    <s v="Apr-17"/>
    <s v="BP Chipping Norton - Diesel 90.68L @ $1.169"/>
    <n v="96.36"/>
    <m/>
    <m/>
  </r>
  <r>
    <s v="INV"/>
    <s v="NBN Sydney"/>
    <s v="833329"/>
    <x v="5"/>
    <s v="NBN Greenfields DJC Internals"/>
    <x v="174"/>
    <d v="2017-04-12T00:00:00"/>
    <s v="Apr-17"/>
    <s v="BP Chipping Norton - Diesel 82.78L @ $1.179"/>
    <n v="88.73"/>
    <m/>
    <m/>
  </r>
  <r>
    <s v="INV"/>
    <s v="NBN Sydney"/>
    <s v="BX10GL Rego"/>
    <x v="1"/>
    <s v="Overhead Vehicles"/>
    <x v="175"/>
    <d v="2017-04-18T00:00:00"/>
    <s v="Apr-17"/>
    <s v="RMS Road &amp; Maritime Services - Roaduse Chge (1R2)"/>
    <n v="105"/>
    <m/>
    <m/>
  </r>
  <r>
    <s v="INV"/>
    <s v="NBN Sydney"/>
    <s v="BX10GL Rego"/>
    <x v="1"/>
    <s v="Overhead Vehicles"/>
    <x v="175"/>
    <d v="2017-04-18T00:00:00"/>
    <s v="Apr-17"/>
    <s v="RMS Road &amp; Maritime Services - NHVR Regulatory Chge"/>
    <n v="51"/>
    <m/>
    <m/>
  </r>
  <r>
    <s v="INV"/>
    <s v="NBN Sydney"/>
    <s v="BX10GL Rego"/>
    <x v="1"/>
    <s v="Overhead Vehicles"/>
    <x v="175"/>
    <d v="2017-04-18T00:00:00"/>
    <s v="Apr-17"/>
    <s v="RMS Road &amp; Maritime Services - Admin Surcharge"/>
    <n v="16"/>
    <m/>
    <m/>
  </r>
  <r>
    <s v="INV"/>
    <s v="NBN Sydney"/>
    <s v="BX10GL Transfer"/>
    <x v="1"/>
    <s v="Overhead Vehicles"/>
    <x v="175"/>
    <d v="2017-04-18T00:00:00"/>
    <s v="Apr-17"/>
    <s v="RMS Road &amp; Maritime Services - Trn Vehicles"/>
    <n v="32"/>
    <m/>
    <m/>
  </r>
  <r>
    <s v="INV"/>
    <s v="NBN Sydney"/>
    <s v="BX10GL Transfer"/>
    <x v="1"/>
    <s v="Overhead Vehicles"/>
    <x v="175"/>
    <d v="2017-04-18T00:00:00"/>
    <s v="Apr-17"/>
    <s v="RMS Road &amp; Maritime Services - Stamp Duty"/>
    <n v="900"/>
    <m/>
    <m/>
  </r>
  <r>
    <s v="INV"/>
    <s v="NBN Sydney"/>
    <s v="BX10GL Rego"/>
    <x v="1"/>
    <s v="Overhead Vehicles"/>
    <x v="175"/>
    <d v="2017-04-18T00:00:00"/>
    <s v="Apr-17"/>
    <s v="RMS Road &amp; Maritime Services - Registration Fee"/>
    <n v="16"/>
    <m/>
    <m/>
  </r>
  <r>
    <s v="INV"/>
    <s v="NBN Sydney"/>
    <s v="2415495"/>
    <x v="5"/>
    <s v="NBN Greenfields DJC Internals"/>
    <x v="168"/>
    <d v="2017-04-19T00:00:00"/>
    <s v="Apr-17"/>
    <s v="BP Connect Thornleigh - Ultimate Diesel 82.77L @ $1.329"/>
    <n v="100"/>
    <m/>
    <m/>
  </r>
  <r>
    <s v="INV"/>
    <s v="NBN Sydney"/>
    <s v="239591"/>
    <x v="5"/>
    <s v="NBN Greenfields DJC Internals"/>
    <x v="144"/>
    <d v="2017-04-20T00:00:00"/>
    <s v="Apr-17"/>
    <s v="BP North Wyong - Ultimate Diesel 83.91L @ $1.299"/>
    <n v="99.09"/>
    <m/>
    <m/>
  </r>
  <r>
    <s v="INV"/>
    <s v="NBN Sydney"/>
    <s v="2798199"/>
    <x v="5"/>
    <s v="NBN Greenfields DJC Internals"/>
    <x v="162"/>
    <d v="2017-04-24T00:00:00"/>
    <s v="Apr-17"/>
    <s v="BP Connect Revesby - Ultimate Diesel 90.83L @ $1.289"/>
    <n v="106.44"/>
    <m/>
    <m/>
  </r>
  <r>
    <s v="INV"/>
    <s v="NBN Sydney"/>
    <s v="3713242369-0"/>
    <x v="1"/>
    <s v="Overhead Vehicles"/>
    <x v="175"/>
    <d v="2017-04-27T00:00:00"/>
    <s v="Apr-17"/>
    <s v="Allianz - MCIS Levies "/>
    <n v="24.85"/>
    <m/>
    <m/>
  </r>
  <r>
    <s v="INV"/>
    <s v="NBN Sydney"/>
    <s v="3713242369-0"/>
    <x v="1"/>
    <s v="Overhead Vehicles"/>
    <x v="175"/>
    <d v="2017-04-27T00:00:00"/>
    <s v="Apr-17"/>
    <s v="Allianz - Premium"/>
    <n v="110.58"/>
    <m/>
    <m/>
  </r>
  <r>
    <s v="INV"/>
    <s v="NBN Sydney"/>
    <s v="170428 17.21"/>
    <x v="5"/>
    <s v="NBN Greenfields DJC Internals"/>
    <x v="171"/>
    <d v="2017-04-28T00:00:00"/>
    <s v="Apr-17"/>
    <s v="BP Davis Road - Diesel 73.86L @ $1.249 KE Truck"/>
    <n v="83.86"/>
    <m/>
    <m/>
  </r>
  <r>
    <s v="INV"/>
    <s v="NBN Sydney"/>
    <s v="89473"/>
    <x v="1"/>
    <s v="Overhead"/>
    <x v="3"/>
    <d v="2017-04-15T00:00:00"/>
    <s v="Apr-17"/>
    <s v="Caltex Wagga Wagga - Lake Albert Road - ULP 46.68L @ $1.325 Cindy"/>
    <n v="56.23"/>
    <m/>
    <m/>
  </r>
  <r>
    <s v="INV"/>
    <s v="NBN Sydney"/>
    <s v="607126"/>
    <x v="5"/>
    <s v="NBN Greenfields DJC Internals"/>
    <x v="145"/>
    <d v="2017-04-01T00:00:00"/>
    <s v="Apr-17"/>
    <s v="BP Chatsworth - Diesel 66.63L $1.259  PJ"/>
    <n v="76.260000000000005"/>
    <m/>
    <m/>
  </r>
  <r>
    <s v="INV"/>
    <s v="NBN Sydney"/>
    <s v="1154413"/>
    <x v="5"/>
    <s v="NBN Greenfields DJC Internals"/>
    <x v="174"/>
    <d v="2017-04-07T00:00:00"/>
    <s v="Apr-17"/>
    <s v="Eureka Operations - Coles Express - Diesel 65.25L @ $1.319"/>
    <n v="78.25"/>
    <m/>
    <m/>
  </r>
  <r>
    <s v="INV"/>
    <s v="NBN Sydney"/>
    <s v="030010903580"/>
    <x v="5"/>
    <s v="NBN Greenfields DJC Internals"/>
    <x v="174"/>
    <d v="2017-04-10T00:00:00"/>
    <s v="Apr-17"/>
    <s v="Your Fuel - Diesel 62.82L @ $1.219"/>
    <n v="69.61"/>
    <m/>
    <m/>
  </r>
  <r>
    <s v="INV"/>
    <s v="NBN Sydney"/>
    <s v="2329641"/>
    <x v="5"/>
    <s v="NBN Greenfields DJC Internals"/>
    <x v="153"/>
    <d v="2017-04-19T00:00:00"/>
    <s v="Apr-17"/>
    <s v="7 Eleven Minchinbury - Diesel 59.90L @ $1.269"/>
    <n v="69.11"/>
    <m/>
    <m/>
  </r>
  <r>
    <s v="INV"/>
    <s v="NBN Sydney"/>
    <s v="1162344"/>
    <x v="5"/>
    <s v="NBN Greenfields DJC Internals"/>
    <x v="164"/>
    <d v="2017-04-20T00:00:00"/>
    <s v="Apr-17"/>
    <s v="Eureka Operations - Coles Express - Diesel 64.21L @ $131.9/L"/>
    <n v="77"/>
    <m/>
    <m/>
  </r>
  <r>
    <s v="INV"/>
    <s v="NBN Sydney"/>
    <s v="52559"/>
    <x v="5"/>
    <s v="NBN Greenfields DJC Internals"/>
    <x v="168"/>
    <d v="2017-04-26T00:00:00"/>
    <s v="Apr-17"/>
    <s v="Caltex Camden (Ram Martis P/L) - Diesel 65.81L @ $1.219L PJ"/>
    <n v="72.930000000000007"/>
    <m/>
    <m/>
  </r>
  <r>
    <s v="INV"/>
    <s v="NBN Sydney"/>
    <s v="40209"/>
    <x v="5"/>
    <s v="NBN Greenfields DJC Internals"/>
    <x v="171"/>
    <d v="2017-04-05T00:00:00"/>
    <s v="Apr-17"/>
    <s v="Caltex Wagga Wagga - Hammond Ave - Vortex Diesel 58.38L @ $1.279 G???"/>
    <n v="67.88"/>
    <m/>
    <m/>
  </r>
  <r>
    <s v="INV"/>
    <s v="NBN Sydney"/>
    <s v="267420"/>
    <x v="5"/>
    <s v="NBN Greenfields DJC Internals"/>
    <x v="171"/>
    <d v="2017-04-07T00:00:00"/>
    <s v="Apr-17"/>
    <s v="BP Young - Diesel 57.71L @ $1.299  G???"/>
    <n v="68.150000000000006"/>
    <m/>
    <m/>
  </r>
  <r>
    <s v="INV"/>
    <s v="NBN Sydney"/>
    <s v="#33138"/>
    <x v="5"/>
    <s v="NBN Greenfields DJC Internals"/>
    <x v="137"/>
    <d v="2017-04-01T00:00:00"/>
    <s v="Apr-17"/>
    <s v="SYDNEY VEHICLE  AND TEST EQUIPMENT RENTAL - TEST EQUIPMENT MONTHLY RENTAL"/>
    <n v="90.2"/>
    <m/>
    <m/>
  </r>
  <r>
    <s v="INV"/>
    <s v="NBN Sydney"/>
    <s v="#33138"/>
    <x v="5"/>
    <s v="NBN Greenfields DJC Internals"/>
    <x v="142"/>
    <d v="2017-04-01T00:00:00"/>
    <s v="Apr-17"/>
    <s v="SYDNEY VEHICLE  AND TEST EQUIPMENT RENTAL - TEST EQUIPMENT MONTHLY RENTAL"/>
    <n v="90.2"/>
    <m/>
    <m/>
  </r>
  <r>
    <s v="INV"/>
    <s v="NBN Sydney"/>
    <s v="#33138"/>
    <x v="5"/>
    <s v="NBN Greenfields DJC Internals"/>
    <x v="144"/>
    <d v="2017-04-01T00:00:00"/>
    <s v="Apr-17"/>
    <s v="SYDNEY VEHICLE  AND TEST EQUIPMENT RENTAL - TEST EQUIPMENT MONTHLY RENTAL"/>
    <n v="90.2"/>
    <m/>
    <m/>
  </r>
  <r>
    <s v="INV"/>
    <s v="NBN Sydney"/>
    <s v="#33138"/>
    <x v="5"/>
    <s v="NBN Greenfields DJC Internals"/>
    <x v="141"/>
    <d v="2017-04-01T00:00:00"/>
    <s v="Apr-17"/>
    <s v="SYDNEY VEHICLE  AND TEST EQUIPMENT RENTAL - TEST EQUIPMENT MONTHLY RENTAL"/>
    <n v="90.2"/>
    <m/>
    <m/>
  </r>
  <r>
    <s v="INV"/>
    <s v="NBN Sydney"/>
    <s v="#33138"/>
    <x v="5"/>
    <s v="NBN Greenfields DJC Internals"/>
    <x v="145"/>
    <d v="2017-04-01T00:00:00"/>
    <s v="Apr-17"/>
    <s v="SYDNEY VEHICLE  AND TEST EQUIPMENT RENTAL - TEST EQUIPMENT MONTHLY RENTAL"/>
    <n v="90.2"/>
    <m/>
    <m/>
  </r>
  <r>
    <s v="INV"/>
    <s v="NBN Sydney"/>
    <s v="#33138"/>
    <x v="5"/>
    <s v="NBN Greenfields DJC Internals"/>
    <x v="153"/>
    <d v="2017-04-01T00:00:00"/>
    <s v="Apr-17"/>
    <s v="SYDNEY VEHICLE  AND TEST EQUIPMENT RENTAL - TEST EQUIPMENT MONTHLY RENTAL"/>
    <n v="90.2"/>
    <m/>
    <m/>
  </r>
  <r>
    <s v="INV"/>
    <s v="NBN Sydney"/>
    <s v="#33138"/>
    <x v="5"/>
    <s v="NBN Greenfields DJC Internals"/>
    <x v="155"/>
    <d v="2017-04-01T00:00:00"/>
    <s v="Apr-17"/>
    <s v="SYDNEY VEHICLE  AND TEST EQUIPMENT RENTAL - TEST EQUIPMENT MONTHLY RENTAL"/>
    <n v="90.2"/>
    <m/>
    <m/>
  </r>
  <r>
    <s v="INV"/>
    <s v="NBN Sydney"/>
    <s v="#33138"/>
    <x v="5"/>
    <s v="NBN Greenfields DJC Internals"/>
    <x v="162"/>
    <d v="2017-04-01T00:00:00"/>
    <s v="Apr-17"/>
    <s v="SYDNEY VEHICLE  AND TEST EQUIPMENT RENTAL - TEST EQUIPMENT MONTHLY RENTAL"/>
    <n v="90.2"/>
    <m/>
    <m/>
  </r>
  <r>
    <s v="INV"/>
    <s v="NBN Sydney"/>
    <s v="#33138"/>
    <x v="5"/>
    <s v="NBN Greenfields DJC Internals"/>
    <x v="158"/>
    <d v="2017-04-01T00:00:00"/>
    <s v="Apr-17"/>
    <s v="SYDNEY VEHICLE  AND TEST EQUIPMENT RENTAL - TEST EQUIPMENT MONTHLY RENTAL"/>
    <n v="90.2"/>
    <m/>
    <m/>
  </r>
  <r>
    <s v="INV"/>
    <s v="NBN Sydney"/>
    <s v="#33138"/>
    <x v="5"/>
    <s v="NBN Greenfields DJC Internals"/>
    <x v="170"/>
    <d v="2017-04-01T00:00:00"/>
    <s v="Apr-17"/>
    <s v="SYDNEY VEHICLE  AND TEST EQUIPMENT RENTAL - TEST EQUIPMENT MONTHLY RENTAL"/>
    <n v="90.2"/>
    <m/>
    <m/>
  </r>
  <r>
    <s v="INV"/>
    <s v="NBN Sydney"/>
    <s v="#33138"/>
    <x v="1"/>
    <s v="Overhead"/>
    <x v="3"/>
    <d v="2017-04-01T00:00:00"/>
    <s v="Apr-17"/>
    <s v="SYDNEY VEHICLE  AND TEST EQUIPMENT RENTAL - Forklift"/>
    <n v="487"/>
    <m/>
    <m/>
  </r>
  <r>
    <s v="INV"/>
    <s v="NBN Sydney"/>
    <s v="#33138"/>
    <x v="5"/>
    <s v="NBN Greenfields DJC Internals"/>
    <x v="142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43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45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39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55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66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1"/>
    <s v="Overhead"/>
    <x v="3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73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Minor Works DJC Internals"/>
    <x v="167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41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64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1"/>
    <s v="Overhead"/>
    <x v="3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44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53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68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A417 MDU DJC Internals"/>
    <x v="156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74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AARNet Sydney"/>
    <s v="#33138"/>
    <x v="5"/>
    <s v="AARNet DJC Internals"/>
    <x v="169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63"/>
    <d v="2017-04-01T00:00:00"/>
    <s v="Apr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3.842105263157897"/>
    <m/>
    <m/>
  </r>
  <r>
    <s v="INV"/>
    <s v="NBN Sydney"/>
    <s v="#33138"/>
    <x v="5"/>
    <s v="NBN Greenfields DJC Internals"/>
    <x v="137"/>
    <d v="2017-04-01T00:00:00"/>
    <s v="Apr-17"/>
    <s v="SYDNEY VEHICLE  AND TEST EQUIPMENT RENTAL - BU59MS -HIACE RENTAL - "/>
    <n v="83.3"/>
    <m/>
    <m/>
  </r>
  <r>
    <s v="INV"/>
    <s v="NBN Sydney"/>
    <s v="#33138"/>
    <x v="5"/>
    <s v="NBN Greenfields DJC Internals"/>
    <x v="142"/>
    <d v="2017-04-01T00:00:00"/>
    <s v="Apr-17"/>
    <s v="SYDNEY VEHICLE  AND TEST EQUIPMENT RENTAL - BU59MS -HIACE RENTAL - "/>
    <n v="83.3"/>
    <m/>
    <m/>
  </r>
  <r>
    <s v="INV"/>
    <s v="NBN Sydney"/>
    <s v="#33138"/>
    <x v="5"/>
    <s v="NBN Greenfields DJC Internals"/>
    <x v="144"/>
    <d v="2017-04-01T00:00:00"/>
    <s v="Apr-17"/>
    <s v="SYDNEY VEHICLE  AND TEST EQUIPMENT RENTAL - BU59MS -HIACE RENTAL - "/>
    <n v="83.3"/>
    <m/>
    <m/>
  </r>
  <r>
    <s v="INV"/>
    <s v="NBN Sydney"/>
    <s v="#33138"/>
    <x v="5"/>
    <s v="NBN Greenfields DJC Internals"/>
    <x v="141"/>
    <d v="2017-04-01T00:00:00"/>
    <s v="Apr-17"/>
    <s v="SYDNEY VEHICLE  AND TEST EQUIPMENT RENTAL - BU59MS -HIACE RENTAL - "/>
    <n v="83.3"/>
    <m/>
    <m/>
  </r>
  <r>
    <s v="INV"/>
    <s v="NBN Sydney"/>
    <s v="#33138"/>
    <x v="5"/>
    <s v="NBN Greenfields DJC Internals"/>
    <x v="145"/>
    <d v="2017-04-01T00:00:00"/>
    <s v="Apr-17"/>
    <s v="SYDNEY VEHICLE  AND TEST EQUIPMENT RENTAL - BU59MS -HIACE RENTAL - "/>
    <n v="83.3"/>
    <m/>
    <m/>
  </r>
  <r>
    <s v="INV"/>
    <s v="NBN Sydney"/>
    <s v="#33138"/>
    <x v="5"/>
    <s v="NBN Greenfields DJC Internals"/>
    <x v="153"/>
    <d v="2017-04-01T00:00:00"/>
    <s v="Apr-17"/>
    <s v="SYDNEY VEHICLE  AND TEST EQUIPMENT RENTAL - BU59MS -HIACE RENTAL - "/>
    <n v="83.3"/>
    <m/>
    <m/>
  </r>
  <r>
    <s v="INV"/>
    <s v="NBN Sydney"/>
    <s v="#33138"/>
    <x v="5"/>
    <s v="NBN Greenfields DJC Internals"/>
    <x v="155"/>
    <d v="2017-04-01T00:00:00"/>
    <s v="Apr-17"/>
    <s v="SYDNEY VEHICLE  AND TEST EQUIPMENT RENTAL - BU59MS -HIACE RENTAL - "/>
    <n v="83.3"/>
    <m/>
    <m/>
  </r>
  <r>
    <s v="INV"/>
    <s v="NBN Sydney"/>
    <s v="#33138"/>
    <x v="5"/>
    <s v="NBN Greenfields DJC Internals"/>
    <x v="162"/>
    <d v="2017-04-01T00:00:00"/>
    <s v="Apr-17"/>
    <s v="SYDNEY VEHICLE  AND TEST EQUIPMENT RENTAL - BU59MS -HIACE RENTAL - "/>
    <n v="83.3"/>
    <m/>
    <m/>
  </r>
  <r>
    <s v="INV"/>
    <s v="NBN Sydney"/>
    <s v="#33138"/>
    <x v="5"/>
    <s v="NBN Greenfields DJC Internals"/>
    <x v="158"/>
    <d v="2017-04-01T00:00:00"/>
    <s v="Apr-17"/>
    <s v="SYDNEY VEHICLE  AND TEST EQUIPMENT RENTAL - BU59MS -HIACE RENTAL - "/>
    <n v="83.3"/>
    <m/>
    <m/>
  </r>
  <r>
    <s v="INV"/>
    <s v="NBN Sydney"/>
    <s v="#33138"/>
    <x v="5"/>
    <s v="NBN Greenfields DJC Internals"/>
    <x v="170"/>
    <d v="2017-04-01T00:00:00"/>
    <s v="Apr-17"/>
    <s v="SYDNEY VEHICLE  AND TEST EQUIPMENT RENTAL - BU59MS -HIACE RENTAL - "/>
    <n v="83.3"/>
    <m/>
    <m/>
  </r>
  <r>
    <s v="INV"/>
    <s v="NBN Sydney"/>
    <s v="88990-3-2017"/>
    <x v="1"/>
    <s v="Overhead"/>
    <x v="3"/>
    <d v="2017-04-01T00:00:00"/>
    <s v="Apr-17"/>
    <s v="Supagas - 2 x Monthly Rental of LPG 15kg Cylinder"/>
    <n v="10"/>
    <m/>
    <m/>
  </r>
  <r>
    <s v="INV"/>
    <s v="NBN Sydney"/>
    <s v="88990-3-2017"/>
    <x v="1"/>
    <s v="Overhead"/>
    <x v="3"/>
    <d v="2017-04-01T00:00:00"/>
    <s v="Apr-17"/>
    <s v="Supagas - 1 x LPG 15kg Cylinder"/>
    <n v="33.090000000000003"/>
    <m/>
    <m/>
  </r>
  <r>
    <s v="INV"/>
    <s v="NBN Sydney"/>
    <s v="88990-4-2017"/>
    <x v="1"/>
    <s v="Overhead"/>
    <x v="3"/>
    <d v="2017-04-30T00:00:00"/>
    <s v="Apr-17"/>
    <s v="Supagas - 2 x Monthly Rental of LPG 15kg Cylinder"/>
    <n v="10"/>
    <m/>
    <m/>
  </r>
  <r>
    <s v="INV"/>
    <s v="NBN Sydney"/>
    <s v="208177"/>
    <x v="5"/>
    <s v="NBN Greenfields DJC Internals"/>
    <x v="171"/>
    <d v="2017-04-06T00:00:00"/>
    <s v="Apr-17"/>
    <s v="BP Summer St - Diesel 24.68L @ $1.289, Drill Orange"/>
    <n v="28.92"/>
    <m/>
    <m/>
  </r>
  <r>
    <s v="INV"/>
    <s v="NBN Sydney"/>
    <s v="TB38YH Transfer"/>
    <x v="1"/>
    <s v="Overhead Vehicles"/>
    <x v="175"/>
    <d v="2017-04-18T00:00:00"/>
    <s v="Apr-17"/>
    <s v="RMS Road &amp; Maritime Services - Motor Vehicle Tax"/>
    <n v="23"/>
    <m/>
    <m/>
  </r>
  <r>
    <s v="INV"/>
    <s v="NBN Sydney"/>
    <s v="TB38YH Transfer"/>
    <x v="1"/>
    <s v="Overhead Vehicles"/>
    <x v="175"/>
    <d v="2017-04-18T00:00:00"/>
    <s v="Apr-17"/>
    <s v="RMS Road &amp; Maritime Services - Stamp Duty"/>
    <n v="60"/>
    <m/>
    <m/>
  </r>
  <r>
    <s v="INV"/>
    <s v="NBN Sydney"/>
    <s v="TB38YH Transfer"/>
    <x v="1"/>
    <s v="Overhead Vehicles"/>
    <x v="175"/>
    <d v="2017-04-18T00:00:00"/>
    <s v="Apr-17"/>
    <s v="RMS Road &amp; Maritime Services - Trn Vehicles"/>
    <n v="32"/>
    <m/>
    <m/>
  </r>
  <r>
    <s v="INV"/>
    <s v="NBN Sydney"/>
    <s v="7306/02111617"/>
    <x v="1"/>
    <s v="Overhead Vehicles"/>
    <x v="175"/>
    <d v="2017-04-25T00:00:00"/>
    <s v="Apr-17"/>
    <s v="Bunnings Warehouse - Spray Paint Metalshield 300g Epoxy Gloss Blue (for Sydney cable trailer)"/>
    <n v="25.77"/>
    <m/>
    <m/>
  </r>
  <r>
    <s v="INV"/>
    <s v="NBN Sydney"/>
    <s v="INV-12065b"/>
    <x v="3"/>
    <s v="Revenue"/>
    <x v="120"/>
    <d v="2017-05-01T00:00:00"/>
    <s v="May-17"/>
    <s v="NBN Co Sydney -  2CBT-01-14_10 &amp; 2CBT-04-14"/>
    <m/>
    <s v="Minor Works - 2CBT-01 &amp; 04 Drops"/>
    <n v="39403.65"/>
  </r>
  <r>
    <s v="CN"/>
    <s v="NBN Sydney"/>
    <s v="CN-12203"/>
    <x v="3"/>
    <s v="NBN Greenfields"/>
    <x v="141"/>
    <d v="2017-05-01T00:00:00"/>
    <s v="May-17"/>
    <s v="NBN Co Sydney - MW20330 - AYCA-30IORM - Luxe on Eve - 1_x000d__x000a__x000d__x000a_GST Roundings"/>
    <n v="0.01"/>
    <m/>
    <m/>
  </r>
  <r>
    <s v="CN"/>
    <s v="NBN Sydney"/>
    <s v="CN-12193"/>
    <x v="3"/>
    <s v="NBN Minor Works"/>
    <x v="107"/>
    <d v="2017-05-01T00:00:00"/>
    <s v="May-17"/>
    <s v="NBN Co Sydney -  2LJT03MPS030 220 Hansens Rd _x000d__x000a_short payment of 0.01c"/>
    <n v="0.01"/>
    <m/>
    <m/>
  </r>
  <r>
    <s v="INV"/>
    <s v="NBN Sydney"/>
    <s v="INV-11969b"/>
    <x v="3"/>
    <s v="NBN Minor Works"/>
    <x v="118"/>
    <d v="2017-05-02T00:00:00"/>
    <s v="May-17"/>
    <s v="NBN Co Sydney - MWI Invoice, 2BLK-07 Huntingwood"/>
    <m/>
    <s v="Minor Works - 2BLK-07 Huntingwood"/>
    <n v="766.97"/>
  </r>
  <r>
    <s v="INV"/>
    <s v="NBN Sydney"/>
    <s v="INV-12268"/>
    <x v="3"/>
    <s v="NBN Minor Works"/>
    <x v="176"/>
    <d v="2017-05-31T00:00:00"/>
    <s v="May-17"/>
    <s v="NBN Co Sydney - 2BLK-02/07 - MPS-032 &amp; MPS-010 "/>
    <m/>
    <s v="Minor Works - 2BLK-02/07 - MPS-032 &amp; MPS-010"/>
    <n v="18758.95"/>
  </r>
  <r>
    <s v="INV"/>
    <s v="NBN Sydney"/>
    <s v="INV-12267"/>
    <x v="3"/>
    <s v="NBN Greenfields"/>
    <x v="177"/>
    <d v="2017-05-31T00:00:00"/>
    <s v="May-17"/>
    <s v="NBN Co Sydney - AYCA-2Q8I3Y - 16-20 Withers Road – 3"/>
    <m/>
    <s v="NBN Greenfields - AYCA-2Q8I3Y - 16-20 Withers Road"/>
    <n v="3030.14"/>
  </r>
  <r>
    <s v="INV"/>
    <s v="NBN Sydney"/>
    <s v="INV-12269"/>
    <x v="3"/>
    <s v="NBN A417 MDU"/>
    <x v="178"/>
    <d v="2017-05-31T00:00:00"/>
    <s v="May-17"/>
    <s v="NBN Co Sydney - MW20749 - 2KEL-07 - AYCA-3R9JM5 - Subdivision - 31 Memorial Av, Kellyville"/>
    <m/>
    <s v="NBN Greenfields - AYCA-3R9JM5 - Subdivision - 31 Memorial Av, Kellyville"/>
    <n v="465.57"/>
  </r>
  <r>
    <s v="INV"/>
    <s v="NBN Sydney"/>
    <s v="INV-12275"/>
    <x v="3"/>
    <s v="NBN Greenfields"/>
    <x v="179"/>
    <d v="2017-05-31T00:00:00"/>
    <s v="May-17"/>
    <s v="NBN Co Sydney - AYCA-2DO5HN - MNJG 145 Princes Hwy Dapto - 1"/>
    <m/>
    <s v="NBN Greenfields - AYCA-2DO5HN 145 Princes Hwy Dapto"/>
    <n v="5455.38"/>
  </r>
  <r>
    <s v="INV"/>
    <s v="NBN Sydney"/>
    <s v="INV-12272"/>
    <x v="3"/>
    <s v="NBN Greenfields"/>
    <x v="180"/>
    <d v="2017-05-31T00:00:00"/>
    <s v="May-17"/>
    <s v="NBN Co Sydney - 2KIA-02 - AYCA-2ONMWX - Brookwood Estate - 2"/>
    <m/>
    <s v="NBN Greenfields - AYCA-2ONMWX -  Brookwood Estate"/>
    <n v="2943.37"/>
  </r>
  <r>
    <s v="INV"/>
    <s v="NBN Sydney"/>
    <s v="INV-12265"/>
    <x v="3"/>
    <s v="NBN Greenfields"/>
    <x v="170"/>
    <d v="2017-05-31T00:00:00"/>
    <s v="May-17"/>
    <s v="NBN Co Sydney - 2ROU-03 - AYCA-3HUY3N- 4 Wickham Blvd - 1"/>
    <m/>
    <s v="NBN Greenfields - AYCA-3HUY3N- 4 Wickham Blvd"/>
    <n v="10233.06"/>
  </r>
  <r>
    <s v="INV"/>
    <s v="NBN Sydney"/>
    <s v="INV-12261"/>
    <x v="3"/>
    <s v="NBN Greenfields"/>
    <x v="181"/>
    <d v="2017-05-31T00:00:00"/>
    <s v="May-17"/>
    <s v="NBN Co Sydney -  AYCA-32ARIB – Dowling Street "/>
    <m/>
    <s v="NBN Greenfields - AYCA-32ARIB – Dowling Street"/>
    <n v="6033.93"/>
  </r>
  <r>
    <s v="INV"/>
    <s v="NBN Sydney"/>
    <s v="INV-12260"/>
    <x v="3"/>
    <s v="NBN Greenfields"/>
    <x v="182"/>
    <d v="2017-05-31T00:00:00"/>
    <s v="May-17"/>
    <s v="NBN Co Sydney - MW20552 - NENSW0334-2WYO-02-13 Colonial St Wadalba NSW"/>
    <m/>
    <s v="NBN Greenfields - NENSW0334-2WYO-02-13 Colonial St Wadalba NSW"/>
    <n v="6909.29"/>
  </r>
  <r>
    <s v="INV"/>
    <s v="NBN Sydney"/>
    <s v="INV-12263"/>
    <x v="3"/>
    <s v="NBN Greenfields"/>
    <x v="183"/>
    <d v="2017-05-31T00:00:00"/>
    <s v="May-17"/>
    <s v="NBN Co Sydney -  2MAI-11 - AYCA-45D358 - OOMWI"/>
    <m/>
    <s v="NBN Greenfields - AYCA-45D358 - Non Standard Builds Morphet"/>
    <n v="2760"/>
  </r>
  <r>
    <s v="INV"/>
    <s v="NBN Sydney"/>
    <s v="INV-12264"/>
    <x v="3"/>
    <s v="NBN Greenfields"/>
    <x v="184"/>
    <d v="2017-05-31T00:00:00"/>
    <s v="May-17"/>
    <s v="NBN Co Sydney -   AYCA-3ZU1PE - 89 Old Hume Highway, Camden – 1"/>
    <m/>
    <s v="NBN Greenfields - AYCA-3ZU1PE - 89 Old Hume Highway, Camden "/>
    <n v="3116.85"/>
  </r>
  <r>
    <s v="INV"/>
    <s v="NBN Sydney"/>
    <s v="INV-12262"/>
    <x v="3"/>
    <s v="NBN Greenfields"/>
    <x v="173"/>
    <d v="2017-05-31T00:00:00"/>
    <s v="May-17"/>
    <s v="NBN Co Sydney -  AYCA-39MU9X - Macarthur Mazda, Campbelltown - 1"/>
    <m/>
    <s v="NBN Greenfields - AYCA-39MU9X - Macarthur Mazda, Campbelltown"/>
    <n v="20426.45"/>
  </r>
  <r>
    <s v="INV"/>
    <s v="NBN Sydney"/>
    <s v="INV170905"/>
    <x v="1"/>
    <s v="Overhead"/>
    <x v="3"/>
    <d v="2017-05-30T00:00:00"/>
    <s v="May-17"/>
    <s v="Southland Supply Group - AJ1321_x000d_, Asbestos _x000a_Safetek Citadel SMS Lightweight Coverall, White_x000d__x000a_Size: 2XL"/>
    <n v="205"/>
    <m/>
    <m/>
  </r>
  <r>
    <s v="INV"/>
    <s v="NBN Sydney"/>
    <s v="B VISA E-TOLL May 2017"/>
    <x v="1"/>
    <s v="Overhead"/>
    <x v="3"/>
    <d v="2017-05-31T00:00:00"/>
    <s v="May-17"/>
    <s v="E-Toll Business Operations Centre - TAG NO 10166430_x000d_Karsten_x000a_KE BX10GL Izuzu Tipper"/>
    <n v="17.329999999999998"/>
    <m/>
    <m/>
  </r>
  <r>
    <s v="INV"/>
    <s v="VPL Sydney"/>
    <s v="B VISA E-TOLL May 2017"/>
    <x v="5"/>
    <s v="Visionstream DJC Internals"/>
    <x v="185"/>
    <d v="2017-05-31T00:00:00"/>
    <s v="May-17"/>
    <s v="E-Toll Business Operations Centre - TAG NO 10166426 _x000d_Brendan_x000a_DMJ74G"/>
    <n v="252.05"/>
    <m/>
    <m/>
  </r>
  <r>
    <s v="INV"/>
    <s v="NBN Sydney"/>
    <s v="B VISA E-TOLL May 2017"/>
    <x v="1"/>
    <s v="Overhead"/>
    <x v="3"/>
    <d v="2017-05-31T00:00:00"/>
    <s v="May-17"/>
    <s v="E-Toll Business Operations Centre - PLATE IDENTIFIED - BX10GL"/>
    <n v="2.79"/>
    <m/>
    <m/>
  </r>
  <r>
    <s v="PAY"/>
    <s v="NBN Sydney"/>
    <s v="E-Toll May 2017"/>
    <x v="1"/>
    <s v="Credit E-Toll"/>
    <x v="3"/>
    <d v="2017-05-31T00:00:00"/>
    <s v="May-17"/>
    <s v="Payment: E-Toll Business Operations Centre"/>
    <m/>
    <s v="Credit E-Toll"/>
    <n v="832.32"/>
  </r>
  <r>
    <s v="INV"/>
    <s v="NBN Sydney"/>
    <s v="B VISA E-TOLL May 2017"/>
    <x v="1"/>
    <s v="Credit E-Toll"/>
    <x v="3"/>
    <d v="2017-05-31T00:00:00"/>
    <s v="May-17"/>
    <s v="E-Toll Business Operations Centre - Video Fee"/>
    <n v="0.68"/>
    <m/>
    <m/>
  </r>
  <r>
    <s v="INV"/>
    <s v="NBN Sydney"/>
    <s v="B VISA E-TOLL May 2017"/>
    <x v="5"/>
    <s v="NBN Greenfields DJC Internals"/>
    <x v="173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18"/>
    <x v="5"/>
    <s v="NBN Minor Works DJC Internals"/>
    <x v="167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19"/>
    <x v="5"/>
    <s v="NBN Greenfields DJC Internals"/>
    <x v="186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20"/>
    <x v="5"/>
    <s v="NBN Greenfields DJC Internals"/>
    <x v="187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21"/>
    <x v="5"/>
    <s v="NBN Greenfields DJC Internals"/>
    <x v="188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22"/>
    <x v="5"/>
    <s v="NBN Greenfields DJC Internals"/>
    <x v="189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23"/>
    <x v="5"/>
    <s v="NBN Greenfields DJC Internals"/>
    <x v="170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24"/>
    <x v="5"/>
    <s v="AARNet DJC Internals"/>
    <x v="169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25"/>
    <x v="5"/>
    <s v="NBN Greenfields DJC Internals"/>
    <x v="139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26"/>
    <x v="5"/>
    <s v="AARNet DJC Internals"/>
    <x v="169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27"/>
    <x v="5"/>
    <s v="NBN Greenfields DJC Internals"/>
    <x v="190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28"/>
    <x v="5"/>
    <s v="NBN Greenfields DJC Internals"/>
    <x v="173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29"/>
    <x v="5"/>
    <s v="NBN Greenfields DJC Internals"/>
    <x v="166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30"/>
    <x v="5"/>
    <s v="NBN Greenfields DJC Internals"/>
    <x v="168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31"/>
    <x v="5"/>
    <s v="NBN Greenfields DJC Internals"/>
    <x v="173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32"/>
    <x v="5"/>
    <s v="NBN Greenfields DJC Internals"/>
    <x v="191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33"/>
    <x v="5"/>
    <s v="NBN Greenfields DJC Internals"/>
    <x v="179"/>
    <d v="2017-05-31T00:00:00"/>
    <s v="May-17"/>
    <s v="E-Toll Business Operations Centre - TAG NO 4088301 _x000d__x000a_PJ CHV14B Toyota Hilux SYD"/>
    <n v="8.5811764705882343"/>
    <m/>
    <m/>
  </r>
  <r>
    <s v="INV"/>
    <s v="NBN Sydney"/>
    <s v="B VISA E-TOLL May 2017"/>
    <x v="5"/>
    <s v="NBN Greenfields DJC Internals"/>
    <x v="163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164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180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173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170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180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186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186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A417 MDU DJC Internals"/>
    <x v="157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174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164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190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177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79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Minor Works DJC Internals"/>
    <x v="79"/>
    <d v="2017-05-31T00:00:00"/>
    <s v="May-17"/>
    <s v="E-Toll Business Operations Centre - TAG NO 3665998 GB BU59MS Toyota Hiace Van"/>
    <n v="10.598750000000001"/>
    <m/>
    <m/>
  </r>
  <r>
    <s v="INV"/>
    <s v="NBN Sydney"/>
    <s v="B VISA E-TOLL May 2017"/>
    <x v="5"/>
    <s v="NBN Greenfields DJC Internals"/>
    <x v="163"/>
    <d v="2017-05-31T00:00:00"/>
    <s v="May-17"/>
    <s v="E-Toll Business Operations Centre - TAG NO 3665998 GB BU59MS Toyota Hiace Van"/>
    <n v="10.598750000000001"/>
    <m/>
    <m/>
  </r>
  <r>
    <s v="INV"/>
    <s v="NBN Sydney"/>
    <s v="BX10GL E-Toll Charges"/>
    <x v="5"/>
    <s v="NBN Greenfields DJC Internals"/>
    <x v="173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Minor Works DJC Internals"/>
    <x v="167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86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87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88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89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70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AARNet DJC Internals"/>
    <x v="169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39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AARNet DJC Internals"/>
    <x v="169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90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73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66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68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73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91"/>
    <d v="2017-05-31T00:00:00"/>
    <s v="May-17"/>
    <s v="E-Toll Business Operations Centre - KE E-toll charges from 7/04/2017 - 3/05/2017"/>
    <n v="21.781764705882352"/>
    <m/>
    <m/>
  </r>
  <r>
    <s v="INV"/>
    <s v="NBN Sydney"/>
    <s v="BX10GL E-Toll Charges"/>
    <x v="5"/>
    <s v="NBN Greenfields DJC Internals"/>
    <x v="179"/>
    <d v="2017-05-31T00:00:00"/>
    <s v="May-17"/>
    <s v="E-Toll Business Operations Centre - KE E-toll charges from 7/04/2017 - 3/05/2017"/>
    <n v="21.781764705882352"/>
    <m/>
    <m/>
  </r>
  <r>
    <s v="INV"/>
    <s v="NBN Sydney"/>
    <s v="B VISA E-TOLL May 2017"/>
    <x v="1"/>
    <s v="Overhead"/>
    <x v="3"/>
    <d v="2017-05-31T00:00:00"/>
    <s v="May-17"/>
    <s v="E-Toll Business Operations Centre - TAG NO 3829695 _x000d__x000a_GC GCC00K F250 Ford"/>
    <n v="133.19"/>
    <m/>
    <m/>
  </r>
  <r>
    <s v="INV"/>
    <s v="VPL Sydney"/>
    <s v="B VISA E-TOLL May 2017"/>
    <x v="5"/>
    <s v="Visionstream DJC Internals"/>
    <x v="185"/>
    <d v="2017-05-31T00:00:00"/>
    <s v="May-17"/>
    <s v="E-Toll Business Operations Centre - TAG NO 4088300 SPARE "/>
    <n v="23.25"/>
    <m/>
    <m/>
  </r>
  <r>
    <s v="INV"/>
    <s v="VPL Sydney"/>
    <s v="B VISA E-TOLL May 2017"/>
    <x v="5"/>
    <s v="Visionstream DJC Internals"/>
    <x v="185"/>
    <d v="2017-05-31T00:00:00"/>
    <s v="May-17"/>
    <s v="E-Toll Business Operations Centre - TAG NO 3830879 SPARE "/>
    <n v="11.9"/>
    <m/>
    <m/>
  </r>
  <r>
    <s v="INV"/>
    <s v="AARNet Sydney"/>
    <s v="SQ88513"/>
    <x v="0"/>
    <s v="AARNet DJC "/>
    <x v="169"/>
    <d v="2017-05-10T00:00:00"/>
    <s v="May-17"/>
    <s v="AFL Telecommunications (Formerly AFC Group) - 1260-02-00_x000d__x000a_Freight"/>
    <n v="25"/>
    <m/>
    <m/>
  </r>
  <r>
    <s v="INV"/>
    <s v="AARNet Sydney"/>
    <s v="202625 / PO2714"/>
    <x v="0"/>
    <s v="AARNet DJC "/>
    <x v="169"/>
    <d v="2017-05-11T00:00:00"/>
    <s v="May-17"/>
    <s v="BVCI Pty Ltd - FGOCS_x000d__x000a_Freight Charge Customer Delivery"/>
    <n v="176"/>
    <m/>
    <m/>
  </r>
  <r>
    <s v="INV"/>
    <s v="AARNet Sydney"/>
    <s v="00070734 / PO-0246"/>
    <x v="0"/>
    <s v="AARNet DJC "/>
    <x v="169"/>
    <d v="2017-05-17T00:00:00"/>
    <s v="May-17"/>
    <s v="OSA Optical Solutions Australia - Freight"/>
    <n v="20"/>
    <m/>
    <m/>
  </r>
  <r>
    <s v="INV"/>
    <s v="NBN Sydney"/>
    <s v="71 A88650"/>
    <x v="1"/>
    <s v="Overhead"/>
    <x v="3"/>
    <d v="2017-05-22T00:00:00"/>
    <s v="May-17"/>
    <s v="Middy's Data &amp; Electrical - Freight"/>
    <n v="60"/>
    <m/>
    <m/>
  </r>
  <r>
    <s v="INV"/>
    <s v="AARNet Sydney"/>
    <s v="18224927"/>
    <x v="0"/>
    <s v="AARNet DJC "/>
    <x v="169"/>
    <d v="2017-05-01T00:00:00"/>
    <s v="May-17"/>
    <s v="Kennards Hire - B180352_x000d__x000a_Core Bit 91-125mm size_x000d__x000a_10/4/2017 to 11/4/2017 @ $45.45 per day"/>
    <n v="45.45"/>
    <m/>
    <m/>
  </r>
  <r>
    <s v="INV"/>
    <s v="AARNet Sydney"/>
    <s v="18224927"/>
    <x v="0"/>
    <s v="AARNet DJC "/>
    <x v="169"/>
    <d v="2017-05-01T00:00:00"/>
    <s v="May-17"/>
    <s v="Kennards Hire - 196475_x000d__x000a_Generator - 6.5KVA Inverter_x000d__x000a_10/4/2017 to 11/4/2017"/>
    <n v="166.36"/>
    <m/>
    <m/>
  </r>
  <r>
    <s v="INV"/>
    <s v="AARNet Sydney"/>
    <s v="18224927"/>
    <x v="0"/>
    <s v="AARNet DJC "/>
    <x v="169"/>
    <d v="2017-05-01T00:00:00"/>
    <s v="May-17"/>
    <s v="Kennards Hire - 189471_x000d__x000a_Drill - Core to 125mm_x000d__x000a_10/4/2017 to 11/4/2017 @ $160 per day"/>
    <n v="160"/>
    <m/>
    <m/>
  </r>
  <r>
    <s v="INV"/>
    <s v="AARNet Sydney"/>
    <s v="18224927"/>
    <x v="0"/>
    <s v="AARNet DJC "/>
    <x v="169"/>
    <d v="2017-05-01T00:00:00"/>
    <s v="May-17"/>
    <s v="Kennards Hire - B180348_x000d__x000a_Core Bit 61-90mm size_x000d__x000a_10/4/2017 to 11/4/2017 @ $45.45 per day"/>
    <n v="45.45"/>
    <m/>
    <m/>
  </r>
  <r>
    <s v="INV"/>
    <s v="AARNet Sydney"/>
    <s v="18290725 / PO2571"/>
    <x v="0"/>
    <s v="AARNet DJC "/>
    <x v="169"/>
    <d v="2017-05-05T00:00:00"/>
    <s v="May-17"/>
    <s v="Kennards Hire - B180352_x000d__x000a_Core Bit 91-125mm Size_x000d__x000a_2/05/2017 to 5/05/2017 @ $95.45 per day"/>
    <n v="286.35000000000002"/>
    <m/>
    <m/>
  </r>
  <r>
    <s v="INV"/>
    <s v="AARNet Sydney"/>
    <s v="18290725 / PO2571"/>
    <x v="0"/>
    <s v="AARNet DJC "/>
    <x v="169"/>
    <d v="2017-05-05T00:00:00"/>
    <s v="May-17"/>
    <s v="Kennards Hire - B180346_x000d__x000a_Core Bit 41-60mm Size_x000d__x000a_2/05/2017 to 5/05/2017 @ $52.73 per day"/>
    <n v="158.19"/>
    <m/>
    <m/>
  </r>
  <r>
    <s v="INV"/>
    <s v="AARNet Sydney"/>
    <s v="18290725 / PO2571"/>
    <x v="0"/>
    <s v="AARNet DJC "/>
    <x v="169"/>
    <d v="2017-05-05T00:00:00"/>
    <s v="May-17"/>
    <s v="Kennards Hire - 790020_x000d__x000a_196475 Fuel - Petrol (per litre)"/>
    <n v="25.9"/>
    <m/>
    <m/>
  </r>
  <r>
    <s v="INV"/>
    <s v="AARNet Sydney"/>
    <s v="18290725 / PO2571"/>
    <x v="0"/>
    <s v="AARNet DJC "/>
    <x v="169"/>
    <d v="2017-05-05T00:00:00"/>
    <s v="May-17"/>
    <s v="Kennards Hire - 196475_x000d__x000a_Generator - 6.5KVA Inverter_x000d__x000a_2/05/2017 to 5/05/2017 @ $166.36 per day"/>
    <n v="499.1"/>
    <m/>
    <m/>
  </r>
  <r>
    <s v="INV"/>
    <s v="NBN Sydney"/>
    <s v="871889"/>
    <x v="1"/>
    <s v="Overhead"/>
    <x v="3"/>
    <d v="2017-05-05T00:00:00"/>
    <s v="May-17"/>
    <s v="Mitronics - S/N AO2E041005704- Colour_x000d__x000a_Last Read - 208,750 8/4/17_x000d__x000a_Current Read - 211,966 Prints - 3,126"/>
    <n v="360.19"/>
    <m/>
    <m/>
  </r>
  <r>
    <s v="INV"/>
    <s v="NBN Sydney"/>
    <s v="871889"/>
    <x v="1"/>
    <s v="Overhead"/>
    <x v="3"/>
    <d v="2017-05-05T00:00:00"/>
    <s v="May-17"/>
    <s v="Mitronics - S/N AO2E041005704- Black _x000d__x000a_Last read- 208,878 8/4/17_x000d__x000a_Current Read - 209,687 Prints - 809"/>
    <n v="8.33"/>
    <m/>
    <m/>
  </r>
  <r>
    <s v="INV"/>
    <s v="AARNet Sydney"/>
    <s v="18290725 / PO2571"/>
    <x v="0"/>
    <s v="AARNet DJC "/>
    <x v="169"/>
    <d v="2017-05-05T00:00:00"/>
    <s v="May-17"/>
    <s v="Kennards Hire - 189472_x000d__x000a_Drill - Core to 125mm_x000d__x000a_2/05/2017 to 5/05/2017 @ $160 per day"/>
    <n v="480"/>
    <m/>
    <m/>
  </r>
  <r>
    <s v="INV"/>
    <s v="NBN Sydney"/>
    <s v="871889"/>
    <x v="1"/>
    <s v="Overhead"/>
    <x v="3"/>
    <d v="2017-05-05T00:00:00"/>
    <s v="May-17"/>
    <s v="Mitronics - Digital Support Agreement - Chargeable"/>
    <n v="39.950000000000003"/>
    <m/>
    <m/>
  </r>
  <r>
    <s v="INV"/>
    <s v="NBN Sydney"/>
    <s v="18342960"/>
    <x v="0"/>
    <s v="NBN Greenfields DJC"/>
    <x v="173"/>
    <d v="2017-05-24T00:00:00"/>
    <s v="May-17"/>
    <s v="Kennards Hire - 154856_x000d__x000a_Underground Borer - Horizontal Pneumatic 75mm_x000d__x000a_23/05/2017 to 24/05/2017 @ $320.91 per day"/>
    <n v="641.82000000000005"/>
    <m/>
    <m/>
  </r>
  <r>
    <s v="INV"/>
    <s v="NBN Sydney"/>
    <s v="18343910"/>
    <x v="0"/>
    <s v="NBN Greenfields DJC"/>
    <x v="173"/>
    <d v="2017-05-25T00:00:00"/>
    <s v="May-17"/>
    <s v="Kennards Hire - B070180_x000d__x000a_Air Hose 19mm x 15m_x000d__x000a_22/05/2017 to 25/05/2017 @ $18.18 per day"/>
    <n v="54.55"/>
    <m/>
    <m/>
  </r>
  <r>
    <s v="INV"/>
    <s v="NBN Sydney"/>
    <s v="18343910"/>
    <x v="0"/>
    <s v="NBN Greenfields DJC"/>
    <x v="173"/>
    <d v="2017-05-25T00:00:00"/>
    <s v="May-17"/>
    <s v="Kennards Hire - Incorrect GST"/>
    <m/>
    <s v="Overhead Credit"/>
    <n v="0.01"/>
  </r>
  <r>
    <s v="INV"/>
    <s v="NBN Sydney"/>
    <s v="18343910"/>
    <x v="0"/>
    <s v="NBN Greenfields DJC"/>
    <x v="173"/>
    <d v="2017-05-25T00:00:00"/>
    <s v="May-17"/>
    <s v="Kennards Hire - 117088_x000d__x000a_Air Compressor 160-190 CFM - (U17083)_x000d__x000a_22/05/2017 to 25/05/2017 @ $220.00 per day"/>
    <n v="660"/>
    <m/>
    <m/>
  </r>
  <r>
    <s v="INV"/>
    <s v="NBN Sydney"/>
    <s v="115409"/>
    <x v="0"/>
    <s v="NBN Greenfields DJC"/>
    <x v="173"/>
    <d v="2017-05-25T00:00:00"/>
    <s v="May-17"/>
    <s v="BP Eastern Creek - Ultimate Diesel 15.14L @ $1.289"/>
    <n v="17.75"/>
    <m/>
    <m/>
  </r>
  <r>
    <s v="INV"/>
    <s v="NBN Sydney"/>
    <s v="115409"/>
    <x v="0"/>
    <s v="NBN Greenfields DJC"/>
    <x v="173"/>
    <d v="2017-05-25T00:00:00"/>
    <s v="May-17"/>
    <s v="BP Eastern Creek - Ultimate Diesel 42.18L @ $1.289"/>
    <n v="49.43"/>
    <m/>
    <m/>
  </r>
  <r>
    <s v="INV"/>
    <s v="AARNet Sydney"/>
    <s v="71 A88368"/>
    <x v="0"/>
    <s v="AARNet DJC "/>
    <x v="169"/>
    <d v="2017-05-01T00:00:00"/>
    <s v="May-17"/>
    <s v="Middy's Data &amp; Electrical - AARNet Macquarie_x000d__x000a_Pit Lid P6 Concrete Comms CL:A "/>
    <n v="231.42"/>
    <m/>
    <m/>
  </r>
  <r>
    <s v="INV"/>
    <s v="NBN Sydney"/>
    <s v="2907516"/>
    <x v="1"/>
    <s v="Test Equipment &amp; Tools"/>
    <x v="27"/>
    <d v="2017-05-01T00:00:00"/>
    <s v="May-17"/>
    <s v="Gasweld Pty Ltd - NBN Orange_x000d__x000a_594974_x000d__x000a_Diamond Blade 400mm Black 10mm Premium Segments"/>
    <n v="363.64"/>
    <m/>
    <m/>
  </r>
  <r>
    <s v="INV"/>
    <s v="NBN Sydney"/>
    <s v="210890"/>
    <x v="9"/>
    <s v="Overhead Materials"/>
    <x v="119"/>
    <d v="2017-05-02T00:00:00"/>
    <s v="May-17"/>
    <s v="St Marys Sand &amp; Soil Supplies Pty Ltd - 1 x Bulk Bag"/>
    <n v="25"/>
    <m/>
    <m/>
  </r>
  <r>
    <s v="INV"/>
    <s v="NBN Sydney"/>
    <s v="769778"/>
    <x v="9"/>
    <s v="Overhead Materials"/>
    <x v="119"/>
    <d v="2017-05-02T00:00:00"/>
    <s v="May-17"/>
    <s v="Boral Bitupave Limited - 051402_x000d__x000a_Coldmix - 1000kg Bulk Bag"/>
    <n v="255.75"/>
    <m/>
    <m/>
  </r>
  <r>
    <s v="INV"/>
    <s v="NBN Sydney"/>
    <s v="210890"/>
    <x v="9"/>
    <s v="Overhead Materials"/>
    <x v="119"/>
    <d v="2017-05-02T00:00:00"/>
    <s v="May-17"/>
    <s v="St Marys Sand &amp; Soil Supplies Pty Ltd - 1 x Road Base"/>
    <n v="33"/>
    <m/>
    <m/>
  </r>
  <r>
    <s v="INV"/>
    <s v="NBN Sydney"/>
    <s v="93029062"/>
    <x v="11"/>
    <m/>
    <x v="97"/>
    <d v="2017-05-02T00:00:00"/>
    <s v="May-17"/>
    <s v="Jemena Gas Networks - Field Service (including labour) $69.64 per hour/per person"/>
    <m/>
    <m/>
    <m/>
  </r>
  <r>
    <s v="INV"/>
    <s v="NBN Sydney"/>
    <s v="93029062"/>
    <x v="11"/>
    <m/>
    <x v="97"/>
    <d v="2017-05-02T00:00:00"/>
    <s v="May-17"/>
    <s v="Jemena Gas Networks - Contractor Costs"/>
    <m/>
    <m/>
    <m/>
  </r>
  <r>
    <s v="INV"/>
    <s v="NBN Sydney"/>
    <s v="19530CR"/>
    <x v="9"/>
    <s v="Credit TANDEM - ISG"/>
    <x v="119"/>
    <d v="2017-05-03T00:00:00"/>
    <s v="May-17"/>
    <s v="TANDEM - ISG Management Pty Ltd - 70000003_x000d__x000a_Tape, Legal/Linen 12mm x 36m access wh"/>
    <m/>
    <s v="Credit TANDEM - ISG"/>
    <n v="13.14"/>
  </r>
  <r>
    <s v="INV"/>
    <s v="NBN Sydney"/>
    <s v="70 A88460"/>
    <x v="9"/>
    <s v="Overhead Materials"/>
    <x v="119"/>
    <d v="2017-05-08T00:00:00"/>
    <s v="May-17"/>
    <s v="Middy's Data &amp; Electrical - RAY TDUX-IT-16_x000d__x000a_Tdux Inflation Tool 73/160"/>
    <n v="430"/>
    <m/>
    <m/>
  </r>
  <r>
    <s v="INV"/>
    <s v="NBN Sydney"/>
    <s v="71 A88461"/>
    <x v="9"/>
    <s v="Overhead Materials"/>
    <x v="119"/>
    <d v="2017-05-08T00:00:00"/>
    <s v="May-17"/>
    <s v="Middy's Data &amp; Electrical - RAY JM-QUA-40Q136S_x000d__x000a_Quadplex Duct Sealing Plug 341608-000"/>
    <n v="135"/>
    <m/>
    <m/>
  </r>
  <r>
    <s v="INV"/>
    <s v="NBN Sydney"/>
    <s v="71 A88461"/>
    <x v="1"/>
    <s v="Test Equipment &amp; Tools"/>
    <x v="27"/>
    <d v="2017-05-08T00:00:00"/>
    <s v="May-17"/>
    <s v="Middy's Data &amp; Electrical - KYP PHBC632500_x000d__x000a_Subduct 32mm CL6 Poly Telco 500m Blk"/>
    <n v="440"/>
    <m/>
    <m/>
  </r>
  <r>
    <s v="INV"/>
    <s v="VPL Sydney"/>
    <s v="009-41494-7178"/>
    <x v="0"/>
    <s v="Visionstream DJC Internals"/>
    <x v="185"/>
    <d v="2017-05-09T00:00:00"/>
    <s v="May-17"/>
    <s v="Bunnings Warehouse - Threaded Rod ZP Macsim 24x1/2in Whitworth 63SZ0122"/>
    <n v="3.97"/>
    <m/>
    <m/>
  </r>
  <r>
    <s v="INV"/>
    <s v="VPL Sydney"/>
    <s v="009-41494-7178"/>
    <x v="0"/>
    <s v="Visionstream DJC Internals"/>
    <x v="185"/>
    <d v="2017-05-09T00:00:00"/>
    <s v="May-17"/>
    <s v="Bunnings Warehouse - Threaded Rod ZP Macsim 48x3/8in Whitworth 63SZ0384"/>
    <n v="5.0199999999999996"/>
    <m/>
    <m/>
  </r>
  <r>
    <s v="INV"/>
    <s v="VPL Sydney"/>
    <s v="009-41494-7178"/>
    <x v="0"/>
    <s v="Visionstream DJC Internals"/>
    <x v="185"/>
    <d v="2017-05-09T00:00:00"/>
    <s v="May-17"/>
    <s v="Bunnings Warehouse - Caulking Gun Sika WT-214IH Skeleton 411970"/>
    <n v="18.71"/>
    <m/>
    <m/>
  </r>
  <r>
    <s v="INV"/>
    <s v="VPL Sydney"/>
    <s v="009-41494-7178"/>
    <x v="0"/>
    <s v="Visionstream DJC Internals"/>
    <x v="185"/>
    <d v="2017-05-09T00:00:00"/>
    <s v="May-17"/>
    <s v="Bunnings Warehouse - Mending Plate Carinya 350x125x5mm Galv MPG350"/>
    <n v="17.27"/>
    <m/>
    <m/>
  </r>
  <r>
    <s v="INV"/>
    <s v="VPL Sydney"/>
    <s v="009-41494-7178"/>
    <x v="0"/>
    <s v="Visionstream DJC Internals"/>
    <x v="185"/>
    <d v="2017-05-09T00:00:00"/>
    <s v="May-17"/>
    <s v="Bunnings Warehouse - Ultra Fix Plus Ramset 300ml Cartridge ea UFP300"/>
    <n v="29"/>
    <m/>
    <m/>
  </r>
  <r>
    <s v="INV"/>
    <s v="AARNet Sydney"/>
    <s v="SQ88513"/>
    <x v="0"/>
    <s v="AARNet DJC "/>
    <x v="169"/>
    <d v="2017-05-10T00:00:00"/>
    <s v="May-17"/>
    <s v="AFL Telecommunications (Formerly AFC Group) - FRE-2RUXEAR21_x000d__x000a_19&quot; to 21&quot; 2RU Mounting Ear"/>
    <n v="50"/>
    <m/>
    <m/>
  </r>
  <r>
    <s v="INV"/>
    <s v="AARNet Sydney"/>
    <s v="SQ88513"/>
    <x v="0"/>
    <s v="AARNet DJC "/>
    <x v="169"/>
    <d v="2017-05-10T00:00:00"/>
    <s v="May-17"/>
    <s v="AFL Telecommunications (Formerly AFC Group) - RF-4CQ4QR-BD-8S-Z_x000d__x000a_3RU 96F SCA Duplex Loaded Sliding Enclosure"/>
    <n v="1495.05"/>
    <m/>
    <m/>
  </r>
  <r>
    <s v="INV"/>
    <s v="AARNet Sydney"/>
    <s v="SQ88513"/>
    <x v="0"/>
    <s v="AARNet DJC "/>
    <x v="169"/>
    <d v="2017-05-10T00:00:00"/>
    <s v="May-17"/>
    <s v="AFL Telecommunications (Formerly AFC Group) - FRE-3RUXEAR21_x000d__x000a_19&quot; to 21&quot; 3RU Mounting Ear"/>
    <n v="41.7"/>
    <m/>
    <m/>
  </r>
  <r>
    <s v="INV"/>
    <s v="AARNet Sydney"/>
    <s v="SQ88513"/>
    <x v="0"/>
    <s v="AARNet DJC "/>
    <x v="169"/>
    <d v="2017-05-10T00:00:00"/>
    <s v="May-17"/>
    <s v="AFL Telecommunications (Formerly AFC Group) - RD-2CQ2QR-BB-4S-Z_x000d__x000a_2RU 48F SCA Duplex Loaded Sliding Enclosure"/>
    <n v="839.47"/>
    <m/>
    <m/>
  </r>
  <r>
    <s v="INV"/>
    <s v="VPL Sydney"/>
    <s v="170510"/>
    <x v="1"/>
    <s v="Overhead"/>
    <x v="3"/>
    <d v="2017-05-10T00:00:00"/>
    <s v="May-17"/>
    <s v="Ipoh Management Services Pty Ltd - Paid Parking in Sydney CBD for FttB survey and Design"/>
    <n v="43.07"/>
    <m/>
    <m/>
  </r>
  <r>
    <s v="INV"/>
    <s v="AARNet Sydney"/>
    <s v="SQ88513"/>
    <x v="0"/>
    <s v="AARNet DJC "/>
    <x v="169"/>
    <d v="2017-05-10T00:00:00"/>
    <s v="May-17"/>
    <s v="AFL Telecommunications (Formerly AFC Group) - RB-1CQ1QR-BA-2S-Z_x000d__x000a_1RU 24F SCA Duplex Loaded Sliding Enclosure"/>
    <n v="475.2"/>
    <m/>
    <m/>
  </r>
  <r>
    <s v="INV"/>
    <s v="AARNet Sydney"/>
    <s v="SQ88513"/>
    <x v="0"/>
    <s v="AARNet DJC "/>
    <x v="169"/>
    <d v="2017-05-10T00:00:00"/>
    <s v="May-17"/>
    <s v="AFL Telecommunications (Formerly AFC Group) - FRE-1RUXEAR21_x000d__x000a_19&quot; to 21&quot; 1RU Mounting ear"/>
    <n v="34.25"/>
    <m/>
    <m/>
  </r>
  <r>
    <s v="INV"/>
    <s v="AARNet Sydney"/>
    <s v="202625 / PO2714"/>
    <x v="0"/>
    <s v="AARNet DJC "/>
    <x v="169"/>
    <d v="2017-05-11T00:00:00"/>
    <s v="May-17"/>
    <s v="BVCI Pty Ltd - 32199067_x000d__x000a_Cross Bar 6, 8, 9 - 99/67 (thin)"/>
    <n v="69"/>
    <m/>
    <m/>
  </r>
  <r>
    <s v="INV"/>
    <s v="AARNet Sydney"/>
    <s v="202625 / PO2714"/>
    <x v="0"/>
    <s v="AARNet DJC "/>
    <x v="169"/>
    <d v="2017-05-11T00:00:00"/>
    <s v="May-17"/>
    <s v="BVCI Pty Ltd - 329018_x000d__x000a_Logo, 80mm, Rnd, Suit CI-AARNet Comms"/>
    <n v="162"/>
    <m/>
    <m/>
  </r>
  <r>
    <s v="INV"/>
    <s v="AARNet Sydney"/>
    <s v="202625 / PO2714"/>
    <x v="0"/>
    <s v="AARNet DJC "/>
    <x v="169"/>
    <d v="2017-05-11T00:00:00"/>
    <s v="May-17"/>
    <s v="BVCI Pty Ltd - 32199154_x000d__x000a_Cover Cast Iron H6 Locking 99/154"/>
    <n v="2298"/>
    <m/>
    <m/>
  </r>
  <r>
    <s v="INV"/>
    <s v="AARNet Sydney"/>
    <s v="00070678"/>
    <x v="0"/>
    <s v="AARNet DJC "/>
    <x v="169"/>
    <d v="2017-05-12T00:00:00"/>
    <s v="May-17"/>
    <s v="OSA Optical Solutions Australia - AMP-2-1154033-9_x000d__x000a_RTCG Adap Plate SCD12Z+ latches right hand side 1-12"/>
    <m/>
    <s v="Credit AARNet"/>
    <n v="40"/>
  </r>
  <r>
    <s v="INV"/>
    <s v="AARNet Sydney"/>
    <s v="00070678"/>
    <x v="0"/>
    <s v="AARNet DJC "/>
    <x v="169"/>
    <d v="2017-05-12T00:00:00"/>
    <s v="May-17"/>
    <s v="OSA Optical Solutions Australia - OSA-SCA-SM-DTA_x000d__x000a_SC/APC SM Duplex Through Adapter"/>
    <m/>
    <s v="Credit AARNet"/>
    <n v="139.91999999999999"/>
  </r>
  <r>
    <s v="INV"/>
    <s v="AARNet Sydney"/>
    <s v="00070678"/>
    <x v="0"/>
    <s v="AARNet DJC "/>
    <x v="169"/>
    <d v="2017-05-12T00:00:00"/>
    <s v="May-17"/>
    <s v="OSA Optical Solutions Australia - OSA1-SCA00-SM-910-2_x000d__x000a_SC/APC SM 900um 2 meter pigtail, 12 packet, colour coded"/>
    <m/>
    <s v="Credit AARNet"/>
    <n v="240"/>
  </r>
  <r>
    <s v="INV"/>
    <s v="NBN Sydney"/>
    <s v="012-84302-7098"/>
    <x v="0"/>
    <s v="NBN Greenfields DJC"/>
    <x v="181"/>
    <d v="2017-05-12T00:00:00"/>
    <s v="May-17"/>
    <s v="Bunnings Warehouse - Concrete Bastion 20kg Quickset_x000d__x000a_"/>
    <n v="42"/>
    <m/>
    <m/>
  </r>
  <r>
    <s v="INV"/>
    <s v="AARNet Sydney"/>
    <s v="00070676"/>
    <x v="0"/>
    <s v="AARNet DJC "/>
    <x v="169"/>
    <d v="2017-05-12T00:00:00"/>
    <s v="May-17"/>
    <s v="OSA Optical Solutions Australia - AMP-1154402-9_x000d__x000a_RTC2G-0-48-FS"/>
    <m/>
    <s v="Credit AARNet"/>
    <n v="250"/>
  </r>
  <r>
    <s v="INV"/>
    <s v="AARNet Sydney"/>
    <s v="00070678"/>
    <x v="0"/>
    <s v="AARNet DJC "/>
    <x v="169"/>
    <d v="2017-05-12T00:00:00"/>
    <s v="May-17"/>
    <s v="OSA Optical Solutions Australia - AMP-2-1154033-8_x000d__x000a_RTCG Adap Plate SCD12Z+ latches left hand side 1-12"/>
    <m/>
    <s v="Credit AARNet"/>
    <n v="40"/>
  </r>
  <r>
    <s v="INV"/>
    <s v="NBN Sydney"/>
    <s v="140800-1"/>
    <x v="9"/>
    <s v="NBN Greenfields DJC"/>
    <x v="181"/>
    <d v="2017-05-16T00:00:00"/>
    <s v="May-17"/>
    <s v="Lear &amp; Smith Electrical Wholesalers - ALL20TEL_x000d__x000a_Conduit 20mm Telstra 4.5m"/>
    <n v="11.7"/>
    <m/>
    <m/>
  </r>
  <r>
    <s v="INV"/>
    <s v="NBN Sydney"/>
    <s v="328000006995"/>
    <x v="9"/>
    <s v="NBN Greenfields DJC"/>
    <x v="181"/>
    <d v="2017-05-16T00:00:00"/>
    <s v="May-17"/>
    <s v="Nelson Bay Newsagency - Airdeer 9V Battery"/>
    <n v="5.09"/>
    <m/>
    <m/>
  </r>
  <r>
    <s v="INV"/>
    <s v="NBN Sydney"/>
    <s v="001-27313-7016"/>
    <x v="9"/>
    <s v="NBN Greenfields DJC"/>
    <x v="181"/>
    <d v="2017-05-16T00:00:00"/>
    <s v="May-17"/>
    <s v="Bunnings Warehouse - Anchor Shuredrive 6x30mm BX100 SDM06030"/>
    <n v="63.55"/>
    <m/>
    <m/>
  </r>
  <r>
    <s v="INV"/>
    <s v="NBN Sydney"/>
    <s v="140800-1"/>
    <x v="9"/>
    <s v="NBN Greenfields DJC"/>
    <x v="181"/>
    <d v="2017-05-16T00:00:00"/>
    <s v="May-17"/>
    <s v="Lear &amp; Smith Electrical Wholesalers - VIN32570_x000d__x000a_Bend 20 90D Telstra 305R"/>
    <n v="7.07"/>
    <m/>
    <m/>
  </r>
  <r>
    <s v="INV"/>
    <s v="NBN Sydney"/>
    <s v="21268"/>
    <x v="9"/>
    <s v="NBN Greenfields DJC"/>
    <x v="181"/>
    <d v="2017-05-16T00:00:00"/>
    <s v="May-17"/>
    <s v="TANDEM - ISG Management Pty Ltd - 9900161_x000d__x000a_Pit, Cable Jointing Plastic P6"/>
    <n v="1194.72"/>
    <m/>
    <m/>
  </r>
  <r>
    <s v="INV"/>
    <s v="AARNet Sydney"/>
    <s v="8068000039"/>
    <x v="0"/>
    <s v="AARNet DJC"/>
    <x v="192"/>
    <d v="2017-05-16T00:00:00"/>
    <s v="May-17"/>
    <s v="Prysmian Australia Pty Ltd - YAUX26F48SLTN_x000d__x000a_48F Sm Lt Ug Pe Ny Sm@rtcore (AARNET)"/>
    <n v="574.62"/>
    <m/>
    <m/>
  </r>
  <r>
    <s v="INV"/>
    <s v="NBN Sydney"/>
    <s v="21268"/>
    <x v="9"/>
    <s v="Overhead Materials"/>
    <x v="119"/>
    <d v="2017-05-16T00:00:00"/>
    <s v="May-17"/>
    <s v="TANDEM - ISG Management Pty Ltd - 9900162_x000d__x000a_Pit, Cable Jointing Plastic P8"/>
    <n v="545.26"/>
    <m/>
    <m/>
  </r>
  <r>
    <s v="INV"/>
    <s v="NBN Sydney"/>
    <s v="21268"/>
    <x v="9"/>
    <s v="Overhead Materials"/>
    <x v="119"/>
    <d v="2017-05-16T00:00:00"/>
    <s v="May-17"/>
    <s v="TANDEM - ISG Management Pty Ltd - 9900165_x000d__x000a_Pit, Cable Jointing Plastic P5"/>
    <n v="255.42"/>
    <s v=" "/>
    <m/>
  </r>
  <r>
    <s v="INV"/>
    <s v="AARNet Sydney"/>
    <s v="00070734 / PO-0246"/>
    <x v="0"/>
    <s v="AARNet DJC"/>
    <x v="192"/>
    <d v="2017-05-17T00:00:00"/>
    <s v="May-17"/>
    <s v="OSA Optical Solutions Australia - AMP-536788-000 FIST-SOSA2-4SE-S"/>
    <n v="339.5"/>
    <m/>
    <m/>
  </r>
  <r>
    <s v="INV"/>
    <s v="AARNet Sydney"/>
    <s v="00070734 / PO-0246"/>
    <x v="0"/>
    <s v="AARNet DJC"/>
    <x v="192"/>
    <d v="2017-05-17T00:00:00"/>
    <s v="May-17"/>
    <s v="OSA Optical Solutions Australia - AMP-091476-000 FIST-GCO2-OSK-LTS Oval Port"/>
    <n v="48.5"/>
    <m/>
    <m/>
  </r>
  <r>
    <s v="INV"/>
    <s v="AARNet Sydney"/>
    <s v="00070734 / PO-0246"/>
    <x v="0"/>
    <s v="AARNet DJC"/>
    <x v="192"/>
    <d v="2017-05-17T00:00:00"/>
    <s v="May-17"/>
    <s v="OSA Optical Solutions Australia - AMP-1154505-2 FIST-MOUNTING-KIT-WALL-PE-STRAP"/>
    <n v="81"/>
    <m/>
    <m/>
  </r>
  <r>
    <s v="INV"/>
    <s v="AARNet Sydney"/>
    <s v="00070734 / PO-0246"/>
    <x v="0"/>
    <s v="AARNet DJC"/>
    <x v="192"/>
    <d v="2017-05-17T00:00:00"/>
    <s v="May-17"/>
    <s v="OSA Optical Solutions Australia - AMP-103897-000 SMOUV-1120-02 - 45mm Splice Protectors"/>
    <n v="80.5"/>
    <m/>
    <m/>
  </r>
  <r>
    <s v="INV"/>
    <s v="AARNet Sydney"/>
    <s v="00070734 / PO-0246"/>
    <x v="0"/>
    <s v="AARNet DJC"/>
    <x v="192"/>
    <d v="2017-05-17T00:00:00"/>
    <s v="May-17"/>
    <s v="OSA Optical Solutions Australia - AMP-742376-000 FIST-GC02-BE6-NV Joint Closure"/>
    <n v="402"/>
    <m/>
    <m/>
  </r>
  <r>
    <s v="INV"/>
    <s v="NBN Sydney"/>
    <s v="20171880"/>
    <x v="9"/>
    <s v="Overhead Materials"/>
    <x v="119"/>
    <d v="2017-05-17T00:00:00"/>
    <s v="May-17"/>
    <s v="Underground Civil Supplies Pty Ltd - UCOM10011600FFS_x000d__x000a_100 Com Bend 600Rad 11.25Deg"/>
    <n v="98"/>
    <m/>
    <m/>
  </r>
  <r>
    <s v="INV"/>
    <s v="NBN Sydney"/>
    <s v="77 B05170"/>
    <x v="9"/>
    <s v="NBN Greenfields DJC"/>
    <x v="166"/>
    <d v="2017-05-17T00:00:00"/>
    <s v="May-17"/>
    <s v="Middy's Data &amp; Electrical - CLI 178/63_x000d__x000a_Saddle Galvenised 63mm"/>
    <n v="153.19999999999999"/>
    <m/>
    <m/>
  </r>
  <r>
    <s v="INV"/>
    <s v="AARNet Sydney"/>
    <s v="00070734 / PO-0246"/>
    <x v="0"/>
    <s v="AARNet DJC"/>
    <x v="192"/>
    <d v="2017-05-17T00:00:00"/>
    <s v="May-17"/>
    <s v="OSA Optical Solutions Australia - AMP-103897-000 SMOUV-1120-02 45mm Splice Protector"/>
    <n v="80.5"/>
    <m/>
    <m/>
  </r>
  <r>
    <s v="INV"/>
    <s v="AARNet Sydney"/>
    <s v="00070734 / PO-0246"/>
    <x v="0"/>
    <s v="AARNet DJC"/>
    <x v="192"/>
    <d v="2017-05-17T00:00:00"/>
    <s v="May-17"/>
    <s v="OSA Optical Solutions Australia - AMP-1154353-6 WTCR-0-96-FS-SOSA2"/>
    <n v="329.4"/>
    <m/>
    <m/>
  </r>
  <r>
    <s v="INV"/>
    <s v="NBN Sydney"/>
    <s v="067754"/>
    <x v="1"/>
    <s v="Overhead"/>
    <x v="3"/>
    <d v="2017-05-19T00:00:00"/>
    <s v="May-17"/>
    <s v="Wilson Parking - Short term parking_x000d__x000a_19/05/2017_x000d__x000a_09.51 - 12.59"/>
    <n v="43.64"/>
    <m/>
    <m/>
  </r>
  <r>
    <s v="INV"/>
    <s v="NBN Sydney"/>
    <s v="71 A88650"/>
    <x v="9"/>
    <s v="NBN Greenfields DJC"/>
    <x v="166"/>
    <d v="2017-05-22T00:00:00"/>
    <s v="May-17"/>
    <s v="Middy's Data &amp; Electrical - AUS NBN50WH4500_x000d__x000a_Conduit 50mm NBN 4.5m Wht MOQ Crate 175L"/>
    <n v="2082.5"/>
    <m/>
    <m/>
  </r>
  <r>
    <s v="INV"/>
    <s v="NBN Sydney"/>
    <s v="21443"/>
    <x v="9"/>
    <s v="Overhead Materials"/>
    <x v="119"/>
    <d v="2017-05-30T00:00:00"/>
    <s v="May-17"/>
    <s v="TANDEM - ISG Management Pty Ltd - 7300194_x000d__x000a_TDUX60 Duct Sealing System Wraparound Box of 10"/>
    <n v="261.62"/>
    <m/>
    <m/>
  </r>
  <r>
    <s v="INV"/>
    <s v="NBN Sydney"/>
    <s v="71 A88781"/>
    <x v="9"/>
    <s v="NBN Greenfields DJC"/>
    <x v="166"/>
    <d v="2017-05-31T00:00:00"/>
    <s v="May-17"/>
    <s v="Middy's Data &amp; Electrical - VIN TEL50R35_x000d__x000a_Reducer Coup 50mm to 35mm 33437 73/309"/>
    <n v="63.21"/>
    <m/>
    <m/>
  </r>
  <r>
    <s v="INV"/>
    <s v="NBN Sydney"/>
    <s v="71 A88781"/>
    <x v="9"/>
    <s v="NBN Greenfields DJC"/>
    <x v="166"/>
    <d v="2017-05-31T00:00:00"/>
    <s v="May-17"/>
    <s v="Middy's Data &amp; Electrical - PBF CC4010GY_x000d__x000a_Corri Conduit GY PVC MD 40mm x 10m Coil"/>
    <n v="51.6"/>
    <m/>
    <m/>
  </r>
  <r>
    <s v="INV"/>
    <s v="NBN Sydney"/>
    <s v="1613515"/>
    <x v="9"/>
    <s v="NBN Greenfields DJC"/>
    <x v="166"/>
    <d v="2017-05-31T00:00:00"/>
    <s v="May-17"/>
    <s v="Go Electrical - 6460-1-042-01_x000d__x000a_KROD17 Frame 27way Profile"/>
    <n v="78"/>
    <m/>
    <m/>
  </r>
  <r>
    <s v="INV"/>
    <s v="NBN Sydney"/>
    <s v="140"/>
    <x v="9"/>
    <s v="Overhead Materials"/>
    <x v="119"/>
    <d v="2017-05-31T00:00:00"/>
    <s v="May-17"/>
    <s v="K R and L G Ewerlin Pty Limited - Purchase of Various Pipes and Fittings"/>
    <n v="636.36"/>
    <m/>
    <m/>
  </r>
  <r>
    <s v="INV"/>
    <s v="NBN Sydney"/>
    <s v="71 A88781"/>
    <x v="9"/>
    <s v="NBN Greenfields DJC"/>
    <x v="166"/>
    <d v="2017-05-31T00:00:00"/>
    <s v="May-17"/>
    <s v="Middy's Data &amp; Electrical - OME CAN-TAG_x000d__x000a_Tag PVC Telstra Installation 97/104"/>
    <n v="15.19"/>
    <m/>
    <m/>
  </r>
  <r>
    <s v="INV"/>
    <s v="NBN Sydney"/>
    <s v="71 A88781"/>
    <x v="9"/>
    <s v="NBN Greenfields DJC"/>
    <x v="166"/>
    <d v="2017-05-31T00:00:00"/>
    <s v="May-17"/>
    <s v="Middy's Data &amp; Electrical - VIN TEL35BUSH_x000d__x000a_Bush Cond 35mm I.D. Wh PVC 30118"/>
    <n v="6.96"/>
    <m/>
    <m/>
  </r>
  <r>
    <s v="INV"/>
    <s v="AARNet Sydney"/>
    <s v="9507819"/>
    <x v="0"/>
    <s v="AARNet DJC"/>
    <x v="169"/>
    <d v="2017-05-11T00:00:00"/>
    <s v="May-17"/>
    <s v="ALTUS Traffic - Traffic Control Job#610484875-0503 MT-AARNETWSU-03/05/17_x000d__x000a_169 Macquarie St Parramatta_x000d__x000a_Travel time - Establishment x 2_x000d__x000a_2 Man Crew (Night) x 8_x000d__x000a_2 Man Crew (OT2) x 2_x000d__x000a_Meal Allowance x 2_x000d__x000a_TCP x 2_x000d__x000a_Permit Administration x 1_x000d__x000a_Docket 610918653 18:00-09:00 x 2"/>
    <n v="1776.85"/>
    <m/>
    <m/>
  </r>
  <r>
    <s v="INV"/>
    <s v="AARNet Sydney"/>
    <s v="9507859"/>
    <x v="0"/>
    <s v="AARNet DJC"/>
    <x v="169"/>
    <d v="2017-05-11T00:00:00"/>
    <s v="May-17"/>
    <s v="ALTUS Traffic - Traffic Control Job#610484875-0504 MT-AARNETWSU-04/05/17_x000d__x000a_70 Macquarie St Parramatta_x000d__x000a_Travel time - Establishment x 2_x000d__x000a_2 Man Crew (Night) x 8_x000d__x000a_2 Man Crew (OT2) x 1_x000d__x000a_Docket 610919099 20:00-05:00 x 2"/>
    <n v="1195.95"/>
    <m/>
    <m/>
  </r>
  <r>
    <s v="INV"/>
    <s v="AARNet Sydney"/>
    <s v="9507818"/>
    <x v="0"/>
    <s v="AARNet DJC"/>
    <x v="169"/>
    <d v="2017-05-11T00:00:00"/>
    <s v="May-17"/>
    <s v="ALTUS Traffic - Traffic Control Job#610484875-0502 MT-AARNETWSU-02/05/17_x000d__x000a_83 Macquarie St Parramatta_x000d__x000a_Travel time - Establishment x 2_x000d__x000a_2 Man Crew (Night) x 7.5_x000d__x000a_Docket 610918186 18:30-06:00 x 2"/>
    <n v="975.97"/>
    <m/>
    <m/>
  </r>
  <r>
    <s v="INV"/>
    <s v="NBN Sydney"/>
    <s v="119916"/>
    <x v="0"/>
    <s v="NBN Greenfields DJC"/>
    <x v="130"/>
    <d v="2017-05-12T00:00:00"/>
    <s v="May-17"/>
    <s v="Campbelltown city council - AYCA-36D744 - Grace_x000d__x000a_Road Restoration - 127A Lindesay St, C/Town_x000d__x000a_PO - 0215"/>
    <n v="1108.8"/>
    <m/>
    <m/>
  </r>
  <r>
    <s v="INV"/>
    <s v="NBN Sydney"/>
    <s v="119919"/>
    <x v="0"/>
    <s v="NBN Minor Works DJC"/>
    <x v="120"/>
    <d v="2017-05-12T00:00:00"/>
    <s v="May-17"/>
    <s v="Campbelltown city council - NBN-2CBT-01-14_10 &amp; 2CBT-04-14 _x000d__x000a_Road restoration - Various areas Campbelltown_x000d__x000a_PO - 0216"/>
    <n v="32565"/>
    <m/>
    <m/>
  </r>
  <r>
    <s v="INV"/>
    <s v="NBN Sydney"/>
    <s v="INV-0114"/>
    <x v="1"/>
    <s v="Overhead"/>
    <x v="3"/>
    <d v="2017-05-14T00:00:00"/>
    <s v="May-17"/>
    <s v="Warriewood Consultancy - Datateks Day Rate"/>
    <n v="9642.2999999999993"/>
    <m/>
    <m/>
  </r>
  <r>
    <s v="INV"/>
    <s v="NBN Sydney"/>
    <s v="INV-0115"/>
    <x v="1"/>
    <s v="Overhead"/>
    <x v="3"/>
    <d v="2017-05-28T00:00:00"/>
    <s v="May-17"/>
    <s v="Warriewood Consultancy - Datateks Day Rate"/>
    <n v="6749.61"/>
    <m/>
    <m/>
  </r>
  <r>
    <s v="INV"/>
    <s v="NBN Sydney"/>
    <s v="INV167802"/>
    <x v="9"/>
    <s v="Overhead Materials"/>
    <x v="119"/>
    <d v="2017-05-01T00:00:00"/>
    <s v="May-17"/>
    <s v="Southland Supply Group - 1 x BC2871_x000d__x000a_Norss 3 Way Ventilate HiVis Two Tone (155gsm) Cotton Drill Shirt, Yellow/Navy, Long Sleeve_x000d__x000a_Size Large"/>
    <n v="22.6"/>
    <m/>
    <m/>
  </r>
  <r>
    <s v="INV"/>
    <s v="NBN Sydney"/>
    <s v="INV167802"/>
    <x v="9"/>
    <s v="Overhead Materials"/>
    <x v="119"/>
    <d v="2017-05-01T00:00:00"/>
    <s v="May-17"/>
    <s v="Southland Supply Group - 5 x SH112/BI1432_x000d__x000a_Mens LS Chambray Shirts_x000d__x000a_Size Large"/>
    <n v="163"/>
    <m/>
    <m/>
  </r>
  <r>
    <s v="INV"/>
    <s v="NBN Sydney"/>
    <s v="INV167802"/>
    <x v="9"/>
    <s v="Overhead Materials"/>
    <x v="119"/>
    <d v="2017-05-01T00:00:00"/>
    <s v="May-17"/>
    <s v="Southland Supply Group - EMB-STD_x000d__x000a_Embroidery - DATATEKS Logo"/>
    <n v="36"/>
    <m/>
    <m/>
  </r>
  <r>
    <s v="INV"/>
    <s v="NBN Sydney"/>
    <s v="INV167802"/>
    <x v="9"/>
    <s v="Overhead Materials"/>
    <x v="119"/>
    <d v="2017-05-01T00:00:00"/>
    <s v="May-17"/>
    <s v="Southland Supply Group - 2 x BF1001_x000d__x000a_DNC HiVis Two Tone 1/2 Zip Polar Fleece, Yellow/Navy_x000d__x000a_Size Large"/>
    <n v="50.2"/>
    <m/>
    <m/>
  </r>
  <r>
    <s v="INV"/>
    <s v="NBN Sydney"/>
    <s v="INV167805"/>
    <x v="9"/>
    <s v="Overhead Materials"/>
    <x v="119"/>
    <d v="2017-05-01T00:00:00"/>
    <s v="May-17"/>
    <s v="Southland Supply Group - BC2871_x000d__x000a_Norss 3 way Ventilate HiVis Two Tone (155gsm) Cotton Drill Shirt, Yellow/Navy, Long Sleeve_x000d__x000a_Size Small"/>
    <n v="22.6"/>
    <m/>
    <m/>
  </r>
  <r>
    <s v="INV"/>
    <s v="NBN Sydney"/>
    <s v="INV167805"/>
    <x v="9"/>
    <s v="Overhead Materials"/>
    <x v="119"/>
    <d v="2017-05-01T00:00:00"/>
    <s v="May-17"/>
    <s v="Southland Supply Group - BI3622_x000d__x000a_Biz Ladies Wrinkle Free Chambray Shirt, Blue Long Sleeve_x000d__x000a_Size 8"/>
    <n v="117"/>
    <m/>
    <m/>
  </r>
  <r>
    <s v="INV"/>
    <s v="NBN Sydney"/>
    <s v="INV167805"/>
    <x v="9"/>
    <s v="Overhead Materials"/>
    <x v="119"/>
    <d v="2017-05-01T00:00:00"/>
    <s v="May-17"/>
    <s v="Southland Supply Group - EMB-STD_x000d__x000a_Embroidery - DATATEKS Logo"/>
    <n v="22.5"/>
    <m/>
    <m/>
  </r>
  <r>
    <s v="INV"/>
    <s v="NBN Sydney"/>
    <s v="INV167805"/>
    <x v="9"/>
    <s v="Overhead Materials"/>
    <x v="119"/>
    <d v="2017-05-01T00:00:00"/>
    <s v="May-17"/>
    <s v="Southland Supply Group - BF1001_x000d__x000a_DNC HiVis Two Tone 1/2 Zip Polar Fleece, Yellow/Navy_x000d__x000a_Size Small"/>
    <n v="25.1"/>
    <m/>
    <m/>
  </r>
  <r>
    <s v="INV"/>
    <s v="NBN Sydney"/>
    <s v="00000748 / KE"/>
    <x v="1"/>
    <s v="Overhead"/>
    <x v="3"/>
    <d v="2017-05-12T00:00:00"/>
    <s v="May-17"/>
    <s v="Creative Embroidery &amp; Workwear - Hi-Vis gear - DNC Hi-Viz Polar Fleece Jumper"/>
    <n v="67.64"/>
    <m/>
    <m/>
  </r>
  <r>
    <s v="INV"/>
    <s v="NBN Sydney"/>
    <s v="00000748 / KE"/>
    <x v="1"/>
    <s v="Overhead"/>
    <x v="3"/>
    <d v="2017-05-12T00:00:00"/>
    <s v="May-17"/>
    <s v="Creative Embroidery &amp; Workwear - Embroidery - Logo to shirts and Jumpers"/>
    <n v="38.18"/>
    <m/>
    <m/>
  </r>
  <r>
    <s v="INV"/>
    <s v="NBN Sydney"/>
    <s v="00000748 / KE"/>
    <x v="1"/>
    <s v="Overhead"/>
    <x v="3"/>
    <d v="2017-05-12T00:00:00"/>
    <s v="May-17"/>
    <s v="Creative Embroidery &amp; Workwear - Hi-Vis grear - Bisley (BS6896) Hi Viz Long Sleeved Shirts (Yellow/Navy) 5 x 2XL"/>
    <n v="270.45"/>
    <m/>
    <m/>
  </r>
  <r>
    <s v="INV"/>
    <s v="NBN Sydney"/>
    <s v="00000614 / DM"/>
    <x v="1"/>
    <s v="Overhead"/>
    <x v="3"/>
    <d v="2017-05-12T00:00:00"/>
    <s v="May-17"/>
    <s v="Creative Embroidery &amp; Workwear - Hi-Vis gear - Bisley long sleeved hi vis shirts (BS6896) Yellow/Navy (3 x 2XL)"/>
    <n v="162.27000000000001"/>
    <m/>
    <m/>
  </r>
  <r>
    <s v="INV"/>
    <s v="NBN Sydney"/>
    <s v="00000614 / DM"/>
    <x v="1"/>
    <s v="Overhead"/>
    <x v="3"/>
    <d v="2017-05-12T00:00:00"/>
    <s v="May-17"/>
    <s v="Creative Embroidery &amp; Workwear - Embroidery - Logo to shirts"/>
    <n v="18"/>
    <m/>
    <m/>
  </r>
  <r>
    <s v="INV"/>
    <s v="NBN Sydney"/>
    <s v="241874 / ACh"/>
    <x v="1"/>
    <s v="Overhead"/>
    <x v="3"/>
    <d v="2017-05-19T00:00:00"/>
    <s v="May-17"/>
    <s v="Mt Druitt Medical &amp; Dental Centre - Instant Drug"/>
    <n v="60"/>
    <m/>
    <m/>
  </r>
  <r>
    <s v="INV"/>
    <s v="NBN Sydney"/>
    <s v="241874 / ACh"/>
    <x v="1"/>
    <s v="Overhead"/>
    <x v="3"/>
    <d v="2017-05-19T00:00:00"/>
    <s v="May-17"/>
    <s v="Mt Druitt Medical &amp; Dental Centre - Alcohol Breath Test"/>
    <n v="6"/>
    <m/>
    <m/>
  </r>
  <r>
    <s v="INV"/>
    <s v="NBN Sydney"/>
    <s v="241874 / ACh"/>
    <x v="1"/>
    <s v="Overhead"/>
    <x v="3"/>
    <d v="2017-05-19T00:00:00"/>
    <s v="May-17"/>
    <s v="Mt Druitt Medical &amp; Dental Centre - Spirometry Pre-Placement"/>
    <n v="35"/>
    <m/>
    <m/>
  </r>
  <r>
    <s v="INV"/>
    <s v="NBN Sydney"/>
    <s v="241874 / ACh"/>
    <x v="1"/>
    <s v="Overhead"/>
    <x v="3"/>
    <d v="2017-05-19T00:00:00"/>
    <s v="May-17"/>
    <s v="Mt Druitt Medical &amp; Dental Centre - Pre-Placement employment"/>
    <n v="115"/>
    <m/>
    <m/>
  </r>
  <r>
    <s v="INV"/>
    <s v="NBN Sydney"/>
    <s v="241874 / ACh"/>
    <x v="1"/>
    <s v="Overhead"/>
    <x v="3"/>
    <d v="2017-05-19T00:00:00"/>
    <s v="May-17"/>
    <s v="Mt Druitt Medical &amp; Dental Centre - Audiometry Pre-Placement"/>
    <n v="38"/>
    <m/>
    <m/>
  </r>
  <r>
    <s v="INV"/>
    <s v="NBN Sydney"/>
    <s v="241906 / YT"/>
    <x v="1"/>
    <s v="Overhead"/>
    <x v="3"/>
    <d v="2017-05-22T00:00:00"/>
    <s v="May-17"/>
    <s v="Mt Druitt Medical &amp; Dental Centre - Instant Urine Drug Stream + Alc"/>
    <n v="60"/>
    <m/>
    <m/>
  </r>
  <r>
    <s v="INV"/>
    <s v="NBN Sydney"/>
    <s v="241906 / YT"/>
    <x v="1"/>
    <s v="Overhead"/>
    <x v="3"/>
    <d v="2017-05-22T00:00:00"/>
    <s v="May-17"/>
    <s v="Mt Druitt Medical &amp; Dental Centre - Hearing Assessment"/>
    <n v="47.5"/>
    <m/>
    <m/>
  </r>
  <r>
    <s v="INV"/>
    <s v="NBN Sydney"/>
    <s v="241906 / YT"/>
    <x v="1"/>
    <s v="Overhead"/>
    <x v="3"/>
    <d v="2017-05-22T00:00:00"/>
    <s v="May-17"/>
    <s v="Mt Druitt Medical &amp; Dental Centre - Standard Employment Medical"/>
    <n v="135"/>
    <m/>
    <m/>
  </r>
  <r>
    <s v="INV"/>
    <s v="NBN Sydney"/>
    <s v="170504 ST LF"/>
    <x v="1"/>
    <s v="Overhead"/>
    <x v="3"/>
    <d v="2017-05-04T00:00:00"/>
    <s v="May-17"/>
    <s v="Australian Forklift Training - ST - Licence to operate a forklift truck_x000d__x000a_Code: TLILIC2001-BTS"/>
    <n v="308.18"/>
    <m/>
    <m/>
  </r>
  <r>
    <s v="INV"/>
    <s v="NBN Sydney"/>
    <s v="00014967"/>
    <x v="1"/>
    <s v="Overhead"/>
    <x v="3"/>
    <d v="2017-05-30T00:00:00"/>
    <s v="May-17"/>
    <s v="Sydney Safety Training Pty Ltd - GB - Confined Space 3 day training course commencing 19 June, 2017"/>
    <n v="750"/>
    <m/>
    <m/>
  </r>
  <r>
    <s v="INV"/>
    <s v="NBN Sydney"/>
    <s v="00014966"/>
    <x v="1"/>
    <s v="Overhead"/>
    <x v="3"/>
    <d v="2017-05-30T00:00:00"/>
    <s v="May-17"/>
    <s v="Sydney Safety Training Pty Ltd - ACh - Remove Non-Friable Asbestos 1 day training course on 13 June, 2017"/>
    <n v="265"/>
    <m/>
    <m/>
  </r>
  <r>
    <s v="INV"/>
    <s v="NBN Sydney"/>
    <s v="00014968"/>
    <x v="1"/>
    <s v="Overhead"/>
    <x v="3"/>
    <d v="2017-05-30T00:00:00"/>
    <s v="May-17"/>
    <s v="Sydney Safety Training Pty Ltd - KE - Confined Space 3 day training course, commencing 26 June, 2017"/>
    <n v="750"/>
    <m/>
    <m/>
  </r>
  <r>
    <s v="INV"/>
    <s v="NBN Sydney"/>
    <s v="00014970"/>
    <x v="1"/>
    <s v="Overhead"/>
    <x v="3"/>
    <d v="2017-05-30T00:00:00"/>
    <s v="May-17"/>
    <s v="Sydney Safety Training Pty Ltd - ACh - Confined Space 3 day training course, commencing 10 July, 2017"/>
    <n v="750"/>
    <m/>
    <m/>
  </r>
  <r>
    <s v="INV"/>
    <s v="NBN Sydney"/>
    <s v="00014969"/>
    <x v="1"/>
    <s v="Overhead"/>
    <x v="3"/>
    <d v="2017-05-30T00:00:00"/>
    <s v="May-17"/>
    <s v="Sydney Safety Training Pty Ltd - BC - Confined Space 3 day training course, commencing 3 July, 2017"/>
    <n v="750"/>
    <m/>
    <m/>
  </r>
  <r>
    <s v="INV"/>
    <s v="NBN Sydney"/>
    <s v="185302"/>
    <x v="1"/>
    <s v="Overhead"/>
    <x v="3"/>
    <d v="2017-05-01T00:00:00"/>
    <s v="May-17"/>
    <s v="Mona Vale Hotel - Staff Meeting - food and drinks"/>
    <n v="108.73"/>
    <m/>
    <m/>
  </r>
  <r>
    <s v="INV"/>
    <s v="NBN Sydney"/>
    <s v="1/A-151793"/>
    <x v="1"/>
    <s v="Overhead"/>
    <x v="3"/>
    <d v="2017-05-05T00:00:00"/>
    <s v="May-17"/>
    <s v="Subway Minchinbury - Cookies and Sub Platter"/>
    <n v="43.64"/>
    <m/>
    <m/>
  </r>
  <r>
    <s v="INV"/>
    <s v="NBN Sydney"/>
    <s v="170518 22.29"/>
    <x v="1"/>
    <s v="Overhead"/>
    <x v="3"/>
    <d v="2017-05-18T00:00:00"/>
    <s v="May-17"/>
    <s v="DNA Investments Pty Ltd - Set Menu"/>
    <n v="613.64"/>
    <m/>
    <m/>
  </r>
  <r>
    <s v="INV"/>
    <s v="NBN Sydney"/>
    <s v="170518 22.29"/>
    <x v="1"/>
    <s v="Overhead"/>
    <x v="3"/>
    <d v="2017-05-18T00:00:00"/>
    <s v="May-17"/>
    <s v="DNA Investments Pty Ltd - Sol"/>
    <n v="21.82"/>
    <m/>
    <m/>
  </r>
  <r>
    <s v="PE"/>
    <s v="NBN Sydney"/>
    <s v="Payroll Expense Journal - PD-448"/>
    <x v="5"/>
    <s v="NBN Greenfields DJC Internals"/>
    <x v="173"/>
    <d v="2017-05-01T00:00:00"/>
    <s v="May-17"/>
    <s v="Earnings, Tool Allowance Greg, Karsten, Ash &amp; Peter J"/>
    <n v="11.19"/>
    <m/>
    <m/>
  </r>
  <r>
    <s v="PE"/>
    <s v="NBN Sydney"/>
    <s v="Payroll Expense Journal - PD-448"/>
    <x v="5"/>
    <s v="NBN Minor Works DJC Internals"/>
    <x v="167"/>
    <d v="2017-05-01T00:00:00"/>
    <s v="May-17"/>
    <s v="Earnings, Tool Allowance Greg, Karsten, Ash &amp; Peter J"/>
    <n v="11.19"/>
    <m/>
    <m/>
  </r>
  <r>
    <s v="PE"/>
    <s v="NBN Sydney"/>
    <s v="Payroll Expense Journal - PD-448"/>
    <x v="5"/>
    <s v="NBN Greenfields DJC Internals"/>
    <x v="186"/>
    <d v="2017-05-01T00:00:00"/>
    <s v="May-17"/>
    <s v="Earnings, Tool Allowance Greg, Karsten, Ash &amp; Peter J"/>
    <n v="11.19"/>
    <m/>
    <m/>
  </r>
  <r>
    <s v="PE"/>
    <s v="NBN Sydney"/>
    <s v="Payroll Expense Journal - PD-448"/>
    <x v="5"/>
    <s v="NBN Greenfields DJC Internals"/>
    <x v="187"/>
    <d v="2017-05-01T00:00:00"/>
    <s v="May-17"/>
    <s v="Earnings, Tool Allowance Greg, Karsten, Ash &amp; Peter J"/>
    <n v="11.19"/>
    <m/>
    <m/>
  </r>
  <r>
    <s v="PE"/>
    <s v="NBN Sydney"/>
    <s v="Payroll Expense Journal - PD-448"/>
    <x v="5"/>
    <s v="NBN Greenfields DJC Internals"/>
    <x v="188"/>
    <d v="2017-05-01T00:00:00"/>
    <s v="May-17"/>
    <s v="Earnings, Tool Allowance Greg, Karsten, Ash &amp; Peter J"/>
    <n v="11.19"/>
    <m/>
    <m/>
  </r>
  <r>
    <s v="PE"/>
    <s v="NBN Sydney"/>
    <s v="Payroll Expense Journal - PD-448"/>
    <x v="5"/>
    <s v="NBN Greenfields DJC Internals"/>
    <x v="189"/>
    <d v="2017-05-01T00:00:00"/>
    <s v="May-17"/>
    <s v="Earnings, Tool Allowance Greg, Karsten, Ash &amp; Peter J"/>
    <n v="4.6624999999999996"/>
    <m/>
    <m/>
  </r>
  <r>
    <s v="PE"/>
    <s v="NBN Sydney"/>
    <s v="Payroll Expense Journal - PD-448"/>
    <x v="5"/>
    <s v="NBN Greenfields DJC Internals"/>
    <x v="163"/>
    <d v="2017-05-01T00:00:00"/>
    <s v="May-17"/>
    <s v="Earnings, Tool Allowance Greg, Karsten, Ash &amp; Peter J"/>
    <n v="4.6624999999999996"/>
    <m/>
    <m/>
  </r>
  <r>
    <s v="PE"/>
    <s v="NBN Sydney"/>
    <s v="Payroll Expense Journal - PD-448"/>
    <x v="5"/>
    <s v="NBN Greenfields DJC Internals"/>
    <x v="164"/>
    <d v="2017-05-01T00:00:00"/>
    <s v="May-17"/>
    <s v="Earnings, Tool Allowance Greg, Karsten, Ash &amp; Peter J"/>
    <n v="4.6624999999999996"/>
    <m/>
    <m/>
  </r>
  <r>
    <s v="PE"/>
    <s v="NBN Sydney"/>
    <s v="Payroll Expense Journal - PD-448"/>
    <x v="5"/>
    <s v="NBN Greenfields DJC Internals"/>
    <x v="180"/>
    <d v="2017-05-01T00:00:00"/>
    <s v="May-17"/>
    <s v="Earnings, Tool Allowance Greg, Karsten, Ash &amp; Peter J"/>
    <n v="4.6624999999999996"/>
    <m/>
    <m/>
  </r>
  <r>
    <s v="PE"/>
    <s v="NBN Sydney"/>
    <s v="Payroll Expense Journal - PD-476"/>
    <x v="5"/>
    <s v="NBN Greenfields DJC Internals"/>
    <x v="170"/>
    <d v="2017-05-08T00:00:00"/>
    <s v="May-17"/>
    <s v="Earnings, Tool Allowance Greg, Karsten, Ash &amp; Peter J"/>
    <n v="4.6500000000000004"/>
    <m/>
    <m/>
  </r>
  <r>
    <s v="PE"/>
    <s v="AARNet Sydney"/>
    <s v="Payroll Expense Journal - PD-476"/>
    <x v="5"/>
    <s v="AARNet DJC Internals"/>
    <x v="169"/>
    <d v="2017-05-08T00:00:00"/>
    <s v="May-17"/>
    <s v="Earnings, Tool Allowance Greg, Karsten, Ash &amp; Peter J"/>
    <n v="51.300000000000004"/>
    <m/>
    <m/>
  </r>
  <r>
    <s v="PE"/>
    <s v="NBN Sydney"/>
    <s v="Payroll Expense Journal - PD-476"/>
    <x v="5"/>
    <s v="NBN Greenfields DJC Internals"/>
    <x v="180"/>
    <d v="2017-05-08T00:00:00"/>
    <s v="May-17"/>
    <s v="Earnings, Tool Allowance Greg, Karsten, Ash &amp; Peter J"/>
    <n v="18.649999999999999"/>
    <m/>
    <m/>
  </r>
  <r>
    <s v="PE"/>
    <s v="NBN Sydney"/>
    <s v="Payroll Expense Journal - PD-472"/>
    <x v="5"/>
    <s v="NBN Minor Works DJC Internals"/>
    <x v="79"/>
    <d v="2017-05-15T00:00:00"/>
    <s v="May-17"/>
    <s v="Earnings"/>
    <n v="74.599999999999994"/>
    <m/>
    <m/>
  </r>
  <r>
    <s v="PE"/>
    <s v="NBN Sydney"/>
    <s v="Payroll Expense Journal - PD-467"/>
    <x v="5"/>
    <s v="NBN Greenfields DJC Internals"/>
    <x v="173"/>
    <d v="2017-05-22T00:00:00"/>
    <s v="May-17"/>
    <s v="Earnings"/>
    <n v="74.599999999999994"/>
    <m/>
    <m/>
  </r>
  <r>
    <s v="PE"/>
    <s v="NBN Sydney"/>
    <s v="Payroll Expense Journal - PD-477"/>
    <x v="5"/>
    <s v="NBN Greenfields DJC Internals"/>
    <x v="181"/>
    <d v="2017-05-29T00:00:00"/>
    <s v="May-17"/>
    <s v="Earnings"/>
    <n v="74.599999999999994"/>
    <m/>
    <m/>
  </r>
  <r>
    <s v="PE"/>
    <s v="NBN Sydney"/>
    <s v="Payroll Expense Journal - PD-477"/>
    <x v="1"/>
    <s v="Overhead"/>
    <x v="3"/>
    <d v="2017-05-29T00:00:00"/>
    <s v="May-17"/>
    <s v="Allowance Tools Gilbert Cook"/>
    <n v="46.63"/>
    <m/>
    <m/>
  </r>
  <r>
    <s v="PE"/>
    <s v="NBN Sydney"/>
    <s v="Payroll Expense Journal - PD-448"/>
    <x v="5"/>
    <s v="NBN Greenfields DJC Internals"/>
    <x v="186"/>
    <d v="2017-05-01T00:00:00"/>
    <s v="May-17"/>
    <s v="Earnings  Brendan C"/>
    <n v="18.649999999999999"/>
    <m/>
    <m/>
  </r>
  <r>
    <s v="PE"/>
    <s v="NBN Sydney"/>
    <s v="Payroll Expense Journal - PD-476"/>
    <x v="5"/>
    <s v="NBN A417 MDU DJC Internals"/>
    <x v="157"/>
    <d v="2017-05-08T00:00:00"/>
    <s v="May-17"/>
    <s v="Earnings  Brendan C"/>
    <n v="18.649999999999999"/>
    <m/>
    <m/>
  </r>
  <r>
    <s v="PE"/>
    <s v="NBN Sydney"/>
    <s v="Payroll Expense Journal - PD-472"/>
    <x v="5"/>
    <s v="NBN Greenfields DJC Internals"/>
    <x v="174"/>
    <d v="2017-05-15T00:00:00"/>
    <s v="May-17"/>
    <s v="Earnings  Brendan C"/>
    <n v="18.649999999999999"/>
    <m/>
    <m/>
  </r>
  <r>
    <s v="PE"/>
    <s v="NBN Sydney"/>
    <s v="Payroll Expense Journal - PD-467"/>
    <x v="5"/>
    <s v="NBN Greenfields DJC Internals"/>
    <x v="164"/>
    <d v="2017-05-22T00:00:00"/>
    <s v="May-17"/>
    <s v="Earnings  Brendan C"/>
    <n v="18.649999999999999"/>
    <m/>
    <m/>
  </r>
  <r>
    <s v="PE"/>
    <s v="NBN Sydney"/>
    <s v="Payroll Expense Journal - PD-477"/>
    <x v="5"/>
    <s v="NBN Greenfields DJC Internals"/>
    <x v="170"/>
    <d v="2017-05-29T00:00:00"/>
    <s v="May-17"/>
    <s v="Earnings  Brendan C"/>
    <n v="18.649999999999999"/>
    <m/>
    <m/>
  </r>
  <r>
    <s v="PE"/>
    <s v="NBN Sydney"/>
    <s v="Payroll Expense Journal - PD-472"/>
    <x v="5"/>
    <s v="NBN Greenfields DJC Internals"/>
    <x v="181"/>
    <d v="2017-05-15T00:00:00"/>
    <s v="May-17"/>
    <s v="Reimbursements"/>
    <n v="449.61"/>
    <m/>
    <m/>
  </r>
  <r>
    <s v="PE"/>
    <s v="NBN Sydney"/>
    <s v="Payroll Expense Journal - PD-467"/>
    <x v="5"/>
    <s v="NBN Greenfields DJC Internals"/>
    <x v="181"/>
    <d v="2017-05-22T00:00:00"/>
    <s v="May-17"/>
    <s v="Reimbursements"/>
    <n v="149.87"/>
    <m/>
    <m/>
  </r>
  <r>
    <s v="PE"/>
    <s v="NBN Sydney"/>
    <s v="Payroll Expense Journal - PD-467"/>
    <x v="1"/>
    <s v="Overhead"/>
    <x v="3"/>
    <d v="2017-05-22T00:00:00"/>
    <s v="May-17"/>
    <s v="Reimbursements Gilbert Cook"/>
    <n v="3123.75"/>
    <m/>
    <m/>
  </r>
  <r>
    <s v="PE"/>
    <s v="NBN Sydney"/>
    <s v="Payroll Expense Journal - PD-467"/>
    <x v="5"/>
    <s v="NBN Greenfields DJC Internals"/>
    <x v="181"/>
    <d v="2017-05-22T00:00:00"/>
    <s v="May-17"/>
    <s v="Reimbursements"/>
    <n v="149.87"/>
    <m/>
    <m/>
  </r>
  <r>
    <s v="PE"/>
    <s v="NBN Sydney"/>
    <s v="Payroll Expense Journal - PD-448"/>
    <x v="1"/>
    <s v="Overhead"/>
    <x v="3"/>
    <d v="2017-05-01T00:00:00"/>
    <s v="May-17"/>
    <s v="Earnings"/>
    <n v="4970.5199999999977"/>
    <m/>
    <m/>
  </r>
  <r>
    <s v="PE"/>
    <s v="NBN Sydney"/>
    <s v="Payroll Expense Journal - PD-448"/>
    <x v="5"/>
    <s v="NBN Greenfields DJC Internals"/>
    <x v="173"/>
    <d v="2017-05-01T00:00:00"/>
    <s v="May-17"/>
    <s v="Earnings KE &amp; AC"/>
    <n v="772.67"/>
    <m/>
    <m/>
  </r>
  <r>
    <s v="PE"/>
    <s v="NBN Sydney"/>
    <s v="Payroll Expense Journal - PD-448"/>
    <x v="5"/>
    <s v="NBN Minor Works DJC Internals"/>
    <x v="167"/>
    <d v="2017-05-01T00:00:00"/>
    <s v="May-17"/>
    <s v="Earnings KE &amp; AC"/>
    <n v="760.78"/>
    <m/>
    <m/>
  </r>
  <r>
    <s v="PE"/>
    <s v="NBN Sydney"/>
    <s v="Payroll Expense Journal - PD-448"/>
    <x v="5"/>
    <s v="NBN Greenfields DJC Internals"/>
    <x v="186"/>
    <d v="2017-05-01T00:00:00"/>
    <s v="May-17"/>
    <s v="Earnings KE &amp; AC"/>
    <n v="910.29"/>
    <m/>
    <m/>
  </r>
  <r>
    <s v="PE"/>
    <s v="NBN Sydney"/>
    <s v="Payroll Expense Journal - PD-448"/>
    <x v="5"/>
    <s v="NBN Greenfields DJC Internals"/>
    <x v="187"/>
    <d v="2017-05-01T00:00:00"/>
    <s v="May-17"/>
    <s v="Earnings KE &amp; AC"/>
    <n v="182.88"/>
    <m/>
    <m/>
  </r>
  <r>
    <s v="PE"/>
    <s v="NBN Sydney"/>
    <s v="Payroll Expense Journal - PD-448"/>
    <x v="5"/>
    <s v="NBN Greenfields DJC Internals"/>
    <x v="188"/>
    <d v="2017-05-01T00:00:00"/>
    <s v="May-17"/>
    <s v="Earnings KE &amp; AC"/>
    <n v="601.22"/>
    <m/>
    <m/>
  </r>
  <r>
    <s v="PE"/>
    <s v="NBN Sydney"/>
    <s v="Payroll Expense Journal - PD-448"/>
    <x v="5"/>
    <s v="NBN Greenfields DJC Internals"/>
    <x v="189"/>
    <d v="2017-05-01T00:00:00"/>
    <s v="May-17"/>
    <s v="Earnings KE &amp; AC"/>
    <n v="182.88"/>
    <m/>
    <m/>
  </r>
  <r>
    <s v="PE"/>
    <s v="NBN Sydney"/>
    <s v="Payroll Expense Journal - PD-448"/>
    <x v="5"/>
    <s v="NBN Greenfields DJC Internals"/>
    <x v="163"/>
    <d v="2017-05-01T00:00:00"/>
    <s v="May-17"/>
    <s v="Earnings GB &amp; BC"/>
    <n v="634.52"/>
    <m/>
    <m/>
  </r>
  <r>
    <s v="PE"/>
    <s v="NBN Sydney"/>
    <s v="Payroll Expense Journal - PD-448"/>
    <x v="5"/>
    <s v="NBN Greenfields DJC Internals"/>
    <x v="164"/>
    <d v="2017-05-01T00:00:00"/>
    <s v="May-17"/>
    <s v="Earnings GB &amp; BC"/>
    <n v="504.5"/>
    <m/>
    <m/>
  </r>
  <r>
    <s v="PE"/>
    <s v="NBN Sydney"/>
    <s v="Payroll Expense Journal - PD-448"/>
    <x v="5"/>
    <s v="NBN Greenfields DJC Internals"/>
    <x v="180"/>
    <d v="2017-05-01T00:00:00"/>
    <s v="May-17"/>
    <s v="Earnings GB &amp; BC"/>
    <n v="260.05"/>
    <m/>
    <m/>
  </r>
  <r>
    <s v="PE"/>
    <s v="NBN Sydney"/>
    <s v="Payroll Expense Journal - PD-448"/>
    <x v="5"/>
    <s v="NBN Greenfields DJC Internals"/>
    <x v="173"/>
    <d v="2017-05-01T00:00:00"/>
    <s v="May-17"/>
    <s v="Earnings GB &amp; BC"/>
    <n v="631.91999999999996"/>
    <m/>
    <m/>
  </r>
  <r>
    <s v="PE"/>
    <s v="NBN Sydney"/>
    <s v="Payroll Expense Journal - PD-476"/>
    <x v="1"/>
    <s v="Overhead"/>
    <x v="3"/>
    <d v="2017-05-08T00:00:00"/>
    <s v="May-17"/>
    <s v="Earnings"/>
    <n v="970.94999999999914"/>
    <m/>
    <m/>
  </r>
  <r>
    <s v="PE"/>
    <s v="NBN Sydney"/>
    <s v="Payroll Expense Journal - PD-476"/>
    <x v="5"/>
    <s v="NBN Greenfields DJC Internals"/>
    <x v="170"/>
    <d v="2017-05-08T00:00:00"/>
    <s v="May-17"/>
    <s v="Earnings KE &amp; AC"/>
    <n v="694.94"/>
    <m/>
    <m/>
  </r>
  <r>
    <s v="PE"/>
    <s v="AARNet Sydney"/>
    <s v="Payroll Expense Journal - PD-476"/>
    <x v="5"/>
    <s v="AARNet DJC Internals"/>
    <x v="169"/>
    <d v="2017-05-08T00:00:00"/>
    <s v="May-17"/>
    <s v="Earnings KE &amp; AC"/>
    <n v="7239.76"/>
    <m/>
    <m/>
  </r>
  <r>
    <s v="PE"/>
    <s v="NBN Sydney"/>
    <s v="Payroll Expense Journal - PD-476"/>
    <x v="5"/>
    <s v="NBN Greenfields DJC Internals"/>
    <x v="170"/>
    <d v="2017-05-08T00:00:00"/>
    <s v="May-17"/>
    <s v="Earnings GB &amp; BC"/>
    <n v="1279.45"/>
    <m/>
    <m/>
  </r>
  <r>
    <s v="PE"/>
    <s v="NBN Sydney"/>
    <s v="Payroll Expense Journal - PD-476"/>
    <x v="5"/>
    <s v="NBN Greenfields DJC Internals"/>
    <x v="180"/>
    <d v="2017-05-08T00:00:00"/>
    <s v="May-17"/>
    <s v="Earnings GB &amp; BC"/>
    <n v="465.49"/>
    <m/>
    <m/>
  </r>
  <r>
    <s v="PE"/>
    <s v="NBN Sydney"/>
    <s v="Payroll Expense Journal - PD-476"/>
    <x v="5"/>
    <s v="NBN Greenfields DJC Internals"/>
    <x v="186"/>
    <d v="2017-05-08T00:00:00"/>
    <s v="May-17"/>
    <s v="Earnings GB &amp; BC"/>
    <n v="445.99"/>
    <m/>
    <m/>
  </r>
  <r>
    <s v="PE"/>
    <s v="NBN Sydney"/>
    <s v="Payroll Expense Journal - PD-475"/>
    <x v="1"/>
    <s v="Overhead"/>
    <x v="3"/>
    <d v="2017-05-08T00:00:00"/>
    <s v="May-17"/>
    <s v="Earnings"/>
    <n v="2809.15"/>
    <m/>
    <m/>
  </r>
  <r>
    <s v="PE"/>
    <s v="NBN Sydney"/>
    <s v="Payroll Expense Journal - PD-459"/>
    <x v="1"/>
    <s v="Overhead"/>
    <x v="3"/>
    <d v="2017-05-08T00:00:00"/>
    <s v="May-17"/>
    <s v="Earnings"/>
    <n v="7729.2000000000007"/>
    <m/>
    <m/>
  </r>
  <r>
    <s v="PE"/>
    <s v="AARNet Sydney"/>
    <s v="Payroll Expense Journal - PD-459"/>
    <x v="5"/>
    <s v="AARNet DJC Internals"/>
    <x v="169"/>
    <d v="2017-05-08T00:00:00"/>
    <s v="May-17"/>
    <s v="Earnings KE &amp; AC"/>
    <n v="7329.76"/>
    <m/>
    <m/>
  </r>
  <r>
    <s v="PE"/>
    <s v="NBN Sydney"/>
    <s v="Payroll Expense Journal - PD-459"/>
    <x v="5"/>
    <s v="NBN Greenfields DJC Internals"/>
    <x v="170"/>
    <d v="2017-05-08T00:00:00"/>
    <s v="May-17"/>
    <s v="Earnings KE &amp; AC"/>
    <n v="694.94"/>
    <m/>
    <m/>
  </r>
  <r>
    <s v="PE"/>
    <s v="NBN Sydney"/>
    <s v="Payroll Expense Journal - PD-459"/>
    <x v="5"/>
    <s v="NBN Greenfields DJC Internals"/>
    <x v="170"/>
    <d v="2017-05-08T00:00:00"/>
    <s v="May-17"/>
    <s v="Earnings GB &amp; BC"/>
    <n v="1279.45"/>
    <m/>
    <m/>
  </r>
  <r>
    <s v="PE"/>
    <s v="NBN Sydney"/>
    <s v="Payroll Expense Journal - PD-459"/>
    <x v="5"/>
    <s v="NBN Greenfields DJC Internals"/>
    <x v="180"/>
    <d v="2017-05-08T00:00:00"/>
    <s v="May-17"/>
    <s v="Earnings GB &amp; BC"/>
    <n v="465.49"/>
    <m/>
    <m/>
  </r>
  <r>
    <s v="PE"/>
    <s v="NBN Sydney"/>
    <s v="Payroll Expense Journal - PD-459"/>
    <x v="5"/>
    <s v="NBN Greenfields DJC Internals"/>
    <x v="186"/>
    <d v="2017-05-08T00:00:00"/>
    <s v="May-17"/>
    <s v="Earnings GB &amp; BC"/>
    <n v="445.99"/>
    <m/>
    <m/>
  </r>
  <r>
    <s v="PE"/>
    <s v="NBN Sydney"/>
    <s v="Payroll Expense Journal - PD-472"/>
    <x v="1"/>
    <s v="Overhead"/>
    <x v="3"/>
    <d v="2017-05-15T00:00:00"/>
    <s v="May-17"/>
    <s v="Earnings"/>
    <n v="2205.1100000000006"/>
    <m/>
    <m/>
  </r>
  <r>
    <s v="PE"/>
    <s v="NBN Sydney"/>
    <s v="Payroll Expense Journal - PD-472"/>
    <x v="5"/>
    <s v="NBN Greenfields DJC Internals"/>
    <x v="139"/>
    <d v="2017-05-15T00:00:00"/>
    <s v="May-17"/>
    <s v="Earnings KE &amp; AC"/>
    <n v="1086.54"/>
    <m/>
    <m/>
  </r>
  <r>
    <s v="PE"/>
    <s v="AARNet Sydney"/>
    <s v="Payroll Expense Journal - PD-472"/>
    <x v="5"/>
    <s v="AARNet DJC Internals"/>
    <x v="169"/>
    <d v="2017-05-15T00:00:00"/>
    <s v="May-17"/>
    <s v="Earnings KE &amp; AC"/>
    <n v="1058.42"/>
    <m/>
    <m/>
  </r>
  <r>
    <s v="PE"/>
    <s v="NBN Sydney"/>
    <s v="Payroll Expense Journal - PD-472"/>
    <x v="5"/>
    <s v="NBN Greenfields DJC Internals"/>
    <x v="139"/>
    <d v="2017-05-15T00:00:00"/>
    <s v="May-17"/>
    <s v="Earnings KE &amp; AC"/>
    <n v="818.39"/>
    <m/>
    <m/>
  </r>
  <r>
    <s v="PE"/>
    <s v="NBN Sydney"/>
    <s v="Payroll Expense Journal - PD-472"/>
    <x v="5"/>
    <s v="NBN Greenfields DJC Internals"/>
    <x v="190"/>
    <d v="2017-05-15T00:00:00"/>
    <s v="May-17"/>
    <s v="Earnings KE &amp; AC"/>
    <n v="2345.44"/>
    <m/>
    <m/>
  </r>
  <r>
    <s v="PE"/>
    <s v="NBN Sydney"/>
    <s v="Payroll Expense Journal - PD-472"/>
    <x v="5"/>
    <s v="NBN Greenfields DJC Internals"/>
    <x v="186"/>
    <d v="2017-05-15T00:00:00"/>
    <s v="May-17"/>
    <s v="Earnings GB &amp; BC"/>
    <n v="130.03"/>
    <m/>
    <m/>
  </r>
  <r>
    <s v="PE"/>
    <s v="NBN Sydney"/>
    <s v="Payroll Expense Journal - PD-472"/>
    <x v="5"/>
    <s v="NBN A417 MDU DJC Internals"/>
    <x v="157"/>
    <d v="2017-05-15T00:00:00"/>
    <s v="May-17"/>
    <s v="Earnings GB &amp; BC"/>
    <n v="738.54"/>
    <m/>
    <m/>
  </r>
  <r>
    <s v="PE"/>
    <s v="NBN Sydney"/>
    <s v="Payroll Expense Journal - PD-472"/>
    <x v="5"/>
    <s v="NBN Greenfields DJC Internals"/>
    <x v="174"/>
    <d v="2017-05-15T00:00:00"/>
    <s v="May-17"/>
    <s v="Earnings GB &amp; BC"/>
    <n v="1523.89"/>
    <m/>
    <m/>
  </r>
  <r>
    <s v="PE"/>
    <s v="NBN Sydney"/>
    <s v="Payroll Expense Journal - PD-472"/>
    <x v="5"/>
    <s v="NBN Greenfields DJC Internals"/>
    <x v="164"/>
    <d v="2017-05-15T00:00:00"/>
    <s v="May-17"/>
    <s v="Earnings GB &amp; BC"/>
    <n v="208.04"/>
    <m/>
    <m/>
  </r>
  <r>
    <s v="PE"/>
    <s v="NBN Sydney"/>
    <s v="Payroll Expense Journal - PD-467"/>
    <x v="1"/>
    <s v="Overhead"/>
    <x v="3"/>
    <d v="2017-05-22T00:00:00"/>
    <s v="May-17"/>
    <s v="Earnings"/>
    <n v="1728.23"/>
    <m/>
    <m/>
  </r>
  <r>
    <s v="PE"/>
    <s v="NBN Sydney"/>
    <s v="Payroll Expense Journal - PD-467"/>
    <x v="5"/>
    <s v="NBN Greenfields DJC Internals"/>
    <x v="173"/>
    <d v="2017-05-22T00:00:00"/>
    <s v="May-17"/>
    <s v="Earnings KE &amp; AC"/>
    <n v="1564.25"/>
    <m/>
    <m/>
  </r>
  <r>
    <s v="PE"/>
    <s v="NBN Sydney"/>
    <s v="Payroll Expense Journal - PD-467"/>
    <x v="5"/>
    <s v="NBN Greenfields DJC Internals"/>
    <x v="166"/>
    <d v="2017-05-22T00:00:00"/>
    <s v="May-17"/>
    <s v="Earnings KE &amp; AC"/>
    <n v="829.82"/>
    <m/>
    <m/>
  </r>
  <r>
    <s v="PE"/>
    <s v="NBN Sydney"/>
    <s v="Payroll Expense Journal - PD-467"/>
    <x v="5"/>
    <s v="NBN Greenfields DJC Internals"/>
    <x v="168"/>
    <d v="2017-05-22T00:00:00"/>
    <s v="May-17"/>
    <s v="Earnings KE &amp; AC"/>
    <n v="1148.49"/>
    <m/>
    <m/>
  </r>
  <r>
    <s v="PE"/>
    <s v="NBN Sydney"/>
    <s v="Payroll Expense Journal - PD-467"/>
    <x v="5"/>
    <s v="NBN Greenfields DJC Internals"/>
    <x v="190"/>
    <d v="2017-05-22T00:00:00"/>
    <s v="May-17"/>
    <s v="Earnings GB &amp; BC"/>
    <n v="1067.51"/>
    <m/>
    <m/>
  </r>
  <r>
    <s v="PE"/>
    <s v="NBN Sydney"/>
    <s v="Payroll Expense Journal - PD-467"/>
    <x v="5"/>
    <s v="NBN Greenfields DJC Internals"/>
    <x v="177"/>
    <d v="2017-05-22T00:00:00"/>
    <s v="May-17"/>
    <s v="Earnings GB &amp; BC"/>
    <n v="1240.44"/>
    <m/>
    <m/>
  </r>
  <r>
    <s v="PE"/>
    <s v="NBN Sydney"/>
    <s v="Payroll Expense Journal - PD-467"/>
    <x v="5"/>
    <s v="NBN Minor Works DJC Internals"/>
    <x v="79"/>
    <d v="2017-05-22T00:00:00"/>
    <s v="May-17"/>
    <s v="Earnings GB &amp; BC"/>
    <n v="543.5"/>
    <m/>
    <m/>
  </r>
  <r>
    <s v="PE"/>
    <s v="NBN Sydney"/>
    <s v="Payroll Expense Journal - PD-477"/>
    <x v="1"/>
    <s v="Overhead"/>
    <x v="3"/>
    <d v="2017-05-29T00:00:00"/>
    <s v="May-17"/>
    <s v="Earnings"/>
    <n v="957.07999999999902"/>
    <m/>
    <m/>
  </r>
  <r>
    <s v="PE"/>
    <s v="NBN Sydney"/>
    <s v="Payroll Expense Journal - PD-477"/>
    <x v="5"/>
    <s v="NBN Greenfields DJC Internals"/>
    <x v="173"/>
    <d v="2017-05-29T00:00:00"/>
    <s v="May-17"/>
    <s v="Earnings KE &amp; AC"/>
    <n v="3371.85"/>
    <m/>
    <m/>
  </r>
  <r>
    <s v="PE"/>
    <s v="NBN Sydney"/>
    <s v="Payroll Expense Journal - PD-477"/>
    <x v="5"/>
    <s v="NBN A417 MDU DJC Internals"/>
    <x v="191"/>
    <d v="2017-05-29T00:00:00"/>
    <s v="May-17"/>
    <s v="Earnings KE &amp; AC"/>
    <n v="886.97"/>
    <m/>
    <m/>
  </r>
  <r>
    <s v="PE"/>
    <s v="NBN Sydney"/>
    <s v="Payroll Expense Journal - PD-477"/>
    <x v="5"/>
    <s v="NBN Greenfields DJC Internals"/>
    <x v="179"/>
    <d v="2017-05-29T00:00:00"/>
    <s v="May-17"/>
    <s v="Earnings KE &amp; AC"/>
    <n v="1499.62"/>
    <m/>
    <m/>
  </r>
  <r>
    <s v="PE"/>
    <s v="NBN Sydney"/>
    <s v="Payroll Expense Journal - PD-477"/>
    <x v="5"/>
    <s v="NBN A417 MDU DJC Internals"/>
    <x v="193"/>
    <d v="2017-05-29T00:00:00"/>
    <s v="May-17"/>
    <s v="Earnings KE &amp; AC"/>
    <n v="473.62"/>
    <m/>
    <m/>
  </r>
  <r>
    <s v="PE"/>
    <s v="NBN Sydney"/>
    <s v="Payroll Expense Journal - PD-477"/>
    <x v="5"/>
    <s v="NBN Minor Works DJC Internals"/>
    <x v="79"/>
    <d v="2017-05-29T00:00:00"/>
    <s v="May-17"/>
    <s v="Earnings GB &amp; BC"/>
    <n v="1474.48"/>
    <m/>
    <m/>
  </r>
  <r>
    <s v="PE"/>
    <s v="NBN Sydney"/>
    <s v="Payroll Expense Journal - PD-477"/>
    <x v="5"/>
    <s v="NBN Greenfields DJC Internals"/>
    <x v="173"/>
    <d v="2017-05-29T00:00:00"/>
    <s v="May-17"/>
    <s v="Earnings GB &amp; BC"/>
    <n v="1272.94"/>
    <m/>
    <m/>
  </r>
  <r>
    <s v="PE"/>
    <s v="NBN Sydney"/>
    <s v="Payroll Expense Journal - PD-477"/>
    <x v="1"/>
    <s v="Overhead"/>
    <x v="3"/>
    <d v="2017-05-29T00:00:00"/>
    <s v="May-17"/>
    <s v="Earnings Gilbert Cook"/>
    <n v="4069.23"/>
    <m/>
    <m/>
  </r>
  <r>
    <s v="PE"/>
    <s v="NBN Sydney"/>
    <s v="Payroll Expense Journal - PD-448"/>
    <x v="1"/>
    <s v="Overhead"/>
    <x v="3"/>
    <d v="2017-05-01T00:00:00"/>
    <s v="May-17"/>
    <s v="Earnings"/>
    <n v="831.16"/>
    <m/>
    <m/>
  </r>
  <r>
    <s v="PE"/>
    <s v="NBN Sydney"/>
    <s v="Payroll Expense Journal - PD-476"/>
    <x v="1"/>
    <s v="Overhead"/>
    <x v="3"/>
    <d v="2017-05-08T00:00:00"/>
    <s v="May-17"/>
    <s v="Earnings"/>
    <n v="769.48"/>
    <m/>
    <m/>
  </r>
  <r>
    <s v="PE"/>
    <s v="NBN Sydney"/>
    <s v="Payroll Expense Journal - PD-459"/>
    <x v="1"/>
    <s v="Overhead"/>
    <x v="3"/>
    <d v="2017-05-08T00:00:00"/>
    <s v="May-17"/>
    <s v="Earnings"/>
    <n v="232.62"/>
    <m/>
    <m/>
  </r>
  <r>
    <s v="PE"/>
    <s v="NBN Sydney"/>
    <s v="Payroll Expense Journal - PD-472"/>
    <x v="1"/>
    <s v="Overhead"/>
    <x v="3"/>
    <d v="2017-05-15T00:00:00"/>
    <s v="May-17"/>
    <s v="Earnings"/>
    <n v="1003.66"/>
    <m/>
    <m/>
  </r>
  <r>
    <s v="PE"/>
    <s v="NBN Sydney"/>
    <s v="Payroll Expense Journal - PD-467"/>
    <x v="1"/>
    <s v="Overhead"/>
    <x v="3"/>
    <d v="2017-05-22T00:00:00"/>
    <s v="May-17"/>
    <s v="Earnings"/>
    <n v="958.18"/>
    <m/>
    <m/>
  </r>
  <r>
    <s v="PE"/>
    <s v="NBN Sydney"/>
    <s v="Payroll Expense Journal - PD-477"/>
    <x v="1"/>
    <s v="Overhead"/>
    <x v="3"/>
    <d v="2017-05-29T00:00:00"/>
    <s v="May-17"/>
    <s v="Earnings"/>
    <n v="788.6"/>
    <m/>
    <m/>
  </r>
  <r>
    <s v="PE"/>
    <s v="NBN Sydney"/>
    <s v="Payroll Expense Journal - PD-448"/>
    <x v="1"/>
    <s v="Overhead"/>
    <x v="3"/>
    <d v="2017-05-01T00:00:00"/>
    <s v="May-17"/>
    <s v="Superannuation Expense"/>
    <n v="92.44"/>
    <m/>
    <m/>
  </r>
  <r>
    <s v="PE"/>
    <s v="NBN Sydney"/>
    <s v="Payroll Expense Journal - PD-476"/>
    <x v="1"/>
    <s v="Overhead"/>
    <x v="3"/>
    <d v="2017-05-08T00:00:00"/>
    <s v="May-17"/>
    <s v="Superannuation Expense"/>
    <n v="92.44"/>
    <m/>
    <m/>
  </r>
  <r>
    <s v="PE"/>
    <s v="NBN Sydney"/>
    <s v="Payroll Expense Journal - PD-472"/>
    <x v="1"/>
    <s v="Overhead"/>
    <x v="3"/>
    <d v="2017-05-15T00:00:00"/>
    <s v="May-17"/>
    <s v="Superannuation Expense"/>
    <n v="92.44"/>
    <m/>
    <m/>
  </r>
  <r>
    <s v="PE"/>
    <s v="NBN Sydney"/>
    <s v="Payroll Expense Journal - PD-467"/>
    <x v="1"/>
    <s v="Overhead"/>
    <x v="3"/>
    <d v="2017-05-22T00:00:00"/>
    <s v="May-17"/>
    <s v="Superannuation Expense"/>
    <n v="92.44"/>
    <m/>
    <m/>
  </r>
  <r>
    <s v="PE"/>
    <s v="NBN Sydney"/>
    <s v="Payroll Expense Journal - PD-477"/>
    <x v="1"/>
    <s v="Overhead"/>
    <x v="3"/>
    <d v="2017-05-29T00:00:00"/>
    <s v="May-17"/>
    <s v="Superannuation Expense"/>
    <n v="92.44"/>
    <m/>
    <m/>
  </r>
  <r>
    <s v="PE"/>
    <s v="NBN Sydney"/>
    <s v="Payroll Expense Journal - PD-477"/>
    <x v="1"/>
    <s v="Overhead"/>
    <x v="3"/>
    <d v="2017-05-29T00:00:00"/>
    <s v="May-17"/>
    <s v="RM &amp; AA"/>
    <n v="790.92"/>
    <m/>
    <m/>
  </r>
  <r>
    <s v="PE"/>
    <s v="NBN Sydney"/>
    <s v="Payroll Expense Journal - PD-448"/>
    <x v="1"/>
    <s v="Overhead"/>
    <x v="3"/>
    <d v="2017-05-01T00:00:00"/>
    <s v="May-17"/>
    <s v="Superannuation Expense"/>
    <n v="568.29000000000019"/>
    <m/>
    <m/>
  </r>
  <r>
    <s v="PE"/>
    <s v="NBN Sydney"/>
    <s v="Payroll Expense Journal - PD-448"/>
    <x v="5"/>
    <s v="NBN Greenfields DJC Internals"/>
    <x v="173"/>
    <d v="2017-05-01T00:00:00"/>
    <s v="May-17"/>
    <s v="Superannuation Expense  KE &amp; AC"/>
    <n v="48.65"/>
    <m/>
    <m/>
  </r>
  <r>
    <s v="PE"/>
    <s v="NBN Sydney"/>
    <s v="Payroll Expense Journal - PD-448"/>
    <x v="5"/>
    <s v="NBN Minor Works DJC Internals"/>
    <x v="167"/>
    <d v="2017-05-01T00:00:00"/>
    <s v="May-17"/>
    <s v="Superannuation Expense  KE &amp; AC"/>
    <n v="66.02"/>
    <m/>
    <m/>
  </r>
  <r>
    <s v="PE"/>
    <s v="NBN Sydney"/>
    <s v="Payroll Expense Journal - PD-448"/>
    <x v="5"/>
    <s v="NBN Greenfields DJC Internals"/>
    <x v="186"/>
    <d v="2017-05-01T00:00:00"/>
    <s v="May-17"/>
    <s v="Superannuation Expense  KE &amp; AC"/>
    <n v="66.02"/>
    <m/>
    <m/>
  </r>
  <r>
    <s v="PE"/>
    <s v="NBN Sydney"/>
    <s v="Payroll Expense Journal - PD-448"/>
    <x v="5"/>
    <s v="NBN Greenfields DJC Internals"/>
    <x v="187"/>
    <d v="2017-05-01T00:00:00"/>
    <s v="May-17"/>
    <s v="Superannuation Expense  KE &amp; AC"/>
    <n v="17.37"/>
    <m/>
    <m/>
  </r>
  <r>
    <s v="PE"/>
    <s v="NBN Sydney"/>
    <s v="Payroll Expense Journal - PD-448"/>
    <x v="5"/>
    <s v="NBN Greenfields DJC Internals"/>
    <x v="188"/>
    <d v="2017-05-01T00:00:00"/>
    <s v="May-17"/>
    <s v="Superannuation Expense  KE &amp; AC"/>
    <n v="48.65"/>
    <m/>
    <m/>
  </r>
  <r>
    <s v="PE"/>
    <s v="NBN Sydney"/>
    <s v="Payroll Expense Journal - PD-448"/>
    <x v="5"/>
    <s v="NBN Greenfields DJC Internals"/>
    <x v="189"/>
    <d v="2017-05-01T00:00:00"/>
    <s v="May-17"/>
    <s v="Superannuation Expense  KE &amp; AC"/>
    <n v="17.37"/>
    <m/>
    <m/>
  </r>
  <r>
    <s v="PE"/>
    <s v="NBN Sydney"/>
    <s v="Payroll Expense Journal - PD-448"/>
    <x v="5"/>
    <s v="NBN Greenfields DJC Internals"/>
    <x v="163"/>
    <d v="2017-05-01T00:00:00"/>
    <s v="May-17"/>
    <s v="Superannuation Expense GR &amp; BC"/>
    <n v="37.549999999999997"/>
    <m/>
    <m/>
  </r>
  <r>
    <s v="PE"/>
    <s v="NBN Sydney"/>
    <s v="Payroll Expense Journal - PD-448"/>
    <x v="5"/>
    <s v="NBN Greenfields DJC Internals"/>
    <x v="164"/>
    <d v="2017-05-01T00:00:00"/>
    <s v="May-17"/>
    <s v="Superannuation Expense GR &amp; BC"/>
    <n v="37.549999999999997"/>
    <m/>
    <m/>
  </r>
  <r>
    <s v="PE"/>
    <s v="NBN Sydney"/>
    <s v="Payroll Expense Journal - PD-448"/>
    <x v="5"/>
    <s v="NBN Greenfields DJC Internals"/>
    <x v="180"/>
    <d v="2017-05-01T00:00:00"/>
    <s v="May-17"/>
    <s v="Superannuation Expense GR &amp; BC"/>
    <n v="24.7"/>
    <m/>
    <m/>
  </r>
  <r>
    <s v="PE"/>
    <s v="NBN Sydney"/>
    <s v="Payroll Expense Journal - PD-448"/>
    <x v="5"/>
    <s v="NBN Greenfields DJC Internals"/>
    <x v="173"/>
    <d v="2017-05-01T00:00:00"/>
    <s v="May-17"/>
    <s v="Superannuation Expense GR &amp; BC"/>
    <n v="50.4"/>
    <m/>
    <m/>
  </r>
  <r>
    <s v="PE"/>
    <s v="NBN Sydney"/>
    <s v="Payroll Expense Journal - PD-476"/>
    <x v="1"/>
    <s v="Overhead"/>
    <x v="3"/>
    <d v="2017-05-08T00:00:00"/>
    <s v="May-17"/>
    <s v="Superannuation Expense"/>
    <n v="408.79999999999995"/>
    <m/>
    <m/>
  </r>
  <r>
    <s v="PE"/>
    <s v="NBN Sydney"/>
    <s v="Payroll Expense Journal - PD-476"/>
    <x v="5"/>
    <s v="NBN Greenfields DJC Internals"/>
    <x v="170"/>
    <d v="2017-05-08T00:00:00"/>
    <s v="May-17"/>
    <s v="Superannuation Expense  KE &amp; AC"/>
    <n v="66.02"/>
    <m/>
    <m/>
  </r>
  <r>
    <s v="PE"/>
    <s v="AARNet Sydney"/>
    <s v="Payroll Expense Journal - PD-476"/>
    <x v="5"/>
    <s v="AARNet DJC Internals"/>
    <x v="169"/>
    <d v="2017-05-08T00:00:00"/>
    <s v="May-17"/>
    <s v="Superannuation Expense  KE &amp; AC"/>
    <n v="316.2"/>
    <m/>
    <m/>
  </r>
  <r>
    <s v="PE"/>
    <s v="NBN Sydney"/>
    <s v="Payroll Expense Journal - PD-476"/>
    <x v="5"/>
    <s v="NBN Greenfields DJC Internals"/>
    <x v="170"/>
    <d v="2017-05-08T00:00:00"/>
    <s v="May-17"/>
    <s v="Superannuation Expense GR &amp; BC"/>
    <n v="112.65"/>
    <m/>
    <m/>
  </r>
  <r>
    <s v="PE"/>
    <s v="NBN Sydney"/>
    <s v="Payroll Expense Journal - PD-476"/>
    <x v="5"/>
    <s v="NBN Greenfields DJC Internals"/>
    <x v="180"/>
    <d v="2017-05-08T00:00:00"/>
    <s v="May-17"/>
    <s v="Superannuation Expense GR &amp; BC"/>
    <n v="37.549999999999997"/>
    <m/>
    <m/>
  </r>
  <r>
    <s v="PE"/>
    <s v="NBN Sydney"/>
    <s v="Payroll Expense Journal - PD-476"/>
    <x v="5"/>
    <s v="NBN Greenfields DJC Internals"/>
    <x v="186"/>
    <d v="2017-05-08T00:00:00"/>
    <s v="May-17"/>
    <s v="Superannuation Expense GR &amp; BC"/>
    <n v="37.549999999999997"/>
    <m/>
    <m/>
  </r>
  <r>
    <s v="PE"/>
    <s v="NBN Sydney"/>
    <s v="Payroll Expense Journal - PD-475"/>
    <x v="1"/>
    <s v="Overhead"/>
    <x v="3"/>
    <d v="2017-05-08T00:00:00"/>
    <s v="May-17"/>
    <s v="Superannuation Expense"/>
    <n v="12.72"/>
    <m/>
    <m/>
  </r>
  <r>
    <s v="PE"/>
    <s v="NBN Sydney"/>
    <s v="Payroll Expense Journal - PD-459"/>
    <x v="1"/>
    <s v="Overhead"/>
    <x v="3"/>
    <d v="2017-05-08T00:00:00"/>
    <s v="May-17"/>
    <s v="Superannuation Expense"/>
    <n v="1483.99"/>
    <m/>
    <m/>
  </r>
  <r>
    <s v="PE"/>
    <s v="NBN Sydney"/>
    <s v="Payroll Expense Journal - PD-472"/>
    <x v="1"/>
    <s v="Overhead"/>
    <x v="3"/>
    <d v="2017-05-15T00:00:00"/>
    <s v="May-17"/>
    <s v="Superannuation Expense"/>
    <n v="297.15000000000009"/>
    <m/>
    <m/>
  </r>
  <r>
    <s v="PE"/>
    <s v="NBN Sydney"/>
    <s v="Payroll Expense Journal - PD-472"/>
    <x v="5"/>
    <s v="NBN Greenfields DJC Internals"/>
    <x v="139"/>
    <d v="2017-05-15T00:00:00"/>
    <s v="May-17"/>
    <s v="Superannuation Expense  KE &amp; AC"/>
    <n v="66.02"/>
    <m/>
    <m/>
  </r>
  <r>
    <s v="PE"/>
    <s v="AARNet Sydney"/>
    <s v="Payroll Expense Journal - PD-472"/>
    <x v="5"/>
    <s v="AARNet DJC Internals"/>
    <x v="169"/>
    <d v="2017-05-15T00:00:00"/>
    <s v="May-17"/>
    <s v="Superannuation Expense  KE &amp; AC"/>
    <n v="66.02"/>
    <m/>
    <m/>
  </r>
  <r>
    <s v="PE"/>
    <s v="NBN Sydney"/>
    <s v="Payroll Expense Journal - PD-472"/>
    <x v="5"/>
    <s v="NBN Greenfields DJC Internals"/>
    <x v="190"/>
    <d v="2017-05-15T00:00:00"/>
    <s v="May-17"/>
    <s v="Superannuation Expense  KE &amp; AC"/>
    <n v="132.04"/>
    <m/>
    <m/>
  </r>
  <r>
    <s v="PE"/>
    <s v="NBN Sydney"/>
    <s v="Payroll Expense Journal - PD-472"/>
    <x v="5"/>
    <s v="NBN Greenfields DJC Internals"/>
    <x v="186"/>
    <d v="2017-05-15T00:00:00"/>
    <s v="May-17"/>
    <s v="Superannuation Expense GR &amp; BC"/>
    <n v="12.35"/>
    <m/>
    <m/>
  </r>
  <r>
    <s v="PE"/>
    <s v="NBN Sydney"/>
    <s v="Payroll Expense Journal - PD-472"/>
    <x v="5"/>
    <s v="NBN A417 MDU DJC Internals"/>
    <x v="157"/>
    <d v="2017-05-15T00:00:00"/>
    <s v="May-17"/>
    <s v="Superannuation Expense GR &amp; BC"/>
    <n v="67.2"/>
    <m/>
    <m/>
  </r>
  <r>
    <s v="PE"/>
    <s v="NBN Sydney"/>
    <s v="Payroll Expense Journal - PD-472"/>
    <x v="5"/>
    <s v="NBN Greenfields DJC Internals"/>
    <x v="174"/>
    <d v="2017-05-15T00:00:00"/>
    <s v="May-17"/>
    <s v="Superannuation Expense GR &amp; BC"/>
    <n v="75.099999999999994"/>
    <m/>
    <m/>
  </r>
  <r>
    <s v="PE"/>
    <s v="NBN Sydney"/>
    <s v="Payroll Expense Journal - PD-472"/>
    <x v="5"/>
    <s v="NBN Greenfields DJC Internals"/>
    <x v="164"/>
    <d v="2017-05-15T00:00:00"/>
    <s v="May-17"/>
    <s v="Superannuation Expense GR &amp; BC"/>
    <n v="19.760000000000002"/>
    <m/>
    <m/>
  </r>
  <r>
    <s v="PE"/>
    <s v="NBN Sydney"/>
    <s v="Payroll Expense Journal - PD-467"/>
    <x v="1"/>
    <s v="Overhead"/>
    <x v="3"/>
    <d v="2017-05-22T00:00:00"/>
    <s v="May-17"/>
    <s v="Superannuation Expense"/>
    <n v="347.01000000000005"/>
    <m/>
    <m/>
  </r>
  <r>
    <s v="PE"/>
    <s v="NBN Sydney"/>
    <s v="Payroll Expense Journal - PD-467"/>
    <x v="5"/>
    <s v="NBN Greenfields DJC Internals"/>
    <x v="173"/>
    <d v="2017-05-22T00:00:00"/>
    <s v="May-17"/>
    <s v="Superannuation Expense  KE &amp; AC"/>
    <n v="66.02"/>
    <m/>
    <m/>
  </r>
  <r>
    <s v="PE"/>
    <s v="NBN Sydney"/>
    <s v="Payroll Expense Journal - PD-467"/>
    <x v="5"/>
    <s v="NBN Greenfields DJC Internals"/>
    <x v="166"/>
    <d v="2017-05-22T00:00:00"/>
    <s v="May-17"/>
    <s v="Superannuation Expense  KE &amp; AC"/>
    <n v="66.02"/>
    <m/>
    <m/>
  </r>
  <r>
    <s v="PE"/>
    <s v="NBN Sydney"/>
    <s v="Payroll Expense Journal - PD-467"/>
    <x v="5"/>
    <s v="NBN Greenfields DJC Internals"/>
    <x v="168"/>
    <d v="2017-05-22T00:00:00"/>
    <s v="May-17"/>
    <s v="Superannuation Expense  KE &amp; AC"/>
    <n v="66.02"/>
    <m/>
    <m/>
  </r>
  <r>
    <s v="PE"/>
    <s v="NBN Sydney"/>
    <s v="Payroll Expense Journal - PD-467"/>
    <x v="5"/>
    <s v="NBN Greenfields DJC Internals"/>
    <x v="190"/>
    <d v="2017-05-22T00:00:00"/>
    <s v="May-17"/>
    <s v="Superannuation Expense GR &amp; BC"/>
    <n v="75.099999999999994"/>
    <m/>
    <m/>
  </r>
  <r>
    <s v="PE"/>
    <s v="NBN Sydney"/>
    <s v="Payroll Expense Journal - PD-467"/>
    <x v="5"/>
    <s v="NBN Greenfields DJC Internals"/>
    <x v="177"/>
    <d v="2017-05-22T00:00:00"/>
    <s v="May-17"/>
    <s v="Superannuation Expense GR &amp; BC"/>
    <n v="75.099999999999994"/>
    <m/>
    <m/>
  </r>
  <r>
    <s v="PE"/>
    <s v="NBN Sydney"/>
    <s v="Payroll Expense Journal - PD-467"/>
    <x v="5"/>
    <s v="NBN Greenfields DJC Internals"/>
    <x v="79"/>
    <d v="2017-05-22T00:00:00"/>
    <s v="May-17"/>
    <s v="Superannuation Expense GR &amp; BC"/>
    <n v="37.549999999999997"/>
    <m/>
    <m/>
  </r>
  <r>
    <s v="PE"/>
    <s v="NBN Sydney"/>
    <s v="Payroll Expense Journal - PD-477"/>
    <x v="1"/>
    <s v="Overhead"/>
    <x v="3"/>
    <d v="2017-05-29T00:00:00"/>
    <s v="May-17"/>
    <s v="Superannuation Expense"/>
    <n v="222.56999999999996"/>
    <m/>
    <m/>
  </r>
  <r>
    <s v="PE"/>
    <s v="NBN Sydney"/>
    <s v="Payroll Expense Journal - PD-477"/>
    <x v="5"/>
    <s v="NBN Greenfields DJC Internals"/>
    <x v="173"/>
    <d v="2017-05-29T00:00:00"/>
    <s v="May-17"/>
    <s v="Superannuation Expense  KE &amp; AC"/>
    <n v="198.06"/>
    <m/>
    <m/>
  </r>
  <r>
    <s v="PE"/>
    <s v="NBN Sydney"/>
    <s v="Payroll Expense Journal - PD-477"/>
    <x v="5"/>
    <s v="NBN Greenfields DJC Internals"/>
    <x v="191"/>
    <d v="2017-05-29T00:00:00"/>
    <s v="May-17"/>
    <s v="Superannuation Expense  KE &amp; AC"/>
    <n v="66.02"/>
    <m/>
    <m/>
  </r>
  <r>
    <s v="PE"/>
    <s v="NBN Sydney"/>
    <s v="Payroll Expense Journal - PD-477"/>
    <x v="5"/>
    <s v="NBN Greenfields DJC Internals"/>
    <x v="179"/>
    <d v="2017-05-29T00:00:00"/>
    <s v="May-17"/>
    <s v="Superannuation Expense  KE &amp; AC"/>
    <n v="66.02"/>
    <m/>
    <m/>
  </r>
  <r>
    <s v="PE"/>
    <s v="NBN Sydney"/>
    <s v="Payroll Expense Journal - PD-477"/>
    <x v="5"/>
    <s v="NBN Minor Works DJC Internals"/>
    <x v="79"/>
    <d v="2017-05-29T00:00:00"/>
    <s v="May-17"/>
    <s v="Superannuation Expense GB &amp; BC"/>
    <n v="112.65"/>
    <m/>
    <m/>
  </r>
  <r>
    <s v="PE"/>
    <s v="NBN Sydney"/>
    <s v="Payroll Expense Journal - PD-477"/>
    <x v="5"/>
    <s v="NBN Greenfields DJC Internals"/>
    <x v="173"/>
    <d v="2017-05-29T00:00:00"/>
    <s v="May-17"/>
    <s v="Superannuation Expense GB &amp; BC"/>
    <n v="75.099999999999994"/>
    <m/>
    <m/>
  </r>
  <r>
    <s v="PE"/>
    <s v="NBN Sydney"/>
    <s v="Payroll Expense Journal - PD-477"/>
    <x v="1"/>
    <s v="Overhead"/>
    <x v="3"/>
    <d v="2017-05-29T00:00:00"/>
    <s v="May-17"/>
    <s v="GC SUPER"/>
    <n v="391"/>
    <m/>
    <m/>
  </r>
  <r>
    <s v="PE"/>
    <s v="NBN Sydney"/>
    <s v="Payroll Expense Journal - PD-448"/>
    <x v="1"/>
    <s v="Overhead"/>
    <x v="3"/>
    <d v="2017-05-01T00:00:00"/>
    <s v="May-17"/>
    <s v="Earnings Sonya Tarr"/>
    <n v="23.08"/>
    <m/>
    <m/>
  </r>
  <r>
    <s v="PE"/>
    <s v="NBN Sydney"/>
    <s v="Payroll Expense Journal - PD-476"/>
    <x v="1"/>
    <s v="Overhead"/>
    <x v="3"/>
    <d v="2017-05-08T00:00:00"/>
    <s v="May-17"/>
    <s v="Earnings Sonya Tarr"/>
    <n v="23.08"/>
    <m/>
    <m/>
  </r>
  <r>
    <s v="PE"/>
    <s v="NBN Sydney"/>
    <s v="Payroll Expense Journal - PD-472"/>
    <x v="1"/>
    <s v="Overhead"/>
    <x v="3"/>
    <d v="2017-05-15T00:00:00"/>
    <s v="May-17"/>
    <s v="Earnings Sonya Tarr"/>
    <n v="23.08"/>
    <m/>
    <m/>
  </r>
  <r>
    <s v="PE"/>
    <s v="NBN Sydney"/>
    <s v="Payroll Expense Journal - PD-467"/>
    <x v="1"/>
    <s v="Overhead"/>
    <x v="3"/>
    <d v="2017-05-22T00:00:00"/>
    <s v="May-17"/>
    <s v="Earnings Sonya Tarr"/>
    <n v="23.08"/>
    <m/>
    <m/>
  </r>
  <r>
    <s v="PE"/>
    <s v="NBN Sydney"/>
    <s v="Payroll Expense Journal - PD-477"/>
    <x v="1"/>
    <s v="Overhead"/>
    <x v="3"/>
    <d v="2017-05-29T00:00:00"/>
    <s v="May-17"/>
    <s v="Earnings Sonya Tarr"/>
    <n v="23.08"/>
    <m/>
    <m/>
  </r>
  <r>
    <s v="PE"/>
    <s v="NBN Sydney"/>
    <s v="Payroll Expense Journal - PD-477"/>
    <x v="1"/>
    <s v="Overhead"/>
    <x v="3"/>
    <d v="2017-05-29T00:00:00"/>
    <s v="May-17"/>
    <s v="RM &amp; AA"/>
    <n v="20"/>
    <m/>
    <m/>
  </r>
  <r>
    <s v="PE"/>
    <s v="NBN Sydney"/>
    <s v="Payroll Expense Journal - PD-448"/>
    <x v="1"/>
    <s v="Overhead"/>
    <x v="3"/>
    <d v="2017-05-01T00:00:00"/>
    <s v="May-17"/>
    <s v="Earnings"/>
    <n v="974.81"/>
    <m/>
    <m/>
  </r>
  <r>
    <s v="PE"/>
    <s v="NBN Sydney"/>
    <s v="Payroll Expense Journal - PD-476"/>
    <x v="1"/>
    <s v="Overhead"/>
    <x v="3"/>
    <d v="2017-05-08T00:00:00"/>
    <s v="May-17"/>
    <s v="Earnings"/>
    <n v="970.62"/>
    <m/>
    <m/>
  </r>
  <r>
    <s v="PE"/>
    <s v="NBN Sydney"/>
    <s v="Payroll Expense Journal - PD-472"/>
    <x v="1"/>
    <s v="Overhead"/>
    <x v="3"/>
    <d v="2017-05-15T00:00:00"/>
    <s v="May-17"/>
    <s v="Earnings"/>
    <n v="1000.62"/>
    <m/>
    <m/>
  </r>
  <r>
    <s v="PE"/>
    <s v="NBN Sydney"/>
    <s v="Payroll Expense Journal - PD-467"/>
    <x v="1"/>
    <s v="Overhead"/>
    <x v="3"/>
    <d v="2017-05-22T00:00:00"/>
    <s v="May-17"/>
    <s v="Earnings"/>
    <n v="1028.75"/>
    <m/>
    <m/>
  </r>
  <r>
    <s v="PE"/>
    <s v="NBN Sydney"/>
    <s v="Payroll Expense Journal - PD-477"/>
    <x v="1"/>
    <s v="Overhead"/>
    <x v="3"/>
    <d v="2017-05-29T00:00:00"/>
    <s v="May-17"/>
    <s v="Earnings"/>
    <n v="1217.5"/>
    <m/>
    <m/>
  </r>
  <r>
    <s v="PE"/>
    <s v="NBN Sydney"/>
    <s v="Payroll Expense Journal - PD-477"/>
    <x v="1"/>
    <s v="Overhead"/>
    <x v="3"/>
    <d v="2017-05-29T00:00:00"/>
    <s v="May-17"/>
    <s v="RM &amp; AA"/>
    <n v="2772.14"/>
    <m/>
    <m/>
  </r>
  <r>
    <s v="PAY"/>
    <s v="NBN Sydney"/>
    <s v="E-toll Top May 2017"/>
    <x v="1"/>
    <s v="Overhead"/>
    <x v="3"/>
    <d v="2017-05-15T00:00:00"/>
    <s v="May-17"/>
    <s v="E-Toll Business Operations Centre - Surcharge on Top- up account per transaction"/>
    <n v="1.6"/>
    <m/>
    <m/>
  </r>
  <r>
    <s v="PAY"/>
    <s v="NBN Sydney"/>
    <s v="Etoll Top up May 2017"/>
    <x v="1"/>
    <s v="Overhead"/>
    <x v="3"/>
    <d v="2017-05-25T00:00:00"/>
    <s v="May-17"/>
    <s v="E-Toll Business Operations Centre - Surcharge on Top- up account per transaction"/>
    <n v="1.6"/>
    <m/>
    <m/>
  </r>
  <r>
    <s v="INV"/>
    <s v="NBN Sydney"/>
    <s v="121317"/>
    <x v="1"/>
    <s v="Overhead"/>
    <x v="3"/>
    <d v="2017-05-01T00:00:00"/>
    <s v="May-17"/>
    <s v="Easdowns Business Specialists - Monthly Instalment per 2017 Service Agreement"/>
    <n v="451.36"/>
    <m/>
    <m/>
  </r>
  <r>
    <s v="PAY"/>
    <s v="NBN Sydney"/>
    <s v="NBN Bank Guarantee"/>
    <x v="1"/>
    <s v="Overhead"/>
    <x v="3"/>
    <d v="2017-05-22T00:00:00"/>
    <s v="May-17"/>
    <s v="National Australia Bank - Bank Guarantees"/>
    <n v="162.02000000000001"/>
    <m/>
    <m/>
  </r>
  <r>
    <s v="PAY"/>
    <s v="NBN Sydney"/>
    <s v="NBN Bank Guarantee"/>
    <x v="1"/>
    <s v="Overhead"/>
    <x v="3"/>
    <d v="2017-05-22T00:00:00"/>
    <s v="May-17"/>
    <s v="National Australia Bank - Bank Guarantees"/>
    <n v="125"/>
    <m/>
    <m/>
  </r>
  <r>
    <s v="INV"/>
    <s v="NBN Sydney"/>
    <s v="0VX82265AC8718534"/>
    <x v="1"/>
    <s v="Overhead"/>
    <x v="3"/>
    <d v="2017-05-09T00:00:00"/>
    <s v="May-17"/>
    <s v="TSheets - Monthly subscriptions for T-Sheets Sydney 8 Staff @ $7.2916 each"/>
    <n v="53.03"/>
    <m/>
    <m/>
  </r>
  <r>
    <s v="INV"/>
    <s v="NBN Sydney"/>
    <s v="I145764"/>
    <x v="1"/>
    <s v="Overhead"/>
    <x v="3"/>
    <d v="2017-05-10T00:00:00"/>
    <s v="May-17"/>
    <s v="Arthur J. Gallagher - Fire Levy"/>
    <n v="3.54"/>
    <m/>
    <m/>
  </r>
  <r>
    <s v="INV"/>
    <s v="NBN Sydney"/>
    <s v="I145764"/>
    <x v="1"/>
    <s v="Overhead"/>
    <x v="3"/>
    <d v="2017-05-10T00:00:00"/>
    <s v="May-17"/>
    <s v="Arthur J. Gallagher - Stamp Duty"/>
    <n v="19.649999999999999"/>
    <m/>
    <m/>
  </r>
  <r>
    <s v="INV"/>
    <s v="NBN Sydney"/>
    <s v="I145764"/>
    <x v="1"/>
    <s v="Overhead"/>
    <x v="3"/>
    <d v="2017-05-10T00:00:00"/>
    <s v="May-17"/>
    <s v="Arthur J. Gallagher - Premium"/>
    <n v="353.72"/>
    <m/>
    <m/>
  </r>
  <r>
    <s v="INV"/>
    <s v="NBN Sydney"/>
    <s v="9086236002219556"/>
    <x v="1"/>
    <s v="Overhead"/>
    <x v="3"/>
    <d v="2017-05-11T00:00:00"/>
    <s v="May-17"/>
    <s v="Officeworks Superstores - Dettol Antibact Handwash 250mL"/>
    <n v="7.24"/>
    <m/>
    <m/>
  </r>
  <r>
    <s v="INV"/>
    <s v="NBN Sydney"/>
    <s v="9086236002219556"/>
    <x v="1"/>
    <s v="Overhead"/>
    <x v="3"/>
    <d v="2017-05-11T00:00:00"/>
    <s v="May-17"/>
    <s v="Officeworks Superstores - Insert Binder A4 2D 25mm Yw"/>
    <n v="9.4600000000000009"/>
    <m/>
    <m/>
  </r>
  <r>
    <s v="INV"/>
    <s v="NBN Sydney"/>
    <s v="9086236002178621"/>
    <x v="1"/>
    <s v="Overhead"/>
    <x v="3"/>
    <d v="2017-05-16T00:00:00"/>
    <s v="May-17"/>
    <s v="Officeworks Superstores - Keji Felt Brd W/Acc 60x90cm"/>
    <n v="32.33"/>
    <m/>
    <m/>
  </r>
  <r>
    <s v="INV"/>
    <s v="NBN Sydney"/>
    <s v="807285648"/>
    <x v="1"/>
    <s v="Overhead"/>
    <x v="3"/>
    <d v="2017-05-16T00:00:00"/>
    <s v="May-17"/>
    <s v="Optus - Acct Number: 8106 5990 7001 41_x000d__x000a_0413257544 on Wireless Broadband 200GB"/>
    <n v="74.72"/>
    <m/>
    <m/>
  </r>
  <r>
    <s v="INV"/>
    <s v="NBN Sydney"/>
    <s v="P573 120 441-0"/>
    <x v="1"/>
    <s v="Overhead"/>
    <x v="3"/>
    <d v="2017-05-21T00:00:00"/>
    <s v="May-17"/>
    <s v="Telstra Acc # 898 8808 200 - Sydney"/>
    <n v="136.36000000000001"/>
    <m/>
    <m/>
  </r>
  <r>
    <s v="INV"/>
    <s v="NBN Sydney"/>
    <s v="52232"/>
    <x v="1"/>
    <s v="Test Equipment &amp; Tools"/>
    <x v="27"/>
    <d v="2017-05-12T00:00:00"/>
    <s v="May-17"/>
    <s v="AusOptic - 3M IDC Termination Tool SOR OC SI-S"/>
    <n v="100.54"/>
    <m/>
    <m/>
  </r>
  <r>
    <s v="INV"/>
    <s v="NBN Sydney"/>
    <s v="2954416"/>
    <x v="1"/>
    <s v="Test Equipment &amp; Tools"/>
    <x v="27"/>
    <d v="2017-05-16T00:00:00"/>
    <s v="May-17"/>
    <s v="Gasweld Pty Ltd - P/N: 586083901-HUS_x000d__x000a_67mm x 450mm Core Drill"/>
    <n v="204.55"/>
    <m/>
    <m/>
  </r>
  <r>
    <s v="INV"/>
    <s v="NBN Sydney"/>
    <s v="3078790"/>
    <x v="9"/>
    <s v="Overhead Materials"/>
    <x v="119"/>
    <d v="2017-05-05T00:00:00"/>
    <s v="May-17"/>
    <s v="The Australian Reinforcing Company - Bulk Bags 90x90x90 with logo_x000d__x000a_Length: 0.900_x000d__x000a_Width: 0.900"/>
    <n v="109.8"/>
    <m/>
    <m/>
  </r>
  <r>
    <s v="INV"/>
    <s v="NBN Sydney"/>
    <s v="3078790"/>
    <x v="9"/>
    <s v="Overhead Materials"/>
    <x v="119"/>
    <d v="2017-05-05T00:00:00"/>
    <s v="May-17"/>
    <s v="The Australian Reinforcing Company - Bulk Bags 60x60x60 with logo_x000d__x000a_Length: 0.600_x000d__x000a_Width: 0.600"/>
    <n v="72"/>
    <m/>
    <m/>
  </r>
  <r>
    <s v="INV"/>
    <s v="NBN Sydney"/>
    <s v="140800-1"/>
    <x v="9"/>
    <s v="Overhead Materials"/>
    <x v="119"/>
    <d v="2017-05-16T00:00:00"/>
    <s v="May-17"/>
    <s v="Lear &amp; Smith Electrical Wholesalers - BIZHST30032B_x000d__x000a_Hacksaw Tradesman Blade - 300m 32TPI"/>
    <n v="17.64"/>
    <m/>
    <m/>
  </r>
  <r>
    <s v="INV"/>
    <s v="NBN Sydney"/>
    <s v="7016/01554707"/>
    <x v="9"/>
    <s v="Overhead Materials"/>
    <x v="119"/>
    <d v="2017-05-30T00:00:00"/>
    <s v="May-17"/>
    <s v="Bunnings Warehouse - Door Stop Adoored 75mm Round Tube Satin T0977"/>
    <n v="13.56"/>
    <m/>
    <m/>
  </r>
  <r>
    <s v="INV"/>
    <s v="NBN Sydney"/>
    <s v="11888308"/>
    <x v="1"/>
    <s v="Overhead"/>
    <x v="3"/>
    <d v="2017-05-31T00:00:00"/>
    <s v="May-17"/>
    <s v="Cleanaway - 25/05/2017_x000d__x000a_1 x Clear 1.5m Recycle Bin"/>
    <n v="11.57"/>
    <m/>
    <m/>
  </r>
  <r>
    <s v="INV"/>
    <s v="NBN Sydney"/>
    <s v="11888308"/>
    <x v="1"/>
    <s v="Overhead"/>
    <x v="3"/>
    <d v="2017-05-31T00:00:00"/>
    <s v="May-17"/>
    <s v="Cleanaway - 30/05/2017_x000d__x000a_1 x Clear 1.5m Bin"/>
    <n v="83.8"/>
    <m/>
    <m/>
  </r>
  <r>
    <s v="INV"/>
    <s v="NBN Sydney"/>
    <s v="11888308"/>
    <x v="1"/>
    <s v="Overhead"/>
    <x v="3"/>
    <d v="2017-05-31T00:00:00"/>
    <s v="May-17"/>
    <s v="Cleanaway - 31/05/2017_x000d__x000a_1 x Environmental Fee"/>
    <n v="15.9"/>
    <m/>
    <m/>
  </r>
  <r>
    <s v="INV"/>
    <s v="NBN Sydney"/>
    <s v="11888308"/>
    <x v="1"/>
    <s v="Overhead"/>
    <x v="3"/>
    <d v="2017-05-31T00:00:00"/>
    <s v="May-17"/>
    <s v="Cleanaway - 16/05/2017_x000d__x000a_1 x Clear 1.5m Bin"/>
    <n v="83.8"/>
    <m/>
    <m/>
  </r>
  <r>
    <s v="INV"/>
    <s v="NBN Sydney"/>
    <s v="11888308"/>
    <x v="1"/>
    <s v="Overhead"/>
    <x v="3"/>
    <d v="2017-05-31T00:00:00"/>
    <s v="May-17"/>
    <s v="Cleanaway - 2/05/2017_x000d__x000a_1 x Clear 1.5m Bin"/>
    <n v="83.8"/>
    <m/>
    <m/>
  </r>
  <r>
    <s v="INV"/>
    <s v="NBN Sydney"/>
    <s v="11888308"/>
    <x v="1"/>
    <s v="Overhead"/>
    <x v="3"/>
    <d v="2017-05-31T00:00:00"/>
    <s v="May-17"/>
    <s v="Cleanaway - 9/05/2017_x000d__x000a_1 x Clear 1.5m Bin"/>
    <n v="83.8"/>
    <m/>
    <m/>
  </r>
  <r>
    <s v="INV"/>
    <s v="NBN Sydney"/>
    <s v="11888308"/>
    <x v="1"/>
    <s v="Overhead"/>
    <x v="3"/>
    <d v="2017-05-31T00:00:00"/>
    <s v="May-17"/>
    <s v="Cleanaway - 11/05/2017_x000d__x000a_1 x Clear 1.5m Recycle Bin"/>
    <n v="11.57"/>
    <m/>
    <m/>
  </r>
  <r>
    <s v="INV"/>
    <s v="NBN Sydney"/>
    <s v="5663689"/>
    <x v="1"/>
    <s v="Overhead"/>
    <x v="3"/>
    <d v="2017-05-15T00:00:00"/>
    <s v="May-17"/>
    <s v="Sydney Water - Wastewater (sewerage) Service"/>
    <n v="210.95"/>
    <m/>
    <m/>
  </r>
  <r>
    <s v="INV"/>
    <s v="NBN Sydney"/>
    <s v="0007"/>
    <x v="1"/>
    <s v="Overhead"/>
    <x v="3"/>
    <d v="2017-05-01T00:00:00"/>
    <s v="May-17"/>
    <s v="GILCIN - Rent 19/05/2017 - 18/06/2017_x000d__x000a_Unit 26, 10 John Hines Ave, Minchinbury NSW"/>
    <n v="4416.66"/>
    <m/>
    <m/>
  </r>
  <r>
    <s v="INV"/>
    <s v="NBN Sydney"/>
    <s v="5663689"/>
    <x v="1"/>
    <s v="Overhead"/>
    <x v="3"/>
    <d v="2017-05-15T00:00:00"/>
    <s v="May-17"/>
    <s v="Sydney Water - Water"/>
    <n v="14"/>
    <m/>
    <m/>
  </r>
  <r>
    <s v="INV"/>
    <s v="NBN Sydney"/>
    <s v="5663689"/>
    <x v="1"/>
    <s v="Overhead"/>
    <x v="3"/>
    <d v="2017-05-15T00:00:00"/>
    <s v="May-17"/>
    <s v="Sydney Water - Water Service"/>
    <n v="35.130000000000003"/>
    <m/>
    <m/>
  </r>
  <r>
    <s v="INV"/>
    <s v="NBN Sydney"/>
    <s v="00083592"/>
    <x v="1"/>
    <s v="Overhead"/>
    <x v="3"/>
    <d v="2017-05-18T00:00:00"/>
    <s v="May-17"/>
    <s v="Tranquil Natural Spring Water - 15 litre Spring Water Bottles_x000d__x000a_Delivered on 17/05/2017"/>
    <n v="52.5"/>
    <m/>
    <m/>
  </r>
  <r>
    <s v="INV"/>
    <s v="NBN Sydney"/>
    <s v="490558"/>
    <x v="5"/>
    <s v="NBN Greenfields DJC Internals"/>
    <x v="173"/>
    <d v="2017-05-02T00:00:00"/>
    <s v="May-17"/>
    <s v="BP Villawood - Ultimate Diesel 16.82L @ $1.219"/>
    <n v="18.64"/>
    <m/>
    <m/>
  </r>
  <r>
    <s v="INV"/>
    <s v="NBN Sydney"/>
    <s v="64845D Rego"/>
    <x v="1"/>
    <s v="Overhead Vehicles"/>
    <x v="175"/>
    <d v="2017-05-05T00:00:00"/>
    <s v="May-17"/>
    <s v="RMS Road &amp; Maritime Services - Establish Conditional Registration"/>
    <n v="516"/>
    <m/>
    <m/>
  </r>
  <r>
    <s v="INV"/>
    <s v="NBN Sydney"/>
    <s v="INV-00183"/>
    <x v="1"/>
    <s v="Overhead Vehicles"/>
    <x v="175"/>
    <d v="2017-05-15T00:00:00"/>
    <s v="May-17"/>
    <s v="Regional Linemarking - Supply only, new signage for plant equipment"/>
    <n v="155"/>
    <m/>
    <m/>
  </r>
  <r>
    <s v="INV"/>
    <s v="AARNet Sydney"/>
    <s v="2997621"/>
    <x v="5"/>
    <s v="AARNet DJC Internals"/>
    <x v="169"/>
    <d v="2017-05-16T00:00:00"/>
    <s v="May-17"/>
    <s v="BP Connect Macarthur - Ultimate Diesel 20.00L @ $1.299"/>
    <n v="23.62"/>
    <m/>
    <m/>
  </r>
  <r>
    <s v="INV"/>
    <s v="NBN Sydney"/>
    <s v="64043"/>
    <x v="5"/>
    <s v="NBN Greenfields DJC Internals"/>
    <x v="173"/>
    <d v="2017-05-22T00:00:00"/>
    <s v="May-17"/>
    <s v="Crossroads Truck Stop - Vortex Diesel 20.00L @ $1.179"/>
    <n v="21.44"/>
    <m/>
    <m/>
  </r>
  <r>
    <s v="INV"/>
    <s v="NBN Sydney"/>
    <s v="58099"/>
    <x v="5"/>
    <s v="NBN Greenfields DJC Internals"/>
    <x v="166"/>
    <d v="2017-05-26T00:00:00"/>
    <s v="May-17"/>
    <s v="Calstores Pty Ltd - Vortex Diesel 18.00L @ $1.339"/>
    <n v="21.92"/>
    <m/>
    <m/>
  </r>
  <r>
    <s v="INV"/>
    <s v="NBN Sydney"/>
    <s v="1151502"/>
    <x v="1"/>
    <s v="Overhead"/>
    <x v="3"/>
    <d v="2017-05-03T00:00:00"/>
    <s v="May-17"/>
    <s v="Eureka Operations - Coles Express - Diesel 151.42L @ $1.339"/>
    <n v="184.32"/>
    <m/>
    <m/>
  </r>
  <r>
    <s v="INV"/>
    <s v="NBN Sydney"/>
    <s v="2712792"/>
    <x v="1"/>
    <s v="Overhead"/>
    <x v="3"/>
    <d v="2017-05-11T00:00:00"/>
    <s v="May-17"/>
    <s v="Eureka Operations - Coles Express - Diesel 154.75L @ $1.319"/>
    <n v="185.56"/>
    <m/>
    <m/>
  </r>
  <r>
    <s v="INV"/>
    <s v="VPL Sydney"/>
    <s v="1805756"/>
    <x v="5"/>
    <s v="Visionstream DJC Internals"/>
    <x v="185"/>
    <d v="2017-05-18T00:00:00"/>
    <s v="May-17"/>
    <s v="BP Marulan - Diesel 154.68L @ $1.279"/>
    <n v="179.85"/>
    <m/>
    <m/>
  </r>
  <r>
    <s v="INV"/>
    <s v="VPL Sydney"/>
    <s v="72806"/>
    <x v="5"/>
    <s v="Visionstream DJC Internals"/>
    <x v="185"/>
    <d v="2017-05-29T00:00:00"/>
    <s v="May-17"/>
    <s v="Caltex Wagga Wagga - Hammond Ave - Vortex Diesel 43.38L @ $1.269"/>
    <n v="50.05"/>
    <m/>
    <m/>
  </r>
  <r>
    <s v="INV"/>
    <s v="NBN Sydney"/>
    <s v="002/6159"/>
    <x v="5"/>
    <s v="NBN Greenfields DJC Internals"/>
    <x v="163"/>
    <d v="2017-05-31T00:00:00"/>
    <s v="May-17"/>
    <s v="Woolworths Petrol - Vortex Diesel 58.47L @ $1.219"/>
    <n v="64.790000000000006"/>
    <m/>
    <m/>
  </r>
  <r>
    <s v="INV"/>
    <s v="NBN Sydney"/>
    <s v="02991"/>
    <x v="5"/>
    <s v="NBN Greenfields DJC Internals"/>
    <x v="180"/>
    <d v="2017-05-01T00:00:00"/>
    <s v="May-17"/>
    <s v="Calstores Pty Ltd - Vortex ULP 45.11L @ $1.404"/>
    <n v="57.57"/>
    <m/>
    <m/>
  </r>
  <r>
    <s v="INV"/>
    <s v="NBN Sydney"/>
    <s v="002/4465"/>
    <x v="5"/>
    <s v="NBN Greenfields DJC Internals"/>
    <x v="170"/>
    <d v="2017-05-04T00:00:00"/>
    <s v="May-17"/>
    <s v="Woolworths Petrol - Vortex ULP 51.03L @ $1.274"/>
    <n v="59.1"/>
    <m/>
    <m/>
  </r>
  <r>
    <s v="INV"/>
    <s v="NBN Sydney"/>
    <s v="3515632"/>
    <x v="5"/>
    <s v="NBN Greenfields DJC Internals"/>
    <x v="186"/>
    <d v="2017-05-09T00:00:00"/>
    <s v="May-17"/>
    <s v="BP Ashfield - ULP 50.93L @ $1.379"/>
    <n v="63.85"/>
    <m/>
    <m/>
  </r>
  <r>
    <s v="INV"/>
    <s v="NBN Sydney"/>
    <s v="00279946"/>
    <x v="5"/>
    <s v="NBN Greenfields DJC Internals"/>
    <x v="174"/>
    <d v="2017-05-10T00:00:00"/>
    <s v="May-17"/>
    <s v="United Wyong - Unleaded 43.82L @ $1.147"/>
    <n v="45.69"/>
    <m/>
    <m/>
  </r>
  <r>
    <s v="INV"/>
    <s v="NBN Sydney"/>
    <s v="2689345"/>
    <x v="5"/>
    <s v="NBN A417 MDU DJC Internals"/>
    <x v="157"/>
    <d v="2017-05-12T00:00:00"/>
    <s v="May-17"/>
    <s v="BP Express Canterbury - ULP 46.58L @ $1.349"/>
    <n v="57.13"/>
    <m/>
    <m/>
  </r>
  <r>
    <s v="INV"/>
    <s v="NBN Sydney"/>
    <s v="2451797"/>
    <x v="5"/>
    <s v="NBN Greenfields DJC Internals"/>
    <x v="79"/>
    <d v="2017-05-15T00:00:00"/>
    <s v="May-17"/>
    <s v="Eureka Operations - Coles Express - E10 ULP 50.27L @ $1.339"/>
    <n v="61.19"/>
    <m/>
    <m/>
  </r>
  <r>
    <s v="INV"/>
    <s v="NBN Sydney"/>
    <s v="53793"/>
    <x v="5"/>
    <s v="NBN Greenfields DJC Internals"/>
    <x v="177"/>
    <d v="2017-05-17T00:00:00"/>
    <s v="May-17"/>
    <s v="Calstores Pty Ltd - Vortex ULP 44.55L @ $1.304"/>
    <n v="52.81"/>
    <m/>
    <m/>
  </r>
  <r>
    <s v="INV"/>
    <s v="NBN Sydney"/>
    <s v="1783053"/>
    <x v="5"/>
    <s v="NBN Greenfields DJC Internals"/>
    <x v="190"/>
    <d v="2017-05-19T00:00:00"/>
    <s v="May-17"/>
    <s v="Eureka Operations - Coles Express - ULP 45.89L @ $1.339"/>
    <n v="55.85"/>
    <m/>
    <m/>
  </r>
  <r>
    <s v="INV"/>
    <s v="NBN Sydney"/>
    <s v="941473"/>
    <x v="5"/>
    <s v="NBN Greenfields DJC Internals"/>
    <x v="190"/>
    <d v="2017-05-23T00:00:00"/>
    <s v="May-17"/>
    <s v="BP Fairy Meadow - ULP 41.29L @ $1.389"/>
    <n v="52.14"/>
    <m/>
    <m/>
  </r>
  <r>
    <s v="INV"/>
    <s v="NBN Sydney"/>
    <s v="3004945"/>
    <x v="5"/>
    <s v="NBN Greenfields DJC Internals"/>
    <x v="173"/>
    <d v="2017-05-25T00:00:00"/>
    <s v="May-17"/>
    <s v="BP Connect Macarthur - ULP 50.57L @ $1.319"/>
    <n v="60.64"/>
    <m/>
    <m/>
  </r>
  <r>
    <s v="INV"/>
    <s v="NBN Sydney"/>
    <s v="2759539"/>
    <x v="5"/>
    <s v="NBN Greenfields DJC Internals"/>
    <x v="79"/>
    <d v="2017-05-29T00:00:00"/>
    <s v="May-17"/>
    <s v="7 Eleven Dapto - ULP 36.81L @ $1.273"/>
    <n v="42.6"/>
    <m/>
    <m/>
  </r>
  <r>
    <s v="INV"/>
    <s v="NBN Sydney"/>
    <s v="2829530"/>
    <x v="5"/>
    <s v="NBN Greenfields DJC Internals"/>
    <x v="79"/>
    <d v="2017-05-31T00:00:00"/>
    <s v="May-17"/>
    <s v="Eureka Operations - Coles Express - ULP 47.27L @ $1.579"/>
    <n v="67.849999999999994"/>
    <m/>
    <m/>
  </r>
  <r>
    <s v="INV"/>
    <s v="VPL Sydney"/>
    <s v="00466763"/>
    <x v="5"/>
    <s v="Visionstream DJC Internals"/>
    <x v="185"/>
    <d v="2017-05-29T00:00:00"/>
    <s v="May-17"/>
    <s v="United Wagga Wagga - ULP 18.34L @ $1.357"/>
    <n v="22.63"/>
    <m/>
    <m/>
  </r>
  <r>
    <s v="INV"/>
    <s v="VPL Sydney"/>
    <s v="2946155"/>
    <x v="5"/>
    <s v="Visionstream DJC Internals"/>
    <x v="185"/>
    <d v="2017-05-29T00:00:00"/>
    <s v="May-17"/>
    <s v="Eureka Operations - Coles Express - ULP 29.74L @ $1.239"/>
    <n v="33.5"/>
    <m/>
    <m/>
  </r>
  <r>
    <s v="INV"/>
    <s v="NBN Sydney"/>
    <s v="77251"/>
    <x v="5"/>
    <s v="NBN Greenfields DJC Internals"/>
    <x v="173"/>
    <d v="2017-05-02T00:00:00"/>
    <s v="May-17"/>
    <s v="Caltex Eastern Creek - Diesel 66.50L @ $1.314"/>
    <n v="79.44"/>
    <m/>
    <m/>
  </r>
  <r>
    <s v="INV"/>
    <s v="AARNet Sydney"/>
    <s v="56935"/>
    <x v="5"/>
    <s v="AARNet DJC Internals"/>
    <x v="169"/>
    <d v="2017-05-08T00:00:00"/>
    <s v="May-17"/>
    <s v="CROSSROADS TRUCK STOP - Diesel 63.49L @ $1.189/L_x000d__x000a_"/>
    <n v="68.63"/>
    <m/>
    <m/>
  </r>
  <r>
    <s v="INV"/>
    <s v="AARNet Sydney"/>
    <s v="2430812"/>
    <x v="5"/>
    <s v="AARNet DJC Internals"/>
    <x v="169"/>
    <d v="2017-05-11T00:00:00"/>
    <s v="May-17"/>
    <s v="BP Connect Thornleigh - Diesel 56.89L @ $1.339/L"/>
    <n v="69.25"/>
    <m/>
    <m/>
  </r>
  <r>
    <s v="INV"/>
    <s v="NBN Sydney"/>
    <s v="2363315"/>
    <x v="5"/>
    <s v="NBN Greenfields DJC Internals"/>
    <x v="190"/>
    <d v="2017-05-15T00:00:00"/>
    <s v="May-17"/>
    <s v="7 Eleven Minchinbury - Diesel 62.25L @ $1.269"/>
    <n v="71.819999999999993"/>
    <m/>
    <m/>
  </r>
  <r>
    <s v="INV"/>
    <s v="NBN Sydney"/>
    <s v="0820124161"/>
    <x v="1"/>
    <s v="Overhead Vehicles"/>
    <x v="175"/>
    <d v="2017-05-16T00:00:00"/>
    <s v="May-17"/>
    <s v="Repco - R380LXBL_x000d__x000a_Globe-Bayon"/>
    <n v="5.63"/>
    <m/>
    <m/>
  </r>
  <r>
    <s v="INV"/>
    <s v="NBN Sydney"/>
    <s v="637238"/>
    <x v="5"/>
    <s v="NBN Greenfields DJC Internals"/>
    <x v="173"/>
    <d v="2017-05-18T00:00:00"/>
    <s v="May-17"/>
    <s v="7 Eleven Arndell Park - Diesel 63.51L @ $1.239"/>
    <n v="71.540000000000006"/>
    <m/>
    <m/>
  </r>
  <r>
    <s v="INV"/>
    <s v="NBN Sydney"/>
    <s v="92896"/>
    <x v="5"/>
    <s v="NBN Greenfields DJC Internals"/>
    <x v="179"/>
    <d v="2017-05-24T00:00:00"/>
    <s v="May-17"/>
    <s v="Caltex Kemps Creek - Diesel 62.831L @ $1.219"/>
    <n v="69.63"/>
    <m/>
    <m/>
  </r>
  <r>
    <s v="INV"/>
    <s v="NBN Sydney"/>
    <s v="1728859"/>
    <x v="1"/>
    <s v="Overhead"/>
    <x v="3"/>
    <d v="2017-05-05T00:00:00"/>
    <s v="May-17"/>
    <s v="BP Marulan - Diesel 31.31L @ $1.279"/>
    <n v="36.409999999999997"/>
    <m/>
    <m/>
  </r>
  <r>
    <s v="INV"/>
    <s v="NBN Sydney"/>
    <s v="INV-00183"/>
    <x v="1"/>
    <s v="Overhead"/>
    <x v="3"/>
    <d v="2017-05-15T00:00:00"/>
    <s v="May-17"/>
    <s v="Regional Linemarking - Supply &amp; Install new vehicle signage on Hiace Van_x000d__x000a_"/>
    <n v="155"/>
    <m/>
    <m/>
  </r>
  <r>
    <s v="MJ"/>
    <s v="NBN Sydney"/>
    <s v="#34552"/>
    <x v="5"/>
    <s v="NBN Greenfields DJC Internals"/>
    <x v="163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164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180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173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170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180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186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186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A417 MDU DJC Internals"/>
    <x v="157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174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164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190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177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79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Minor Works DJC Internals"/>
    <x v="79"/>
    <d v="2017-05-01T00:00:00"/>
    <s v="May-17"/>
    <s v="SYDNEY VEHICLE  AND TEST EQUIPMENT RENTAL - TEST EQUIPMENT MONTHLY RENTAL"/>
    <n v="56.375"/>
    <m/>
    <m/>
  </r>
  <r>
    <s v="MJ"/>
    <s v="NBN Sydney"/>
    <s v="#34552"/>
    <x v="5"/>
    <s v="NBN Greenfields DJC Internals"/>
    <x v="163"/>
    <d v="2017-05-01T00:00:00"/>
    <s v="May-17"/>
    <s v="SYDNEY VEHICLE  AND TEST EQUIPMENT RENTAL - TEST EQUIPMENT MONTHLY RENTAL"/>
    <n v="56.375"/>
    <m/>
    <m/>
  </r>
  <r>
    <s v="MJ"/>
    <s v="NBN Sydney"/>
    <s v="#34552"/>
    <x v="1"/>
    <s v="Overhead"/>
    <x v="3"/>
    <d v="2017-05-01T00:00:00"/>
    <s v="May-17"/>
    <s v="SYDNEY VEHICLE  AND TEST EQUIPMENT RENTAL - Forklift"/>
    <n v="487"/>
    <m/>
    <m/>
  </r>
  <r>
    <s v="MJ"/>
    <s v="NBN Sydney"/>
    <s v="#34552"/>
    <x v="5"/>
    <s v="NBN Greenfields DJC Internals"/>
    <x v="173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Minor Works DJC Internals"/>
    <x v="167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86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87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88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89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70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AARNet Sydney"/>
    <s v="#34552"/>
    <x v="5"/>
    <s v="AARNet DJC Internals"/>
    <x v="169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39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AARNet Sydney"/>
    <s v="#34552"/>
    <x v="5"/>
    <s v="AARNet DJC Internals"/>
    <x v="169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90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73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66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68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73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91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79"/>
    <d v="2017-05-01T00:00:00"/>
    <s v="May-17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49"/>
    <m/>
    <m/>
  </r>
  <r>
    <s v="MJ"/>
    <s v="NBN Sydney"/>
    <s v="#34552"/>
    <x v="5"/>
    <s v="NBN Greenfields DJC Internals"/>
    <x v="163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164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180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173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170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180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186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186"/>
    <d v="2017-05-01T00:00:00"/>
    <s v="May-17"/>
    <s v="SYDNEY VEHICLE  AND TEST EQUIPMENT RENTAL - BU59MS -HIACE RENTAL - "/>
    <n v="52.0625"/>
    <m/>
    <m/>
  </r>
  <r>
    <s v="MJ"/>
    <s v="NBN Sydney"/>
    <s v="#34552"/>
    <x v="5"/>
    <s v="NBN A417 MDU DJC Internals"/>
    <x v="157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174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164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190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177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79"/>
    <d v="2017-05-01T00:00:00"/>
    <s v="May-17"/>
    <s v="SYDNEY VEHICLE  AND TEST EQUIPMENT RENTAL - BU59MS -HIACE RENTAL - "/>
    <n v="52.0625"/>
    <m/>
    <m/>
  </r>
  <r>
    <s v="MJ"/>
    <s v="NBN Sydney"/>
    <s v="#34552"/>
    <x v="5"/>
    <s v="NBN Minor Works DJC Internals"/>
    <x v="79"/>
    <d v="2017-05-01T00:00:00"/>
    <s v="May-17"/>
    <s v="SYDNEY VEHICLE  AND TEST EQUIPMENT RENTAL - BU59MS -HIACE RENTAL - "/>
    <n v="52.0625"/>
    <m/>
    <m/>
  </r>
  <r>
    <s v="MJ"/>
    <s v="NBN Sydney"/>
    <s v="#34552"/>
    <x v="5"/>
    <s v="NBN Greenfields DJC Internals"/>
    <x v="163"/>
    <d v="2017-05-01T00:00:00"/>
    <s v="May-17"/>
    <s v="SYDNEY VEHICLE  AND TEST EQUIPMENT RENTAL - BU59MS -HIACE RENTAL - "/>
    <n v="52.0625"/>
    <m/>
    <m/>
  </r>
  <r>
    <s v="INV"/>
    <s v="NBN Sydney"/>
    <s v="INV-7341"/>
    <x v="1"/>
    <s v="Overhead"/>
    <x v="3"/>
    <d v="2017-05-18T00:00:00"/>
    <s v="May-17"/>
    <s v="Statewide Forklifts Pty Ltd - Consumables"/>
    <n v="15"/>
    <m/>
    <m/>
  </r>
  <r>
    <s v="INV"/>
    <s v="NBN Sydney"/>
    <s v="INV-7341"/>
    <x v="1"/>
    <s v="Overhead"/>
    <x v="3"/>
    <d v="2017-05-18T00:00:00"/>
    <s v="May-17"/>
    <s v="Statewide Forklifts Pty Ltd - Engine Oil"/>
    <n v="48"/>
    <m/>
    <m/>
  </r>
  <r>
    <s v="INV"/>
    <s v="NBN Sydney"/>
    <s v="INV-7341"/>
    <x v="1"/>
    <s v="Overhead"/>
    <x v="3"/>
    <d v="2017-05-18T00:00:00"/>
    <s v="May-17"/>
    <s v="Statewide Forklifts Pty Ltd - Labour"/>
    <n v="190"/>
    <m/>
    <m/>
  </r>
  <r>
    <s v="INV"/>
    <s v="NBN Sydney"/>
    <s v="INV-7341"/>
    <x v="1"/>
    <s v="Overhead"/>
    <x v="3"/>
    <d v="2017-05-18T00:00:00"/>
    <s v="May-17"/>
    <s v="Statewide Forklifts Pty Ltd - Call out fee"/>
    <n v="60"/>
    <m/>
    <m/>
  </r>
  <r>
    <s v="INV"/>
    <s v="NBN Sydney"/>
    <s v="INV-7341"/>
    <x v="1"/>
    <s v="Overhead"/>
    <x v="3"/>
    <d v="2017-05-18T00:00:00"/>
    <s v="May-17"/>
    <s v="Statewide Forklifts Pty Ltd - Environmental Levy"/>
    <n v="8"/>
    <m/>
    <m/>
  </r>
  <r>
    <s v="INV"/>
    <s v="NBN Sydney"/>
    <s v="INV-7341"/>
    <x v="1"/>
    <s v="Overhead"/>
    <x v="3"/>
    <d v="2017-05-18T00:00:00"/>
    <s v="May-17"/>
    <s v="Statewide Forklifts Pty Ltd - Spark Plugs"/>
    <n v="35.4"/>
    <m/>
    <m/>
  </r>
  <r>
    <s v="INV"/>
    <s v="NBN Sydney"/>
    <s v="INV-7341"/>
    <x v="1"/>
    <s v="Overhead"/>
    <x v="3"/>
    <d v="2017-05-18T00:00:00"/>
    <s v="May-17"/>
    <s v="Statewide Forklifts Pty Ltd - Engine Oil Filter"/>
    <n v="42.6"/>
    <m/>
    <m/>
  </r>
  <r>
    <s v="INV"/>
    <s v="NBN Sydney"/>
    <s v="INV-7341"/>
    <x v="1"/>
    <s v="Overhead"/>
    <x v="3"/>
    <d v="2017-05-18T00:00:00"/>
    <s v="May-17"/>
    <s v="Statewide Forklifts Pty Ltd - Chain Lube"/>
    <n v="16.100000000000001"/>
    <m/>
    <m/>
  </r>
  <r>
    <s v="INV"/>
    <s v="NBN Sydney"/>
    <s v="INV-7341"/>
    <x v="1"/>
    <s v="Overhead"/>
    <x v="3"/>
    <d v="2017-05-18T00:00:00"/>
    <s v="May-17"/>
    <s v="Statewide Forklifts Pty Ltd - Grease"/>
    <n v="15.22"/>
    <m/>
    <m/>
  </r>
  <r>
    <s v="INV"/>
    <s v="NBN Sydney"/>
    <s v="88990-5-2017"/>
    <x v="1"/>
    <s v="Overhead"/>
    <x v="3"/>
    <d v="2017-05-31T00:00:00"/>
    <s v="May-17"/>
    <s v="Supagas - 2 x Monthly Rental of LPG 15kg Cylinder"/>
    <n v="10"/>
    <m/>
    <m/>
  </r>
  <r>
    <s v="INV"/>
    <s v="NBN Sydney"/>
    <s v="88990-5-2017"/>
    <x v="1"/>
    <s v="Overhead"/>
    <x v="3"/>
    <d v="2017-05-31T00:00:00"/>
    <s v="May-17"/>
    <s v="Supagas - 2 x LPG 15kg Cylinder"/>
    <n v="66.180000000000007"/>
    <m/>
    <m/>
  </r>
  <r>
    <s v="INV"/>
    <s v="AARNet Sydney"/>
    <s v="1967943"/>
    <x v="5"/>
    <s v="AARNet DJC Internals"/>
    <x v="169"/>
    <d v="2017-05-12T00:00:00"/>
    <s v="May-17"/>
    <s v="Eureka Operations - Coles Express - ULP 18.43L @ $1.519"/>
    <n v="25.45"/>
    <m/>
    <m/>
  </r>
  <r>
    <s v="INV"/>
    <s v="NBN Sydney"/>
    <s v="INV-12307"/>
    <x v="3"/>
    <s v="SecNet"/>
    <x v="24"/>
    <d v="2017-06-01T00:00:00"/>
    <s v="Jun-17"/>
    <s v="SecNet Pty Ltd - Motorola MMode testing _x000d__x000a_completed: 13/4/2017_x000d__x000a_tech labour"/>
    <m/>
    <s v="SecNet"/>
    <n v="999"/>
  </r>
  <r>
    <s v="INV"/>
    <s v="NBN Sydney"/>
    <s v="INV-12268b"/>
    <x v="3"/>
    <s v="NBN Minor Works"/>
    <x v="194"/>
    <d v="2017-06-01T00:00:00"/>
    <s v="Jun-17"/>
    <s v="NBN Co Sydney - 2BLK-02/07 - MPS-032 &amp; MPS-010 "/>
    <m/>
    <s v="Minor Works - MW20680 - 2BLK-02/07 - MPS-032 &amp; MPS-010"/>
    <n v="2247.4299999999998"/>
  </r>
  <r>
    <s v="INV"/>
    <s v="NBN Sydney"/>
    <s v="INV-12150b"/>
    <x v="3"/>
    <s v="NBN Greenfields"/>
    <x v="158"/>
    <d v="2017-06-01T00:00:00"/>
    <s v="Jun-17"/>
    <s v="NBN Co Sydney - 2NRN03  AYCA3H6ZBG  61 Smeaton Grange Rd"/>
    <m/>
    <s v="NBN Greenfields - AYCA3H6ZBG  61 Smeaton Grange Rd"/>
    <n v="3091.01"/>
  </r>
  <r>
    <s v="INV"/>
    <s v="NBN Sydney"/>
    <s v="INV-12149b"/>
    <x v="3"/>
    <s v="NBN A417 MDU"/>
    <x v="157"/>
    <d v="2017-06-01T00:00:00"/>
    <s v="Jun-17"/>
    <s v="NBN Co Sydney - AYCA-20T6JQ - 283 Blacktown Road, Prospect - 1"/>
    <m/>
    <s v="NBN A417 - AYCA-20T6JQ - 283 Blacktown Road, Prospect - 1"/>
    <n v="64.36"/>
  </r>
  <r>
    <s v="CN"/>
    <s v="NBN Sydney"/>
    <s v="CN-12306"/>
    <x v="3"/>
    <s v="SecNet"/>
    <x v="24"/>
    <d v="2017-06-01T00:00:00"/>
    <s v="Jun-17"/>
    <s v="SecNet Pty Ltd - Motorola MMode testing _x000d__x000a_completed: 13/4/2017_x000d__x000a_tech labour"/>
    <n v="1116.25"/>
    <s v="SecNet"/>
    <m/>
  </r>
  <r>
    <s v="CN"/>
    <s v="NBN Sydney"/>
    <s v="CN-12306"/>
    <x v="3"/>
    <s v="SecNet"/>
    <x v="24"/>
    <d v="2017-06-01T00:00:00"/>
    <s v="Jun-17"/>
    <s v="SecNet Pty Ltd - tech labour"/>
    <n v="881.25"/>
    <s v="SecNet"/>
    <m/>
  </r>
  <r>
    <s v="INV"/>
    <s v="NBN Sydney"/>
    <s v="INV-12352"/>
    <x v="3"/>
    <s v="NBN Greenfields"/>
    <x v="195"/>
    <d v="2017-06-26T00:00:00"/>
    <s v="Jun-17"/>
    <s v="NBN Co Sydney - MW20385 - AYCA-38OMCL - 6 Hepher Rd, Campbelltown"/>
    <m/>
    <s v="NBN Greenfields - AYCA-38OMCL - 6 Hepher Rd, Campbelltown"/>
    <n v="13519.92"/>
  </r>
  <r>
    <s v="INV"/>
    <s v="NBN Sydney"/>
    <s v="INV-12332"/>
    <x v="3"/>
    <s v="NBN A417 MDU"/>
    <x v="196"/>
    <d v="2017-06-26T00:00:00"/>
    <s v="Jun-17"/>
    <s v="NBN Co Sydney - MW20673 - 2BLK-11 - AYCA-3RN6QW - 19-21 Irelands Road, Blacktown"/>
    <m/>
    <s v="NBN A417 - AYCA-3RN6QW - 19-21 Irelands Road, Blacktown"/>
    <n v="1545.6"/>
  </r>
  <r>
    <s v="INV"/>
    <s v="NBN Sydney"/>
    <s v="INV-12338"/>
    <x v="3"/>
    <s v="NBN Greenfields"/>
    <x v="197"/>
    <d v="2017-06-27T00:00:00"/>
    <s v="Jun-17"/>
    <s v="NBN Co Sydney - MW20662 -AYCA-42POJA - 2KEL-08 -Non Standard Builds - Memorial Ave Kelly"/>
    <m/>
    <s v="NBN Greenfields - AYCA-42POJA - 2KEL-08 -Non Standard Builds - Memorial Ave Kelly"/>
    <n v="2100"/>
  </r>
  <r>
    <s v="INV"/>
    <s v="NBN Sydney"/>
    <s v="INV-12363"/>
    <x v="3"/>
    <s v="NBN A417 MDU"/>
    <x v="198"/>
    <d v="2017-06-30T00:00:00"/>
    <s v="Jun-17"/>
    <s v="NBN Co Sydney - MW20649 - 2RCH-03 - AYCA-2MLHJO Macquarie Sub Division, South Windsor"/>
    <m/>
    <s v="NBN  A417 - AYCA-2MLHJO Macquarie Sub Division, South Windsor"/>
    <n v="752.93"/>
  </r>
  <r>
    <s v="INV"/>
    <s v="NBN Sydney"/>
    <s v="INV-12361"/>
    <x v="3"/>
    <s v="NBN A417 MDU"/>
    <x v="199"/>
    <d v="2017-06-30T00:00:00"/>
    <s v="Jun-17"/>
    <s v="NBN Co Sydney - MW20699 - AYCA-3BSZ4M - 41 &amp; 55 Rynan Ave"/>
    <m/>
    <s v="NBN A417 - AYCA-3BSZ4M - 41 &amp; 55 Rynan Ave"/>
    <n v="839"/>
  </r>
  <r>
    <s v="INV"/>
    <s v="NBN Sydney"/>
    <s v="INV-12360"/>
    <x v="3"/>
    <s v="NBN Minor Works"/>
    <x v="200"/>
    <d v="2017-06-30T00:00:00"/>
    <s v="Jun-17"/>
    <s v="NBN Co Sydney - MW20679 - OOMWI - 2LJT-02 - MPS-012 - 3 Corella "/>
    <m/>
    <s v="Minor Works - MW20679 - 2LJT-02 - MPS-012 - 3 Corella "/>
    <n v="6239.62"/>
  </r>
  <r>
    <s v="CN"/>
    <s v="NBN Sydney"/>
    <s v="CN-12379"/>
    <x v="3"/>
    <s v="NBN Minor Works"/>
    <x v="201"/>
    <d v="2017-06-30T00:00:00"/>
    <s v="Jun-17"/>
    <s v="NBN Co Sydney - MW20447 - 2LJT-02-04-09 - 2 Blade, 100A Kathleen White, 2-6 Warrigal"/>
    <n v="0.01"/>
    <s v="Minor Works - MW20447 - 2LJT-02-04-09 - 2 Blade, 100A Kathleen White, 2-6 Warrigal"/>
    <m/>
  </r>
  <r>
    <s v="INV"/>
    <s v="NBN Sydney"/>
    <s v="INV-12364"/>
    <x v="3"/>
    <s v="NBN Greenfields"/>
    <x v="168"/>
    <d v="2017-06-30T00:00:00"/>
    <s v="Jun-17"/>
    <s v="NBN Co Sydney - MW20493 - AYCA-1BR2R4 - Link Apartments Zetland"/>
    <m/>
    <s v="NBN Greenfields - AYCA-1BR2R4 - Link Apartments Zetland"/>
    <n v="8461.32"/>
  </r>
  <r>
    <s v="INV"/>
    <s v="NBN Sydney"/>
    <s v="INV-12267b"/>
    <x v="3"/>
    <s v="NBN A417 MDU"/>
    <x v="202"/>
    <d v="2017-06-30T00:00:00"/>
    <s v="Jun-17"/>
    <s v="NBN Co Sydney - AYCA-2Q8I3Y - 16-20 Withers Road – 3"/>
    <m/>
    <s v="NBN A417 - AYCA-2Q8I3Y - 16-20 Withers Road - 3"/>
    <n v="1899.06"/>
  </r>
  <r>
    <s v="INV"/>
    <s v="NBN Sydney"/>
    <s v="INV-12359"/>
    <x v="3"/>
    <s v="NBN Greenfields"/>
    <x v="203"/>
    <d v="2017-06-30T00:00:00"/>
    <s v="Jun-17"/>
    <s v="NBN Co Sydney - MW20661 - 2LIV-04 - AYCA-476RM9 - 87-91 Campbell St - NSB "/>
    <m/>
    <s v="NBN Greenfields - AYCA-476RM9 - 87-91 Campbell St - NSB "/>
    <n v="2100"/>
  </r>
  <r>
    <s v="INV"/>
    <s v="NBN Sydney"/>
    <s v="INV-12355"/>
    <x v="3"/>
    <s v="NBN Greenfields"/>
    <x v="204"/>
    <d v="2017-06-30T00:00:00"/>
    <s v="Jun-17"/>
    <s v="NBN Co Sydney - MW20532 - AYCA-47OSBM - PACIFIC BUSINESS CENTRE "/>
    <m/>
    <s v="NBN Greenfields - AYCA-47OSBM - PACIFIC BUSINESS CENTRE "/>
    <n v="10229.42"/>
  </r>
  <r>
    <s v="INV"/>
    <s v="NBN Sydney"/>
    <s v="INV-12354"/>
    <x v="3"/>
    <s v="NBN Greenfields"/>
    <x v="187"/>
    <d v="2017-06-30T00:00:00"/>
    <s v="Jun-17"/>
    <s v="NBN Co Sydney - MW20477 - 2HOM-01 - AYCA-40BZFT - 51-55 Homebush Rd Strathfield – 6"/>
    <m/>
    <s v="NBN Greenfields - AYCA-40BZFT - 51-55 Homebush Rd Strathfield - 6"/>
    <n v="10207.91"/>
  </r>
  <r>
    <s v="INV"/>
    <s v="NBN Sydney"/>
    <s v="INV-12353"/>
    <x v="3"/>
    <s v="NBN Greenfields"/>
    <x v="166"/>
    <d v="2017-06-30T00:00:00"/>
    <s v="Jun-17"/>
    <s v="NBN Co Sydney - MW20442 - 2TGL-02 - AYCA-30RVNV - Rockpool - 1"/>
    <m/>
    <s v="NBN Greenfields - AYCA-30RVNV - Rockpool - 1"/>
    <n v="9569.99"/>
  </r>
  <r>
    <s v="INV"/>
    <s v="NBN Sydney"/>
    <s v="INV-12358"/>
    <x v="3"/>
    <s v="NBN A417 MDU"/>
    <x v="205"/>
    <d v="2017-06-30T00:00:00"/>
    <s v="Jun-17"/>
    <s v="NBN Co Sydney - MW20652 - AYCA-1CI2SU - Jenkins – 1 - East, West &amp; South"/>
    <m/>
    <s v="NBN A417 - AYCA-1CI2SU - Jenkins – 1 - East, West &amp; South"/>
    <n v="8954.48"/>
  </r>
  <r>
    <s v="INV"/>
    <s v="NBN Sydney"/>
    <s v="INV-12357"/>
    <x v="3"/>
    <s v="NBN A417 MDU"/>
    <x v="206"/>
    <d v="2017-06-30T00:00:00"/>
    <s v="Jun-17"/>
    <s v="NBN Co Sydney - MW20682 - 2ROU-04 - AYCA-3NDQ7T - 67 Barry Street     "/>
    <m/>
    <s v="NBN A417 -  AYCA-3NDQ7T - 67 Barry Street     "/>
    <n v="485.33"/>
  </r>
  <r>
    <s v="INV"/>
    <s v="NBN Sydney"/>
    <s v="21506"/>
    <x v="9"/>
    <s v="Overhead Materials"/>
    <x v="119"/>
    <d v="2017-06-02T00:00:00"/>
    <s v="Jun-17"/>
    <s v="TANDEM - ISG Management Pty Ltd - 3400360_x000d__x000a_Overalls, Disposable White 2XL"/>
    <n v="165.2"/>
    <m/>
    <m/>
  </r>
  <r>
    <s v="INV"/>
    <s v="NBN Sydney"/>
    <s v="21506"/>
    <x v="9"/>
    <s v="Overhead Materials"/>
    <x v="119"/>
    <d v="2017-06-02T00:00:00"/>
    <s v="Jun-17"/>
    <s v="TANDEM - ISG Management Pty Ltd - 3400269_x000d__x000a_Bag, Asbestos Disposal"/>
    <n v="138"/>
    <m/>
    <m/>
  </r>
  <r>
    <s v="INV"/>
    <s v="NBN Sydney"/>
    <s v="203666 / PO0242"/>
    <x v="0"/>
    <s v="AARNet DJC"/>
    <x v="192"/>
    <d v="2017-06-14T00:00:00"/>
    <s v="Jun-17"/>
    <s v="BVCI Pty Ltd - FGOCS_x000d__x000a_Freight Charge Customer Delivery"/>
    <n v="176"/>
    <m/>
    <m/>
  </r>
  <r>
    <s v="INV"/>
    <s v="NBN Sydney"/>
    <s v="00018978"/>
    <x v="1"/>
    <s v="Overhead"/>
    <x v="3"/>
    <d v="2017-06-15T00:00:00"/>
    <s v="Jun-17"/>
    <s v="Express Safety Solutions - Freight"/>
    <n v="10"/>
    <m/>
    <m/>
  </r>
  <r>
    <s v="INV"/>
    <s v="NBN Sydney"/>
    <s v="18377330"/>
    <x v="5"/>
    <s v="NBN Greenfields DJC Internals"/>
    <x v="187"/>
    <d v="2017-06-06T00:00:00"/>
    <s v="Jun-17"/>
    <s v="Kennards Hire - 1020946_x000d__x000a_Pressure Washer - 4000psi Petrol_x000d__x000a_From 5/06/17 to 6/06/17 @ $218.18 per day"/>
    <n v="218.18"/>
    <m/>
    <m/>
  </r>
  <r>
    <s v="INV"/>
    <s v="NBN Sydney"/>
    <s v="18377330"/>
    <x v="5"/>
    <s v="NBN Greenfields DJC Internals"/>
    <x v="187"/>
    <d v="2017-06-06T00:00:00"/>
    <s v="Jun-17"/>
    <s v="Kennards Hire - 171249_x000d__x000a_Drain Cleaner Hose 60m_x000d__x000a_From 5/06/17 to 6/06/17 @ $72.73 per day_x000d__x000a_"/>
    <n v="72.73"/>
    <m/>
    <m/>
  </r>
  <r>
    <s v="INV"/>
    <s v="NBN Sydney"/>
    <s v="875583"/>
    <x v="1"/>
    <s v="Overhead"/>
    <x v="3"/>
    <d v="2017-06-08T00:00:00"/>
    <s v="Jun-17"/>
    <s v="Mitronics - MC.DSA_x000d__x000a_Digital Support Agreement - Chargeable"/>
    <n v="39.950000000000003"/>
    <m/>
    <m/>
  </r>
  <r>
    <s v="INV"/>
    <s v="NBN Sydney"/>
    <s v="875583"/>
    <x v="1"/>
    <s v="Overhead"/>
    <x v="3"/>
    <d v="2017-06-08T00:00:00"/>
    <s v="Jun-17"/>
    <s v="Mitronics - MC.COLOUR.PAGE_x000d__x000a_Serial No - A02E041005704_x000d__x000a_Colour Last Read - 211,966 8/05/2017_x000d__x000a_Current Read - 215,883 Prints - 3,917"/>
    <n v="438.7"/>
    <m/>
    <m/>
  </r>
  <r>
    <s v="INV"/>
    <s v="NBN Sydney"/>
    <s v="875583"/>
    <x v="1"/>
    <s v="Overhead"/>
    <x v="3"/>
    <d v="2017-06-08T00:00:00"/>
    <s v="Jun-17"/>
    <s v="Mitronics - MC.BLACK.PAGE_x000d__x000a_Serial No - A02E041005704 Black Last Read - 209,687 8/05/2017_x000d__x000a_Current Read - 210,907 Prints - 1,220"/>
    <n v="12.56"/>
    <m/>
    <m/>
  </r>
  <r>
    <s v="INV"/>
    <s v="NBN Sydney"/>
    <s v="21506"/>
    <x v="9"/>
    <s v="Overhead Materials"/>
    <x v="119"/>
    <d v="2017-06-02T00:00:00"/>
    <s v="Jun-17"/>
    <s v="TANDEM - ISG Management Pty Ltd - 4300038_x000d__x000a_Tape, adh Duct Sealing PVC 50mmx30m Silver"/>
    <n v="26.5"/>
    <m/>
    <m/>
  </r>
  <r>
    <s v="INV"/>
    <s v="AARNet Sydney"/>
    <s v="01754582"/>
    <x v="0"/>
    <s v="AARNet DJC"/>
    <x v="192"/>
    <d v="2017-06-02T00:00:00"/>
    <s v="Jun-17"/>
    <s v="Cumberland Council - Auburn Amalgamated_x000d__x000a_ROL Hevington Ave"/>
    <n v="463.64"/>
    <m/>
    <m/>
  </r>
  <r>
    <s v="INV"/>
    <s v="AARNet Sydney"/>
    <s v="001-53722-7016"/>
    <x v="0"/>
    <s v="AARNet DJC"/>
    <x v="192"/>
    <d v="2017-06-05T00:00:00"/>
    <s v="Jun-17"/>
    <s v="Bunnings Warehouse - Safety Cone Pole Builders Edge 1.3-2.1m Extendable 14671"/>
    <n v="70.91"/>
    <m/>
    <m/>
  </r>
  <r>
    <s v="INV"/>
    <s v="AARNet Sydney"/>
    <s v="7173/00113538"/>
    <x v="0"/>
    <s v="AARNet DJC"/>
    <x v="192"/>
    <d v="2017-06-07T00:00:00"/>
    <s v="Jun-17"/>
    <s v="Bunnings Warehouse - Fence Post Steel Ultrapost 45cm Premium Black 10751"/>
    <n v="22.09"/>
    <m/>
    <m/>
  </r>
  <r>
    <s v="INV"/>
    <s v="AARNet Sydney"/>
    <s v="7173/00113538"/>
    <x v="0"/>
    <s v="AARNet DJC"/>
    <x v="192"/>
    <d v="2017-06-07T00:00:00"/>
    <s v="Jun-17"/>
    <s v="Bunnings Warehouse - Ply Film Face 2400x1200mm 17mm"/>
    <n v="168.41"/>
    <m/>
    <m/>
  </r>
  <r>
    <s v="INV"/>
    <s v="AARNet Sydney"/>
    <s v="A2"/>
    <x v="0"/>
    <s v="AARNet DJC"/>
    <x v="169"/>
    <d v="2017-06-07T00:00:00"/>
    <s v="Jun-17"/>
    <s v="City Centre Car Park - Parramatta - In: 7/6/17 10.24_x000d__x000a_Out: 7/6/17 13.04"/>
    <n v="8.18"/>
    <m/>
    <m/>
  </r>
  <r>
    <s v="INV"/>
    <s v="AARNet Sydney"/>
    <s v="7173/00113538"/>
    <x v="0"/>
    <s v="AARNet DJC"/>
    <x v="169"/>
    <d v="2017-06-07T00:00:00"/>
    <s v="Jun-17"/>
    <s v="Bunnings Warehouse - Silt Fence Prepack Coolaroo 0.70x50.0m 446208"/>
    <n v="45.74"/>
    <m/>
    <m/>
  </r>
  <r>
    <s v="INV"/>
    <s v="NBN Sydney"/>
    <s v="21556"/>
    <x v="9"/>
    <s v="Overhead Materials"/>
    <x v="119"/>
    <d v="2017-06-07T00:00:00"/>
    <s v="Jun-17"/>
    <s v="TANDEM - ISG Management Pty Ltd - Pit Screws, SD Type 17 SS Hex 14-10GX35MM Box of 100"/>
    <n v="85.4"/>
    <m/>
    <m/>
  </r>
  <r>
    <s v="INV"/>
    <s v="NBN Sydney"/>
    <s v="7173/00113538"/>
    <x v="9"/>
    <s v="Overhead Materials"/>
    <x v="119"/>
    <d v="2017-06-07T00:00:00"/>
    <s v="Jun-17"/>
    <s v="Bunnings Warehouse - LTS Ratchet Tie Down Lion 38mmx8m LC800kg LA149LTSR8T"/>
    <n v="50.95"/>
    <m/>
    <m/>
  </r>
  <r>
    <s v="INV"/>
    <s v="NBN Sydney"/>
    <s v="7173/00113538"/>
    <x v="9"/>
    <s v="Overhead Materials"/>
    <x v="119"/>
    <d v="2017-06-07T00:00:00"/>
    <s v="Jun-17"/>
    <s v="Bunnings Warehouse - Post Accessory 60mm Post Cap YLW 12322"/>
    <n v="8.5500000000000007"/>
    <m/>
    <m/>
  </r>
  <r>
    <s v="INV"/>
    <s v="NBN Sydney"/>
    <s v="11942885"/>
    <x v="0"/>
    <s v="NBN Greenfields DJC"/>
    <x v="207"/>
    <d v="2017-06-08T00:00:00"/>
    <s v="Jun-17"/>
    <s v="Central Coast Council - 6 Battley Ave, The Enterance"/>
    <n v="147.22999999999999"/>
    <m/>
    <m/>
  </r>
  <r>
    <s v="INV"/>
    <s v="NBN Sydney"/>
    <s v="SI-506722"/>
    <x v="9"/>
    <s v="Overhead Materials"/>
    <x v="119"/>
    <d v="2017-06-08T00:00:00"/>
    <s v="Jun-17"/>
    <s v="Service Stream Fixed Communications Pty Ltd - Material Transaction Fee"/>
    <n v="2.5"/>
    <m/>
    <m/>
  </r>
  <r>
    <s v="INV"/>
    <s v="NBN Sydney"/>
    <s v="SI-506722"/>
    <x v="9"/>
    <s v="Overhead Materials"/>
    <x v="119"/>
    <d v="2017-06-08T00:00:00"/>
    <s v="Jun-17"/>
    <s v="Service Stream Fixed Communications Pty Ltd - 7300295_x000d__x000a_Bend 50mm 22.5deg 305rad"/>
    <n v="63"/>
    <m/>
    <m/>
  </r>
  <r>
    <s v="INV"/>
    <s v="NBN Sydney"/>
    <s v="949719"/>
    <x v="0"/>
    <s v="NBN Greenfields DJC"/>
    <x v="153"/>
    <d v="2017-06-09T00:00:00"/>
    <s v="Jun-17"/>
    <s v="The Hills Shire Council - Concrete Footpath"/>
    <n v="554.32000000000005"/>
    <m/>
    <m/>
  </r>
  <r>
    <s v="INV"/>
    <s v="NBN Sydney"/>
    <s v="949719"/>
    <x v="0"/>
    <s v="NBN Greenfields DJC"/>
    <x v="153"/>
    <d v="2017-06-09T00:00:00"/>
    <s v="Jun-17"/>
    <s v="The Hills Shire Council - Nature Strip / Grass Verge"/>
    <n v="1027.27"/>
    <m/>
    <m/>
  </r>
  <r>
    <s v="INV"/>
    <s v="NBN Sydney"/>
    <s v="949719"/>
    <x v="0"/>
    <s v="NBN Greenfields DJC"/>
    <x v="153"/>
    <d v="2017-06-09T00:00:00"/>
    <s v="Jun-17"/>
    <s v="The Hills Shire Council - Road Opening Fee"/>
    <n v="110.91"/>
    <m/>
    <m/>
  </r>
  <r>
    <s v="INV"/>
    <s v="NBN Sydney"/>
    <s v="421916-760 / PO2920"/>
    <x v="0"/>
    <s v="Visionstream DJC"/>
    <x v="185"/>
    <d v="2017-06-14T00:00:00"/>
    <s v="Jun-17"/>
    <s v="TLE Electrical - UNSUT3-150G_x000d__x000a_T3 Ladder Tray Width 172mm D50mm 3m Galvabond"/>
    <n v="37.299999999999997"/>
    <m/>
    <m/>
  </r>
  <r>
    <s v="INV"/>
    <s v="NBN Sydney"/>
    <s v="421921-760"/>
    <x v="0"/>
    <s v="Visionstream DJC"/>
    <x v="185"/>
    <d v="2017-06-14T00:00:00"/>
    <s v="Jun-17"/>
    <s v="TLE Electrical - REEJ12230_x000d__x000a_Hammer Drill Bit SDS-Plus 12mm Work 180mm OAL 230mm"/>
    <n v="25.47"/>
    <m/>
    <m/>
  </r>
  <r>
    <s v="CN"/>
    <s v="NBN Sydney"/>
    <s v="421920-760"/>
    <x v="0"/>
    <s v="Visionstream DJC"/>
    <x v="185"/>
    <d v="2017-06-14T00:00:00"/>
    <s v="Jun-17"/>
    <s v="TLE Electrical - UNSUT3-150G_x000d__x000a_3 Ladder Tray Width 172mm D50mm 3M Galvabond"/>
    <m/>
    <m/>
    <n v="37.299999999999997"/>
  </r>
  <r>
    <s v="INV"/>
    <s v="NBN Sydney"/>
    <s v="421916-760 / PO2920"/>
    <x v="0"/>
    <s v="Visionstream DJC"/>
    <x v="185"/>
    <d v="2017-06-14T00:00:00"/>
    <s v="Jun-17"/>
    <s v="TLE Electrical - REEGKOSA12060_x000d__x000a_Masonry Sleeve Anchor 12mm Hex Head"/>
    <n v="45.48"/>
    <m/>
    <m/>
  </r>
  <r>
    <s v="INV"/>
    <s v="AARNet Sydney"/>
    <s v="203666 / PO0242"/>
    <x v="0"/>
    <s v="AARNet DJC"/>
    <x v="192"/>
    <d v="2017-06-14T00:00:00"/>
    <s v="Jun-17"/>
    <s v="BVCI Pty Ltd - 329018_x000d__x000a_Logo, 80mm, Rnd, Suit CI-AARNet Comms"/>
    <n v="108"/>
    <m/>
    <m/>
  </r>
  <r>
    <s v="INV"/>
    <s v="AARNet Sydney"/>
    <s v="203666 / PO0242"/>
    <x v="0"/>
    <s v="AARNet DJC"/>
    <x v="192"/>
    <d v="2017-06-14T00:00:00"/>
    <s v="Jun-17"/>
    <s v="BVCI Pty Ltd - 32199154_x000d__x000a_Cover Cast Iron H6 Locking 99/154"/>
    <n v="1532"/>
    <m/>
    <m/>
  </r>
  <r>
    <s v="INV"/>
    <s v="NBN Sydney"/>
    <s v="421921-760"/>
    <x v="0"/>
    <s v="Visionstream DJC"/>
    <x v="185"/>
    <d v="2017-06-14T00:00:00"/>
    <s v="Jun-17"/>
    <s v="TLE Electrical - UNSATG1A215_x000d__x000a_Cable Tray W150mm D12mm 2.4m Galv Steel"/>
    <n v="18.53"/>
    <m/>
    <m/>
  </r>
  <r>
    <s v="INV"/>
    <s v="AARNet Sydney"/>
    <s v="203666 / PO0242"/>
    <x v="0"/>
    <s v="AARNet DJC"/>
    <x v="192"/>
    <d v="2017-06-14T00:00:00"/>
    <s v="Jun-17"/>
    <s v="BVCI Pty Ltd - 32199067_x000d__x000a_Cross Bar 6, 8, 9 - 99/67 (thin)"/>
    <n v="23"/>
    <m/>
    <m/>
  </r>
  <r>
    <s v="INV"/>
    <s v="NBN Sydney"/>
    <s v="71 A88941"/>
    <x v="0"/>
    <s v="Visionstream DJC"/>
    <x v="185"/>
    <d v="2017-06-15T00:00:00"/>
    <s v="Jun-17"/>
    <s v="Middy's Data &amp; Electrical - BUR CT100G_x000d__x000a_Admiralty Pattern Tray 100mm wgth"/>
    <n v="31.46"/>
    <m/>
    <m/>
  </r>
  <r>
    <s v="INV"/>
    <s v="NBN Sydney"/>
    <s v="00018978"/>
    <x v="1"/>
    <s v="Overhead"/>
    <x v="3"/>
    <d v="2017-06-15T00:00:00"/>
    <s v="Jun-17"/>
    <s v="Express Safety Solutions - 110927_x000d__x000a_M21-751-427 Black on White_x000d__x000a_19.05mm x 4.7mt B427 BLKonWh"/>
    <n v="66.94"/>
    <m/>
    <m/>
  </r>
  <r>
    <s v="INV"/>
    <s v="AARNet Sydney"/>
    <s v="00016233"/>
    <x v="0"/>
    <s v="AARNet DJC"/>
    <x v="192"/>
    <d v="2017-06-19T00:00:00"/>
    <s v="Jun-17"/>
    <s v="Sand 4 U Supplies Pty Ltd - Delivery Charge"/>
    <n v="18.18"/>
    <m/>
    <m/>
  </r>
  <r>
    <s v="INV"/>
    <s v="AARNet Sydney"/>
    <s v="00016233"/>
    <x v="0"/>
    <s v="AARNet DJC"/>
    <x v="192"/>
    <d v="2017-06-19T00:00:00"/>
    <s v="Jun-17"/>
    <s v="Sand 4 U Supplies Pty Ltd - Top Soil (Fertalised) 1Ton"/>
    <n v="59.09"/>
    <m/>
    <m/>
  </r>
  <r>
    <s v="INV"/>
    <s v="NBN Sydney"/>
    <s v="21697"/>
    <x v="9"/>
    <s v="Overhead Materials"/>
    <x v="119"/>
    <d v="2017-06-19T00:00:00"/>
    <s v="Jun-17"/>
    <s v="TANDEM - ISG Management Pty Ltd - 9700104_x000d__x000a_Tag, Ident PVC White 65 x 35mm Box of 100"/>
    <n v="66.05"/>
    <m/>
    <m/>
  </r>
  <r>
    <s v="INV"/>
    <s v="NBN Sydney"/>
    <s v="7016/01680922"/>
    <x v="0"/>
    <s v="Visionstream DJC"/>
    <x v="185"/>
    <d v="2017-06-21T00:00:00"/>
    <s v="Jun-17"/>
    <s v="Bunnings Warehouse - Anchor Masonry Chemical M8 Epoxy Acrylate Chem08 BX10"/>
    <n v="19.98"/>
    <m/>
    <m/>
  </r>
  <r>
    <s v="INV"/>
    <s v="NBN Sydney"/>
    <s v="7016/01680922"/>
    <x v="0"/>
    <s v="Visionstream DJC"/>
    <x v="185"/>
    <d v="2017-06-21T00:00:00"/>
    <s v="Jun-17"/>
    <s v="Bunnings Warehouse - Threaded Rod HD Galv Macsim M8x1.2m Metric"/>
    <n v="46.55"/>
    <m/>
    <m/>
  </r>
  <r>
    <s v="INV"/>
    <s v="NBN Sydney"/>
    <s v="7016/01680922"/>
    <x v="0"/>
    <s v="Visionstream DJC"/>
    <x v="185"/>
    <d v="2017-06-21T00:00:00"/>
    <s v="Jun-17"/>
    <s v="Bunnings Warehouse - Nut Hex Hdg Mtric Zenith M8 BX50 NGH00850"/>
    <n v="5.53"/>
    <m/>
    <m/>
  </r>
  <r>
    <s v="INV"/>
    <s v="NBN Sydney"/>
    <s v="7016/01680922"/>
    <x v="0"/>
    <s v="Visionstream DJC"/>
    <x v="185"/>
    <d v="2017-06-21T00:00:00"/>
    <s v="Jun-17"/>
    <s v="Bunnings Warehouse - Washer Flat 5/16 ZP Box50 CDE1008"/>
    <n v="5.66"/>
    <m/>
    <m/>
  </r>
  <r>
    <s v="INV"/>
    <s v="NBN Sydney"/>
    <s v="71 A89020"/>
    <x v="0"/>
    <s v="Visionstream DJC"/>
    <x v="185"/>
    <d v="2017-06-21T00:00:00"/>
    <s v="Jun-17"/>
    <s v="Middy's Data &amp; Electrical - BUR CT100G_x000d__x000a_Admirality Pattern Tray 100mm wdth"/>
    <n v="157.30000000000001"/>
    <m/>
    <m/>
  </r>
  <r>
    <s v="INV"/>
    <s v="NBN Sydney"/>
    <s v="7016/01680922"/>
    <x v="0"/>
    <s v="Visionstream DJC"/>
    <x v="185"/>
    <d v="2017-06-21T00:00:00"/>
    <s v="Jun-17"/>
    <s v="Bunnings Warehouse - Chemset Applicator Ramset Chemical Inject Cuap"/>
    <n v="60.45"/>
    <m/>
    <m/>
  </r>
  <r>
    <s v="INV"/>
    <s v="NBN Sydney"/>
    <s v="7016/01680922"/>
    <x v="0"/>
    <s v="Visionstream DJC"/>
    <x v="185"/>
    <d v="2017-06-21T00:00:00"/>
    <s v="Jun-17"/>
    <s v="Bunnings Warehouse - Chemset Anchor 101 Ramset 380mL Cartridge Ea"/>
    <n v="23.66"/>
    <m/>
    <m/>
  </r>
  <r>
    <s v="INV"/>
    <s v="NBN Sydney"/>
    <s v="015-67501-7016"/>
    <x v="0"/>
    <s v="Visionstream DJC"/>
    <x v="185"/>
    <d v="2017-06-22T00:00:00"/>
    <s v="Jun-17"/>
    <s v="Bunnings Warehouse - Anchor Masonry Chemical M8 Epoxy Acrylate Chem08 BX10"/>
    <n v="21.04"/>
    <m/>
    <m/>
  </r>
  <r>
    <s v="INV"/>
    <s v="NBN Sydney"/>
    <s v="71 A89021"/>
    <x v="9"/>
    <s v="Overhead Materials"/>
    <x v="119"/>
    <d v="2017-06-22T00:00:00"/>
    <s v="Jun-17"/>
    <s v="Middy's Data &amp; Electrical - LNP TEL6-COLLAR-NSW_x000d__x000a_Pit Electrical P6 UG2011"/>
    <n v="315.02"/>
    <m/>
    <m/>
  </r>
  <r>
    <s v="INV"/>
    <s v="NBN Sydney"/>
    <s v="422516-760"/>
    <x v="0"/>
    <s v="Visionstream DJC"/>
    <x v="185"/>
    <d v="2017-06-26T00:00:00"/>
    <s v="Jun-17"/>
    <s v="TLE Electrical - UNSATG1A215_x000d__x000a_Cable Tray W150mm D12mm 2.4m Galv Steel"/>
    <n v="37.06"/>
    <m/>
    <m/>
  </r>
  <r>
    <s v="INV"/>
    <s v="NBN Sydney"/>
    <s v="422516-760"/>
    <x v="0"/>
    <s v="Visionstream DJC"/>
    <x v="185"/>
    <d v="2017-06-26T00:00:00"/>
    <s v="Jun-17"/>
    <s v="TLE Electrical - REEGKONA6538R_x000d__x000a_Nail in Anchor 6.5mm Nylon"/>
    <n v="42.95"/>
    <m/>
    <m/>
  </r>
  <r>
    <s v="INV"/>
    <s v="NBN Sydney"/>
    <s v="21827"/>
    <x v="9"/>
    <s v="Overhead Materials"/>
    <x v="119"/>
    <d v="2017-06-27T00:00:00"/>
    <s v="Jun-17"/>
    <s v="TANDEM - ISG Management Pty Ltd - 7300229_x000d__x000a_Gas Cylinder, CO2 TDux Inflation box of 10"/>
    <n v="22.89"/>
    <m/>
    <m/>
  </r>
  <r>
    <s v="INV"/>
    <s v="NBN Sydney"/>
    <s v="21827"/>
    <x v="9"/>
    <s v="Overhead Materials"/>
    <x v="119"/>
    <d v="2017-06-27T00:00:00"/>
    <s v="Jun-17"/>
    <s v="TANDEM - ISG Management Pty Ltd - 7300194_x000d__x000a_Duct Sealing System, Wraparound Tdux60"/>
    <n v="261.62"/>
    <m/>
    <m/>
  </r>
  <r>
    <s v="INV"/>
    <s v="NBN Sydney"/>
    <s v="21827"/>
    <x v="9"/>
    <s v="Overhead Materials"/>
    <x v="119"/>
    <d v="2017-06-27T00:00:00"/>
    <s v="Jun-17"/>
    <s v="TANDEM - ISG Management Pty Ltd - 7300196_x000d__x000a_Duct Sealing System, Wraparound Tdux100"/>
    <n v="289.27"/>
    <m/>
    <m/>
  </r>
  <r>
    <s v="INV"/>
    <s v="NBN Sydney"/>
    <s v="610219-762"/>
    <x v="0"/>
    <s v="Visionstream DJC"/>
    <x v="185"/>
    <d v="2017-06-29T00:00:00"/>
    <s v="Jun-17"/>
    <s v="TLE Electrical - REEPRE12515_x000d__x000a_Cutting Wheel Metal 115 x 1 x 22mm Bore Premium Ultra Thin"/>
    <n v="13.7"/>
    <m/>
    <m/>
  </r>
  <r>
    <s v="INV"/>
    <s v="NBN Sydney"/>
    <s v="610219-762"/>
    <x v="0"/>
    <s v="Visionstream DJC"/>
    <x v="185"/>
    <d v="2017-06-29T00:00:00"/>
    <s v="Jun-17"/>
    <s v="TLE Electrical - EZYCT100G_x000d__x000a_Cable Tray W100mm D20mm 2.4m Galv Steel"/>
    <n v="54.12"/>
    <m/>
    <m/>
  </r>
  <r>
    <s v="INV"/>
    <s v="NBN Sydney"/>
    <s v="21883"/>
    <x v="9"/>
    <s v="Overhead Materials"/>
    <x v="119"/>
    <d v="2017-06-30T00:00:00"/>
    <s v="Jun-17"/>
    <s v="TANDEM - ISG Management Pty Ltd - 7300279_x000d__x000a_Adhesive, PVC 250mL Blue, Bottle of 250"/>
    <n v="14.6"/>
    <m/>
    <m/>
  </r>
  <r>
    <s v="INV"/>
    <s v="NBN Sydney"/>
    <s v="21883"/>
    <x v="9"/>
    <s v="Overhead Materials"/>
    <x v="119"/>
    <d v="2017-06-30T00:00:00"/>
    <s v="Jun-17"/>
    <s v="TANDEM - ISG Management Pty Ltd - 7300102_x000d__x000a_Bush, Pipe PVC 100mm ea"/>
    <n v="49.5"/>
    <m/>
    <m/>
  </r>
  <r>
    <s v="INV"/>
    <s v="NBN Sydney"/>
    <s v="21883"/>
    <x v="9"/>
    <s v="Overhead Materials"/>
    <x v="119"/>
    <d v="2017-06-30T00:00:00"/>
    <s v="Jun-17"/>
    <s v="TANDEM - ISG Management Pty Ltd - 9900173_x000d__x000a_Collar, Extension for P5 Pit, ea"/>
    <n v="181.4"/>
    <m/>
    <m/>
  </r>
  <r>
    <s v="INV"/>
    <s v="NBN Sydney"/>
    <s v="770209"/>
    <x v="9"/>
    <s v="Overhead Materials"/>
    <x v="119"/>
    <d v="2017-06-07T00:00:00"/>
    <s v="Jun-17"/>
    <s v="Boral Bitupave Limited - 051402_x000d__x000a_Coldmix - 1000kg Bulk Bag"/>
    <n v="255.75"/>
    <m/>
    <m/>
  </r>
  <r>
    <s v="INV"/>
    <s v="NBN Sydney"/>
    <s v="9508561"/>
    <x v="0"/>
    <s v="Minro Works DJC"/>
    <x v="176"/>
    <d v="2017-06-01T00:00:00"/>
    <s v="Jun-17"/>
    <s v="ALTUS Traffic - NBN MWA_x000d__x000a_Supply of traffic controllers at 74 Macquarie St, Parramatta_x000d__x000a_Job no: 610484875-0509 Docket: 610920234_x000d__x000a_Travel Time - Establishment 2 @ $30.00_x000d__x000a_2 Man Crew (Night) 4.50 @ $122.13"/>
    <n v="609.58000000000004"/>
    <m/>
    <m/>
  </r>
  <r>
    <s v="INV"/>
    <s v="NBN Sydney"/>
    <s v="9506687"/>
    <x v="0"/>
    <s v="Minro Works DJC"/>
    <x v="176"/>
    <d v="2017-06-01T00:00:00"/>
    <s v="Jun-17"/>
    <s v="ALTUS Traffic - Supply of traffic controllers at Reservoir Rd, Blacktown_x000d__x000a_Job # 610483856-0426_x000d__x000a_26/04/17 18:30-03:00_x000d__x000a_Docket 610915797"/>
    <n v="1501.72"/>
    <m/>
    <m/>
  </r>
  <r>
    <s v="INV"/>
    <s v="NBN Sydney"/>
    <s v="0004000A"/>
    <x v="0"/>
    <s v="NBN Greenfields DJC"/>
    <x v="168"/>
    <d v="2017-06-02T00:00:00"/>
    <s v="Jun-17"/>
    <s v="L &amp; M Trenchless - Mud Disposal per cost"/>
    <n v="1289.5999999999999"/>
    <m/>
    <m/>
  </r>
  <r>
    <s v="INV"/>
    <s v="NBN Sydney"/>
    <s v="0004000A"/>
    <x v="0"/>
    <s v="NBN Greenfields DJC"/>
    <x v="168"/>
    <d v="2017-06-02T00:00:00"/>
    <s v="Jun-17"/>
    <s v="L &amp; M Trenchless - AYCA-1BR2R4 Link Apartments Non-Destructive digging, disposal of materials including vehicle/crew/hours"/>
    <n v="1800"/>
    <m/>
    <m/>
  </r>
  <r>
    <s v="INV"/>
    <s v="NBN Sydney"/>
    <s v="9510384"/>
    <x v="0"/>
    <s v="NBN Greenfields DJC"/>
    <x v="208"/>
    <d v="2017-06-07T00:00:00"/>
    <s v="Jun-17"/>
    <s v="ALTUS Traffic - 2 Man Crew (OT1)"/>
    <n v="122.13"/>
    <m/>
    <m/>
  </r>
  <r>
    <s v="INV"/>
    <s v="NBN Sydney"/>
    <s v="9510384"/>
    <x v="0"/>
    <s v="NBN Greenfields DJC"/>
    <x v="208"/>
    <d v="2017-06-07T00:00:00"/>
    <s v="Jun-17"/>
    <s v="ALTUS Traffic - 2 Man Crew (Day)"/>
    <n v="808.08"/>
    <m/>
    <m/>
  </r>
  <r>
    <s v="INV"/>
    <s v="NBN Sydney"/>
    <s v="9510384"/>
    <x v="0"/>
    <s v="NBN Greenfields DJC"/>
    <x v="208"/>
    <d v="2017-06-07T00:00:00"/>
    <s v="Jun-17"/>
    <s v="ALTUS Traffic - Job#610488242-0526 MW20554-26-05-17 145 Princes Hwy Dapto_x000d__x000a_Docket 610925670 08:30-19:30 x 2_x000d__x000a_Travel Time - Establishment_x000d__x000a_"/>
    <n v="60"/>
    <m/>
    <m/>
  </r>
  <r>
    <s v="INV"/>
    <s v="NBN Sydney"/>
    <s v="01803479"/>
    <x v="0"/>
    <s v="Minro Works DJC"/>
    <x v="176"/>
    <d v="2017-06-10T00:00:00"/>
    <s v="Jun-17"/>
    <s v="5SMITHS - NBN MWA - 2BLK-02/07-MW20680_x000d__x000a_Installation of fibre joints and splicing"/>
    <n v="5037"/>
    <m/>
    <m/>
  </r>
  <r>
    <s v="INV"/>
    <s v="NBN Sydney"/>
    <s v="01803487"/>
    <x v="0"/>
    <s v="NBN Greenfeilds DJC"/>
    <x v="204"/>
    <d v="2017-06-11T00:00:00"/>
    <s v="Jun-17"/>
    <s v="5SMITHS - Jointing, Splicing and Testing at Wyong, Pacific Business Centre"/>
    <n v="549.22"/>
    <m/>
    <m/>
  </r>
  <r>
    <s v="INV"/>
    <s v="NBN Sydney"/>
    <s v="INV-0117"/>
    <x v="1"/>
    <s v="Overhead"/>
    <x v="3"/>
    <d v="2017-06-11T00:00:00"/>
    <s v="Jun-17"/>
    <s v="Warriewood Consultancy - Datateks Day Rate"/>
    <n v="11088.65"/>
    <m/>
    <m/>
  </r>
  <r>
    <s v="INV"/>
    <s v="AARNet Sydney"/>
    <s v="9512031"/>
    <x v="0"/>
    <s v="AARNet DJC"/>
    <x v="192"/>
    <d v="2017-06-11T00:00:00"/>
    <s v="Jun-17"/>
    <s v="ALTUS Traffic - Traffic Control Plan"/>
    <n v="150"/>
    <m/>
    <m/>
  </r>
  <r>
    <s v="INV"/>
    <s v="AARNet Sydney"/>
    <s v="9512031"/>
    <x v="0"/>
    <s v="AARNet DJC"/>
    <x v="192"/>
    <d v="2017-06-11T00:00:00"/>
    <s v="Jun-17"/>
    <s v="ALTUS Traffic - Job#610489728-0607 AARNETIPT2506-20170607_x000d__x000a_CNR Hevington &amp; Water Sts Auburn_x000d__x000a_Docket 610928984 05:15-11:00 x 2_x000d__x000a_Travel Time - Establishment_x000d__x000a_"/>
    <n v="60"/>
    <m/>
    <m/>
  </r>
  <r>
    <s v="INV"/>
    <s v="AARNet Sydney"/>
    <s v="9512031"/>
    <x v="0"/>
    <s v="AARNet DJC"/>
    <x v="192"/>
    <d v="2017-06-11T00:00:00"/>
    <s v="Jun-17"/>
    <s v="ALTUS Traffic - 2 Man Crew (Day)"/>
    <n v="404.04"/>
    <m/>
    <m/>
  </r>
  <r>
    <s v="INV"/>
    <s v="AARNet Sydney"/>
    <s v="INV-1078"/>
    <x v="0"/>
    <s v="AARNet DJC"/>
    <x v="192"/>
    <d v="2017-06-15T00:00:00"/>
    <s v="Jun-17"/>
    <s v="Complete Onsite Group - Traffic Control Works"/>
    <n v="3056.15"/>
    <m/>
    <m/>
  </r>
  <r>
    <s v="INV"/>
    <s v="AARNet Sydney"/>
    <s v="INV-1100"/>
    <x v="0"/>
    <s v="AARNet DJC"/>
    <x v="192"/>
    <d v="2017-06-21T00:00:00"/>
    <s v="Jun-17"/>
    <s v="Complete Onsite Group - Traffic Control Works"/>
    <n v="559.78"/>
    <m/>
    <m/>
  </r>
  <r>
    <s v="INV"/>
    <s v="NBN Sydney"/>
    <s v="9513613"/>
    <x v="0"/>
    <s v="NBN A417 DJC"/>
    <x v="209"/>
    <d v="2017-06-25T00:00:00"/>
    <s v="Jun-17"/>
    <s v="ALTUS Traffic - Supply of services at 276 Merrylands Rd, Merrylands_x000d__x000a_Traffic Control Plans @ $150.00_x000d__x000a_Permit Administration @ $85.00"/>
    <n v="235"/>
    <m/>
    <m/>
  </r>
  <r>
    <s v="INV"/>
    <s v="NBN Sydney"/>
    <s v="9513614"/>
    <x v="0"/>
    <s v="NBN A417 DJC"/>
    <x v="210"/>
    <d v="2017-06-25T00:00:00"/>
    <s v="Jun-17"/>
    <s v="ALTUS Traffic - Supply of services at 8 Merriville Rd, Kellyville Ridge_x000d__x000a_Traffic Control Plan @ $150.00_x000d__x000a_Permit Administration @ $85.00"/>
    <n v="235"/>
    <m/>
    <m/>
  </r>
  <r>
    <s v="INV"/>
    <s v="NBN Sydney"/>
    <s v="9513612"/>
    <x v="0"/>
    <s v="NBN A417 DJC"/>
    <x v="211"/>
    <d v="2017-06-25T00:00:00"/>
    <s v="Jun-17"/>
    <s v="ALTUS Traffic - Supply of services at 25 Hassal St, Parramatta_x000d__x000a_Traffic Control Plan @ $150.00_x000d__x000a_Permit Administration @ $85.00"/>
    <n v="235"/>
    <m/>
    <m/>
  </r>
  <r>
    <s v="INV"/>
    <s v="NBN Sydney"/>
    <s v="INV-0118"/>
    <x v="1"/>
    <s v="Overhead"/>
    <x v="3"/>
    <d v="2017-06-25T00:00:00"/>
    <s v="Jun-17"/>
    <s v="Warriewood Consultancy - Datateks Day Rate"/>
    <n v="10606.53"/>
    <m/>
    <m/>
  </r>
  <r>
    <s v="INV"/>
    <s v="NBN Sydney"/>
    <s v="9513611"/>
    <x v="0"/>
    <s v="NBN A417 DJC"/>
    <x v="212"/>
    <d v="2017-06-25T00:00:00"/>
    <s v="Jun-17"/>
    <s v="ALTUS Traffic - Supply of services at 88 Joseph St, Lidcombe_x000d__x000a_Job no: 610491882-0622_x000d__x000a_Traffic control plan @ $150.00_x000d__x000a_Permit Administration @ $85.00"/>
    <n v="235"/>
    <m/>
    <m/>
  </r>
  <r>
    <s v="INV"/>
    <s v="NBN Sydney"/>
    <s v="2268"/>
    <x v="0"/>
    <s v="NBN Greenfields DJC"/>
    <x v="213"/>
    <d v="2017-06-27T00:00:00"/>
    <s v="Jun-17"/>
    <s v="Schokman Pty Limited - MW20627 - AYCA-40UYFT - 2PKE-06 - Berkeley "/>
    <n v="4463.6499999999996"/>
    <m/>
    <m/>
  </r>
  <r>
    <s v="INV"/>
    <s v="NBN Sydney"/>
    <s v="2268"/>
    <x v="0"/>
    <s v="NBN Greenfields DJC"/>
    <x v="195"/>
    <d v="2017-06-27T00:00:00"/>
    <s v="Jun-17"/>
    <s v="Schokman Pty Limited - AYCA-38OMCL - Hephor Rd, Campbelltown"/>
    <n v="7761.2"/>
    <m/>
    <m/>
  </r>
  <r>
    <s v="INV"/>
    <s v="NBN Sydney"/>
    <s v="2268"/>
    <x v="0"/>
    <s v="NBN A417 DJC"/>
    <x v="205"/>
    <d v="2017-06-27T00:00:00"/>
    <s v="Jun-17"/>
    <s v="Schokman Pty Limited - MW20652 - AYCA-1CI2SU - Jenkins - 1 - East, West &amp; South"/>
    <n v="5213.26"/>
    <m/>
    <m/>
  </r>
  <r>
    <s v="INV"/>
    <s v="NBN Sydney"/>
    <s v="2268"/>
    <x v="0"/>
    <s v="NBN Greenfields DJC"/>
    <x v="214"/>
    <d v="2017-06-27T00:00:00"/>
    <s v="Jun-17"/>
    <s v="Schokman Pty Limited - MW20612 - AYCA-3NXX2P - 7 Cascade Circuit Albion Park"/>
    <n v="2586.91"/>
    <m/>
    <m/>
  </r>
  <r>
    <s v="INV"/>
    <s v="NBN Sydney"/>
    <s v="2268"/>
    <x v="0"/>
    <s v="NBN A417 DJC"/>
    <x v="212"/>
    <d v="2017-06-27T00:00:00"/>
    <s v="Jun-17"/>
    <s v="Schokman Pty Limited - MW20615 - AYCA-3ZMQUE - Grove Family Trust"/>
    <n v="1360.02"/>
    <m/>
    <m/>
  </r>
  <r>
    <s v="INV"/>
    <s v="NBN Sydney"/>
    <s v="2268"/>
    <x v="0"/>
    <s v="NBN Greenfields DJC"/>
    <x v="215"/>
    <d v="2017-06-27T00:00:00"/>
    <s v="Jun-17"/>
    <s v="Schokman Pty Limited - MW20613 - AYCA-3CGK8N - Tulkaba View - 1"/>
    <n v="2206.9299999999998"/>
    <m/>
    <m/>
  </r>
  <r>
    <s v="INV"/>
    <s v="NBN Sydney"/>
    <s v="2268"/>
    <x v="0"/>
    <s v="NBN Greenfields DJC"/>
    <x v="216"/>
    <d v="2017-06-27T00:00:00"/>
    <s v="Jun-17"/>
    <s v="Schokman Pty Limited - MW20725 - AYCA-3I8QKP - 6-8 Biara St, Bargo - 11"/>
    <n v="4104.7700000000004"/>
    <m/>
    <m/>
  </r>
  <r>
    <s v="INV"/>
    <s v="NBN Sydney"/>
    <s v="2268"/>
    <x v="0"/>
    <s v="NBN A417 DJC"/>
    <x v="210"/>
    <d v="2017-06-27T00:00:00"/>
    <s v="Jun-17"/>
    <s v="Schokman Pty Limited - MW20648 - AYCA-3BH4IQ - Lot A, 8 Merriville Rd"/>
    <n v="1777.9"/>
    <m/>
    <m/>
  </r>
  <r>
    <s v="INV"/>
    <s v="NBN Sydney"/>
    <s v="2268"/>
    <x v="0"/>
    <s v="NBN Greenfields DJC"/>
    <x v="207"/>
    <d v="2017-06-27T00:00:00"/>
    <s v="Jun-17"/>
    <s v="Schokman Pty Limited - AYCA-3KSRGR - Norberta, The Enterance"/>
    <n v="3006.33"/>
    <m/>
    <m/>
  </r>
  <r>
    <s v="INV"/>
    <s v="NBN Sydney"/>
    <s v="2268"/>
    <x v="0"/>
    <s v="NBN Greenfields DJC"/>
    <x v="204"/>
    <d v="2017-06-27T00:00:00"/>
    <s v="Jun-17"/>
    <s v="Schokman Pty Limited - AYCA-47OSBM - Pacific Business Centre"/>
    <n v="4756.46"/>
    <m/>
    <m/>
  </r>
  <r>
    <s v="INV"/>
    <s v="NBN Sydney"/>
    <s v="374012"/>
    <x v="0"/>
    <s v="NBN Greenfields DJC"/>
    <x v="217"/>
    <d v="2017-06-28T00:00:00"/>
    <s v="Jun-17"/>
    <s v="Central Coast Council - Reinstatement-Restoration Works_x000d__x000a_Dyer &amp; Debenham Rds, West Gosford_x000d__x000a_Order No: 2663_x000d__x000a_Ref: GOS-06"/>
    <n v="1925.79"/>
    <m/>
    <m/>
  </r>
  <r>
    <s v="INV"/>
    <s v="NBN Sydney"/>
    <s v="9513752"/>
    <x v="0"/>
    <s v="NBN Greenfields DJC"/>
    <x v="208"/>
    <d v="2017-06-30T00:00:00"/>
    <s v="Jun-17"/>
    <s v="ALTUS Traffic - 145 Princes Hwy, Dapto_x000d__x000a_Traffic control Plans and Permit Administration"/>
    <n v="235"/>
    <m/>
    <m/>
  </r>
  <r>
    <s v="INV"/>
    <s v="NBN Sydney"/>
    <s v="INV173458"/>
    <x v="1"/>
    <s v="Overhead"/>
    <x v="3"/>
    <d v="2017-06-21T00:00:00"/>
    <s v="Jun-17"/>
    <s v="Southland Supply Group - AE1031_x000d_ P2 Valved Disposable Respirator - Box of 10"/>
    <n v="58.86"/>
    <m/>
    <m/>
  </r>
  <r>
    <s v="PE"/>
    <s v="NBN Sydney"/>
    <s v="Payroll Expense Journal - PD-484"/>
    <x v="1"/>
    <s v="Overhead"/>
    <x v="3"/>
    <d v="2017-06-05T00:00:00"/>
    <s v="Jun-17"/>
    <s v="Earnings, Peter Jones Exit"/>
    <n v="30.65"/>
    <m/>
    <m/>
  </r>
  <r>
    <s v="PE"/>
    <s v="NBN Sydney"/>
    <s v="Payroll Expense Journal - PD-481"/>
    <x v="5"/>
    <s v="NBN Greenfields Internals"/>
    <x v="166"/>
    <d v="2017-06-05T00:00:00"/>
    <s v="Jun-17"/>
    <s v="Earnings"/>
    <n v="49.733283599999993"/>
    <m/>
    <m/>
  </r>
  <r>
    <s v="PE"/>
    <s v="AARNet Sydney"/>
    <s v="Payroll Expense Journal - PD-481"/>
    <x v="5"/>
    <s v="AARNet DJC Internals"/>
    <x v="192"/>
    <d v="2017-06-05T00:00:00"/>
    <s v="Jun-17"/>
    <s v="Earnings"/>
    <n v="24.866417999999999"/>
    <m/>
    <m/>
  </r>
  <r>
    <s v="PE"/>
    <s v="AARNet Sydney"/>
    <s v="Payroll Expense Journal - PD-485"/>
    <x v="5"/>
    <s v="AARNet DJC Internals"/>
    <x v="192"/>
    <d v="2017-06-12T00:00:00"/>
    <s v="Jun-17"/>
    <s v="Earnings"/>
    <n v="37.299627000000001"/>
    <m/>
    <m/>
  </r>
  <r>
    <s v="PE"/>
    <s v="NBN Sydney"/>
    <s v="Payroll Expense Journal - PD-485"/>
    <x v="5"/>
    <s v="NBN Greenfields Internals"/>
    <x v="187"/>
    <d v="2017-06-12T00:00:00"/>
    <s v="Jun-17"/>
    <s v="Earnings"/>
    <n v="18.6498135"/>
    <m/>
    <m/>
  </r>
  <r>
    <s v="PE"/>
    <s v="AARNet Sydney"/>
    <s v="Payroll Expense Journal - PD-487"/>
    <x v="5"/>
    <s v="AARNet DJC Internals"/>
    <x v="192"/>
    <d v="2017-06-19T00:00:00"/>
    <s v="Jun-17"/>
    <s v="Earnings"/>
    <n v="37.299627000000001"/>
    <m/>
    <m/>
  </r>
  <r>
    <s v="PE"/>
    <s v="NBN Sydney"/>
    <s v="Payroll Expense Journal - PD-487"/>
    <x v="5"/>
    <s v="NBN Greenfields Internals"/>
    <x v="214"/>
    <d v="2017-06-19T00:00:00"/>
    <s v="Jun-17"/>
    <s v="Earnings"/>
    <n v="18.6498135"/>
    <m/>
    <m/>
  </r>
  <r>
    <s v="PE"/>
    <s v="AARNet Sydney"/>
    <s v="Payroll Expense Journal - PD-489"/>
    <x v="5"/>
    <s v="AARNet DJC Internals"/>
    <x v="192"/>
    <d v="2017-06-26T00:00:00"/>
    <s v="Jun-17"/>
    <s v="Earnings"/>
    <n v="37.299627000000001"/>
    <m/>
    <m/>
  </r>
  <r>
    <s v="PE"/>
    <s v="NBN Sydney"/>
    <s v="Payroll Expense Journal - PD-489"/>
    <x v="5"/>
    <s v="NBN Greenfields Internals"/>
    <x v="218"/>
    <d v="2017-06-26T00:00:00"/>
    <s v="Jun-17"/>
    <s v="Earnings"/>
    <n v="18.6498135"/>
    <m/>
    <m/>
  </r>
  <r>
    <s v="PE"/>
    <s v="NBN Sydney"/>
    <s v="Tools"/>
    <x v="1"/>
    <s v="Overhead"/>
    <x v="3"/>
    <d v="2017-06-26T00:00:00"/>
    <s v="Jun-17"/>
    <s v="GC"/>
    <n v="37.299999999999997"/>
    <m/>
    <m/>
  </r>
  <r>
    <s v="PE"/>
    <s v="NBN Sydney"/>
    <s v="Tools"/>
    <x v="5"/>
    <s v="Visionstream DJC Internals"/>
    <x v="185"/>
    <d v="2017-06-26T00:00:00"/>
    <s v="Jun-17"/>
    <s v="AC"/>
    <n v="44.76"/>
    <m/>
    <m/>
  </r>
  <r>
    <s v="PE"/>
    <s v="NBN Sydney"/>
    <s v="Tools"/>
    <x v="5"/>
    <s v="Visionstream DJC Internals"/>
    <x v="185"/>
    <d v="2017-06-26T00:00:00"/>
    <s v="Jun-17"/>
    <s v="TN"/>
    <n v="37.299999999999997"/>
    <m/>
    <m/>
  </r>
  <r>
    <s v="PE"/>
    <s v="NBN Sydney"/>
    <s v="Payroll Expense Journal - PD-481"/>
    <x v="5"/>
    <s v="NBN Greenfields Internals"/>
    <x v="166"/>
    <d v="2017-06-05T00:00:00"/>
    <s v="Jun-17"/>
    <s v="Earnings"/>
    <n v="18.649999999999999"/>
    <m/>
    <m/>
  </r>
  <r>
    <s v="PE"/>
    <s v="NBN Sydney"/>
    <s v="Payroll Expense Journal - PD-485"/>
    <x v="5"/>
    <s v="NBN Greenfields Internals"/>
    <x v="187"/>
    <d v="2017-06-12T00:00:00"/>
    <s v="Jun-17"/>
    <s v="Earnings"/>
    <n v="18.649999999999999"/>
    <m/>
    <m/>
  </r>
  <r>
    <s v="PE"/>
    <s v="NBN Sydney"/>
    <s v="Payroll Expense Journal - PD-487"/>
    <x v="5"/>
    <s v="NBN Greenfields Internals"/>
    <x v="214"/>
    <d v="2017-06-19T00:00:00"/>
    <s v="Jun-17"/>
    <s v="Earnings"/>
    <n v="18.649999999999999"/>
    <m/>
    <m/>
  </r>
  <r>
    <s v="PE"/>
    <s v="VPL Sydney"/>
    <s v="Tools"/>
    <x v="5"/>
    <s v="Visionstream DJC Internals"/>
    <x v="185"/>
    <d v="2017-06-19T00:00:00"/>
    <s v="Jun-17"/>
    <s v="BB"/>
    <n v="37.299999999999997"/>
    <m/>
    <m/>
  </r>
  <r>
    <s v="PE"/>
    <s v="VPL Sydney"/>
    <s v="Tools"/>
    <x v="5"/>
    <s v="Visionstream DJC Internals"/>
    <x v="185"/>
    <d v="2017-06-19T00:00:00"/>
    <s v="Jun-17"/>
    <s v="MR"/>
    <n v="37.299999999999997"/>
    <m/>
    <m/>
  </r>
  <r>
    <s v="PE"/>
    <s v="NBN Sydney"/>
    <s v="Payroll Expense Journal - PD-489"/>
    <x v="5"/>
    <s v="NBN Greenfields Internals"/>
    <x v="218"/>
    <d v="2017-06-26T00:00:00"/>
    <s v="Jun-17"/>
    <s v="Reimbursements"/>
    <n v="14.87"/>
    <m/>
    <m/>
  </r>
  <r>
    <s v="PE"/>
    <s v="VPL Sydney"/>
    <s v="Payroll Expense Journal - PD-489"/>
    <x v="5"/>
    <s v="Visionstream DJC Internals"/>
    <x v="185"/>
    <d v="2017-06-26T00:00:00"/>
    <s v="Jun-17"/>
    <s v="Reimbursements - AC, 29/5/2017-2/6/2017"/>
    <n v="714.87"/>
    <m/>
    <m/>
  </r>
  <r>
    <s v="PE"/>
    <s v="NBN Sydney"/>
    <s v="Payroll Expense Journal - PD-489"/>
    <x v="1"/>
    <s v="Overhead"/>
    <x v="3"/>
    <d v="2017-06-26T00:00:00"/>
    <s v="Jun-17"/>
    <s v="Reimbursements - GC, 29/5/2017-2/6/2017"/>
    <n v="1698.25"/>
    <m/>
    <m/>
  </r>
  <r>
    <s v="PE"/>
    <s v="NBN Sydney"/>
    <s v="Payroll Expense Journal - PD-489"/>
    <x v="5"/>
    <s v="Visionstream DJC Internals"/>
    <x v="185"/>
    <d v="2017-06-26T00:00:00"/>
    <s v="Jun-17"/>
    <s v="Reimbursements-TN, 5/6/2017-9/6/2017"/>
    <n v="714.87"/>
    <m/>
    <m/>
  </r>
  <r>
    <s v="PE"/>
    <s v="NBN Sydney"/>
    <s v="Payroll Expense Journal - PD-489"/>
    <x v="1"/>
    <s v="Overhead"/>
    <x v="3"/>
    <d v="2017-06-26T00:00:00"/>
    <s v="Jun-17"/>
    <s v="Reimbursements - GC, 6/6/2017 - 8/06/2017"/>
    <n v="909.85"/>
    <m/>
    <m/>
  </r>
  <r>
    <s v="PE"/>
    <s v="VPL Sydney"/>
    <s v="Payroll Expense Journal - PD-489"/>
    <x v="5"/>
    <s v="Visionstream DJC Internals"/>
    <x v="185"/>
    <d v="2017-06-26T00:00:00"/>
    <s v="Jun-17"/>
    <s v="Reimbursements - CC, 6/6/2017 - 8/06/2017"/>
    <n v="364.87"/>
    <m/>
    <m/>
  </r>
  <r>
    <s v="PE"/>
    <s v="VPL Sydney"/>
    <s v="Payroll Expense Journal - PD-489"/>
    <x v="5"/>
    <s v="Visionstream DJC Internals"/>
    <x v="185"/>
    <d v="2017-06-26T00:00:00"/>
    <s v="Jun-17"/>
    <s v="Reimbursements-AC, 13/6/2017-17/6/2017"/>
    <n v="539.87"/>
    <m/>
    <m/>
  </r>
  <r>
    <s v="PE"/>
    <s v="NBN Sydney"/>
    <s v="Payroll Expense Journal - PD-489"/>
    <x v="1"/>
    <s v="Overhead"/>
    <x v="3"/>
    <d v="2017-06-26T00:00:00"/>
    <s v="Jun-17"/>
    <s v="Reimbursements - GC, 14/6/2017 - 16/6/2017"/>
    <n v="909.85"/>
    <m/>
    <m/>
  </r>
  <r>
    <s v="PE"/>
    <s v="VPL Sydney"/>
    <s v="Payroll Expense Journal - PD-489"/>
    <x v="5"/>
    <s v="Visionstream DJC Internals"/>
    <x v="185"/>
    <d v="2017-06-26T00:00:00"/>
    <s v="Jun-17"/>
    <s v="Reimbursements-TN, 19/6/2017-23/6/2017"/>
    <n v="714.87"/>
    <m/>
    <m/>
  </r>
  <r>
    <s v="PE"/>
    <s v="NBN Sydney"/>
    <s v="Payroll Expense Journal - PD-489"/>
    <x v="1"/>
    <s v="Overhead"/>
    <x v="3"/>
    <d v="2017-06-26T00:00:00"/>
    <s v="Jun-17"/>
    <s v="Reimbursements - GC, 21/6/2017-24/6/2017"/>
    <n v="1304.05"/>
    <m/>
    <m/>
  </r>
  <r>
    <s v="PE"/>
    <s v="VPL Sydney"/>
    <s v="Payroll Expense Journal - PD-489"/>
    <x v="5"/>
    <s v="Visionstream DJC Internals"/>
    <x v="185"/>
    <d v="2017-06-26T00:00:00"/>
    <s v="Jun-17"/>
    <s v="Reimbursements- AC, 23/6/2017-24/6/2017"/>
    <n v="189.87"/>
    <m/>
    <m/>
  </r>
  <r>
    <s v="PE"/>
    <s v="VPL Sydney"/>
    <s v="Payroll Expense Journal - PD-489"/>
    <x v="5"/>
    <s v="Visionstream DJC Internals"/>
    <x v="185"/>
    <d v="2017-06-26T00:00:00"/>
    <s v="Jun-17"/>
    <s v="Reimbursements - BB, 29/5/2017-2/6/2017"/>
    <n v="714.87"/>
    <m/>
    <m/>
  </r>
  <r>
    <s v="PE"/>
    <s v="VPL Sydney"/>
    <s v="Payroll Expense Journal - PD-489"/>
    <x v="5"/>
    <s v="Visionstream DJC Internals"/>
    <x v="185"/>
    <d v="2017-06-26T00:00:00"/>
    <s v="Jun-17"/>
    <s v="Reimbursements-MR, 5/6/2017-9/6/2017"/>
    <n v="714.87"/>
    <m/>
    <m/>
  </r>
  <r>
    <s v="PE"/>
    <s v="VPL Sydney"/>
    <s v="Payroll Expense Journal - PD-489"/>
    <x v="5"/>
    <s v="Visionstream DJC Internals"/>
    <x v="185"/>
    <d v="2017-06-26T00:00:00"/>
    <s v="Jun-17"/>
    <s v="Reimbursements-MR, 5/6/2017-9/6/2017"/>
    <n v="539.87"/>
    <m/>
    <m/>
  </r>
  <r>
    <s v="PE"/>
    <s v="VPL Sydney"/>
    <s v="Payroll Expense Journal - PD-489"/>
    <x v="5"/>
    <s v="Visionstream DJC Internals"/>
    <x v="185"/>
    <d v="2017-06-26T00:00:00"/>
    <s v="Jun-17"/>
    <s v="Reimbursements - BB, 19/6/2017-24/6/2017"/>
    <n v="919.61"/>
    <m/>
    <m/>
  </r>
  <r>
    <s v="PE"/>
    <s v="NBN Sydney"/>
    <s v="Payroll Expense Journal - PD-484"/>
    <x v="1"/>
    <s v="Overhead"/>
    <x v="3"/>
    <d v="2017-06-05T00:00:00"/>
    <s v="Jun-17"/>
    <s v="Earnings"/>
    <n v="2334.69"/>
    <m/>
    <m/>
  </r>
  <r>
    <s v="PE"/>
    <s v="NBN Sydney"/>
    <s v="Payroll Expense Journal - PD-481"/>
    <x v="1"/>
    <s v="Overhead"/>
    <x v="3"/>
    <d v="2017-06-05T00:00:00"/>
    <s v="Jun-17"/>
    <s v="Earnings"/>
    <n v="2059.3260000000009"/>
    <m/>
    <m/>
  </r>
  <r>
    <s v="PE"/>
    <s v="NBN Sydney"/>
    <s v="Payroll Expense Journal - PD-481"/>
    <x v="5"/>
    <s v="NBN Greenfields Internals"/>
    <x v="208"/>
    <d v="2017-06-05T00:00:00"/>
    <s v="Jun-17"/>
    <s v="Earnings, GB &amp; BC"/>
    <n v="286.05500000000001"/>
    <m/>
    <m/>
  </r>
  <r>
    <s v="PE"/>
    <s v="NBN Sydney"/>
    <s v="Payroll Expense Journal - PD-481"/>
    <x v="5"/>
    <s v="NBN Greenfields Internals"/>
    <x v="219"/>
    <d v="2017-06-05T00:00:00"/>
    <s v="Jun-17"/>
    <s v="Earnings, GB &amp; BC"/>
    <n v="273.05250000000001"/>
    <m/>
    <m/>
  </r>
  <r>
    <s v="PE"/>
    <s v="NBN Sydney"/>
    <s v="Payroll Expense Journal - PD-481"/>
    <x v="5"/>
    <s v="NBN Greenfields Internals"/>
    <x v="220"/>
    <d v="2017-06-05T00:00:00"/>
    <s v="Jun-17"/>
    <s v="Earnings, GB &amp; BC"/>
    <n v="638.42274999999995"/>
    <m/>
    <m/>
  </r>
  <r>
    <s v="PE"/>
    <s v="NBN Sydney"/>
    <s v="Payroll Expense Journal - PD-481"/>
    <x v="5"/>
    <s v="NBN Greenfields Internals"/>
    <x v="187"/>
    <d v="2017-06-05T00:00:00"/>
    <s v="Jun-17"/>
    <s v="Earnings, GB &amp; BC"/>
    <n v="445.98575"/>
    <m/>
    <m/>
  </r>
  <r>
    <s v="PE"/>
    <s v="NBN Sydney"/>
    <s v="Payroll Expense Journal - PD-481"/>
    <x v="5"/>
    <s v="NBN Greenfields Internals"/>
    <x v="166"/>
    <d v="2017-06-05T00:00:00"/>
    <s v="Jun-17"/>
    <s v="Earnings, GB &amp; BC"/>
    <n v="1165.0240000000001"/>
    <m/>
    <m/>
  </r>
  <r>
    <s v="PE"/>
    <s v="NBN Sydney"/>
    <s v="Payroll Expense Journal - PD-481"/>
    <x v="5"/>
    <s v="NBN Greenfields Internals"/>
    <x v="219"/>
    <d v="2017-06-05T00:00:00"/>
    <s v="Jun-17"/>
    <s v="Earnings, KE &amp; AC"/>
    <n v="694.94399999999996"/>
    <m/>
    <m/>
  </r>
  <r>
    <s v="PE"/>
    <s v="NBN Sydney"/>
    <s v="Payroll Expense Journal - PD-481"/>
    <x v="5"/>
    <s v="NBN Greenfields Internals"/>
    <x v="221"/>
    <d v="2017-06-05T00:00:00"/>
    <s v="Jun-17"/>
    <s v="Earnings, KE &amp; AC"/>
    <n v="1408.1759999999999"/>
    <m/>
    <m/>
  </r>
  <r>
    <s v="PE"/>
    <s v="NBN Sydney"/>
    <s v="Payroll Expense Journal - PD-481"/>
    <x v="5"/>
    <s v="NBN Greenfields Internals"/>
    <x v="166"/>
    <d v="2017-06-05T00:00:00"/>
    <s v="Jun-17"/>
    <s v="Earnings, KE &amp; AC"/>
    <n v="2139.6959999999999"/>
    <m/>
    <m/>
  </r>
  <r>
    <s v="PE"/>
    <s v="NBN Sydney"/>
    <s v="Payroll Expense Journal - PD-481"/>
    <x v="5"/>
    <s v="NBN Greenfields Internals"/>
    <x v="220"/>
    <d v="2017-06-05T00:00:00"/>
    <s v="Jun-17"/>
    <s v="Earnings, KE &amp; AC"/>
    <n v="1001.2679999999998"/>
    <m/>
    <m/>
  </r>
  <r>
    <s v="PE"/>
    <s v="NBN Sydney"/>
    <s v="Payroll Expense Journal - PD-485"/>
    <x v="1"/>
    <s v="Overhead"/>
    <x v="3"/>
    <d v="2017-06-12T00:00:00"/>
    <s v="Jun-17"/>
    <s v="Earnings"/>
    <n v="387.99230000000034"/>
    <m/>
    <m/>
  </r>
  <r>
    <s v="PE"/>
    <s v="NBN Sydney"/>
    <s v="Payroll Expense Journal - PD-485"/>
    <x v="5"/>
    <s v="NBN Greenfields Internals"/>
    <x v="187"/>
    <d v="2017-06-12T00:00:00"/>
    <s v="Jun-17"/>
    <s v="Earnings, GB &amp; BC"/>
    <n v="1874.9605000000001"/>
    <m/>
    <m/>
  </r>
  <r>
    <s v="PE"/>
    <s v="NBN Sydney"/>
    <s v="Payroll Expense Journal - PD-485"/>
    <x v="5"/>
    <s v="NBN Minor Works Internals"/>
    <x v="222"/>
    <d v="2017-06-12T00:00:00"/>
    <s v="Jun-17"/>
    <s v="Earnings, GB &amp; BC"/>
    <n v="1341.8579999999999"/>
    <m/>
    <m/>
  </r>
  <r>
    <s v="PE"/>
    <s v="AARNet Sydney"/>
    <s v="Payroll Expense Journal - PD-485"/>
    <x v="5"/>
    <s v="AARNet DJC Internals"/>
    <x v="192"/>
    <d v="2017-06-12T00:00:00"/>
    <s v="Jun-17"/>
    <s v="Earnings, KE &amp; AC"/>
    <n v="3151.5231999999996"/>
    <m/>
    <m/>
  </r>
  <r>
    <s v="PE"/>
    <s v="NBN Sydney"/>
    <s v="Payroll Expense Journal - PD-485"/>
    <x v="5"/>
    <s v="NBN Greenfields Internals"/>
    <x v="221"/>
    <d v="2017-06-12T00:00:00"/>
    <s v="Jun-17"/>
    <s v="Earnings, KE &amp; AC"/>
    <n v="830.22799999999995"/>
    <s v=" "/>
    <m/>
  </r>
  <r>
    <s v="PE"/>
    <s v="NBN Sydney"/>
    <s v="Payroll Expense Journal - PD-485"/>
    <x v="5"/>
    <s v="NBN Greenfields Internals"/>
    <x v="220"/>
    <d v="2017-06-12T00:00:00"/>
    <s v="Jun-17"/>
    <s v="Earnings, KE &amp; AC"/>
    <n v="718.78800000000001"/>
    <m/>
    <m/>
  </r>
  <r>
    <s v="PE"/>
    <s v="NBN Sydney"/>
    <s v="Payroll Expense Journal - PD-487"/>
    <x v="1"/>
    <s v="Overhead"/>
    <x v="3"/>
    <d v="2017-06-19T00:00:00"/>
    <s v="Jun-17"/>
    <s v="Earnings"/>
    <n v="2108.915500000001"/>
    <m/>
    <m/>
  </r>
  <r>
    <s v="PE"/>
    <s v="NBN Sydney"/>
    <s v="Payroll Expense Journal - PD-487"/>
    <x v="5"/>
    <s v="NBN Greenfields Internals"/>
    <x v="166"/>
    <d v="2017-06-19T00:00:00"/>
    <s v="Jun-17"/>
    <s v="Earnings, GB &amp; BC"/>
    <n v="312.31200000000001"/>
    <m/>
    <m/>
  </r>
  <r>
    <s v="PE"/>
    <s v="NBN Sydney"/>
    <s v="Payroll Expense Journal - PD-487"/>
    <x v="5"/>
    <s v="NBN Greenfields Internals"/>
    <x v="214"/>
    <d v="2017-06-19T00:00:00"/>
    <s v="Jun-17"/>
    <s v="Earnings, GB &amp; BC"/>
    <n v="1183.2275"/>
    <m/>
    <m/>
  </r>
  <r>
    <s v="PE"/>
    <s v="NBN Sydney"/>
    <s v="Payroll Expense Journal - PD-487"/>
    <x v="5"/>
    <s v="NBN Minor Works Internals"/>
    <x v="223"/>
    <d v="2017-06-19T00:00:00"/>
    <s v="Jun-17"/>
    <s v="Earnings, GB &amp; BC"/>
    <n v="582.51199999999994"/>
    <m/>
    <m/>
  </r>
  <r>
    <s v="PE"/>
    <s v="AARNet Sydney"/>
    <s v="Payroll Expense Journal - PD-487"/>
    <x v="5"/>
    <s v="AARNet DJC Internals"/>
    <x v="192"/>
    <d v="2017-06-19T00:00:00"/>
    <s v="Jun-17"/>
    <s v="Earnings, KE &amp; AC"/>
    <n v="2425.2129999999997"/>
    <m/>
    <m/>
  </r>
  <r>
    <s v="PE"/>
    <s v="NBN Sydney"/>
    <s v="Payroll Expense Journal - PD-553"/>
    <x v="5"/>
    <s v="NBN Greenfields Internals"/>
    <x v="214"/>
    <d v="2017-06-26T00:00:00"/>
    <s v="Jun-17"/>
    <s v="Earnings"/>
    <n v="40"/>
    <m/>
    <m/>
  </r>
  <r>
    <s v="PE"/>
    <s v="NBN Sydney"/>
    <s v="Payroll Expense Journal - PD-543"/>
    <x v="1"/>
    <s v="Overhead Credit"/>
    <x v="3"/>
    <d v="2017-06-26T00:00:00"/>
    <s v="Jun-17"/>
    <s v="Earnings"/>
    <m/>
    <s v="Overhead Credit"/>
    <n v="23.08"/>
  </r>
  <r>
    <s v="PE"/>
    <s v="NBN Sydney"/>
    <s v="Payroll Expense Journal - PD-489"/>
    <x v="1"/>
    <s v="Overhead"/>
    <x v="3"/>
    <d v="2017-06-26T00:00:00"/>
    <s v="Jun-17"/>
    <s v="Earnings"/>
    <n v="1518.9883"/>
    <m/>
    <m/>
  </r>
  <r>
    <s v="PE"/>
    <s v="NBN Sydney"/>
    <s v="Payroll Expense Journal - PD-489"/>
    <x v="5"/>
    <s v="NBN Greenfields Internals"/>
    <x v="218"/>
    <d v="2017-06-26T00:00:00"/>
    <s v="Jun-17"/>
    <s v="Earnings, GB &amp; BC"/>
    <n v="1737.134"/>
    <m/>
    <m/>
  </r>
  <r>
    <s v="PE"/>
    <s v="NBN Sydney"/>
    <s v="Payroll Expense Journal - PD-489"/>
    <x v="5"/>
    <s v="NBN Greenfields Internals"/>
    <x v="193"/>
    <d v="2017-06-26T00:00:00"/>
    <s v="Jun-17"/>
    <s v="Earnings, GB &amp; BC"/>
    <n v="465.48950000000002"/>
    <m/>
    <m/>
  </r>
  <r>
    <s v="PE"/>
    <s v="AARNet Sydney"/>
    <s v="Payroll Expense Journal - PD-489"/>
    <x v="5"/>
    <s v="AARNet DJC Internals"/>
    <x v="192"/>
    <d v="2017-06-26T00:00:00"/>
    <s v="Jun-17"/>
    <s v="Earnings, GB &amp; BC"/>
    <n v="448.1880000000001"/>
    <m/>
    <m/>
  </r>
  <r>
    <s v="PE"/>
    <s v="NBN Sydney"/>
    <s v="Payroll Expense Journal - PD-489"/>
    <x v="5"/>
    <s v="NBN Minor Works Internals"/>
    <x v="224"/>
    <d v="2017-06-26T00:00:00"/>
    <s v="Jun-17"/>
    <s v="Earnings, GB &amp; BC"/>
    <n v="181.50600000000003"/>
    <m/>
    <m/>
  </r>
  <r>
    <s v="PE"/>
    <s v="NBN Sydney"/>
    <s v="Payroll Expense Journal - PD-489"/>
    <x v="5"/>
    <s v="AARNet DJC Internals"/>
    <x v="192"/>
    <d v="2017-06-26T00:00:00"/>
    <s v="Jun-17"/>
    <s v="Earnings, KE &amp; AC"/>
    <n v="1239.77"/>
    <m/>
    <m/>
  </r>
  <r>
    <s v="PE"/>
    <s v="NBN Sydney"/>
    <s v="Payroll Expense Journal - PD-489"/>
    <x v="5"/>
    <s v="NBN Minor Works Internals"/>
    <x v="224"/>
    <d v="2017-06-26T00:00:00"/>
    <s v="Jun-17"/>
    <s v="Earnings, KE &amp; AC"/>
    <n v="334.32"/>
    <m/>
    <m/>
  </r>
  <r>
    <s v="PE"/>
    <s v="NBN Sydney"/>
    <s v="Payroll Expense Journal - PD-489"/>
    <x v="5"/>
    <s v="NBN Greenfields Internals"/>
    <x v="225"/>
    <d v="2017-06-26T00:00:00"/>
    <s v="Jun-17"/>
    <s v="Earnings, KE &amp; AC"/>
    <n v="1810.0641999999998"/>
    <m/>
    <m/>
  </r>
  <r>
    <s v="PE"/>
    <s v="NBN Sydney"/>
    <s v="Wages"/>
    <x v="1"/>
    <s v="Overhead"/>
    <x v="3"/>
    <d v="2017-06-26T00:00:00"/>
    <s v="Jun-17"/>
    <s v="GC"/>
    <n v="3255.38"/>
    <m/>
    <m/>
  </r>
  <r>
    <s v="PE"/>
    <s v="VPL Sydney"/>
    <s v="Wages"/>
    <x v="5"/>
    <s v="Visionstream DJC Internals"/>
    <x v="185"/>
    <d v="2017-06-26T00:00:00"/>
    <s v="Jun-17"/>
    <s v="AC"/>
    <n v="5236.2700000000004"/>
    <m/>
    <m/>
  </r>
  <r>
    <s v="PE"/>
    <s v="VPL Sydney"/>
    <s v="Wages"/>
    <x v="5"/>
    <s v="Visionstream DJC Internals"/>
    <x v="185"/>
    <d v="2017-06-26T00:00:00"/>
    <s v="Jun-17"/>
    <s v="TN"/>
    <n v="3265.45"/>
    <m/>
    <m/>
  </r>
  <r>
    <s v="PE"/>
    <s v="NBN Sydney"/>
    <s v="Payroll Expense Journal - PD-481"/>
    <x v="1"/>
    <s v="Overhead"/>
    <x v="3"/>
    <d v="2017-06-05T00:00:00"/>
    <s v="Jun-17"/>
    <s v="Earnings  BC"/>
    <n v="1051.26"/>
    <m/>
    <m/>
  </r>
  <r>
    <s v="PE"/>
    <s v="NBN Sydney"/>
    <s v="Payroll Expense Journal - PD-485"/>
    <x v="1"/>
    <s v="Overhead"/>
    <x v="3"/>
    <d v="2017-06-12T00:00:00"/>
    <s v="Jun-17"/>
    <s v="Earnings  BC"/>
    <n v="1156.23"/>
    <m/>
    <m/>
  </r>
  <r>
    <s v="PE"/>
    <s v="NBN Sydney"/>
    <s v="Payroll Expense Journal - PD-487"/>
    <x v="1"/>
    <s v="Overhead"/>
    <x v="3"/>
    <d v="2017-06-19T00:00:00"/>
    <s v="Jun-17"/>
    <s v="Earnings  BC"/>
    <n v="837.48"/>
    <m/>
    <m/>
  </r>
  <r>
    <s v="PE"/>
    <s v="NBN Sydney"/>
    <s v="Payroll Expense Journal - PD-553"/>
    <x v="1"/>
    <s v="Overhead Credit"/>
    <x v="3"/>
    <d v="2017-06-26T00:00:00"/>
    <s v="Jun-17"/>
    <s v="Earnings  BC"/>
    <m/>
    <s v="Overhead Credit"/>
    <n v="40"/>
  </r>
  <r>
    <s v="PE"/>
    <s v="NBN Sydney"/>
    <s v="Payroll Expense Journal - PD-489"/>
    <x v="1"/>
    <s v="Overhead"/>
    <x v="3"/>
    <d v="2017-06-26T00:00:00"/>
    <s v="Jun-17"/>
    <s v="Earnings  BC"/>
    <n v="1144.33"/>
    <m/>
    <m/>
  </r>
  <r>
    <s v="PE"/>
    <s v="VPL Sydney"/>
    <s v="Wages"/>
    <x v="5"/>
    <s v="Visionstream DJC Internals"/>
    <x v="185"/>
    <d v="2017-06-26T00:00:00"/>
    <s v="Jun-17"/>
    <s v="MR"/>
    <n v="2219.35"/>
    <m/>
    <m/>
  </r>
  <r>
    <s v="PE"/>
    <s v="VPL Sydney"/>
    <s v="Wages"/>
    <x v="5"/>
    <s v="Visionstream DJC Internals"/>
    <x v="185"/>
    <d v="2017-06-26T00:00:00"/>
    <s v="Jun-17"/>
    <s v="BB"/>
    <n v="3159.4"/>
    <m/>
    <m/>
  </r>
  <r>
    <s v="PE"/>
    <s v="NBN Sydney"/>
    <s v="Payroll Expense Journal - PD-484"/>
    <x v="1"/>
    <s v="Overhead"/>
    <x v="3"/>
    <d v="2017-06-05T00:00:00"/>
    <s v="Jun-17"/>
    <s v="Superannuation Expense"/>
    <n v="211.68"/>
    <m/>
    <m/>
  </r>
  <r>
    <s v="PE"/>
    <s v="NBN Sydney"/>
    <s v="Payroll Expense Journal - PD-481"/>
    <x v="1"/>
    <s v="Overhead"/>
    <x v="3"/>
    <d v="2017-06-05T00:00:00"/>
    <s v="Jun-17"/>
    <s v="Superannuation Expense"/>
    <n v="752.69"/>
    <m/>
    <m/>
  </r>
  <r>
    <s v="PE"/>
    <s v="NBN Sydney"/>
    <s v="Payroll Expense Journal - PD-481"/>
    <x v="5"/>
    <s v="NBN Greenfields Internals"/>
    <x v="208"/>
    <d v="2017-06-05T00:00:00"/>
    <s v="Jun-17"/>
    <s v="Superannuation Expense, GB &amp; BC"/>
    <n v="27.175225000000005"/>
    <m/>
    <m/>
  </r>
  <r>
    <s v="PE"/>
    <s v="NBN Sydney"/>
    <s v="Payroll Expense Journal - PD-481"/>
    <x v="5"/>
    <s v="NBN Greenfields Internals"/>
    <x v="219"/>
    <d v="2017-06-05T00:00:00"/>
    <s v="Jun-17"/>
    <s v="Superannuation Expense, GB &amp; BC"/>
    <n v="25.939987500000001"/>
    <m/>
    <m/>
  </r>
  <r>
    <s v="PE"/>
    <s v="NBN Sydney"/>
    <s v="Payroll Expense Journal - PD-481"/>
    <x v="5"/>
    <s v="NBN Greenfields Internals"/>
    <x v="220"/>
    <d v="2017-06-05T00:00:00"/>
    <s v="Jun-17"/>
    <s v="Superannuation Expense, GB &amp; BC"/>
    <n v="49.162452500000001"/>
    <m/>
    <m/>
  </r>
  <r>
    <s v="PE"/>
    <s v="NBN Sydney"/>
    <s v="Payroll Expense Journal - PD-481"/>
    <x v="5"/>
    <s v="NBN Greenfields Internals"/>
    <x v="187"/>
    <d v="2017-06-05T00:00:00"/>
    <s v="Jun-17"/>
    <s v="Superannuation Expense, GB &amp; BC"/>
    <n v="37.551220000000001"/>
    <m/>
    <m/>
  </r>
  <r>
    <s v="PE"/>
    <s v="NBN Sydney"/>
    <s v="Payroll Expense Journal - PD-481"/>
    <x v="5"/>
    <s v="NBN Greenfields Internals"/>
    <x v="166"/>
    <d v="2017-06-05T00:00:00"/>
    <s v="Jun-17"/>
    <s v="Superannuation Expense, GB &amp; BC"/>
    <n v="37.551220000000001"/>
    <m/>
    <m/>
  </r>
  <r>
    <s v="PE"/>
    <s v="NBN Sydney"/>
    <s v="Payroll Expense Journal - PD-481"/>
    <x v="5"/>
    <s v="NBN Greenfields Internals"/>
    <x v="219"/>
    <d v="2017-06-05T00:00:00"/>
    <s v="Jun-17"/>
    <s v="Superannuation Expense, KR &amp; AC"/>
    <n v="40.229839999999996"/>
    <m/>
    <m/>
  </r>
  <r>
    <s v="PE"/>
    <s v="NBN Sydney"/>
    <s v="Payroll Expense Journal - PD-481"/>
    <x v="5"/>
    <s v="NBN Greenfields Internals"/>
    <x v="166"/>
    <d v="2017-06-05T00:00:00"/>
    <s v="Jun-17"/>
    <s v="Superannuation Expense, KR &amp; AC"/>
    <n v="40.229839999999996"/>
    <m/>
    <m/>
  </r>
  <r>
    <s v="PE"/>
    <s v="NBN Sydney"/>
    <s v="Payroll Expense Journal - PD-481"/>
    <x v="5"/>
    <s v="NBN Greenfields Internals"/>
    <x v="220"/>
    <d v="2017-06-05T00:00:00"/>
    <s v="Jun-17"/>
    <s v="Superannuation Expense, KR &amp; AC"/>
    <n v="40.229839999999996"/>
    <m/>
    <m/>
  </r>
  <r>
    <s v="PE"/>
    <s v="NBN Sydney"/>
    <s v="Payroll Expense Journal - PD-485"/>
    <x v="1"/>
    <s v="Overhead"/>
    <x v="3"/>
    <d v="2017-06-12T00:00:00"/>
    <s v="Jun-17"/>
    <s v="Superannuation Expense"/>
    <n v="604.09"/>
    <m/>
    <m/>
  </r>
  <r>
    <s v="PE"/>
    <s v="NBN Sydney"/>
    <s v="Payroll Expense Journal - PD-485"/>
    <x v="5"/>
    <s v="NBN Greenfields Internals"/>
    <x v="187"/>
    <d v="2017-06-12T00:00:00"/>
    <s v="Jun-17"/>
    <s v="Superannuation Expense, GB &amp; BC"/>
    <n v="112.65366"/>
    <m/>
    <m/>
  </r>
  <r>
    <s v="PE"/>
    <s v="NBN Sydney"/>
    <s v="Payroll Expense Journal - PD-485"/>
    <x v="5"/>
    <s v="NBN Minor Works Internals"/>
    <x v="222"/>
    <d v="2017-06-12T00:00:00"/>
    <s v="Jun-17"/>
    <s v="Superannuation Expense, GB &amp; BC"/>
    <n v="75.102440000000001"/>
    <m/>
    <m/>
  </r>
  <r>
    <s v="PE"/>
    <s v="AARNet Sydney"/>
    <s v="Payroll Expense Journal - PD-485"/>
    <x v="5"/>
    <s v="AARNet DJC Internals"/>
    <x v="192"/>
    <d v="2017-06-12T00:00:00"/>
    <s v="Jun-17"/>
    <s v="Superannuation Expense, KR &amp; AC"/>
    <n v="160.91935999999998"/>
    <m/>
    <m/>
  </r>
  <r>
    <s v="PE"/>
    <s v="NBN Sydney"/>
    <s v="Payroll Expense Journal - PD-485"/>
    <x v="5"/>
    <s v="NBN Greenfields Internals"/>
    <x v="221"/>
    <d v="2017-06-12T00:00:00"/>
    <s v="Jun-17"/>
    <s v="Superannuation Expense, KR &amp; AC"/>
    <n v="40.229839999999996"/>
    <m/>
    <m/>
  </r>
  <r>
    <s v="PE"/>
    <s v="NBN Sydney"/>
    <s v="Payroll Expense Journal - PD-485"/>
    <x v="5"/>
    <s v="NBN Greenfields Internals"/>
    <x v="220"/>
    <d v="2017-06-12T00:00:00"/>
    <s v="Jun-17"/>
    <s v="Superannuation Expense, KR &amp; AC"/>
    <n v="0.52934000000000003"/>
    <m/>
    <m/>
  </r>
  <r>
    <s v="PE"/>
    <s v="NBN Sydney"/>
    <s v="Payroll Expense Journal - PD-487"/>
    <x v="1"/>
    <s v="Overhead"/>
    <x v="3"/>
    <d v="2017-06-19T00:00:00"/>
    <s v="Jun-17"/>
    <s v="Superannuation Expense"/>
    <n v="604.09"/>
    <m/>
    <m/>
  </r>
  <r>
    <s v="PE"/>
    <s v="NBN Sydney"/>
    <s v="Payroll Expense Journal - PD-487"/>
    <x v="5"/>
    <s v="NBN Greenfields Internals"/>
    <x v="166"/>
    <d v="2017-06-19T00:00:00"/>
    <s v="Jun-17"/>
    <s v="Superannuation Expense, GB &amp; BC"/>
    <n v="37.551220000000001"/>
    <m/>
    <m/>
  </r>
  <r>
    <s v="PE"/>
    <s v="NBN Sydney"/>
    <s v="Payroll Expense Journal - PD-487"/>
    <x v="5"/>
    <s v="NBN Greenfields Internals"/>
    <x v="214"/>
    <d v="2017-06-19T00:00:00"/>
    <s v="Jun-17"/>
    <s v="Superannuation Expense, GB &amp; BC"/>
    <n v="75.102440000000001"/>
    <m/>
    <m/>
  </r>
  <r>
    <s v="PE"/>
    <s v="NBN Sydney"/>
    <s v="Payroll Expense Journal - PD-487"/>
    <x v="5"/>
    <s v="NBN Minor Works Internals"/>
    <x v="223"/>
    <d v="2017-06-19T00:00:00"/>
    <s v="Jun-17"/>
    <s v="Superannuation Expense, GB &amp; BC"/>
    <n v="37.551220000000001"/>
    <m/>
    <m/>
  </r>
  <r>
    <s v="PE"/>
    <s v="NBN Sydney"/>
    <s v="Payroll Expense Journal - PD-487"/>
    <x v="5"/>
    <s v="AARNet DJC Internals"/>
    <x v="192"/>
    <d v="2017-06-19T00:00:00"/>
    <s v="Jun-17"/>
    <s v="Superannuation Expense, KR &amp; AC"/>
    <n v="160.91935999999998"/>
    <m/>
    <m/>
  </r>
  <r>
    <s v="PE"/>
    <s v="NBN Sydney"/>
    <s v="Payroll Expense Journal - PD-489"/>
    <x v="1"/>
    <s v="Overhead"/>
    <x v="3"/>
    <d v="2017-06-26T00:00:00"/>
    <s v="Jun-17"/>
    <s v="Superannuation Expense"/>
    <n v="609.74"/>
    <m/>
    <m/>
  </r>
  <r>
    <s v="PE"/>
    <s v="NBN Sydney"/>
    <s v="Payroll Expense Journal - PD-489"/>
    <x v="5"/>
    <s v="NBN Greenfields Internals"/>
    <x v="218"/>
    <d v="2017-06-26T00:00:00"/>
    <s v="Jun-17"/>
    <s v="Superannuation Expense, GB &amp; BC"/>
    <n v="37.551220000000001"/>
    <m/>
    <m/>
  </r>
  <r>
    <s v="PE"/>
    <s v="NBN Sydney"/>
    <s v="Payroll Expense Journal - PD-489"/>
    <x v="5"/>
    <s v="NBN Greenfields Internals"/>
    <x v="193"/>
    <d v="2017-06-26T00:00:00"/>
    <s v="Jun-17"/>
    <s v="Superannuation Expense, GB &amp; BC"/>
    <n v="37.551220000000001"/>
    <m/>
    <m/>
  </r>
  <r>
    <s v="PE"/>
    <s v="AARNet Sydney"/>
    <s v="Payroll Expense Journal - PD-489"/>
    <x v="5"/>
    <s v="AARNet DJC Internals"/>
    <x v="192"/>
    <d v="2017-06-26T00:00:00"/>
    <s v="Jun-17"/>
    <s v="Superannuation Expense, GB &amp; BC"/>
    <n v="75.102440000000001"/>
    <m/>
    <m/>
  </r>
  <r>
    <s v="PE"/>
    <s v="NBN Sydney"/>
    <s v="Payroll Expense Journal - PD-489"/>
    <x v="5"/>
    <s v="NBN Minor Works Internals"/>
    <x v="224"/>
    <d v="2017-06-26T00:00:00"/>
    <s v="Jun-17"/>
    <s v="Superannuation Expense, GB &amp; BC"/>
    <n v="37.551220000000001"/>
    <m/>
    <m/>
  </r>
  <r>
    <s v="PE"/>
    <s v="AARNet Sydney"/>
    <s v="Payroll Expense Journal - PD-489"/>
    <x v="5"/>
    <s v="AARNet DJC Internals"/>
    <x v="192"/>
    <d v="2017-06-26T00:00:00"/>
    <s v="Jun-17"/>
    <s v="Superannuation Expense, KR &amp; AC"/>
    <n v="80.459679999999992"/>
    <m/>
    <m/>
  </r>
  <r>
    <s v="PE"/>
    <s v="NBN Sydney"/>
    <s v="Payroll Expense Journal - PD-489"/>
    <x v="5"/>
    <s v="NBN Minor Works Internals"/>
    <x v="224"/>
    <d v="2017-06-26T00:00:00"/>
    <s v="Jun-17"/>
    <s v="Superannuation Expense, KR &amp; AC"/>
    <n v="31.760399999999997"/>
    <m/>
    <m/>
  </r>
  <r>
    <s v="PE"/>
    <s v="NBN Sydney"/>
    <s v="Payroll Expense Journal - PD-489"/>
    <x v="5"/>
    <s v="NBN Greenfields Internals"/>
    <x v="225"/>
    <d v="2017-06-26T00:00:00"/>
    <s v="Jun-17"/>
    <s v="Superannuation Expense, KR &amp; AC"/>
    <n v="88.929119999999983"/>
    <m/>
    <m/>
  </r>
  <r>
    <s v="PE"/>
    <s v="VPL Sydney"/>
    <s v="Payroll Expense Journal - PD-489"/>
    <x v="5"/>
    <s v="Visionstream DJC Internals"/>
    <x v="185"/>
    <d v="2017-06-26T00:00:00"/>
    <s v="Jun-17"/>
    <s v="BB"/>
    <n v="145.41999999999999"/>
    <m/>
    <m/>
  </r>
  <r>
    <s v="PE"/>
    <s v="VPL Sydney"/>
    <s v="Payroll Expense Journal - PD-489"/>
    <x v="5"/>
    <s v="Visionstream DJC Internals"/>
    <x v="185"/>
    <d v="2017-06-26T00:00:00"/>
    <s v="Jun-17"/>
    <s v="MR"/>
    <n v="133.96"/>
    <m/>
    <m/>
  </r>
  <r>
    <s v="PE"/>
    <s v="VPL Sydney"/>
    <s v="Payroll Expense Journal - PD-489"/>
    <x v="5"/>
    <s v="Visionstream DJC Internals"/>
    <x v="185"/>
    <d v="2017-06-26T00:00:00"/>
    <s v="Jun-17"/>
    <s v="TN"/>
    <n v="214.18"/>
    <m/>
    <m/>
  </r>
  <r>
    <s v="PE"/>
    <s v="VPL Sydney"/>
    <s v="Payroll Expense Journal - PD-489"/>
    <x v="5"/>
    <s v="Visionstream DJC Internals"/>
    <x v="185"/>
    <d v="2017-06-26T00:00:00"/>
    <s v="Jun-17"/>
    <s v="AC"/>
    <n v="288.08"/>
    <m/>
    <m/>
  </r>
  <r>
    <s v="PE"/>
    <s v="NBN Sydney"/>
    <s v="Payroll Expense Journal - PD-489"/>
    <x v="1"/>
    <s v="Overhead"/>
    <x v="3"/>
    <d v="2017-06-26T00:00:00"/>
    <s v="Jun-17"/>
    <s v="GC"/>
    <n v="312.8"/>
    <m/>
    <m/>
  </r>
  <r>
    <s v="PE"/>
    <s v="NBN Sydney"/>
    <s v="Payroll Expense Journal - PD-481"/>
    <x v="1"/>
    <s v="Overhead"/>
    <x v="3"/>
    <d v="2017-06-05T00:00:00"/>
    <s v="Jun-17"/>
    <s v="Superannuation Expense, ST"/>
    <n v="92.44"/>
    <m/>
    <m/>
  </r>
  <r>
    <s v="PE"/>
    <s v="NBN Sydney"/>
    <s v="Payroll Expense Journal - PD-485"/>
    <x v="1"/>
    <s v="Overhead"/>
    <x v="3"/>
    <d v="2017-06-12T00:00:00"/>
    <s v="Jun-17"/>
    <s v="Superannuation Expense, ST"/>
    <n v="92.44"/>
    <m/>
    <m/>
  </r>
  <r>
    <s v="PE"/>
    <s v="NBN Sydney"/>
    <s v="Payroll Expense Journal - PD-487"/>
    <x v="1"/>
    <s v="Overhead"/>
    <x v="3"/>
    <d v="2017-06-19T00:00:00"/>
    <s v="Jun-17"/>
    <s v="Superannuation Expense, ST"/>
    <n v="92.44"/>
    <m/>
    <m/>
  </r>
  <r>
    <s v="PE"/>
    <s v="NBN Sydney"/>
    <s v="Payroll Expense Journal - PD-489"/>
    <x v="1"/>
    <s v="Overhead"/>
    <x v="3"/>
    <d v="2017-06-26T00:00:00"/>
    <s v="Jun-17"/>
    <s v="Superannuation Expense, ST"/>
    <n v="92.44"/>
    <m/>
    <m/>
  </r>
  <r>
    <s v="PE"/>
    <s v="NBN Sydney"/>
    <s v="Super"/>
    <x v="1"/>
    <s v="Overhead"/>
    <x v="3"/>
    <d v="2017-06-26T00:00:00"/>
    <s v="Jun-17"/>
    <s v="CC, "/>
    <n v="87.69"/>
    <m/>
    <m/>
  </r>
  <r>
    <s v="PE"/>
    <s v="NBN Sydney"/>
    <s v="Super"/>
    <x v="1"/>
    <s v="Overhead"/>
    <x v="3"/>
    <d v="2017-06-26T00:00:00"/>
    <s v="Jun-17"/>
    <s v="AA "/>
    <n v="53.58"/>
    <m/>
    <m/>
  </r>
  <r>
    <s v="PE"/>
    <s v="NBN Sydney"/>
    <s v="Super"/>
    <x v="1"/>
    <s v="Overhead"/>
    <x v="3"/>
    <d v="2017-06-26T00:00:00"/>
    <s v="Jun-17"/>
    <s v="RM"/>
    <n v="133.16999999999999"/>
    <m/>
    <m/>
  </r>
  <r>
    <s v="PE"/>
    <s v="NBN Sydney"/>
    <s v="Payroll Expense Journal - PD-481"/>
    <x v="1"/>
    <s v="Overhead"/>
    <x v="3"/>
    <d v="2017-06-05T00:00:00"/>
    <s v="Jun-17"/>
    <s v="Earnings, Mobilel Allowance ST"/>
    <n v="23.08"/>
    <m/>
    <m/>
  </r>
  <r>
    <s v="PE"/>
    <s v="NBN Sydney"/>
    <s v="Payroll Expense Journal - PD-485"/>
    <x v="1"/>
    <s v="Overhead"/>
    <x v="3"/>
    <d v="2017-06-12T00:00:00"/>
    <s v="Jun-17"/>
    <s v="Earnings, Mobilel Allowance ST"/>
    <n v="23.08"/>
    <m/>
    <m/>
  </r>
  <r>
    <s v="PE"/>
    <s v="NBN Sydney"/>
    <s v="Payroll Expense Journal - PD-487"/>
    <x v="1"/>
    <s v="Overhead"/>
    <x v="3"/>
    <d v="2017-06-19T00:00:00"/>
    <s v="Jun-17"/>
    <s v="Earnings, Mobilel Allowance ST"/>
    <n v="23.08"/>
    <m/>
    <m/>
  </r>
  <r>
    <s v="PE"/>
    <s v="NBN Sydney"/>
    <s v="Payroll Expense Journal - PD-543"/>
    <x v="1"/>
    <s v="Overhead"/>
    <x v="3"/>
    <d v="2017-06-26T00:00:00"/>
    <s v="Jun-17"/>
    <s v="Earnings, Mobilel Allowance ST"/>
    <n v="23.08"/>
    <m/>
    <m/>
  </r>
  <r>
    <s v="PE"/>
    <s v="NBN Sydney"/>
    <s v="Payroll Expense Journal - PD-489"/>
    <x v="1"/>
    <s v="Overhead"/>
    <x v="3"/>
    <d v="2017-06-26T00:00:00"/>
    <s v="Jun-17"/>
    <s v="Earnings, Mobilel Allowance ST"/>
    <n v="23.08"/>
    <m/>
    <m/>
  </r>
  <r>
    <s v="PE"/>
    <s v="NBN Sydney"/>
    <s v="Tele"/>
    <x v="1"/>
    <s v="Overhead"/>
    <x v="3"/>
    <d v="2017-06-26T00:00:00"/>
    <s v="Jun-17"/>
    <s v="AA &amp; RM"/>
    <n v="2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7">
  <r>
    <s v="A401/Greenfield"/>
    <s v="Nth Coast"/>
    <s v="Inv 12261"/>
    <d v="2017-05-31T00:00:00"/>
    <d v="2017-05-18T00:00:00"/>
    <d v="2017-05-18T00:00:00"/>
    <m/>
    <m/>
    <d v="2017-06-30T00:00:00"/>
    <d v="2017-08-24T00:00:00"/>
    <m/>
    <x v="0"/>
    <x v="0"/>
    <s v="Nelson Bay"/>
    <n v="6033.93"/>
    <m/>
    <n v="6033.93"/>
    <n v="6637.3230000000012"/>
    <m/>
    <m/>
    <n v="0"/>
    <n v="6033.93"/>
    <n v="1"/>
    <s v="Invoiced"/>
    <d v="2017-06-01T00:00:00"/>
    <s v="Completed and handover forwarded"/>
    <s v="Mark Leal"/>
    <d v="2016-11-17T00:00:00"/>
    <d v="2016-11-25T00:00:00"/>
    <n v="8"/>
    <d v="2016-12-16T00:00:00"/>
    <n v="21"/>
  </r>
  <r>
    <s v="A401/Greenfield"/>
    <s v="Sydney"/>
    <s v="Inv 12150 &amp; 12150b"/>
    <d v="2017-06-01T00:00:00"/>
    <d v="2017-06-13T00:00:00"/>
    <d v="2017-06-14T00:00:00"/>
    <d v="2017-06-26T00:00:00"/>
    <d v="2017-07-25T00:00:00"/>
    <d v="2017-07-14T00:00:00"/>
    <d v="2017-08-15T00:00:00"/>
    <s v="payment schedule received 14/8"/>
    <x v="1"/>
    <x v="1"/>
    <s v="Smeaton Grange"/>
    <n v="2081.7600000000002"/>
    <n v="6995.47"/>
    <n v="9077.23"/>
    <n v="9984.9529999999995"/>
    <m/>
    <n v="3292.54"/>
    <n v="3292.54"/>
    <n v="5784.69"/>
    <n v="0.63727480740269882"/>
    <s v="Invoiced"/>
    <d v="2017-06-28T00:00:00"/>
    <s v="Completed and handover forwarded"/>
    <s v="John Luker"/>
    <d v="2017-01-23T00:00:00"/>
    <d v="2017-02-06T00:00:00"/>
    <n v="14"/>
    <d v="2017-02-21T00:00:00"/>
    <n v="15"/>
  </r>
  <r>
    <s v="A401/Minor works"/>
    <s v="Sydney"/>
    <s v="Inv 11969b"/>
    <d v="2017-02-28T00:00:00"/>
    <d v="2017-02-14T00:00:00"/>
    <d v="2017-05-02T00:00:00"/>
    <d v="2017-05-02T00:00:00"/>
    <d v="2017-05-09T00:00:00"/>
    <d v="2017-05-16T00:00:00"/>
    <d v="2017-05-25T00:00:00"/>
    <m/>
    <x v="0"/>
    <x v="2"/>
    <s v="Huntingwood"/>
    <m/>
    <n v="766.97"/>
    <n v="766.97"/>
    <n v="843.66700000000014"/>
    <m/>
    <m/>
    <n v="0"/>
    <n v="766.97"/>
    <n v="1"/>
    <s v="Invoiced"/>
    <d v="2017-05-16T00:00:00"/>
    <s v="Completed and handover forwarded"/>
    <s v="Shaher Aslam / Jay Shrestha"/>
    <d v="2016-09-02T00:00:00"/>
    <d v="2016-09-22T00:00:00"/>
    <n v="20"/>
    <d v="2016-10-19T00:00:00"/>
    <n v="27"/>
  </r>
  <r>
    <s v="A401/Minor works"/>
    <s v="Sth Coast"/>
    <m/>
    <m/>
    <d v="2018-02-07T00:00:00"/>
    <d v="2018-02-07T00:00:00"/>
    <d v="2017-02-07T00:00:00"/>
    <d v="2018-02-20T00:00:00"/>
    <d v="2018-02-21T00:00:00"/>
    <d v="2018-03-07T00:00:00"/>
    <m/>
    <x v="2"/>
    <x v="3"/>
    <s v="Wollongong"/>
    <n v="5867.23"/>
    <n v="28433.11"/>
    <n v="34300.339999999997"/>
    <n v="37730.373999999996"/>
    <m/>
    <m/>
    <n v="0"/>
    <n v="34300.339999999997"/>
    <n v="1"/>
    <s v="Invoiced"/>
    <d v="2018-02-21T00:00:00"/>
    <s v="Completed and handover forwarded"/>
    <s v="Milan Khanal"/>
    <m/>
    <m/>
    <m/>
    <m/>
    <m/>
  </r>
  <r>
    <s v="A401/Minor works"/>
    <s v="Sydney"/>
    <s v="Inv 12876"/>
    <d v="2017-11-29T00:00:00"/>
    <d v="2017-09-19T00:00:00"/>
    <d v="2017-09-19T00:00:00"/>
    <m/>
    <m/>
    <d v="2017-11-20T00:00:00"/>
    <d v="2017-12-05T00:00:00"/>
    <s v="Waiting on access to one site, Macquarie Street"/>
    <x v="3"/>
    <x v="4"/>
    <s v="Liverpool"/>
    <n v="1505.23"/>
    <m/>
    <n v="1505.23"/>
    <n v="1655.7530000000002"/>
    <m/>
    <m/>
    <n v="0"/>
    <n v="1505.23"/>
    <n v="1"/>
    <s v="Invoiced"/>
    <d v="2017-10-03T00:00:00"/>
    <s v="Completed and handover forwarded"/>
    <s v="Milan Khanal"/>
    <m/>
    <m/>
    <m/>
    <m/>
    <m/>
  </r>
  <r>
    <s v="A401/Minor works"/>
    <s v="Sth Coast"/>
    <s v="Inv 12812"/>
    <d v="2017-11-16T00:00:00"/>
    <d v="2017-08-10T00:00:00"/>
    <d v="2017-08-10T00:00:00"/>
    <m/>
    <m/>
    <d v="2017-08-31T00:00:00"/>
    <d v="2017-11-21T00:00:00"/>
    <m/>
    <x v="4"/>
    <x v="5"/>
    <s v="Wollongong"/>
    <n v="8027.19"/>
    <m/>
    <n v="8027.19"/>
    <n v="8829.9089999999997"/>
    <m/>
    <m/>
    <n v="0"/>
    <n v="8027.19"/>
    <n v="1"/>
    <s v="Invoiced"/>
    <d v="2017-08-24T00:00:00"/>
    <s v="Completed and handover forwarded"/>
    <s v="Milan Khanal"/>
    <m/>
    <m/>
    <m/>
    <m/>
    <m/>
  </r>
  <r>
    <s v="A401/Greenfield"/>
    <s v="Sydney"/>
    <s v="Inv 12352"/>
    <d v="2017-06-26T00:00:00"/>
    <d v="2017-06-27T00:00:00"/>
    <d v="2017-06-27T00:00:00"/>
    <d v="2017-06-27T00:00:00"/>
    <d v="2017-09-22T00:00:00"/>
    <d v="2017-08-08T00:00:00"/>
    <s v="3/101/17"/>
    <s v="Waiting on Variation Approval submitted 2/7"/>
    <x v="1"/>
    <x v="6"/>
    <s v="Campbelltown"/>
    <n v="10952.8"/>
    <n v="2567.12"/>
    <n v="13519.919999999998"/>
    <n v="14871.911999999998"/>
    <m/>
    <m/>
    <n v="0"/>
    <n v="13519.919999999998"/>
    <n v="1"/>
    <s v="Invoiced"/>
    <d v="2017-07-11T00:00:00"/>
    <s v="Completed and handover forwarded"/>
    <s v="Michael Tram"/>
    <d v="2017-02-18T00:00:00"/>
    <d v="2017-03-14T00:00:00"/>
    <n v="24"/>
    <d v="2017-03-15T00:00:00"/>
    <n v="1"/>
  </r>
  <r>
    <s v="A401/Greenfield"/>
    <s v="Central Coast"/>
    <s v="Inv 12641"/>
    <d v="2017-10-10T00:00:00"/>
    <d v="2017-07-17T00:00:00"/>
    <d v="2017-07-17T00:00:00"/>
    <d v="2017-08-14T00:00:00"/>
    <d v="2017-09-07T00:00:00"/>
    <d v="2017-08-08T00:00:00"/>
    <d v="2017-10-10T00:00:00"/>
    <m/>
    <x v="5"/>
    <x v="7"/>
    <s v="Long Jetty"/>
    <n v="8188.78"/>
    <n v="496.57"/>
    <n v="8685.35"/>
    <n v="9553.885000000002"/>
    <m/>
    <m/>
    <n v="0"/>
    <n v="8685.35"/>
    <n v="1"/>
    <s v="Invoiced"/>
    <d v="2017-07-31T00:00:00"/>
    <s v="Completed and handover forwarded"/>
    <s v="Andrew Partalis"/>
    <d v="2017-02-25T00:00:00"/>
    <d v="2017-03-13T00:00:00"/>
    <n v="16"/>
    <d v="2017-03-29T00:00:00"/>
    <n v="16"/>
  </r>
  <r>
    <s v="A401/Greenfield"/>
    <s v="Sydney"/>
    <s v="Inv 12262"/>
    <d v="2017-05-31T00:00:00"/>
    <d v="2017-05-30T00:00:00"/>
    <d v="2017-05-30T00:00:00"/>
    <d v="2017-06-01T00:00:00"/>
    <d v="2017-06-21T00:00:00"/>
    <d v="2017-08-08T00:00:00"/>
    <d v="2017-08-15T00:00:00"/>
    <m/>
    <x v="0"/>
    <x v="8"/>
    <s v="Campbelltown"/>
    <n v="7705.93"/>
    <n v="12720.52"/>
    <n v="20426.45"/>
    <n v="22469.095000000001"/>
    <m/>
    <m/>
    <n v="0"/>
    <n v="20426.45"/>
    <n v="1"/>
    <s v="Invoiced"/>
    <d v="2017-06-13T00:00:00"/>
    <s v="Completed and handover forwarded"/>
    <s v="Michael Tram"/>
    <d v="2017-02-18T00:00:00"/>
    <d v="2017-03-15T00:00:00"/>
    <n v="25"/>
    <d v="2017-03-10T00:00:00"/>
    <n v="-5"/>
  </r>
  <r>
    <s v="A401/Greenfield"/>
    <s v="Sydney"/>
    <s v="Inv 12265"/>
    <d v="2017-05-31T00:00:00"/>
    <d v="2017-05-05T00:00:00"/>
    <d v="2017-05-05T00:00:00"/>
    <m/>
    <m/>
    <d v="2017-06-06T00:00:00"/>
    <d v="2017-07-28T00:00:00"/>
    <m/>
    <x v="0"/>
    <x v="9"/>
    <s v="Rouse Hill"/>
    <n v="10233.06"/>
    <m/>
    <n v="10233.06"/>
    <n v="11256.366"/>
    <m/>
    <m/>
    <n v="0"/>
    <n v="10233.06"/>
    <n v="1"/>
    <s v="Invoiced"/>
    <d v="2017-05-19T00:00:00"/>
    <s v="Completed and handover forwarded"/>
    <s v="Andrew Mahassy"/>
    <d v="2017-03-15T00:00:00"/>
    <d v="2017-03-27T00:00:00"/>
    <n v="12"/>
    <d v="2017-03-29T00:00:00"/>
    <n v="2"/>
  </r>
  <r>
    <s v="A401/Greenfield"/>
    <s v="Sydney"/>
    <s v="Inv 12353"/>
    <d v="2017-06-30T00:00:00"/>
    <d v="2017-06-05T00:00:00"/>
    <d v="2017-06-05T00:00:00"/>
    <d v="2017-06-25T00:00:00"/>
    <d v="2017-07-12T00:00:00"/>
    <d v="2017-06-16T00:00:00"/>
    <d v="2017-08-28T00:00:00"/>
    <s v="Waiting on Variation Approval"/>
    <x v="1"/>
    <x v="10"/>
    <s v="Terrigal"/>
    <n v="1026.44"/>
    <n v="8543.546111367652"/>
    <n v="9569.9861113676525"/>
    <n v="10526.984722504418"/>
    <m/>
    <m/>
    <n v="0"/>
    <n v="9569.9861113676525"/>
    <n v="1"/>
    <s v="Invoiced"/>
    <d v="2017-06-19T00:00:00"/>
    <s v="Completed and handover forwarded"/>
    <s v="Andrew Partalis"/>
    <d v="2017-03-01T00:00:00"/>
    <d v="2017-03-10T00:00:00"/>
    <n v="9"/>
    <d v="2017-03-29T00:00:00"/>
    <n v="19"/>
  </r>
  <r>
    <s v="A401/Greenfield"/>
    <s v="Central West"/>
    <s v="Inv 12691"/>
    <d v="2017-10-11T00:00:00"/>
    <d v="2017-07-31T00:00:00"/>
    <d v="2017-07-31T00:00:00"/>
    <d v="2017-09-05T00:00:00"/>
    <d v="2017-09-11T00:00:00"/>
    <d v="2017-09-08T00:00:00"/>
    <d v="2017-10-17T00:00:00"/>
    <m/>
    <x v="5"/>
    <x v="11"/>
    <s v="Dubbo"/>
    <n v="16626.7"/>
    <n v="8393.0685714285719"/>
    <n v="25019.768571428573"/>
    <n v="27521.745428571434"/>
    <m/>
    <m/>
    <n v="0"/>
    <n v="25019.768571428573"/>
    <n v="1"/>
    <s v="Invoiced"/>
    <d v="2017-08-14T00:00:00"/>
    <s v="Completed and handover forwarded"/>
    <s v="Dave Yoemans"/>
    <d v="2016-12-14T00:00:00"/>
    <d v="2017-03-28T00:00:00"/>
    <n v="104"/>
    <d v="2016-12-07T00:00:00"/>
    <n v="-111"/>
  </r>
  <r>
    <s v="A401/Greenfield"/>
    <s v="Sydney"/>
    <s v="Inv 12264"/>
    <d v="2017-05-31T00:00:00"/>
    <d v="2017-05-15T00:00:00"/>
    <d v="2017-05-15T00:00:00"/>
    <d v="2017-05-30T00:00:00"/>
    <d v="2017-06-26T00:00:00"/>
    <d v="2017-05-25T00:00:00"/>
    <d v="2017-07-28T00:00:00"/>
    <m/>
    <x v="0"/>
    <x v="12"/>
    <s v="Camden"/>
    <n v="2091.71"/>
    <n v="1025.1428571428571"/>
    <n v="3116.8528571428569"/>
    <n v="3428.5381428571427"/>
    <m/>
    <m/>
    <n v="0"/>
    <n v="3116.8528571428569"/>
    <n v="1"/>
    <s v="Invoiced"/>
    <d v="2017-05-29T00:00:00"/>
    <s v="Completed and handover forwarded"/>
    <s v="Nabel Jaimon"/>
    <d v="2017-03-20T00:00:00"/>
    <d v="2017-04-07T00:00:00"/>
    <n v="18"/>
    <d v="2017-04-04T00:00:00"/>
    <n v="-3"/>
  </r>
  <r>
    <s v="A401/Greenfield"/>
    <s v="Sydney"/>
    <s v="Inv 12637"/>
    <d v="2017-09-27T00:00:00"/>
    <d v="2017-08-11T00:00:00"/>
    <d v="2017-08-14T00:00:00"/>
    <m/>
    <m/>
    <d v="2017-08-28T00:00:00"/>
    <d v="2017-10-03T00:00:00"/>
    <m/>
    <x v="4"/>
    <x v="13"/>
    <s v="Parramatta"/>
    <n v="3449.71"/>
    <m/>
    <n v="3449.71"/>
    <n v="3794.6810000000005"/>
    <m/>
    <m/>
    <n v="0"/>
    <n v="3449.71"/>
    <n v="1"/>
    <s v="Invoiced"/>
    <d v="2017-08-28T00:00:00"/>
    <s v="Completed and handover forwarded"/>
    <s v="Nabel Jaimon"/>
    <d v="2017-03-20T00:00:00"/>
    <d v="2017-04-08T00:00:00"/>
    <n v="19"/>
    <d v="2017-04-05T00:00:00"/>
    <n v="-3"/>
  </r>
  <r>
    <s v="A401/Greenfield"/>
    <s v="Sydney"/>
    <s v="Inv 12364"/>
    <d v="2017-07-03T00:00:00"/>
    <d v="2017-06-08T00:00:00"/>
    <d v="2017-06-08T00:00:00"/>
    <d v="2017-06-15T00:00:00"/>
    <d v="2017-07-11T00:00:00"/>
    <d v="2017-07-11T00:00:00"/>
    <d v="2017-08-15T00:00:00"/>
    <m/>
    <x v="1"/>
    <x v="14"/>
    <s v="Zetland"/>
    <n v="5062.76"/>
    <n v="3398.56"/>
    <n v="8461.32"/>
    <n v="9307.4520000000011"/>
    <m/>
    <m/>
    <n v="0"/>
    <n v="8461.32"/>
    <n v="1"/>
    <s v="Invoiced"/>
    <d v="2017-06-22T00:00:00"/>
    <s v="Completed and handover forwarded"/>
    <s v="Lindy Chan"/>
    <d v="2017-03-20T00:00:00"/>
    <d v="2017-04-07T00:00:00"/>
    <n v="18"/>
    <d v="2017-04-05T00:00:00"/>
    <n v="-2"/>
  </r>
  <r>
    <s v="A401/Greenfield"/>
    <s v="Sydney"/>
    <s v="Inv 12354"/>
    <d v="2017-06-30T00:00:00"/>
    <d v="2017-06-14T00:00:00"/>
    <d v="2017-06-14T00:00:00"/>
    <d v="2017-06-22T00:00:00"/>
    <d v="2017-07-14T00:00:00"/>
    <d v="2017-09-07T00:00:00"/>
    <d v="2017-10-05T00:00:00"/>
    <s v="Waiting on Variation Approval"/>
    <x v="1"/>
    <x v="15"/>
    <s v="Strathfield"/>
    <n v="3433.24"/>
    <n v="6774.67"/>
    <n v="10207.91"/>
    <n v="11228.701000000001"/>
    <m/>
    <m/>
    <n v="0"/>
    <n v="10207.91"/>
    <n v="1"/>
    <s v="Invoiced"/>
    <d v="2017-06-28T00:00:00"/>
    <s v="Completed and handover forwarded"/>
    <s v="Lindy Chan"/>
    <d v="2017-03-17T00:00:00"/>
    <d v="2017-04-08T00:00:00"/>
    <n v="22"/>
    <d v="2017-03-31T00:00:00"/>
    <n v="-8"/>
  </r>
  <r>
    <s v="A417 Greenfield MDU"/>
    <s v="Sydney"/>
    <s v="Inv 12638"/>
    <d v="2017-09-27T00:00:00"/>
    <d v="2017-08-14T00:00:00"/>
    <d v="2017-08-14T00:00:00"/>
    <d v="2017-08-15T00:00:00"/>
    <d v="2017-09-04T00:00:00"/>
    <d v="2017-09-11T00:00:00"/>
    <d v="2017-09-27T00:00:00"/>
    <m/>
    <x v="4"/>
    <x v="16"/>
    <s v="Lidcombe"/>
    <n v="1761.82"/>
    <n v="1647.1"/>
    <n v="3408.92"/>
    <n v="3749.8120000000004"/>
    <m/>
    <m/>
    <n v="0"/>
    <n v="3408.92"/>
    <n v="1"/>
    <s v="Invoiced"/>
    <d v="2017-08-28T00:00:00"/>
    <s v="Completed and handover forwarded"/>
    <s v="Andrew Partalis"/>
    <m/>
    <m/>
    <m/>
    <m/>
    <m/>
  </r>
  <r>
    <s v="A417 Greenfield MDU"/>
    <s v="Sydney"/>
    <s v="Inv 12633"/>
    <d v="2017-09-27T00:00:00"/>
    <d v="2017-07-31T00:00:00"/>
    <d v="2017-07-31T00:00:00"/>
    <d v="2017-08-09T00:00:00"/>
    <d v="2017-09-04T00:00:00"/>
    <d v="2017-09-07T00:00:00"/>
    <d v="2017-09-28T00:00:00"/>
    <s v="Variation submitted 9/8/17"/>
    <x v="5"/>
    <x v="17"/>
    <s v="Nth Ryde"/>
    <n v="44.62"/>
    <n v="1490.48"/>
    <n v="1535.1"/>
    <n v="1688.6100000000001"/>
    <m/>
    <m/>
    <n v="0"/>
    <n v="1535.1"/>
    <n v="1"/>
    <s v="Invoiced"/>
    <d v="2017-08-14T00:00:00"/>
    <s v="Completed and handover forwarded"/>
    <s v="Lindy Chan"/>
    <s v="Direct Award"/>
    <d v="2017-05-01T00:00:00"/>
    <m/>
    <m/>
    <m/>
  </r>
  <r>
    <s v="A417 Greenfield MDU"/>
    <s v="Sydney"/>
    <s v="Inv 12627"/>
    <d v="2017-09-22T00:00:00"/>
    <d v="2017-08-22T00:00:00"/>
    <d v="2017-08-22T00:00:00"/>
    <d v="2017-08-28T00:00:00"/>
    <d v="2017-09-06T00:00:00"/>
    <d v="2017-09-06T00:00:00"/>
    <d v="2017-09-27T00:00:00"/>
    <m/>
    <x v="4"/>
    <x v="18"/>
    <s v="Kellyville"/>
    <n v="1520.83"/>
    <n v="6404.7449999999999"/>
    <n v="7925.5749999999998"/>
    <n v="8718.1324999999997"/>
    <m/>
    <m/>
    <n v="0"/>
    <n v="7925.5749999999998"/>
    <n v="1"/>
    <s v="Invoiced"/>
    <d v="2017-09-05T00:00:00"/>
    <s v="Completed and handover forwarded"/>
    <s v="Andrew Partalis"/>
    <m/>
    <m/>
    <m/>
    <m/>
    <m/>
  </r>
  <r>
    <s v="A417 Greenfield MDU"/>
    <s v="Sydney"/>
    <s v="Inv 12635"/>
    <d v="2017-09-27T00:00:00"/>
    <d v="2017-07-12T00:00:00"/>
    <d v="2017-07-12T00:00:00"/>
    <d v="2017-08-09T00:00:00"/>
    <d v="2017-09-04T00:00:00"/>
    <d v="2017-09-07T00:00:00"/>
    <d v="2017-09-27T00:00:00"/>
    <s v="Variation submitted 9/8/17"/>
    <x v="5"/>
    <x v="19"/>
    <s v="Parramatta"/>
    <n v="628.32000000000005"/>
    <n v="4350.78"/>
    <n v="4979.0999999999995"/>
    <n v="5477.01"/>
    <m/>
    <m/>
    <n v="0"/>
    <n v="4979.0999999999995"/>
    <n v="1"/>
    <s v="Invoiced"/>
    <d v="2017-07-26T00:00:00"/>
    <s v="Completed and handover forwarded"/>
    <s v="Lindy Chan"/>
    <m/>
    <m/>
    <m/>
    <m/>
    <m/>
  </r>
  <r>
    <s v="A417 Greenfield MDU"/>
    <s v="Sydney"/>
    <s v="Inv 12874"/>
    <d v="2017-11-29T00:00:00"/>
    <d v="2017-09-25T00:00:00"/>
    <d v="2017-09-25T00:00:00"/>
    <d v="2017-09-27T00:00:00"/>
    <d v="2017-10-04T00:00:00"/>
    <d v="2017-10-03T00:00:00"/>
    <d v="2017-11-30T00:00:00"/>
    <m/>
    <x v="3"/>
    <x v="20"/>
    <s v="Liverpool"/>
    <n v="2015.36"/>
    <n v="13856.22"/>
    <n v="15871.58"/>
    <n v="17458.738000000001"/>
    <m/>
    <m/>
    <n v="0"/>
    <n v="15871.58"/>
    <n v="1"/>
    <s v="Invoiced"/>
    <d v="2017-10-09T00:00:00"/>
    <s v="Completed and handover forwarded"/>
    <s v="Michael Tram"/>
    <s v="Direct Award"/>
    <d v="2017-05-26T00:00:00"/>
    <m/>
    <m/>
    <m/>
  </r>
  <r>
    <s v="A417 Greenfield MDU"/>
    <s v="Sydney"/>
    <s v="Inv 12614"/>
    <d v="2017-09-25T00:00:00"/>
    <d v="2017-07-18T00:00:00"/>
    <d v="2017-07-18T00:00:00"/>
    <d v="2017-08-09T00:00:00"/>
    <d v="2017-08-23T00:00:00"/>
    <d v="2017-09-07T00:00:00"/>
    <d v="2017-09-21T00:00:00"/>
    <s v="Variation submitted 9/8/17"/>
    <x v="5"/>
    <x v="21"/>
    <s v="Bankstown"/>
    <n v="2121.89"/>
    <n v="6429.99"/>
    <n v="8551.8799999999992"/>
    <n v="9407.0679999999993"/>
    <m/>
    <m/>
    <n v="0"/>
    <n v="8551.8799999999992"/>
    <n v="1"/>
    <s v="Invoiced"/>
    <d v="2017-08-01T00:00:00"/>
    <s v="Completed and handover forwarded"/>
    <s v="Andrew Partalis"/>
    <s v="Direct Award"/>
    <d v="2017-05-29T00:00:00"/>
    <m/>
    <m/>
    <m/>
  </r>
  <r>
    <s v="A401/Greenfield"/>
    <s v="Central Coast"/>
    <s v="Inv 12260"/>
    <d v="2017-05-31T00:00:00"/>
    <d v="2017-05-15T00:00:00"/>
    <d v="2017-05-15T00:00:00"/>
    <d v="2017-06-01T00:00:00"/>
    <d v="2017-06-15T00:00:00"/>
    <d v="2017-05-29T00:00:00"/>
    <d v="2017-07-28T00:00:00"/>
    <m/>
    <x v="0"/>
    <x v="22"/>
    <s v="Wadalba"/>
    <n v="3798.42"/>
    <n v="3110.87"/>
    <n v="6909.29"/>
    <n v="7600.219000000001"/>
    <m/>
    <m/>
    <n v="0"/>
    <n v="6909.29"/>
    <n v="1"/>
    <s v="Invoiced"/>
    <d v="2017-05-29T00:00:00"/>
    <s v="Completed and handover forwarded"/>
    <s v="Dave Yoemans"/>
    <d v="2016-08-29T00:00:00"/>
    <d v="2017-04-05T00:00:00"/>
    <n v="219"/>
    <m/>
    <m/>
  </r>
  <r>
    <s v="AARnet"/>
    <s v="Sydney"/>
    <s v="Inv 12759"/>
    <d v="2017-10-30T00:00:00"/>
    <d v="2017-10-30T00:00:00"/>
    <d v="2017-10-30T00:00:00"/>
    <m/>
    <m/>
    <m/>
    <m/>
    <m/>
    <x v="6"/>
    <x v="23"/>
    <s v="Parramatta"/>
    <n v="38717.01"/>
    <n v="29612.840000000004"/>
    <n v="68329.850000000006"/>
    <n v="75162.835000000006"/>
    <m/>
    <m/>
    <n v="0"/>
    <n v="68329.850000000006"/>
    <n v="1"/>
    <s v="Invoiced"/>
    <d v="2017-11-13T00:00:00"/>
    <s v="Completed and handover forwarded"/>
    <s v="Matt Putland"/>
    <d v="2017-03-22T00:00:00"/>
    <d v="2017-04-10T00:00:00"/>
    <n v="19"/>
    <m/>
    <m/>
  </r>
  <r>
    <s v="A401/Minor works"/>
    <s v="Sydney"/>
    <m/>
    <m/>
    <m/>
    <d v="2018-03-30T00:00:00"/>
    <m/>
    <m/>
    <m/>
    <m/>
    <m/>
    <x v="7"/>
    <x v="24"/>
    <s v="Campbelltown"/>
    <n v="12264.47"/>
    <m/>
    <n v="12264.47"/>
    <n v="13490.916999999999"/>
    <m/>
    <m/>
    <n v="0"/>
    <n v="12264.47"/>
    <n v="1"/>
    <m/>
    <m/>
    <m/>
    <s v="Anna Juranic"/>
    <d v="2017-03-23T00:00:00"/>
    <d v="2017-04-07T00:00:00"/>
    <n v="15"/>
    <d v="2017-04-10T00:00:00"/>
    <n v="3"/>
  </r>
  <r>
    <s v="A401/Greenfield"/>
    <s v="Sydney"/>
    <m/>
    <m/>
    <m/>
    <d v="2018-03-30T00:00:00"/>
    <m/>
    <m/>
    <m/>
    <m/>
    <m/>
    <x v="7"/>
    <x v="25"/>
    <s v="Epping"/>
    <n v="6265.77"/>
    <m/>
    <n v="6265.77"/>
    <n v="6892.3470000000007"/>
    <m/>
    <m/>
    <n v="0"/>
    <n v="6265.77"/>
    <n v="1"/>
    <m/>
    <m/>
    <m/>
    <s v="Andrew Partalis"/>
    <d v="2017-03-23T00:00:00"/>
    <d v="2017-04-08T00:00:00"/>
    <n v="16"/>
    <d v="2017-04-07T00:00:00"/>
    <n v="-1"/>
  </r>
  <r>
    <s v="AARnet"/>
    <s v="Sydney"/>
    <s v="Inv 12362"/>
    <d v="2017-06-30T00:00:00"/>
    <d v="2017-08-07T00:00:00"/>
    <d v="2017-08-30T00:00:00"/>
    <m/>
    <m/>
    <m/>
    <m/>
    <m/>
    <x v="4"/>
    <x v="26"/>
    <s v="Auburn"/>
    <n v="23006.15"/>
    <m/>
    <n v="23006.15"/>
    <n v="25306.765000000003"/>
    <m/>
    <m/>
    <n v="0"/>
    <n v="23006.15"/>
    <n v="1"/>
    <s v="Invoiced"/>
    <d v="2017-09-13T00:00:00"/>
    <s v="Completed and handover forwarded"/>
    <s v="Matt Putland"/>
    <d v="2017-04-11T00:00:00"/>
    <d v="2017-04-13T00:00:00"/>
    <m/>
    <m/>
    <m/>
  </r>
  <r>
    <s v="A417 Greenfield MDU"/>
    <s v="Sydney"/>
    <s v="Inv 12267"/>
    <d v="2017-05-31T00:00:00"/>
    <d v="2017-05-25T00:00:00"/>
    <d v="2017-06-09T00:00:00"/>
    <m/>
    <m/>
    <d v="2017-06-23T00:00:00"/>
    <d v="2017-09-14T00:00:00"/>
    <s v="Waiting on Payment Claim approval"/>
    <x v="1"/>
    <x v="27"/>
    <s v="Rouse Hill"/>
    <n v="3030.14"/>
    <m/>
    <n v="3030.14"/>
    <n v="3333.154"/>
    <m/>
    <m/>
    <n v="0"/>
    <n v="3030.14"/>
    <n v="1"/>
    <s v="Invoiced"/>
    <d v="2017-06-23T00:00:00"/>
    <s v="Completed and handover forwarded"/>
    <s v="Ertan Cicek"/>
    <s v="Direct Award"/>
    <d v="2017-04-18T00:00:00"/>
    <m/>
    <d v="2017-04-22T00:00:00"/>
    <n v="4"/>
  </r>
  <r>
    <s v="A417 Greenfield MDU"/>
    <s v="Sydney"/>
    <s v="Inv 12267b"/>
    <d v="2017-06-30T00:00:00"/>
    <d v="2017-05-25T00:00:00"/>
    <d v="2017-06-09T00:00:00"/>
    <d v="2017-08-15T00:00:00"/>
    <d v="2017-08-28T00:00:00"/>
    <d v="2017-06-23T00:00:00"/>
    <d v="2017-09-14T00:00:00"/>
    <s v="Waiting on Payment Claim approval"/>
    <x v="1"/>
    <x v="27"/>
    <s v="Rouse Hill"/>
    <m/>
    <n v="1899.06"/>
    <n v="1899.06"/>
    <n v="2088.9659999999999"/>
    <m/>
    <m/>
    <n v="0"/>
    <n v="1899.06"/>
    <n v="1"/>
    <s v="Invoiced"/>
    <d v="2017-06-23T00:00:00"/>
    <s v="Completed and handover forwarded"/>
    <s v="Ertan Cicek"/>
    <s v="Direct Award"/>
    <d v="2017-04-18T00:00:00"/>
    <m/>
    <m/>
    <m/>
  </r>
  <r>
    <s v="A401/Greenfield"/>
    <s v="Sydney"/>
    <s v="Inv 12355"/>
    <d v="2017-06-30T00:00:00"/>
    <d v="2017-06-08T00:00:00"/>
    <d v="2017-06-08T00:00:00"/>
    <m/>
    <m/>
    <d v="2017-07-11T00:00:00"/>
    <d v="2017-08-10T00:00:00"/>
    <s v="PC 33 days, Payment schedule 17days,  payment made on the 10/8/17"/>
    <x v="1"/>
    <x v="28"/>
    <s v="Wyong"/>
    <n v="10229.42"/>
    <m/>
    <n v="10229.42"/>
    <n v="11252.362000000001"/>
    <m/>
    <m/>
    <n v="0"/>
    <n v="10229.42"/>
    <n v="1"/>
    <s v="Invoiced"/>
    <d v="2017-06-22T00:00:00"/>
    <s v="Completed and handover forwarded"/>
    <s v="Andrew Partalis"/>
    <s v="Direct Award"/>
    <d v="2017-04-26T00:00:00"/>
    <m/>
    <d v="2017-04-05T00:00:00"/>
    <n v="-21"/>
  </r>
  <r>
    <s v="A401/Greenfield"/>
    <s v="Sth NSW"/>
    <s v="Inv 12266"/>
    <d v="2017-05-31T00:00:00"/>
    <d v="2017-05-26T00:00:00"/>
    <d v="2017-05-26T00:00:00"/>
    <d v="2017-06-25T00:00:00"/>
    <d v="2017-08-30T00:00:00"/>
    <d v="2017-06-14T00:00:00"/>
    <d v="2017-09-27T00:00:00"/>
    <m/>
    <x v="0"/>
    <x v="29"/>
    <s v="Albury"/>
    <n v="4074.14"/>
    <n v="936.42678571428553"/>
    <n v="5010.5667857142853"/>
    <n v="5511.6234642857144"/>
    <m/>
    <m/>
    <n v="0"/>
    <n v="5010.5667857142853"/>
    <n v="1"/>
    <s v="Invoiced"/>
    <d v="2017-06-09T00:00:00"/>
    <s v="Completed and handover forwarded"/>
    <s v="Ertan Cicek"/>
    <d v="2017-04-04T00:00:00"/>
    <d v="2017-04-26T00:00:00"/>
    <n v="22"/>
    <d v="2017-04-14T00:00:00"/>
    <n v="-12"/>
  </r>
  <r>
    <s v="A401/Greenfield"/>
    <s v="Sth Coast"/>
    <s v="Inv 12275"/>
    <d v="2017-05-31T00:00:00"/>
    <d v="2017-05-30T00:00:00"/>
    <d v="2017-05-30T00:00:00"/>
    <d v="2017-06-30T00:00:00"/>
    <d v="2017-07-25T00:00:00"/>
    <d v="2017-06-16T00:00:00"/>
    <d v="2017-08-29T00:00:00"/>
    <m/>
    <x v="0"/>
    <x v="30"/>
    <s v="Dapto"/>
    <n v="2277.5100000000002"/>
    <n v="2122.87"/>
    <n v="4400.38"/>
    <n v="4840.4180000000006"/>
    <m/>
    <m/>
    <n v="0"/>
    <n v="4400.38"/>
    <n v="1"/>
    <s v="Invoiced"/>
    <d v="2017-06-13T00:00:00"/>
    <s v="Completed and handover forwarded"/>
    <s v="Ertan Cicek"/>
    <d v="2017-04-05T00:00:00"/>
    <d v="2017-04-26T00:00:00"/>
    <n v="21"/>
    <d v="2017-04-18T00:00:00"/>
    <n v="-8"/>
  </r>
  <r>
    <s v="A401/Greenfield"/>
    <s v="Sth Coast"/>
    <s v="Inv 12272"/>
    <d v="2017-05-31T00:00:00"/>
    <d v="2017-05-02T00:00:00"/>
    <d v="2017-05-02T00:00:00"/>
    <m/>
    <m/>
    <d v="2017-05-15T00:00:00"/>
    <d v="2017-07-26T00:00:00"/>
    <s v="Payment schedule received 21/7,  payment made on the 26/7"/>
    <x v="0"/>
    <x v="31"/>
    <s v="Jamberoo"/>
    <n v="2943.37"/>
    <m/>
    <n v="2943.37"/>
    <n v="3237.7070000000003"/>
    <m/>
    <m/>
    <n v="0"/>
    <n v="2943.37"/>
    <n v="1"/>
    <s v="Invoiced"/>
    <d v="2017-05-16T00:00:00"/>
    <s v="Completed and handover forwarded"/>
    <s v="Ertan Cicek"/>
    <d v="2017-02-14T00:00:00"/>
    <d v="2017-03-01T00:00:00"/>
    <n v="15"/>
    <d v="2017-03-02T00:00:00"/>
    <n v="1"/>
  </r>
  <r>
    <s v="A417 Greenfield MDU"/>
    <s v="Sydney"/>
    <s v="Inv 12363 &amp; b"/>
    <d v="2017-09-19T00:00:00"/>
    <d v="2017-06-14T00:00:00"/>
    <d v="2017-06-14T00:00:00"/>
    <d v="2017-08-10T00:00:00"/>
    <d v="2017-08-31T00:00:00"/>
    <d v="2017-07-11T00:00:00"/>
    <d v="2017-09-29T00:00:00"/>
    <m/>
    <x v="1"/>
    <x v="32"/>
    <s v="Richmond"/>
    <n v="621.32000000000005"/>
    <n v="340.31"/>
    <n v="961.63000000000011"/>
    <n v="1057.7930000000001"/>
    <m/>
    <m/>
    <n v="0"/>
    <n v="961.63000000000011"/>
    <n v="1"/>
    <s v="Invoiced"/>
    <d v="2017-06-28T00:00:00"/>
    <s v="Completed and handover forwarded"/>
    <s v="Ertan Cicek"/>
    <s v="Direct Award"/>
    <d v="2017-05-02T00:00:00"/>
    <m/>
    <m/>
    <m/>
  </r>
  <r>
    <s v="A401/Greenfield"/>
    <s v="Nth Coast"/>
    <s v="Inv 12655"/>
    <d v="2017-10-03T00:00:00"/>
    <d v="2017-07-21T00:00:00"/>
    <d v="2017-07-21T00:00:00"/>
    <d v="2017-09-05T00:00:00"/>
    <d v="2017-09-18T00:00:00"/>
    <d v="2017-08-08T00:00:00"/>
    <d v="2017-10-05T00:00:00"/>
    <s v="Requested PC"/>
    <x v="5"/>
    <x v="33"/>
    <s v="Woy Woy"/>
    <n v="7728.82"/>
    <n v="12183.400428571427"/>
    <n v="19912.220428571425"/>
    <n v="21903.442471428571"/>
    <m/>
    <m/>
    <n v="0"/>
    <n v="19912.220428571425"/>
    <n v="1"/>
    <s v="Invoiced"/>
    <d v="2017-08-04T00:00:00"/>
    <s v="Completed and handover forwarded"/>
    <s v="Mark Leal"/>
    <d v="2017-04-10T00:00:00"/>
    <d v="2017-05-03T00:00:00"/>
    <n v="23"/>
    <d v="2017-04-26T00:00:00"/>
    <n v="-7"/>
  </r>
  <r>
    <s v="A401/Greenfield"/>
    <s v="Sth Coast"/>
    <s v="Inv 12356"/>
    <d v="2017-06-30T00:00:00"/>
    <d v="2017-06-19T00:00:00"/>
    <d v="2017-06-25T00:00:00"/>
    <d v="2017-07-03T00:00:00"/>
    <d v="2017-09-05T00:00:00"/>
    <d v="2017-08-09T00:00:00"/>
    <d v="2017-09-27T00:00:00"/>
    <s v="Waiting on PC sent in 25/6, Variation 3/7"/>
    <x v="1"/>
    <x v="34"/>
    <s v="Albion Park"/>
    <n v="4242.71"/>
    <n v="2751.05"/>
    <n v="6993.76"/>
    <n v="7693.1360000000004"/>
    <m/>
    <m/>
    <n v="0"/>
    <n v="6993.76"/>
    <n v="1"/>
    <s v="Invoiced"/>
    <d v="2017-07-09T00:00:00"/>
    <s v="Completed and handover forwarded"/>
    <s v="Ertan Cicek"/>
    <d v="2017-04-19T00:00:00"/>
    <d v="2017-05-05T00:00:00"/>
    <n v="16"/>
    <d v="2017-05-02T00:00:00"/>
    <n v="-3"/>
  </r>
  <r>
    <s v="A417 Greenfield MDU"/>
    <s v="Sydney"/>
    <s v="Inv 12332"/>
    <d v="2017-06-26T00:00:00"/>
    <d v="2017-05-31T00:00:00"/>
    <d v="2017-05-30T00:00:00"/>
    <m/>
    <m/>
    <d v="2017-06-07T00:00:00"/>
    <d v="2017-08-10T00:00:00"/>
    <s v="39 days for payment claim to come through"/>
    <x v="0"/>
    <x v="35"/>
    <s v="Blacktown"/>
    <n v="1134.2699999999998"/>
    <m/>
    <n v="1134.2699999999998"/>
    <n v="1247.6969999999999"/>
    <m/>
    <m/>
    <n v="0"/>
    <n v="1134.2699999999998"/>
    <n v="1"/>
    <s v="Invoiced"/>
    <d v="2017-06-13T00:00:00"/>
    <s v="Completed and handover forwarded"/>
    <s v="Andrew Mahassy"/>
    <s v="Direct Award"/>
    <d v="2017-05-04T00:00:00"/>
    <m/>
    <m/>
    <m/>
  </r>
  <r>
    <s v="A401/Greenfield"/>
    <s v="Central Coast"/>
    <s v="Inv 12498"/>
    <d v="2017-08-17T00:00:00"/>
    <d v="2017-07-03T00:00:00"/>
    <d v="2017-07-03T00:00:00"/>
    <m/>
    <m/>
    <d v="2017-08-08T00:00:00"/>
    <d v="2017-08-24T00:00:00"/>
    <m/>
    <x v="5"/>
    <x v="36"/>
    <s v="Terabla"/>
    <n v="3471.5"/>
    <m/>
    <n v="3471.5"/>
    <n v="3818.65"/>
    <m/>
    <m/>
    <n v="0"/>
    <n v="3471.5"/>
    <n v="1"/>
    <s v="Invoiced"/>
    <d v="2017-07-17T00:00:00"/>
    <s v="Completed and handover forwarded"/>
    <s v="Mark Leal"/>
    <d v="2017-04-19T00:00:00"/>
    <d v="2017-05-05T00:00:00"/>
    <n v="16"/>
    <d v="2017-05-02T00:00:00"/>
    <n v="-3"/>
  </r>
  <r>
    <s v="A417 Greenfield MDU"/>
    <s v="Sydney"/>
    <s v="Inv 12357"/>
    <d v="2017-06-30T00:00:00"/>
    <d v="2017-06-02T00:00:00"/>
    <d v="2017-06-01T00:00:00"/>
    <m/>
    <m/>
    <d v="2017-06-13T00:00:00"/>
    <d v="2017-08-10T00:00:00"/>
    <s v="39 Days for payment claim approval"/>
    <x v="1"/>
    <x v="37"/>
    <s v="Rouse Hill"/>
    <n v="345.37"/>
    <n v="139.95999999999998"/>
    <n v="485.33"/>
    <n v="533.86300000000006"/>
    <m/>
    <m/>
    <n v="0"/>
    <n v="485.33"/>
    <n v="1"/>
    <s v="Invoiced"/>
    <d v="2017-06-15T00:00:00"/>
    <s v="Completed and handover forwarded"/>
    <s v="Andrew Mahassy"/>
    <s v="Direct Award"/>
    <d v="2017-05-04T00:00:00"/>
    <m/>
    <m/>
    <m/>
  </r>
  <r>
    <s v="A417 Greenfield MDU"/>
    <s v="Sydney"/>
    <s v="Inv 12636"/>
    <d v="2017-10-27T00:00:00"/>
    <d v="2017-07-05T00:00:00"/>
    <d v="2017-07-05T00:00:00"/>
    <d v="2017-08-09T00:00:00"/>
    <d v="2017-09-11T00:00:00"/>
    <d v="2017-09-11T00:00:00"/>
    <d v="2017-09-28T00:00:00"/>
    <m/>
    <x v="5"/>
    <x v="38"/>
    <s v="Kellyville"/>
    <n v="1532.61"/>
    <n v="1946.79"/>
    <n v="3479.3999999999996"/>
    <n v="3827.3399999999997"/>
    <m/>
    <m/>
    <n v="0"/>
    <n v="3479.3999999999996"/>
    <n v="1"/>
    <s v="Invoiced"/>
    <d v="2017-07-19T00:00:00"/>
    <s v="Completed and handover forwarded"/>
    <s v="Lindy Chan"/>
    <s v="Direct Award"/>
    <d v="2017-05-11T00:00:00"/>
    <m/>
    <m/>
    <m/>
  </r>
  <r>
    <s v="A417 Greenfield MDU"/>
    <s v="Sydney"/>
    <s v="Inv 12358"/>
    <d v="2017-06-30T00:00:00"/>
    <d v="2017-06-14T00:00:00"/>
    <d v="2017-06-14T00:00:00"/>
    <d v="2017-08-09T00:00:00"/>
    <d v="2017-08-14T00:00:00"/>
    <d v="2017-07-14T00:00:00"/>
    <d v="2017-08-24T00:00:00"/>
    <s v="Waiting on PC approval sent in 14/6, variation submitted 9/8/17"/>
    <x v="1"/>
    <x v="39"/>
    <s v="Carlingford"/>
    <n v="1166.1099999999999"/>
    <n v="7788.37"/>
    <n v="8954.48"/>
    <n v="9849.9279999999999"/>
    <m/>
    <m/>
    <n v="0"/>
    <n v="8954.48"/>
    <n v="1"/>
    <s v="Invoiced"/>
    <d v="2017-06-28T00:00:00"/>
    <s v="Completed and handover forwarded"/>
    <s v="Michael Tram"/>
    <s v="Direct Award"/>
    <d v="2017-05-04T00:00:00"/>
    <m/>
    <m/>
    <m/>
  </r>
  <r>
    <s v="A417 Greenfield MDU"/>
    <s v="Sydney"/>
    <s v="Inv 12712"/>
    <d v="2017-10-18T00:00:00"/>
    <d v="2017-06-30T00:00:00"/>
    <d v="2017-07-01T00:00:00"/>
    <d v="2017-08-09T00:00:00"/>
    <d v="2017-09-07T00:00:00"/>
    <d v="2017-08-08T00:00:00"/>
    <d v="2017-10-24T00:00:00"/>
    <s v="Variation submitted 9/8/17"/>
    <x v="5"/>
    <x v="40"/>
    <s v="Strathfield"/>
    <n v="1633.8"/>
    <n v="826.67"/>
    <n v="2460.4699999999998"/>
    <n v="2706.5169999999998"/>
    <m/>
    <m/>
    <n v="0"/>
    <n v="2460.4699999999998"/>
    <n v="1"/>
    <s v="Invoiced"/>
    <d v="2017-07-15T00:00:00"/>
    <s v="Completed and handover forwarded"/>
    <s v="Lindy Chan"/>
    <s v="Direct Award"/>
    <d v="2017-05-08T00:00:00"/>
    <m/>
    <m/>
    <m/>
  </r>
  <r>
    <s v="A417 Greenfield MDU"/>
    <s v="Sydney"/>
    <m/>
    <m/>
    <m/>
    <d v="2018-03-30T00:00:00"/>
    <m/>
    <m/>
    <m/>
    <m/>
    <m/>
    <x v="7"/>
    <x v="41"/>
    <s v="Parramatta"/>
    <n v="1056.78"/>
    <m/>
    <n v="1056.78"/>
    <n v="1162.4580000000001"/>
    <m/>
    <m/>
    <n v="0"/>
    <n v="1056.78"/>
    <n v="1"/>
    <m/>
    <d v="2018-04-13T00:00:00"/>
    <m/>
    <s v="Lindy Chan"/>
    <s v="Direct Award"/>
    <d v="2017-05-08T00:00:00"/>
    <m/>
    <m/>
    <m/>
  </r>
  <r>
    <s v="A417 Greenfield MDU"/>
    <s v="Sydney"/>
    <s v="Inv 12600"/>
    <d v="2017-09-15T00:00:00"/>
    <d v="2017-07-11T00:00:00"/>
    <d v="2017-07-11T00:00:00"/>
    <d v="2017-08-09T00:00:00"/>
    <d v="2017-09-01T00:00:00"/>
    <d v="2017-08-08T00:00:00"/>
    <d v="2017-09-21T00:00:00"/>
    <m/>
    <x v="5"/>
    <x v="42"/>
    <s v="Kellyville"/>
    <n v="1317.54"/>
    <n v="7782.07"/>
    <n v="9099.61"/>
    <n v="10009.571000000002"/>
    <m/>
    <m/>
    <n v="0"/>
    <n v="9099.61"/>
    <n v="1"/>
    <s v="Invoiced"/>
    <d v="2017-07-25T00:00:00"/>
    <s v="Completed and handover forwarded"/>
    <s v="Michael Tram"/>
    <s v="Direct Award"/>
    <d v="2017-05-11T00:00:00"/>
    <m/>
    <m/>
    <m/>
  </r>
  <r>
    <s v="A417 Greenfield MDU"/>
    <s v="Sydney"/>
    <s v="Inv 13121"/>
    <d v="2018-01-23T00:00:00"/>
    <d v="2017-11-23T00:00:00"/>
    <d v="2017-11-23T00:00:00"/>
    <d v="2017-12-04T00:00:00"/>
    <d v="2017-12-08T00:00:00"/>
    <d v="2017-12-14T00:00:00"/>
    <d v="2018-02-06T00:00:00"/>
    <m/>
    <x v="8"/>
    <x v="43"/>
    <s v="Drummoyne "/>
    <n v="2134.75"/>
    <n v="8039.13"/>
    <n v="10173.880000000001"/>
    <n v="11191.268000000002"/>
    <m/>
    <m/>
    <n v="0"/>
    <n v="10173.880000000001"/>
    <m/>
    <m/>
    <d v="2017-12-07T00:00:00"/>
    <m/>
    <s v="Michael Tram"/>
    <s v="Direct Award"/>
    <d v="2017-05-26T00:00:00"/>
    <m/>
    <m/>
    <m/>
  </r>
  <r>
    <s v="A417 Greenfield MDU"/>
    <s v="Sydney"/>
    <s v="Inv 12361 &amp;12361b"/>
    <d v="2017-06-30T00:00:00"/>
    <d v="2017-07-01T00:00:00"/>
    <d v="2017-06-30T00:00:00"/>
    <d v="2017-08-09T00:00:00"/>
    <d v="2017-09-07T00:00:00"/>
    <d v="2017-08-08T00:00:00"/>
    <d v="2017-09-14T00:00:00"/>
    <s v="Variation Submitted 09/08/17"/>
    <x v="1"/>
    <x v="44"/>
    <s v="Edmondson Park"/>
    <n v="254.28"/>
    <n v="780"/>
    <n v="1034.28"/>
    <n v="1137.7080000000001"/>
    <m/>
    <m/>
    <n v="0"/>
    <n v="1034.28"/>
    <n v="1"/>
    <s v="Invoiced"/>
    <d v="2017-07-14T00:00:00"/>
    <s v="Completed and handover forwarded"/>
    <s v="Andrew Mahassy"/>
    <s v="Direct Award"/>
    <d v="2017-05-08T00:00:00"/>
    <m/>
    <m/>
    <m/>
  </r>
  <r>
    <s v="A417 Greenfield MDU"/>
    <s v="Sydney"/>
    <s v="Inv 12873"/>
    <d v="2017-11-29T00:00:00"/>
    <d v="2017-08-09T00:00:00"/>
    <d v="2017-09-06T00:00:00"/>
    <m/>
    <m/>
    <d v="2017-09-20T00:00:00"/>
    <d v="2017-11-30T00:00:00"/>
    <m/>
    <x v="3"/>
    <x v="45"/>
    <s v="Smeaton Grange"/>
    <n v="1120"/>
    <m/>
    <n v="1120"/>
    <n v="1232"/>
    <m/>
    <m/>
    <n v="0"/>
    <n v="1120"/>
    <n v="1"/>
    <s v="Invoiced"/>
    <d v="2017-09-20T00:00:00"/>
    <s v="Completed and handover forwarded"/>
    <s v="Nabeel Jaimon"/>
    <s v="Direct Award"/>
    <d v="2017-05-11T00:00:00"/>
    <m/>
    <d v="2017-05-30T00:00:00"/>
    <m/>
  </r>
  <r>
    <s v="A401/Greenfield"/>
    <s v="Newcastle"/>
    <s v="Inv 12263"/>
    <d v="2017-05-31T00:00:00"/>
    <d v="2017-05-19T00:00:00"/>
    <d v="2017-05-30T00:00:00"/>
    <m/>
    <m/>
    <d v="2017-08-08T00:00:00"/>
    <d v="2017-08-24T00:00:00"/>
    <s v="Payment Claim submitted 9/9/17"/>
    <x v="0"/>
    <x v="46"/>
    <s v="Matiland"/>
    <n v="2760"/>
    <m/>
    <n v="2760"/>
    <n v="3036.0000000000005"/>
    <m/>
    <m/>
    <n v="0"/>
    <n v="2760"/>
    <n v="1"/>
    <s v="Invoiced"/>
    <d v="2017-06-13T00:00:00"/>
    <s v="Completed and handover forwarded"/>
    <s v="Mark Leal"/>
    <d v="2017-05-10T00:00:00"/>
    <d v="2017-05-23T00:00:00"/>
    <n v="13"/>
    <m/>
    <m/>
  </r>
  <r>
    <s v="A417 Greenfield MDU"/>
    <s v="Sydney"/>
    <s v="Inv 12269"/>
    <d v="2017-05-31T00:00:00"/>
    <d v="2017-05-31T00:00:00"/>
    <d v="2017-05-31T00:00:00"/>
    <m/>
    <m/>
    <d v="2017-06-09T00:00:00"/>
    <d v="2017-08-15T00:00:00"/>
    <m/>
    <x v="0"/>
    <x v="47"/>
    <s v="Kellyville"/>
    <n v="465.57"/>
    <m/>
    <n v="465.57"/>
    <n v="512.12700000000007"/>
    <m/>
    <m/>
    <n v="0"/>
    <n v="465.57"/>
    <n v="1"/>
    <s v="Invoiced"/>
    <d v="2017-06-14T00:00:00"/>
    <s v="Completed and handover forwarded"/>
    <s v="Andrew Mahassy"/>
    <s v="Direct Award"/>
    <d v="2017-05-17T00:00:00"/>
    <m/>
    <m/>
    <m/>
  </r>
  <r>
    <s v="A401/Minor works"/>
    <s v="Sydney"/>
    <s v="Inv 12065b"/>
    <d v="2017-05-31T00:00:00"/>
    <d v="2017-03-31T00:00:00"/>
    <d v="2017-05-16T00:00:00"/>
    <d v="2017-07-07T00:00:00"/>
    <d v="2017-08-10T00:00:00"/>
    <d v="2017-04-20T00:00:00"/>
    <d v="2017-08-24T00:00:00"/>
    <s v="Up to V3 of Variation request, Chris A handling it now.  Submitted payment claim on the 10/8"/>
    <x v="0"/>
    <x v="48"/>
    <s v="Campbelltown"/>
    <n v="0"/>
    <n v="39403.65"/>
    <n v="39403.65"/>
    <n v="43344.015000000007"/>
    <m/>
    <m/>
    <n v="0"/>
    <n v="39403.65"/>
    <n v="1"/>
    <s v="Invoiced"/>
    <d v="2017-05-30T00:00:00"/>
    <s v="Completed and handover forwarded"/>
    <s v="Anna Juranic"/>
    <d v="2016-10-19T00:00:00"/>
    <d v="2016-11-21T00:00:00"/>
    <n v="33"/>
    <d v="2017-01-30T00:00:00"/>
    <n v="70"/>
  </r>
  <r>
    <s v="A401/Greenfield"/>
    <s v="Sydney"/>
    <s v="Inv 12338"/>
    <d v="2017-06-27T00:00:00"/>
    <d v="2017-06-05T00:00:00"/>
    <d v="2017-06-05T00:00:00"/>
    <m/>
    <m/>
    <d v="2017-08-08T00:00:00"/>
    <d v="2017-08-22T00:00:00"/>
    <m/>
    <x v="1"/>
    <x v="49"/>
    <s v="Kellyville"/>
    <n v="2100"/>
    <m/>
    <n v="2100"/>
    <n v="2310"/>
    <m/>
    <m/>
    <n v="0"/>
    <n v="2100"/>
    <n v="1"/>
    <s v="Invoiced"/>
    <d v="2017-06-19T00:00:00"/>
    <s v="Completed and handover forwarded"/>
    <s v="Andrew Mahassy"/>
    <d v="2017-05-11T00:00:00"/>
    <d v="2017-05-25T00:00:00"/>
    <n v="14"/>
    <d v="2017-05-30T00:00:00"/>
    <n v="5"/>
  </r>
  <r>
    <s v="A401/Greenfield"/>
    <s v="Sydney"/>
    <s v="Inv 12359"/>
    <d v="2017-06-30T00:00:00"/>
    <d v="2017-06-26T00:00:00"/>
    <d v="2017-06-30T00:00:00"/>
    <m/>
    <m/>
    <d v="2017-08-08T00:00:00"/>
    <d v="2017-08-29T00:00:00"/>
    <s v="Payment Claim submitted 9/9/17"/>
    <x v="1"/>
    <x v="50"/>
    <s v="Liverpool"/>
    <n v="2100"/>
    <m/>
    <n v="2100"/>
    <n v="2310"/>
    <m/>
    <m/>
    <n v="0"/>
    <n v="2100"/>
    <n v="1"/>
    <s v="Invoiced"/>
    <d v="2017-07-14T00:00:00"/>
    <s v="Completed and handover forwarded"/>
    <s v="Andrew Mahassy"/>
    <d v="2017-05-11T00:00:00"/>
    <d v="2017-05-25T00:00:00"/>
    <n v="14"/>
    <d v="2017-05-30T00:00:00"/>
    <n v="5"/>
  </r>
  <r>
    <s v="A401/Greenfield"/>
    <s v="Sth Coast"/>
    <s v="Inv 12049b"/>
    <d v="2017-08-17T00:00:00"/>
    <d v="2017-07-13T00:00:00"/>
    <d v="2017-07-18T00:00:00"/>
    <d v="2017-07-18T00:00:00"/>
    <d v="2017-08-11T00:00:00"/>
    <d v="2017-08-18T00:00:00"/>
    <d v="2017-09-19T00:00:00"/>
    <m/>
    <x v="5"/>
    <x v="51"/>
    <s v="Coniston"/>
    <n v="10585.7"/>
    <n v="2720.57"/>
    <n v="13306.27"/>
    <n v="14636.897000000001"/>
    <m/>
    <m/>
    <n v="0"/>
    <n v="13306.27"/>
    <n v="1"/>
    <s v="Invoiced"/>
    <d v="2017-08-01T00:00:00"/>
    <s v="Completed and handover forwarded"/>
    <s v="Andrew Mahassy"/>
    <d v="2017-05-15T00:00:00"/>
    <d v="2017-05-23T00:00:00"/>
    <n v="8"/>
    <d v="2017-05-30T00:00:00"/>
    <n v="7"/>
  </r>
  <r>
    <s v="A401/Greenfield"/>
    <s v="Central Coast"/>
    <s v="Inv 12640"/>
    <d v="2017-10-11T00:00:00"/>
    <d v="2017-08-17T00:00:00"/>
    <d v="2017-08-17T00:00:00"/>
    <d v="2017-08-17T00:00:00"/>
    <d v="2017-09-11T00:00:00"/>
    <d v="2017-09-11T00:00:00"/>
    <d v="2017-10-17T00:00:00"/>
    <s v="Waiting on DY NBN"/>
    <x v="4"/>
    <x v="52"/>
    <s v="Lisarow"/>
    <n v="6610.72"/>
    <n v="2460.3428571428572"/>
    <n v="9071.062857142857"/>
    <n v="9978.169142857143"/>
    <m/>
    <m/>
    <n v="0"/>
    <n v="9071.062857142857"/>
    <n v="1"/>
    <s v="Invoiced"/>
    <d v="2017-08-31T00:00:00"/>
    <s v="Completed and handover forwarded"/>
    <s v="Dave Yoemans"/>
    <d v="2017-05-19T00:00:00"/>
    <m/>
    <m/>
    <m/>
    <m/>
  </r>
  <r>
    <s v="A401/Minor works"/>
    <s v="Central Coast"/>
    <s v="Inv 12360a"/>
    <d v="2017-06-30T00:00:00"/>
    <d v="2017-06-26T00:00:00"/>
    <d v="2017-06-26T00:00:00"/>
    <d v="2017-07-20T00:00:00"/>
    <d v="2017-07-28T00:00:00"/>
    <d v="2017-07-20T00:00:00"/>
    <d v="2017-08-31T00:00:00"/>
    <s v="Waiting on Variation Approval"/>
    <x v="1"/>
    <x v="53"/>
    <s v="Long Jetty"/>
    <n v="6239.62"/>
    <n v="-4880.3"/>
    <n v="1359.3199999999997"/>
    <n v="1495.2519999999997"/>
    <m/>
    <m/>
    <n v="0"/>
    <n v="1359.3199999999997"/>
    <n v="1"/>
    <s v="Invoiced"/>
    <d v="2017-07-10T00:00:00"/>
    <s v="Completed and handover forwarded"/>
    <s v="Jay Shrestha"/>
    <d v="2017-05-16T00:00:00"/>
    <d v="2017-05-23T00:00:00"/>
    <n v="7"/>
    <d v="2017-06-16T00:00:00"/>
    <n v="24"/>
  </r>
  <r>
    <s v="A417 Greenfield MDU"/>
    <s v="Sydney"/>
    <m/>
    <m/>
    <d v="2018-03-04T00:00:00"/>
    <d v="2018-03-30T00:00:00"/>
    <m/>
    <m/>
    <m/>
    <m/>
    <m/>
    <x v="7"/>
    <x v="54"/>
    <s v="Penrith"/>
    <n v="1571.26"/>
    <m/>
    <n v="1571.26"/>
    <n v="1728.3860000000002"/>
    <m/>
    <m/>
    <n v="0"/>
    <n v="1571.26"/>
    <n v="1"/>
    <m/>
    <d v="2018-04-13T00:00:00"/>
    <m/>
    <s v="Andrew Partalis"/>
    <s v="Direct Award"/>
    <d v="2017-05-25T00:00:00"/>
    <m/>
    <m/>
    <m/>
  </r>
  <r>
    <s v="A417 Greenfield MDU"/>
    <s v="Sydney"/>
    <s v="Inv 12588"/>
    <d v="2017-09-18T00:00:00"/>
    <d v="2017-08-04T00:00:00"/>
    <d v="2017-08-04T00:00:00"/>
    <d v="2017-08-09T00:00:00"/>
    <d v="2017-08-23T00:00:00"/>
    <d v="2017-09-04T00:00:00"/>
    <d v="2017-09-21T00:00:00"/>
    <s v="Variation submitted 9/08/17"/>
    <x v="4"/>
    <x v="55"/>
    <s v="Liverpool"/>
    <n v="945.25"/>
    <n v="2842.35"/>
    <n v="3787.6"/>
    <n v="4166.3600000000006"/>
    <m/>
    <m/>
    <n v="0"/>
    <n v="3787.6"/>
    <n v="1"/>
    <s v="Invoiced"/>
    <d v="2017-08-18T00:00:00"/>
    <s v="Completed and handover forwarded"/>
    <s v="Andrew Mahassy"/>
    <s v="Direct Award"/>
    <d v="2017-05-25T00:00:00"/>
    <m/>
    <m/>
    <m/>
  </r>
  <r>
    <s v="A417 Greenfield MDU"/>
    <s v="Sydney"/>
    <m/>
    <m/>
    <d v="2018-02-26T00:00:00"/>
    <d v="2018-02-27T00:00:00"/>
    <d v="2018-02-27T00:00:00"/>
    <m/>
    <d v="2018-03-12T00:00:00"/>
    <d v="2018-03-26T00:00:00"/>
    <s v="Waiting on PC and Variation submission"/>
    <x v="2"/>
    <x v="56"/>
    <s v="Merrylands"/>
    <n v="982.6"/>
    <n v="14413.24"/>
    <n v="15395.84"/>
    <n v="16935.424000000003"/>
    <m/>
    <m/>
    <n v="0"/>
    <n v="15395.84"/>
    <n v="1"/>
    <m/>
    <d v="2018-03-13T00:00:00"/>
    <m/>
    <s v="Michael Tram"/>
    <s v="Direct Award"/>
    <d v="2017-05-25T00:00:00"/>
    <m/>
    <d v="2017-07-01T00:00:00"/>
    <n v="37"/>
  </r>
  <r>
    <s v="A401/Greenfield"/>
    <s v="Sydney"/>
    <s v="Inv 12573"/>
    <d v="2017-09-11T00:00:00"/>
    <d v="2017-07-03T00:00:00"/>
    <d v="2017-07-03T00:00:00"/>
    <d v="2017-07-03T00:00:00"/>
    <d v="2017-08-18T00:00:00"/>
    <d v="2017-09-04T00:00:00"/>
    <d v="2017-09-21T00:00:00"/>
    <s v="Waiting for PC &amp; Variation approval"/>
    <x v="5"/>
    <x v="57"/>
    <s v="Bargo"/>
    <n v="4091.52"/>
    <n v="1416.6946428571423"/>
    <n v="5508.2146428571423"/>
    <n v="6059.036107142857"/>
    <m/>
    <m/>
    <n v="0"/>
    <n v="5508.2146428571423"/>
    <n v="1"/>
    <s v="Invoiced"/>
    <d v="2017-07-17T00:00:00"/>
    <s v="Completed and handover forwarded"/>
    <s v="Ertan Cicek"/>
    <d v="2017-05-18T00:00:00"/>
    <d v="2017-05-26T00:00:00"/>
    <n v="8"/>
    <d v="2017-05-30T00:00:00"/>
    <n v="4"/>
  </r>
  <r>
    <s v="A417 Greenfield MDU"/>
    <s v="Sydney"/>
    <s v="Inv 12798"/>
    <d v="2017-11-09T00:00:00"/>
    <d v="2017-09-12T00:00:00"/>
    <d v="2017-09-12T00:00:00"/>
    <d v="2017-09-12T00:00:00"/>
    <d v="2017-10-03T00:00:00"/>
    <d v="2017-09-26T00:00:00"/>
    <d v="2017-11-23T00:00:00"/>
    <m/>
    <x v="3"/>
    <x v="58"/>
    <s v="Hornsby"/>
    <n v="1984.44"/>
    <n v="2687.91"/>
    <n v="4672.3500000000004"/>
    <n v="5139.5850000000009"/>
    <m/>
    <m/>
    <n v="0"/>
    <n v="4672.3500000000004"/>
    <n v="1"/>
    <s v="Invoiced"/>
    <d v="2017-09-26T00:00:00"/>
    <s v="Completed and handover forwarded"/>
    <s v="Andrew Partalis"/>
    <s v="Direct Award"/>
    <d v="2017-05-24T00:00:00"/>
    <m/>
    <m/>
    <m/>
  </r>
  <r>
    <s v="A401/Minor works"/>
    <s v="Sydney"/>
    <s v="Inv 12268"/>
    <d v="2017-05-31T00:00:00"/>
    <d v="2017-05-31T00:00:00"/>
    <d v="2017-05-16T00:00:00"/>
    <m/>
    <m/>
    <d v="2017-06-28T00:00:00"/>
    <d v="2017-07-28T00:00:00"/>
    <m/>
    <x v="0"/>
    <x v="59"/>
    <s v="Blacktown"/>
    <n v="18758.95"/>
    <m/>
    <n v="18758.95"/>
    <n v="20634.845000000001"/>
    <m/>
    <m/>
    <n v="0"/>
    <n v="18758.95"/>
    <n v="1"/>
    <s v="Invoiced"/>
    <d v="2017-05-30T00:00:00"/>
    <s v="Completed and handover forwarded"/>
    <s v="Jay Shrestha"/>
    <d v="2017-05-16T00:00:00"/>
    <d v="2017-05-25T00:00:00"/>
    <n v="9"/>
    <d v="2017-06-16T00:00:00"/>
    <n v="22"/>
  </r>
  <r>
    <s v="A417 Greenfield MDU"/>
    <s v="Sydney"/>
    <s v="Inv 12562"/>
    <d v="2017-09-07T00:00:00"/>
    <d v="2017-07-21T00:00:00"/>
    <d v="2017-07-21T00:00:00"/>
    <d v="2017-08-09T00:00:00"/>
    <d v="2017-08-18T00:00:00"/>
    <d v="2017-08-08T00:00:00"/>
    <d v="2017-09-12T00:00:00"/>
    <m/>
    <x v="5"/>
    <x v="60"/>
    <s v="Riverstone"/>
    <n v="891.6"/>
    <n v="601.80999999999995"/>
    <n v="1493.4099999999999"/>
    <n v="1642.751"/>
    <m/>
    <m/>
    <n v="0"/>
    <n v="1493.4099999999999"/>
    <n v="1"/>
    <s v="Invoiced"/>
    <d v="2017-08-04T00:00:00"/>
    <s v="Completed and handover forwarded"/>
    <s v="Andrew Mahassy"/>
    <s v="Direct Award"/>
    <d v="2017-05-25T00:00:00"/>
    <m/>
    <m/>
    <m/>
  </r>
  <r>
    <s v="A401/Greenfield"/>
    <s v="Newcastle"/>
    <s v="Inv 12586"/>
    <d v="2017-09-18T00:00:00"/>
    <d v="2017-07-04T00:00:00"/>
    <d v="2017-07-04T00:00:00"/>
    <m/>
    <m/>
    <d v="2017-08-08T00:00:00"/>
    <d v="2017-09-21T00:00:00"/>
    <m/>
    <x v="5"/>
    <x v="61"/>
    <s v="Cameron Park"/>
    <n v="3684.78"/>
    <m/>
    <n v="3684.78"/>
    <n v="4053.2580000000007"/>
    <m/>
    <m/>
    <n v="0"/>
    <n v="3684.78"/>
    <n v="1"/>
    <s v="Invoiced"/>
    <d v="2017-07-18T00:00:00"/>
    <s v="Completed and handover forwarded"/>
    <s v="Mark Leal"/>
    <d v="2017-05-11T00:00:00"/>
    <d v="2017-05-29T00:00:00"/>
    <n v="18"/>
    <d v="2017-05-29T00:00:00"/>
    <n v="0"/>
  </r>
  <r>
    <s v="A401/Greenfield"/>
    <s v="Sth NSW"/>
    <s v="Inv 12496"/>
    <d v="2017-08-17T00:00:00"/>
    <d v="2017-07-03T00:00:00"/>
    <d v="2017-07-03T00:00:00"/>
    <m/>
    <m/>
    <d v="2017-08-08T00:00:00"/>
    <d v="2017-08-24T00:00:00"/>
    <m/>
    <x v="5"/>
    <x v="62"/>
    <s v="Bowral"/>
    <n v="3135.04"/>
    <m/>
    <n v="3135.04"/>
    <n v="3448.5440000000003"/>
    <m/>
    <m/>
    <n v="0"/>
    <n v="3135.04"/>
    <n v="1"/>
    <s v="Invoiced"/>
    <d v="2017-07-17T00:00:00"/>
    <s v="Completed and handover forwarded"/>
    <s v="Nabel Jaimon"/>
    <d v="2017-05-21T00:00:00"/>
    <d v="2017-06-05T00:00:00"/>
    <n v="15"/>
    <d v="2017-05-31T00:00:00"/>
    <n v="-5"/>
  </r>
  <r>
    <s v="A417 Greenfield MDU"/>
    <s v="Sydney"/>
    <s v="Inv 12685"/>
    <d v="2017-10-10T00:00:00"/>
    <d v="2017-08-12T00:00:00"/>
    <d v="2017-08-14T00:00:00"/>
    <d v="2017-08-16T00:00:00"/>
    <d v="2017-08-25T00:00:00"/>
    <d v="2017-09-08T00:00:00"/>
    <d v="2017-10-12T00:00:00"/>
    <m/>
    <x v="4"/>
    <x v="63"/>
    <s v="Londonderry"/>
    <n v="1539.68"/>
    <n v="2526.21"/>
    <n v="4065.8900000000003"/>
    <n v="4472.4790000000003"/>
    <m/>
    <m/>
    <n v="0"/>
    <n v="4065.8900000000003"/>
    <n v="1"/>
    <s v="Invoiced"/>
    <d v="2017-08-28T00:00:00"/>
    <s v="Completed and handover forwarded"/>
    <s v="Andrew Mahassy"/>
    <s v="Direct Award"/>
    <d v="2017-06-05T00:00:00"/>
    <m/>
    <m/>
    <m/>
  </r>
  <r>
    <s v="A417 Greenfield MDU"/>
    <s v="Sydney"/>
    <s v="Inv 12799"/>
    <d v="2017-11-13T00:00:00"/>
    <d v="2017-09-21T00:00:00"/>
    <d v="2017-09-25T00:00:00"/>
    <d v="2017-09-27T00:00:00"/>
    <d v="2017-10-02T00:00:00"/>
    <d v="2017-10-02T00:00:00"/>
    <d v="2017-11-16T00:00:00"/>
    <m/>
    <x v="3"/>
    <x v="64"/>
    <s v="Various"/>
    <n v="1876.95"/>
    <n v="2105.2800000000002"/>
    <n v="3982.2300000000005"/>
    <n v="4380.4530000000004"/>
    <m/>
    <m/>
    <n v="0"/>
    <n v="3982.2300000000005"/>
    <n v="1"/>
    <s v="Invoiced"/>
    <d v="2017-10-09T00:00:00"/>
    <s v="Completed and handover forwarded"/>
    <s v="Andrew Mahassy"/>
    <s v="Direct Award"/>
    <d v="2017-06-05T00:00:00"/>
    <m/>
    <m/>
    <m/>
  </r>
  <r>
    <s v="A417 Greenfield MDU"/>
    <s v="Sydney"/>
    <s v="Inv 12639"/>
    <d v="2017-09-27T00:00:00"/>
    <d v="2017-07-21T00:00:00"/>
    <d v="2017-07-21T00:00:00"/>
    <d v="2017-08-09T00:00:00"/>
    <d v="2017-08-31T00:00:00"/>
    <d v="2017-09-07T00:00:00"/>
    <d v="2017-09-27T00:00:00"/>
    <m/>
    <x v="5"/>
    <x v="65"/>
    <s v="Lidcombe"/>
    <n v="1706.42"/>
    <n v="2638"/>
    <n v="4344.42"/>
    <n v="4778.8620000000001"/>
    <m/>
    <m/>
    <n v="0"/>
    <n v="4344.42"/>
    <n v="1"/>
    <s v="Invoiced"/>
    <d v="2017-08-04T00:00:00"/>
    <s v="Completed and handover forwarded"/>
    <s v="Mary Angly"/>
    <s v="Direct Award"/>
    <d v="2017-06-06T00:00:00"/>
    <m/>
    <m/>
    <m/>
  </r>
  <r>
    <s v="A417 Greenfield MDU"/>
    <s v="Sydney"/>
    <s v="Inv 12499"/>
    <d v="2017-08-17T00:00:00"/>
    <d v="2017-07-21T00:00:00"/>
    <d v="2017-07-21T00:00:00"/>
    <d v="2017-08-10T00:00:00"/>
    <d v="2017-08-24T00:00:00"/>
    <d v="2017-08-09T00:00:00"/>
    <d v="2017-09-14T00:00:00"/>
    <m/>
    <x v="5"/>
    <x v="66"/>
    <s v="Schofields"/>
    <n v="815.12"/>
    <n v="142.16"/>
    <n v="957.28"/>
    <n v="1053.008"/>
    <m/>
    <m/>
    <n v="0"/>
    <n v="957.28"/>
    <n v="1"/>
    <s v="Invoiced"/>
    <d v="2017-08-04T00:00:00"/>
    <s v="Completed and handover forwarded"/>
    <s v="Andrew Mahassy"/>
    <s v="Direct Award"/>
    <d v="2017-06-20T00:00:00"/>
    <m/>
    <m/>
    <m/>
  </r>
  <r>
    <s v="A417 Greenfield MDU"/>
    <s v="Sydney"/>
    <s v="Inv 12590"/>
    <d v="2017-09-18T00:00:00"/>
    <d v="2017-07-04T00:00:00"/>
    <d v="2017-07-04T00:00:00"/>
    <d v="2017-08-09T00:00:00"/>
    <d v="2017-08-18T00:00:00"/>
    <d v="2017-09-04T00:00:00"/>
    <d v="2017-09-21T00:00:00"/>
    <m/>
    <x v="5"/>
    <x v="67"/>
    <s v="Schofields"/>
    <n v="124.97"/>
    <n v="390"/>
    <n v="514.97"/>
    <n v="566.4670000000001"/>
    <m/>
    <m/>
    <n v="0"/>
    <n v="514.97"/>
    <n v="1"/>
    <s v="Invoiced"/>
    <d v="2017-07-18T00:00:00"/>
    <s v="Completed and handover forwarded"/>
    <s v="Andrew Mahassy"/>
    <s v="Direct Award"/>
    <d v="2017-06-20T00:00:00"/>
    <m/>
    <m/>
    <m/>
  </r>
  <r>
    <s v="A417 Greenfield MDU"/>
    <s v="Sydney"/>
    <s v="Inv 12568"/>
    <d v="2017-09-08T00:00:00"/>
    <d v="2017-07-21T00:00:00"/>
    <d v="2017-07-21T00:00:00"/>
    <d v="2017-08-09T00:00:00"/>
    <d v="2017-08-18T00:00:00"/>
    <d v="2017-08-08T00:00:00"/>
    <d v="2017-09-08T00:00:00"/>
    <m/>
    <x v="5"/>
    <x v="68"/>
    <s v="Blacktown"/>
    <n v="288.08"/>
    <n v="692.46"/>
    <n v="980.54"/>
    <n v="1078.5940000000001"/>
    <m/>
    <m/>
    <n v="0"/>
    <n v="980.54"/>
    <n v="1"/>
    <s v="Invoiced"/>
    <d v="2017-08-04T00:00:00"/>
    <s v="Completed and handover forwarded"/>
    <s v="Andrew Mahassy"/>
    <s v="Direct Award"/>
    <d v="2017-06-16T00:00:00"/>
    <m/>
    <m/>
    <m/>
  </r>
  <r>
    <s v="A417 Greenfield MDU"/>
    <s v="Sydney"/>
    <s v="Inv 12606"/>
    <d v="2017-09-06T00:00:00"/>
    <d v="2017-07-12T00:00:00"/>
    <d v="2017-07-03T00:00:00"/>
    <d v="2017-08-09T00:00:00"/>
    <d v="2017-09-01T00:00:00"/>
    <d v="2017-08-08T00:00:00"/>
    <d v="2017-09-21T00:00:00"/>
    <s v="Variation Proposal Submitted 9/8/17"/>
    <x v="5"/>
    <x v="69"/>
    <s v="Edmonton"/>
    <n v="1026.45"/>
    <n v="112.25"/>
    <n v="1138.7"/>
    <n v="1252.5700000000002"/>
    <m/>
    <m/>
    <n v="0"/>
    <n v="1138.7"/>
    <n v="1"/>
    <s v="Invoiced"/>
    <d v="2017-07-17T00:00:00"/>
    <s v="Completed and handover forwarded"/>
    <s v="Andrew Mahassy"/>
    <s v="Direct Award"/>
    <d v="2017-06-19T00:00:00"/>
    <m/>
    <m/>
    <m/>
  </r>
  <r>
    <s v="A417 Greenfield MDU"/>
    <s v="Sydney"/>
    <s v="Inv 12744"/>
    <d v="2017-10-25T00:00:00"/>
    <d v="2017-08-01T00:00:00"/>
    <d v="2017-08-04T00:00:00"/>
    <d v="2017-08-09T00:00:00"/>
    <d v="2017-09-15T00:00:00"/>
    <d v="2017-09-07T00:00:00"/>
    <d v="2017-10-31T00:00:00"/>
    <m/>
    <x v="4"/>
    <x v="70"/>
    <s v="Blacktown"/>
    <n v="182.87"/>
    <n v="375.17"/>
    <n v="558.04"/>
    <n v="613.84400000000005"/>
    <m/>
    <m/>
    <n v="0"/>
    <n v="558.04"/>
    <n v="1"/>
    <s v="Invoiced"/>
    <d v="2017-08-18T00:00:00"/>
    <s v="Completed and handover forwarded"/>
    <s v="Markk Leal"/>
    <s v="Direct Award"/>
    <d v="2017-06-20T00:00:00"/>
    <m/>
    <m/>
    <m/>
  </r>
  <r>
    <s v="A401/Greenfield"/>
    <s v="Sydney"/>
    <s v="Inv 12872"/>
    <d v="2017-11-29T00:00:00"/>
    <d v="2017-09-04T00:00:00"/>
    <d v="2017-09-04T00:00:00"/>
    <m/>
    <m/>
    <d v="2017-09-18T00:00:00"/>
    <d v="2017-11-30T00:00:00"/>
    <m/>
    <x v="3"/>
    <x v="71"/>
    <s v="Kellyville"/>
    <n v="2090.71"/>
    <m/>
    <n v="2090.71"/>
    <n v="2299.7810000000004"/>
    <m/>
    <m/>
    <n v="0"/>
    <n v="2090.71"/>
    <n v="1"/>
    <s v="Invoiced"/>
    <d v="2017-09-18T00:00:00"/>
    <s v="Completed and handover forwarded"/>
    <s v="Dave Yoemans"/>
    <d v="2017-05-15T00:00:00"/>
    <d v="2017-06-16T00:00:00"/>
    <n v="32"/>
    <d v="2017-07-30T00:00:00"/>
    <n v="44"/>
  </r>
  <r>
    <s v="A417 Greenfield MDU"/>
    <s v="Sydney"/>
    <s v="Inv 12686"/>
    <d v="2017-10-10T00:00:00"/>
    <d v="2017-08-13T00:00:00"/>
    <d v="2017-08-14T00:00:00"/>
    <d v="2017-08-15T00:00:00"/>
    <d v="2017-09-01T00:00:00"/>
    <d v="2017-08-28T00:00:00"/>
    <d v="2017-10-12T00:00:00"/>
    <m/>
    <x v="4"/>
    <x v="72"/>
    <s v="Blacktown"/>
    <n v="300.05"/>
    <n v="3632.01"/>
    <n v="3932.0600000000004"/>
    <n v="4325.2660000000005"/>
    <m/>
    <m/>
    <n v="0"/>
    <n v="3932.0600000000004"/>
    <n v="1"/>
    <s v="Invoiced"/>
    <d v="2017-08-28T00:00:00"/>
    <s v="Completed and handover forwarded"/>
    <s v="Andrew Mahassy"/>
    <s v="Direct Award"/>
    <d v="2017-06-28T00:00:00"/>
    <m/>
    <m/>
    <m/>
  </r>
  <r>
    <s v="A401/Greenfield"/>
    <s v="Sydney"/>
    <s v="Inv 12871"/>
    <d v="2017-11-29T00:00:00"/>
    <d v="2017-10-05T00:00:00"/>
    <d v="2017-10-05T00:00:00"/>
    <d v="2017-10-16T00:00:00"/>
    <d v="2017-11-17T00:00:00"/>
    <d v="2017-10-20T00:00:00"/>
    <d v="2017-12-05T00:00:00"/>
    <m/>
    <x v="6"/>
    <x v="73"/>
    <s v="Blackheath"/>
    <n v="2844.81"/>
    <n v="-106.5"/>
    <n v="2738.31"/>
    <n v="3012.1410000000001"/>
    <m/>
    <m/>
    <n v="0"/>
    <n v="2738.31"/>
    <n v="1"/>
    <s v="Invoiced"/>
    <d v="2017-10-19T00:00:00"/>
    <s v="Completed and handover forwarded"/>
    <s v="Mark Leal"/>
    <d v="2017-05-11T00:00:00"/>
    <d v="2017-05-15T00:00:00"/>
    <n v="4"/>
    <d v="2017-05-19T00:00:00"/>
    <n v="4"/>
  </r>
  <r>
    <s v="A401/Greenfield"/>
    <s v="Sydney"/>
    <s v="Inv 12572"/>
    <d v="2017-09-11T00:00:00"/>
    <d v="2017-07-10T00:00:00"/>
    <d v="2017-07-11T00:00:00"/>
    <m/>
    <m/>
    <d v="2017-08-08T00:00:00"/>
    <d v="2017-09-21T00:00:00"/>
    <m/>
    <x v="5"/>
    <x v="74"/>
    <s v="Narellan"/>
    <n v="12365.6"/>
    <m/>
    <n v="12365.6"/>
    <n v="13602.160000000002"/>
    <m/>
    <m/>
    <n v="0"/>
    <n v="12365.6"/>
    <n v="1"/>
    <s v="Invoiced"/>
    <d v="2017-07-25T00:00:00"/>
    <s v="Completed and handover forwarded"/>
    <s v="Andrew Partalis"/>
    <d v="2017-05-31T00:00:00"/>
    <d v="2017-07-03T00:00:00"/>
    <n v="33"/>
    <d v="2017-06-09T00:00:00"/>
    <n v="-24"/>
  </r>
  <r>
    <s v="A417 Greenfield MDU"/>
    <s v="Sydney"/>
    <m/>
    <m/>
    <m/>
    <d v="2018-03-30T00:00:00"/>
    <m/>
    <m/>
    <s v=" "/>
    <m/>
    <m/>
    <x v="7"/>
    <x v="75"/>
    <s v="Asquith"/>
    <n v="1035.19"/>
    <m/>
    <n v="1035.19"/>
    <n v="1138.7090000000001"/>
    <m/>
    <m/>
    <n v="0"/>
    <n v="1035.19"/>
    <n v="1"/>
    <m/>
    <d v="2018-04-13T00:00:00"/>
    <m/>
    <s v="Andrew Partalis"/>
    <s v="Direct Award"/>
    <d v="2017-07-04T00:00:00"/>
    <m/>
    <m/>
    <m/>
  </r>
  <r>
    <s v="A401/Minor works"/>
    <s v="Sth NSW"/>
    <s v="Inv 12934"/>
    <d v="2017-12-07T00:00:00"/>
    <d v="2017-08-10T00:00:00"/>
    <d v="2017-10-23T00:00:00"/>
    <d v="2017-11-04T00:00:00"/>
    <d v="2017-11-24T00:00:00"/>
    <d v="2017-11-02T00:00:00"/>
    <d v="2017-12-13T00:00:00"/>
    <m/>
    <x v="6"/>
    <x v="76"/>
    <s v="Wollongong / Liverpool"/>
    <n v="10612"/>
    <n v="9213"/>
    <n v="19825"/>
    <n v="21807.5"/>
    <m/>
    <m/>
    <n v="0"/>
    <n v="19825"/>
    <n v="1"/>
    <s v="Invoiced"/>
    <d v="2017-11-06T00:00:00"/>
    <s v="Completed and handover forwarded"/>
    <s v="Milan Khanal"/>
    <d v="2017-06-06T00:00:00"/>
    <d v="2017-07-06T00:00:00"/>
    <n v="30"/>
    <d v="2017-06-30T00:00:00"/>
    <n v="-6"/>
  </r>
  <r>
    <s v="A401/Minor works"/>
    <s v="Sth NSW"/>
    <s v="Inv 12687"/>
    <d v="2017-10-10T00:00:00"/>
    <d v="2017-08-07T00:00:00"/>
    <d v="2017-08-10T00:00:00"/>
    <m/>
    <m/>
    <d v="2017-09-19T00:00:00"/>
    <d v="2017-10-12T00:00:00"/>
    <m/>
    <x v="4"/>
    <x v="77"/>
    <s v="Wollongong"/>
    <n v="6272.99"/>
    <m/>
    <n v="6272.99"/>
    <n v="6900.2890000000007"/>
    <m/>
    <m/>
    <n v="0"/>
    <n v="6272.99"/>
    <n v="1"/>
    <s v="Invoiced"/>
    <d v="2017-08-24T00:00:00"/>
    <s v="Completed and handover forwarded"/>
    <s v="Milan Khanal"/>
    <d v="2017-06-06T00:00:00"/>
    <d v="2017-07-06T00:00:00"/>
    <n v="30"/>
    <d v="2017-06-30T00:00:00"/>
    <n v="-6"/>
  </r>
  <r>
    <s v="A417 Greenfield MDU"/>
    <s v="Sydney"/>
    <s v="Inv 12830"/>
    <d v="2017-11-16T00:00:00"/>
    <d v="2017-10-16T00:00:00"/>
    <d v="2017-10-16T00:00:00"/>
    <d v="2017-10-24T00:00:00"/>
    <d v="2017-10-24T00:00:00"/>
    <d v="2017-10-23T00:00:00"/>
    <d v="2017-11-21T00:00:00"/>
    <m/>
    <x v="6"/>
    <x v="78"/>
    <s v="Schofields"/>
    <n v="2766.71"/>
    <n v="-1040.96"/>
    <n v="1725.75"/>
    <n v="1898.325"/>
    <m/>
    <m/>
    <n v="0"/>
    <n v="1725.75"/>
    <n v="1"/>
    <s v="Invoiced"/>
    <d v="2017-10-30T00:00:00"/>
    <s v="Completed and handover forwarded"/>
    <s v="Andrew Mahassy"/>
    <s v="Direct Award"/>
    <d v="2017-07-05T00:00:00"/>
    <m/>
    <m/>
    <m/>
  </r>
  <r>
    <s v="A417 Greenfield MDU"/>
    <s v="Sydney"/>
    <s v="Inv 12811"/>
    <d v="2017-11-16T00:00:00"/>
    <d v="2017-09-27T00:00:00"/>
    <d v="2017-09-27T00:00:00"/>
    <d v="2017-09-28T00:00:00"/>
    <d v="2017-10-03T00:00:00"/>
    <d v="2017-10-13T00:00:00"/>
    <d v="2017-11-21T00:00:00"/>
    <m/>
    <x v="3"/>
    <x v="79"/>
    <s v="Blacktown"/>
    <n v="232.27"/>
    <n v="7875.13"/>
    <n v="8107.4000000000005"/>
    <n v="8918.1400000000012"/>
    <m/>
    <m/>
    <n v="0"/>
    <n v="8107.4000000000005"/>
    <n v="1"/>
    <s v="Invoiced"/>
    <d v="2017-10-11T00:00:00"/>
    <s v="Completed and handover forwarded"/>
    <s v="Andrew Mahassy"/>
    <s v="Direct Award"/>
    <d v="2017-07-05T00:00:00"/>
    <m/>
    <m/>
    <m/>
  </r>
  <r>
    <s v="A417 Greenfield MDU"/>
    <s v="Sydney"/>
    <s v="Inv 12802"/>
    <d v="2017-11-13T00:00:00"/>
    <d v="2017-10-04T00:00:00"/>
    <d v="2017-10-06T00:00:00"/>
    <d v="2017-10-18T00:00:00"/>
    <d v="2017-10-25T00:00:00"/>
    <d v="2017-10-20T00:00:00"/>
    <d v="2017-11-16T00:00:00"/>
    <m/>
    <x v="6"/>
    <x v="80"/>
    <s v="Wentworthville"/>
    <n v="1768.07"/>
    <n v="2146.79"/>
    <n v="3914.8599999999997"/>
    <n v="4306.3459999999995"/>
    <m/>
    <m/>
    <n v="0"/>
    <n v="3914.8599999999997"/>
    <n v="1"/>
    <s v="Invoiced"/>
    <d v="2017-10-20T00:00:00"/>
    <s v="Completed and handover forwarded"/>
    <s v="Michael Tram"/>
    <s v="Direct Award"/>
    <d v="2017-07-06T00:00:00"/>
    <m/>
    <m/>
    <m/>
  </r>
  <r>
    <s v="A401/Greenfield"/>
    <s v="Sydney"/>
    <s v="Inv 12803"/>
    <d v="2017-11-13T00:00:00"/>
    <d v="2017-09-25T00:00:00"/>
    <d v="2017-09-25T00:00:00"/>
    <d v="2017-09-27T00:00:00"/>
    <d v="2017-10-02T00:00:00"/>
    <d v="2017-10-04T00:00:00"/>
    <d v="2016-11-16T00:00:00"/>
    <m/>
    <x v="3"/>
    <x v="81"/>
    <s v="Erskine Park"/>
    <n v="6073.69"/>
    <n v="3516.71"/>
    <n v="9590.4"/>
    <n v="10549.44"/>
    <m/>
    <m/>
    <n v="0"/>
    <n v="9590.4"/>
    <n v="1"/>
    <s v="Invoiced"/>
    <d v="2017-10-09T00:00:00"/>
    <s v="Completed and handover forwarded"/>
    <s v="Andrew Mahassy"/>
    <d v="2017-06-13T00:00:00"/>
    <d v="2017-06-30T00:00:00"/>
    <n v="17"/>
    <d v="2017-07-28T00:00:00"/>
    <n v="28"/>
  </r>
  <r>
    <s v="A401/Greenfield"/>
    <s v="Newcastle"/>
    <s v="Inv 12497"/>
    <d v="2017-10-03T00:00:00"/>
    <d v="2017-08-14T00:00:00"/>
    <d v="2017-08-14T00:00:00"/>
    <d v="2017-08-15T00:00:00"/>
    <d v="2017-09-15T00:00:00"/>
    <d v="2017-08-25T00:00:00"/>
    <d v="2017-10-05T00:00:00"/>
    <m/>
    <x v="4"/>
    <x v="82"/>
    <s v="Morphet"/>
    <n v="7531.6314285714288"/>
    <n v="464.5"/>
    <n v="7996.1314285714288"/>
    <n v="8795.7445714285732"/>
    <m/>
    <m/>
    <n v="0"/>
    <n v="7996.1314285714288"/>
    <n v="1"/>
    <s v="Invoiced"/>
    <d v="2017-08-28T00:00:00"/>
    <s v="Completed and handover forwarded"/>
    <s v="Mark Leal"/>
    <d v="2017-06-02T00:00:00"/>
    <d v="2017-07-11T00:00:00"/>
    <n v="39"/>
    <d v="2017-07-13T00:00:00"/>
    <n v="2"/>
  </r>
  <r>
    <s v="A417 Greenfield MDU"/>
    <s v="Sydney"/>
    <s v="Inv 12807"/>
    <d v="2017-11-14T00:00:00"/>
    <d v="2017-08-22T00:00:00"/>
    <d v="2017-08-22T00:00:00"/>
    <d v="2017-08-22T00:00:00"/>
    <d v="2017-10-06T00:00:00"/>
    <d v="2017-09-07T00:00:00"/>
    <d v="2017-11-16T00:00:00"/>
    <m/>
    <x v="4"/>
    <x v="83"/>
    <s v="Croydon park"/>
    <n v="3340.88"/>
    <n v="2772.83"/>
    <n v="6113.71"/>
    <n v="6725.0810000000001"/>
    <m/>
    <m/>
    <n v="0"/>
    <n v="6113.71"/>
    <n v="1"/>
    <s v="Invoiced"/>
    <d v="2017-09-05T00:00:00"/>
    <s v="Completed and handover forwarded"/>
    <s v="Michael Tram"/>
    <s v="Direct Award"/>
    <d v="2017-07-11T00:00:00"/>
    <m/>
    <m/>
    <m/>
  </r>
  <r>
    <s v="A417 Greenfield MDU"/>
    <s v="Sydney"/>
    <s v="Inv 12501"/>
    <d v="2017-08-17T00:00:00"/>
    <d v="2017-08-16T00:00:00"/>
    <d v="2017-08-16T00:00:00"/>
    <d v="2017-08-16T00:00:00"/>
    <d v="2017-09-23T00:00:00"/>
    <d v="2017-10-16T00:00:00"/>
    <d v="2017-10-26T00:00:00"/>
    <m/>
    <x v="4"/>
    <x v="84"/>
    <s v="Kellyville"/>
    <n v="10316"/>
    <n v="155.54"/>
    <n v="10471.540000000001"/>
    <n v="11518.694000000001"/>
    <m/>
    <m/>
    <n v="0"/>
    <n v="10471.540000000001"/>
    <n v="1"/>
    <s v="Invoiced"/>
    <d v="2017-08-30T00:00:00"/>
    <s v="Completed and handover forwarded"/>
    <s v="Andrew Mahassy"/>
    <s v="Direct Award"/>
    <d v="2017-06-14T00:00:00"/>
    <m/>
    <m/>
    <m/>
  </r>
  <r>
    <s v="A401/Greenfield"/>
    <s v="Nth Coast"/>
    <s v="Inv 12828"/>
    <d v="2017-11-17T00:00:00"/>
    <d v="2017-08-27T00:00:00"/>
    <d v="2017-08-27T00:00:00"/>
    <m/>
    <m/>
    <d v="2017-11-01T00:00:00"/>
    <d v="2017-11-23T00:00:00"/>
    <m/>
    <x v="4"/>
    <x v="85"/>
    <s v="Old Bar"/>
    <n v="1430"/>
    <m/>
    <n v="1430"/>
    <n v="1573.0000000000002"/>
    <m/>
    <m/>
    <n v="0"/>
    <n v="1430"/>
    <n v="1"/>
    <s v="Invoiced"/>
    <d v="2017-09-10T00:00:00"/>
    <s v="Completed and handover forwarded"/>
    <s v="Mark Leal"/>
    <d v="2017-06-13T00:00:00"/>
    <d v="2017-07-17T00:00:00"/>
    <n v="34"/>
    <d v="2017-06-13T00:00:00"/>
    <n v="-34"/>
  </r>
  <r>
    <s v="A417 Greenfield MDU"/>
    <s v="Sydney"/>
    <s v="Inv 12875"/>
    <d v="2017-11-29T00:00:00"/>
    <d v="2017-08-29T00:00:00"/>
    <d v="2017-08-29T00:00:00"/>
    <d v="2017-09-14T00:00:00"/>
    <d v="2017-10-09T00:00:00"/>
    <d v="2017-10-31T00:00:00"/>
    <d v="2017-11-29T00:00:00"/>
    <m/>
    <x v="4"/>
    <x v="86"/>
    <s v="Parramatta Road"/>
    <n v="4035.55"/>
    <n v="1147.97"/>
    <n v="5183.5200000000004"/>
    <n v="5701.8720000000012"/>
    <m/>
    <m/>
    <n v="0"/>
    <n v="5183.5200000000004"/>
    <n v="1"/>
    <s v="Invoiced"/>
    <d v="2017-09-12T00:00:00"/>
    <s v="Completed and handover forwarded"/>
    <s v="Lindy Chan"/>
    <s v="Direct Award"/>
    <d v="2017-07-19T00:00:00"/>
    <m/>
    <m/>
    <m/>
  </r>
  <r>
    <s v="A401/Minor works"/>
    <s v="Central Coast"/>
    <s v="Inv 12985"/>
    <d v="2017-12-19T00:00:00"/>
    <d v="2017-11-04T00:00:00"/>
    <d v="2017-11-04T00:00:00"/>
    <d v="2017-11-17T00:00:00"/>
    <d v="2017-11-24T00:00:00"/>
    <d v="2017-12-04T00:00:00"/>
    <d v="2017-12-18T00:00:00"/>
    <m/>
    <x v="8"/>
    <x v="87"/>
    <s v="Long Jetty"/>
    <n v="1829.49"/>
    <n v="11994.14"/>
    <n v="13823.63"/>
    <n v="15205.993"/>
    <m/>
    <m/>
    <n v="0"/>
    <n v="13823.63"/>
    <n v="1"/>
    <s v="Invoiced"/>
    <d v="2017-11-18T00:00:00"/>
    <s v="Completed and handover forwarded"/>
    <s v="Jay Shrestha"/>
    <m/>
    <m/>
    <m/>
    <m/>
    <m/>
  </r>
  <r>
    <s v="A401/Minor works"/>
    <s v="Central Coast"/>
    <s v="Inv 12933"/>
    <d v="2017-12-07T00:00:00"/>
    <d v="2017-09-26T00:00:00"/>
    <d v="2017-09-26T00:00:00"/>
    <d v="2017-11-04T00:00:00"/>
    <d v="2017-11-24T00:00:00"/>
    <d v="2017-11-03T00:00:00"/>
    <d v="2017-12-13T00:00:00"/>
    <m/>
    <x v="3"/>
    <x v="88"/>
    <s v="Gosford"/>
    <n v="1829.49"/>
    <n v="2155.37"/>
    <n v="3984.8599999999997"/>
    <n v="4383.3459999999995"/>
    <m/>
    <m/>
    <n v="0"/>
    <n v="3984.8599999999997"/>
    <n v="1"/>
    <s v="Invoiced"/>
    <d v="2017-10-10T00:00:00"/>
    <s v="Completed and handover forwarded"/>
    <s v="Jay Shrestha"/>
    <m/>
    <m/>
    <m/>
    <m/>
    <m/>
  </r>
  <r>
    <s v="A401/Minor works"/>
    <s v="Sydney"/>
    <s v="Inv 13028"/>
    <d v="2018-01-08T00:00:00"/>
    <d v="2017-11-27T00:00:00"/>
    <d v="2017-12-01T00:00:00"/>
    <d v="2017-11-27T00:00:00"/>
    <d v="2017-12-14T00:00:00"/>
    <d v="2017-12-13T00:00:00"/>
    <d v="2018-01-11T00:00:00"/>
    <m/>
    <x v="9"/>
    <x v="89"/>
    <s v="Blacktown"/>
    <n v="1829.49"/>
    <n v="37470.15"/>
    <n v="39299.64"/>
    <n v="43229.603999999999"/>
    <m/>
    <m/>
    <n v="0"/>
    <n v="39299.64"/>
    <n v="1"/>
    <s v="Invoiced"/>
    <d v="2017-12-15T00:00:00"/>
    <s v="Completed and handover forwarded"/>
    <s v="Jay Shrestha"/>
    <d v="2017-06-02T00:00:00"/>
    <d v="2017-07-24T00:00:00"/>
    <n v="52"/>
    <m/>
    <m/>
  </r>
  <r>
    <s v="A417 Greenfield MDU"/>
    <s v="Sydney"/>
    <s v="Inv 12826"/>
    <d v="2017-11-16T00:00:00"/>
    <d v="2017-10-02T00:00:00"/>
    <d v="2017-10-04T00:00:00"/>
    <d v="2017-10-16T00:00:00"/>
    <d v="2017-10-24T00:00:00"/>
    <d v="2017-10-13T00:00:00"/>
    <d v="2017-11-16T00:00:00"/>
    <m/>
    <x v="6"/>
    <x v="90"/>
    <s v="Kellyville"/>
    <n v="9841.41"/>
    <n v="4157.68"/>
    <n v="13999.09"/>
    <n v="15398.999000000002"/>
    <m/>
    <m/>
    <n v="0"/>
    <n v="13999.09"/>
    <n v="1"/>
    <s v="Invoiced"/>
    <d v="2017-10-18T00:00:00"/>
    <s v="Completed and handover forwarded"/>
    <s v="Andrew Mahassy"/>
    <s v="Direct Award"/>
    <d v="2017-07-25T00:00:00"/>
    <m/>
    <m/>
    <m/>
  </r>
  <r>
    <s v="A417 Greenfield MDU"/>
    <s v="Canberra"/>
    <s v="Inv 12915"/>
    <d v="2017-12-04T00:00:00"/>
    <d v="2017-09-20T00:00:00"/>
    <d v="2017-09-25T00:00:00"/>
    <d v="2017-09-27T00:00:00"/>
    <d v="2017-11-17T00:00:00"/>
    <d v="2017-10-04T00:00:00"/>
    <d v="2017-12-07T00:00:00"/>
    <m/>
    <x v="3"/>
    <x v="91"/>
    <s v="Franklin"/>
    <n v="5109.41"/>
    <n v="883.35"/>
    <n v="5992.76"/>
    <n v="6592.036000000001"/>
    <m/>
    <m/>
    <n v="0"/>
    <n v="5992.76"/>
    <n v="1"/>
    <s v="Invoiced"/>
    <d v="2017-10-09T00:00:00"/>
    <s v="Completed and handover forwarded"/>
    <s v="Shaher Aslam"/>
    <s v="Direct Award"/>
    <d v="2017-07-21T00:00:00"/>
    <m/>
    <m/>
    <m/>
  </r>
  <r>
    <s v="A417 Greenfield MDU"/>
    <s v="Canberra"/>
    <s v="Inv 12916"/>
    <d v="2017-12-04T00:00:00"/>
    <d v="2017-09-20T00:00:00"/>
    <d v="2017-09-25T00:00:00"/>
    <m/>
    <m/>
    <d v="2017-10-04T00:00:00"/>
    <d v="2017-12-07T00:00:00"/>
    <m/>
    <x v="3"/>
    <x v="92"/>
    <s v="Franklin"/>
    <n v="10627.34"/>
    <m/>
    <n v="10627.34"/>
    <n v="11690.074000000001"/>
    <m/>
    <m/>
    <n v="0"/>
    <n v="10627.34"/>
    <n v="1"/>
    <s v="Invoiced"/>
    <d v="2017-10-09T00:00:00"/>
    <s v="Completed and handover forwarded"/>
    <s v="Shaher Aslam"/>
    <s v="Direct Award"/>
    <d v="2017-07-22T00:00:00"/>
    <m/>
    <m/>
    <m/>
  </r>
  <r>
    <s v="A417 Greenfield MDU"/>
    <s v="Sydney"/>
    <s v="Inv 12829"/>
    <d v="2017-11-16T00:00:00"/>
    <d v="2017-10-10T00:00:00"/>
    <d v="2017-10-12T00:00:00"/>
    <d v="2017-10-17T00:00:00"/>
    <d v="2017-10-25T00:00:00"/>
    <d v="2017-10-20T00:00:00"/>
    <d v="2017-11-21T00:00:00"/>
    <m/>
    <x v="6"/>
    <x v="93"/>
    <s v="Penrith"/>
    <n v="2496.87"/>
    <n v="-147.13999999999999"/>
    <n v="2349.73"/>
    <n v="2584.7030000000004"/>
    <m/>
    <m/>
    <n v="0"/>
    <n v="2349.73"/>
    <n v="1"/>
    <s v="Invoiced"/>
    <d v="2017-10-26T00:00:00"/>
    <s v="Completed and handover forwarded"/>
    <s v="Michael Tram"/>
    <s v="Direct Award"/>
    <d v="2017-07-24T00:00:00"/>
    <m/>
    <m/>
    <m/>
  </r>
  <r>
    <s v="A417 Greenfield MDU"/>
    <s v="Newcastle"/>
    <s v="Inv 12653"/>
    <d v="2017-10-03T00:00:00"/>
    <d v="2017-08-20T00:00:00"/>
    <d v="2017-08-25T00:00:00"/>
    <d v="2017-09-19T00:00:00"/>
    <d v="2017-09-22T00:00:00"/>
    <d v="2017-09-06T00:00:00"/>
    <d v="2017-10-05T00:00:00"/>
    <m/>
    <x v="4"/>
    <x v="94"/>
    <s v="Morphet"/>
    <n v="3600"/>
    <n v="5391.9"/>
    <n v="8991.9"/>
    <n v="9891.09"/>
    <m/>
    <m/>
    <n v="0"/>
    <n v="8991.9"/>
    <n v="1"/>
    <s v="Invoiced"/>
    <d v="2017-09-08T00:00:00"/>
    <s v="Completed and handover forwarded"/>
    <s v="Shaher Aslam"/>
    <s v="Direct Award"/>
    <d v="2017-07-21T00:00:00"/>
    <m/>
    <m/>
    <m/>
  </r>
  <r>
    <s v="A417 Greenfield MDU"/>
    <s v="Newcastle"/>
    <m/>
    <m/>
    <m/>
    <d v="2018-03-30T00:00:00"/>
    <m/>
    <m/>
    <m/>
    <m/>
    <m/>
    <x v="7"/>
    <x v="95"/>
    <s v="Morphet"/>
    <n v="5760"/>
    <m/>
    <n v="5760"/>
    <n v="6336.0000000000009"/>
    <m/>
    <m/>
    <n v="0"/>
    <n v="5760"/>
    <n v="1"/>
    <m/>
    <d v="2018-04-13T00:00:00"/>
    <m/>
    <s v="Shaher Aslam"/>
    <s v="Direct Award"/>
    <d v="2017-07-21T00:00:00"/>
    <m/>
    <m/>
    <m/>
  </r>
  <r>
    <s v="A417 Greenfield MDU"/>
    <s v="Newcastle"/>
    <m/>
    <m/>
    <d v="2018-02-06T00:00:00"/>
    <d v="2018-02-06T00:00:00"/>
    <d v="2018-02-21T00:00:00"/>
    <d v="2018-02-27T00:00:00"/>
    <d v="2018-02-20T00:00:00"/>
    <d v="2018-02-20T00:00:00"/>
    <m/>
    <x v="2"/>
    <x v="96"/>
    <s v="Rutherford"/>
    <n v="5760"/>
    <n v="-5760"/>
    <n v="288"/>
    <n v="316.8"/>
    <m/>
    <m/>
    <n v="0"/>
    <n v="288"/>
    <n v="1"/>
    <m/>
    <d v="2018-02-20T00:00:00"/>
    <m/>
    <s v="Shaher Aslam"/>
    <s v="Direct Award"/>
    <d v="2017-07-21T00:00:00"/>
    <m/>
    <m/>
    <m/>
  </r>
  <r>
    <s v="A417 Greenfield MDU"/>
    <s v="Sydney"/>
    <s v="Inv 13114"/>
    <d v="2018-01-30T00:00:00"/>
    <d v="2017-12-13T00:00:00"/>
    <d v="2017-12-13T00:00:00"/>
    <d v="2017-12-21T00:00:00"/>
    <d v="2017-01-03T00:00:00"/>
    <d v="2018-01-03T00:00:00"/>
    <d v="2018-01-25T00:00:00"/>
    <m/>
    <x v="9"/>
    <x v="97"/>
    <s v="Mt Colah"/>
    <n v="2338.56"/>
    <n v="1630.43"/>
    <n v="3968.99"/>
    <n v="4365.8890000000001"/>
    <m/>
    <m/>
    <n v="0"/>
    <n v="3968.99"/>
    <n v="1"/>
    <m/>
    <d v="2017-12-27T00:00:00"/>
    <m/>
    <s v="Andrew Partalis"/>
    <s v="Direct Award"/>
    <d v="2017-07-19T00:00:00"/>
    <m/>
    <m/>
    <m/>
  </r>
  <r>
    <s v="A401/Minor works"/>
    <s v="Sydney"/>
    <s v="Inv 12652"/>
    <d v="2017-10-03T00:00:00"/>
    <d v="2017-08-22T00:00:00"/>
    <d v="2017-08-22T00:00:00"/>
    <d v="2017-08-28T00:00:00"/>
    <d v="2017-09-06T00:00:00"/>
    <d v="2017-09-06T00:00:00"/>
    <d v="2017-10-05T00:00:00"/>
    <m/>
    <x v="4"/>
    <x v="98"/>
    <s v="Milpera"/>
    <n v="8099.36"/>
    <n v="-3540"/>
    <n v="4559.3599999999997"/>
    <n v="5015.2960000000003"/>
    <m/>
    <m/>
    <n v="0"/>
    <n v="4559.3599999999997"/>
    <n v="1"/>
    <s v="Invoiced"/>
    <d v="2017-09-05T00:00:00"/>
    <s v="Completed and handover forwarded"/>
    <s v="Shaher Aslan"/>
    <d v="2017-08-03T00:00:00"/>
    <d v="2017-08-10T00:00:00"/>
    <n v="7"/>
    <d v="2017-08-18T00:00:00"/>
    <n v="8"/>
  </r>
  <r>
    <s v="A417 Greenfield MDU"/>
    <s v="Sydney"/>
    <s v="Inv 13025 &amp; 13151"/>
    <d v="2018-01-10T00:00:00"/>
    <d v="2017-12-01T00:00:00"/>
    <d v="2017-12-01T00:00:00"/>
    <d v="2017-12-05T00:00:00"/>
    <d v="2017-12-12T00:00:00"/>
    <d v="2017-12-15T00:00:00"/>
    <d v="2017-12-26T00:00:00"/>
    <m/>
    <x v="9"/>
    <x v="99"/>
    <s v="Kellyville"/>
    <n v="7372.49"/>
    <n v="6818.21"/>
    <n v="14190.7"/>
    <n v="15609.770000000002"/>
    <m/>
    <m/>
    <n v="0"/>
    <n v="14190.7"/>
    <n v="1"/>
    <m/>
    <d v="2017-12-15T00:00:00"/>
    <m/>
    <s v="Andrew Mahassy"/>
    <s v="Direct Award"/>
    <d v="2017-07-19T00:00:00"/>
    <m/>
    <m/>
    <m/>
  </r>
  <r>
    <s v="A417 Greenfield MDU"/>
    <s v="Sydney"/>
    <s v="Inv 12654"/>
    <d v="2017-10-03T00:00:00"/>
    <d v="2017-08-24T00:00:00"/>
    <d v="2017-08-24T00:00:00"/>
    <d v="2017-09-06T00:00:00"/>
    <d v="2017-09-15T00:00:00"/>
    <d v="2017-12-11T00:00:00"/>
    <d v="2017-10-05T00:00:00"/>
    <m/>
    <x v="4"/>
    <x v="100"/>
    <s v="Liverpool"/>
    <n v="1096.17"/>
    <n v="-1.1200000000000001"/>
    <n v="1095.0500000000002"/>
    <n v="1204.5550000000003"/>
    <m/>
    <m/>
    <n v="0"/>
    <n v="1095.0500000000002"/>
    <n v="1"/>
    <s v="Invoiced"/>
    <d v="2017-09-07T00:00:00"/>
    <s v="Completed and handover forwarded"/>
    <s v="Nabeel Jaimon"/>
    <s v="Direct Award"/>
    <d v="2017-07-19T00:00:00"/>
    <m/>
    <m/>
    <m/>
  </r>
  <r>
    <s v="A417 Greenfield MDU"/>
    <s v="Sydney"/>
    <s v="Inv 12689"/>
    <d v="2017-01-11T00:00:00"/>
    <d v="2017-08-28T00:00:00"/>
    <d v="2017-08-28T00:00:00"/>
    <d v="2017-09-06T00:00:00"/>
    <d v="2017-09-15T00:00:00"/>
    <d v="2017-09-11T00:00:00"/>
    <d v="2017-10-17T00:00:00"/>
    <m/>
    <x v="4"/>
    <x v="101"/>
    <s v="Schofields"/>
    <n v="2908.06"/>
    <n v="-95.96"/>
    <n v="2812.1"/>
    <n v="3093.31"/>
    <m/>
    <m/>
    <n v="0"/>
    <n v="2812.1"/>
    <n v="1"/>
    <s v="Invoiced"/>
    <d v="2017-09-11T00:00:00"/>
    <s v="Completed and handover forwarded"/>
    <s v="Ertan Cicek "/>
    <s v="Direct Award"/>
    <d v="2017-07-26T00:00:00"/>
    <m/>
    <m/>
    <m/>
  </r>
  <r>
    <s v="A401/Greenfield"/>
    <s v="Sydney"/>
    <s v="Inv 12574"/>
    <d v="2017-09-11T00:00:00"/>
    <d v="2017-07-31T00:00:00"/>
    <d v="2017-07-31T00:00:00"/>
    <d v="2017-08-15T00:00:00"/>
    <d v="2017-09-04T00:00:00"/>
    <d v="2017-08-15T00:00:00"/>
    <d v="2017-09-19T00:00:00"/>
    <m/>
    <x v="5"/>
    <x v="102"/>
    <s v="Port Kembla"/>
    <n v="8858.31"/>
    <n v="512.57000000000005"/>
    <n v="9370.8799999999992"/>
    <n v="10307.968000000001"/>
    <m/>
    <m/>
    <n v="0"/>
    <n v="9370.8799999999992"/>
    <n v="1"/>
    <s v="Invoiced"/>
    <d v="2017-08-14T00:00:00"/>
    <s v="Completed and handover forwarded"/>
    <s v="Nabeel Jaimon"/>
    <d v="2017-05-01T00:00:00"/>
    <d v="2017-05-10T00:00:00"/>
    <n v="9"/>
    <d v="2017-05-10T00:00:00"/>
    <n v="0"/>
  </r>
  <r>
    <s v="A417 Greenfield MDU"/>
    <s v="Sydney"/>
    <s v="Inv 12608"/>
    <d v="2017-09-25T00:00:00"/>
    <d v="2017-08-01T00:00:00"/>
    <d v="2017-08-01T00:00:00"/>
    <d v="2017-08-15T00:00:00"/>
    <d v="2017-09-01T00:00:00"/>
    <d v="2017-08-14T00:00:00"/>
    <d v="2017-09-19T00:00:00"/>
    <m/>
    <x v="4"/>
    <x v="103"/>
    <s v="Elderslie"/>
    <n v="1561.37"/>
    <n v="698.01"/>
    <n v="2259.38"/>
    <n v="2485.3180000000002"/>
    <m/>
    <m/>
    <n v="0"/>
    <n v="2259.38"/>
    <n v="1"/>
    <s v="Invoiced"/>
    <d v="2017-08-15T00:00:00"/>
    <s v="Completed and handover forwarded"/>
    <s v="Andrew Mahassy"/>
    <s v="Direct Award"/>
    <d v="2017-07-26T00:00:00"/>
    <m/>
    <m/>
    <m/>
  </r>
  <r>
    <s v="A401/Greenfield"/>
    <s v="Sth Coast"/>
    <s v="Inv 12805"/>
    <d v="2017-11-14T00:00:00"/>
    <d v="2017-09-25T00:00:00"/>
    <d v="2017-09-25T00:00:00"/>
    <d v="2017-09-27T00:00:00"/>
    <d v="2017-10-04T00:00:00"/>
    <d v="2017-10-13T00:00:00"/>
    <d v="2017-11-16T00:00:00"/>
    <m/>
    <x v="3"/>
    <x v="104"/>
    <s v="Thirlmere"/>
    <n v="6869.8742857142852"/>
    <n v="8608.4699999999993"/>
    <n v="15478.344285714284"/>
    <n v="17026.178714285714"/>
    <m/>
    <m/>
    <n v="0"/>
    <n v="15478.344285714284"/>
    <n v="1"/>
    <m/>
    <d v="2017-10-09T00:00:00"/>
    <m/>
    <s v="Ertan Cicek "/>
    <d v="2017-07-07T00:00:00"/>
    <d v="2017-08-14T00:00:00"/>
    <n v="38"/>
    <d v="2017-08-25T00:00:00"/>
    <n v="11"/>
  </r>
  <r>
    <s v="A417 Greenfield MDU"/>
    <s v="Sydney"/>
    <s v="Inv 12787"/>
    <d v="2017-11-07T00:00:00"/>
    <d v="2017-08-01T00:00:00"/>
    <d v="2017-08-01T00:00:00"/>
    <d v="2017-08-09T00:00:00"/>
    <d v="2017-08-18T00:00:00"/>
    <d v="2017-09-06T00:00:00"/>
    <d v="2017-11-09T00:00:00"/>
    <s v="Vriation Submitted 9/08/17"/>
    <x v="4"/>
    <x v="105"/>
    <s v="Ryde"/>
    <n v="226.41"/>
    <n v="2148.5500000000002"/>
    <n v="2374.96"/>
    <n v="2612.4560000000001"/>
    <m/>
    <m/>
    <n v="0"/>
    <n v="2374.96"/>
    <n v="1"/>
    <s v="Invoiced"/>
    <d v="2017-08-15T00:00:00"/>
    <s v="Completed and handover forwarded"/>
    <s v="Lindy Chan"/>
    <s v="Direct Award"/>
    <d v="2017-05-30T00:00:00"/>
    <m/>
    <m/>
    <m/>
  </r>
  <r>
    <s v="A401/Greenfield"/>
    <s v="Sydney"/>
    <s v="Inv 12690"/>
    <d v="2017-10-11T00:00:00"/>
    <d v="2017-09-10T00:00:00"/>
    <d v="2017-09-11T00:00:00"/>
    <d v="2017-09-20T00:00:00"/>
    <d v="2017-09-28T00:00:00"/>
    <d v="2017-09-26T00:00:00"/>
    <d v="2017-10-10T00:00:00"/>
    <m/>
    <x v="3"/>
    <x v="106"/>
    <s v="Silverdale"/>
    <n v="18063.68"/>
    <n v="5154.37"/>
    <n v="23218.05"/>
    <n v="25539.855"/>
    <m/>
    <m/>
    <n v="0"/>
    <n v="23218.05"/>
    <n v="1"/>
    <s v="Invoiced"/>
    <d v="2017-09-25T00:00:00"/>
    <s v="Completed and handover forwarded"/>
    <s v="Andrew Mahassy"/>
    <d v="2017-07-31T00:00:00"/>
    <d v="2017-08-14T00:00:00"/>
    <n v="14"/>
    <d v="2017-08-31T00:00:00"/>
    <n v="17"/>
  </r>
  <r>
    <s v="A417 Greenfield MDU"/>
    <s v="Sydney"/>
    <s v="Inv 13122"/>
    <d v="2018-01-30T00:00:00"/>
    <d v="2017-12-01T00:00:00"/>
    <d v="2017-12-01T00:00:00"/>
    <d v="2017-12-04T00:00:00"/>
    <d v="2017-12-20T00:00:00"/>
    <d v="2017-12-13T00:00:00"/>
    <d v="2018-01-29T00:00:00"/>
    <m/>
    <x v="9"/>
    <x v="107"/>
    <s v="Liverpool"/>
    <n v="8071.38"/>
    <n v="14816.270000000002"/>
    <n v="22887.65"/>
    <n v="25176.415000000005"/>
    <m/>
    <m/>
    <n v="0"/>
    <n v="22887.65"/>
    <n v="1"/>
    <m/>
    <d v="2017-12-15T00:00:00"/>
    <m/>
    <s v="Shaher Aslan"/>
    <s v="Direct Award"/>
    <d v="2017-08-08T00:00:00"/>
    <m/>
    <d v="2017-09-29T00:00:00"/>
    <m/>
  </r>
  <r>
    <s v="A417 Greenfield MDU"/>
    <s v="Sydney"/>
    <s v="Inv 13279"/>
    <d v="2018-02-22T00:00:00"/>
    <d v="2017-12-27T00:00:00"/>
    <d v="2017-11-27T00:00:00"/>
    <d v="2018-01-16T00:00:00"/>
    <d v="2018-02-07T00:00:00"/>
    <d v="2017-12-11T00:00:00"/>
    <d v="2018-02-27T00:00:00"/>
    <m/>
    <x v="8"/>
    <x v="108"/>
    <s v="Erskinwille"/>
    <n v="7693.89"/>
    <n v="11728.23"/>
    <n v="19422.12"/>
    <n v="21364.332000000002"/>
    <m/>
    <m/>
    <n v="0"/>
    <n v="19422.12"/>
    <n v="1"/>
    <m/>
    <d v="2017-12-11T00:00:00"/>
    <m/>
    <s v="Shaher Aslan"/>
    <s v="Direct Award"/>
    <d v="2017-08-08T00:00:00"/>
    <m/>
    <m/>
    <m/>
  </r>
  <r>
    <s v="A401/Greenfield"/>
    <s v="Sydney"/>
    <s v="Inv 13249"/>
    <d v="2018-02-19T00:00:00"/>
    <d v="2018-10-10T00:00:00"/>
    <d v="2018-01-10T00:00:00"/>
    <d v="2017-01-10T00:00:00"/>
    <d v="2018-01-24T00:00:00"/>
    <d v="2018-01-22T00:00:00"/>
    <d v="2018-02-05T00:00:00"/>
    <m/>
    <x v="10"/>
    <x v="109"/>
    <s v="Brookvale"/>
    <n v="2139.2800000000002"/>
    <n v="3780.43"/>
    <n v="5919.71"/>
    <n v="6511.6810000000005"/>
    <m/>
    <m/>
    <n v="0"/>
    <n v="5919.71"/>
    <n v="1"/>
    <m/>
    <d v="2018-01-24T00:00:00"/>
    <m/>
    <s v="Andrew Partalis"/>
    <d v="2017-05-30T00:00:00"/>
    <d v="2017-08-04T00:00:00"/>
    <n v="66"/>
    <d v="2017-10-27T00:00:00"/>
    <n v="84"/>
  </r>
  <r>
    <s v="A417 Greenfield MDU"/>
    <s v="Sydney"/>
    <s v="Inv 12836"/>
    <d v="2017-11-29T00:00:00"/>
    <d v="2017-09-25T00:00:00"/>
    <d v="2017-09-25T00:00:00"/>
    <d v="2017-10-17T00:00:00"/>
    <d v="2017-11-01T00:00:00"/>
    <d v="2017-10-03T00:00:00"/>
    <d v="2017-10-17T00:00:00"/>
    <m/>
    <x v="3"/>
    <x v="110"/>
    <s v="Kellyville"/>
    <n v="271.88"/>
    <n v="393.66"/>
    <n v="665.54"/>
    <n v="732.09400000000005"/>
    <m/>
    <m/>
    <n v="0"/>
    <n v="665.54"/>
    <n v="1"/>
    <s v="Invoiced"/>
    <d v="2017-10-09T00:00:00"/>
    <s v="Completed and handover forwarded"/>
    <s v="Ertan Cicek "/>
    <s v="Direct Award"/>
    <d v="2017-08-03T00:00:00"/>
    <m/>
    <m/>
    <m/>
  </r>
  <r>
    <s v="A417 Greenfield MDU"/>
    <s v="Sydney"/>
    <s v="Inv 12713"/>
    <d v="2017-10-18T00:00:00"/>
    <d v="2017-09-14T00:00:00"/>
    <d v="2017-09-25T00:00:00"/>
    <m/>
    <m/>
    <d v="2017-09-26T00:00:00"/>
    <d v="2017-10-24T00:00:00"/>
    <m/>
    <x v="3"/>
    <x v="111"/>
    <s v="Liverpool"/>
    <n v="560"/>
    <m/>
    <n v="560"/>
    <n v="616"/>
    <m/>
    <m/>
    <n v="0"/>
    <n v="560"/>
    <n v="1"/>
    <s v="Invoiced"/>
    <d v="2017-10-09T00:00:00"/>
    <s v="Completed and handover forwarded"/>
    <s v="Shaher Aslan"/>
    <s v="Direct Award"/>
    <d v="2017-08-04T00:00:00"/>
    <m/>
    <d v="2017-10-18T00:00:00"/>
    <m/>
  </r>
  <r>
    <s v="A401/Greenfield"/>
    <s v="Nth Coast"/>
    <s v="Inv 12634"/>
    <d v="2017-09-27T00:00:00"/>
    <d v="2017-07-20T00:00:00"/>
    <d v="2017-07-20T00:00:00"/>
    <d v="2017-07-20T00:00:00"/>
    <d v="2017-09-20T00:00:00"/>
    <d v="2017-08-08T00:00:00"/>
    <d v="2017-09-27T00:00:00"/>
    <m/>
    <x v="5"/>
    <x v="112"/>
    <s v="Taree"/>
    <n v="10810.68"/>
    <n v="3518.7182857142861"/>
    <n v="14329.398285714287"/>
    <n v="15762.338114285718"/>
    <m/>
    <m/>
    <n v="0"/>
    <n v="14329.398285714287"/>
    <n v="1"/>
    <s v="Invoiced"/>
    <d v="2017-08-03T00:00:00"/>
    <s v="Completed and handover forwarded"/>
    <s v="Andrew Partalis"/>
    <d v="2017-03-07T00:00:00"/>
    <d v="2017-03-23T00:00:00"/>
    <n v="16"/>
    <d v="2017-03-22T00:00:00"/>
    <n v="-1"/>
  </r>
  <r>
    <s v="A417 Greenfield MDU"/>
    <s v="Sydney"/>
    <m/>
    <m/>
    <d v="2018-01-15T00:00:00"/>
    <d v="2018-01-15T00:00:00"/>
    <d v="2018-01-16T00:00:00"/>
    <d v="2018-02-19T00:00:00"/>
    <d v="2018-02-21T00:00:00"/>
    <d v="2018-03-07T00:00:00"/>
    <m/>
    <x v="10"/>
    <x v="113"/>
    <s v="Rosebery"/>
    <n v="751.67"/>
    <n v="16052.96"/>
    <n v="16804.629999999997"/>
    <n v="18485.092999999997"/>
    <m/>
    <m/>
    <n v="0"/>
    <n v="16804.629999999997"/>
    <n v="1"/>
    <m/>
    <d v="2018-01-29T00:00:00"/>
    <m/>
    <s v="Lindy Chan"/>
    <s v="Direct Award"/>
    <d v="2017-08-10T00:00:00"/>
    <m/>
    <m/>
    <m/>
  </r>
  <r>
    <s v="A417 Greenfield MDU"/>
    <s v="Sydney"/>
    <d v="1935-11-27T00:00:00"/>
    <d v="2018-01-19T00:00:00"/>
    <d v="2017-12-15T00:00:00"/>
    <d v="2017-12-18T00:00:00"/>
    <d v="2017-12-21T00:00:00"/>
    <d v="2017-01-02T00:00:00"/>
    <d v="2018-01-03T00:00:00"/>
    <d v="2018-01-25T00:00:00"/>
    <m/>
    <x v="9"/>
    <x v="114"/>
    <s v="Double Bay"/>
    <n v="875.4"/>
    <n v="1139.2"/>
    <n v="2014.6"/>
    <n v="2216.06"/>
    <m/>
    <m/>
    <n v="0"/>
    <n v="2014.6"/>
    <n v="1"/>
    <m/>
    <d v="2018-01-01T00:00:00"/>
    <m/>
    <s v="Andrew Mahassy"/>
    <s v="Direct Award"/>
    <d v="2017-08-15T00:00:00"/>
    <m/>
    <m/>
    <m/>
  </r>
  <r>
    <s v="A401/Greenfield"/>
    <s v="Newcastle"/>
    <s v="Inv 12870"/>
    <d v="2017-11-29T00:00:00"/>
    <d v="2017-08-27T00:00:00"/>
    <d v="2017-08-27T00:00:00"/>
    <m/>
    <m/>
    <d v="2017-09-10T00:00:00"/>
    <d v="2017-11-30T00:00:00"/>
    <m/>
    <x v="4"/>
    <x v="115"/>
    <s v="Maitland"/>
    <n v="1905.5"/>
    <m/>
    <n v="1905.5"/>
    <n v="2096.0500000000002"/>
    <m/>
    <m/>
    <n v="0"/>
    <n v="1905.5"/>
    <n v="1"/>
    <s v="Invoiced"/>
    <d v="2017-09-10T00:00:00"/>
    <s v="Completed and handover forwarded"/>
    <s v="Mark Leal"/>
    <d v="2017-07-17T00:00:00"/>
    <d v="2017-08-14T00:00:00"/>
    <n v="28"/>
    <d v="2017-08-30T00:00:00"/>
    <n v="16"/>
  </r>
  <r>
    <s v="A401/Greenfield"/>
    <s v="Sydney"/>
    <s v="Inv 12797"/>
    <d v="2017-11-13T00:00:00"/>
    <d v="2017-09-15T00:00:00"/>
    <d v="2017-09-15T00:00:00"/>
    <d v="2017-09-27T00:00:00"/>
    <d v="2017-10-03T00:00:00"/>
    <d v="2017-09-27T00:00:00"/>
    <d v="2017-11-16T00:00:00"/>
    <m/>
    <x v="3"/>
    <x v="116"/>
    <s v="Kellyville"/>
    <n v="17870.099999999999"/>
    <n v="-184.09"/>
    <n v="17686.009999999998"/>
    <n v="19454.611000000001"/>
    <m/>
    <m/>
    <n v="0"/>
    <n v="17686.009999999998"/>
    <n v="1"/>
    <s v="Invoiced"/>
    <d v="2017-09-29T00:00:00"/>
    <s v="Completed and handover forwarded"/>
    <s v="Andrew Mahassy"/>
    <d v="2017-08-09T00:00:00"/>
    <d v="2017-08-17T00:00:00"/>
    <n v="8"/>
    <m/>
    <m/>
  </r>
  <r>
    <s v="A401/Greenfield"/>
    <s v="Sydney"/>
    <s v="Inv 12688"/>
    <d v="2017-10-11T00:00:00"/>
    <d v="2017-09-14T00:00:00"/>
    <d v="2017-09-14T00:00:00"/>
    <m/>
    <m/>
    <d v="2017-09-26T00:00:00"/>
    <d v="2017-10-17T00:00:00"/>
    <m/>
    <x v="3"/>
    <x v="117"/>
    <s v="Liverpool"/>
    <n v="8291.4699999999993"/>
    <m/>
    <n v="8291.4699999999993"/>
    <n v="9120.6170000000002"/>
    <m/>
    <m/>
    <n v="0"/>
    <n v="8291.4699999999993"/>
    <n v="1"/>
    <s v="Invoiced"/>
    <d v="2017-09-28T00:00:00"/>
    <s v="Completed and handover forwarded"/>
    <s v="Shaher Aslan"/>
    <d v="2017-08-29T00:00:00"/>
    <d v="2017-08-29T00:00:00"/>
    <m/>
    <d v="2017-10-18T00:00:00"/>
    <m/>
  </r>
  <r>
    <s v="A401/Greenfield"/>
    <s v="Newcastle"/>
    <s v="Inv 12589"/>
    <d v="2017-09-15T00:00:00"/>
    <d v="2017-07-25T00:00:00"/>
    <d v="2017-07-25T00:00:00"/>
    <m/>
    <m/>
    <d v="2017-09-07T00:00:00"/>
    <d v="2017-09-21T00:00:00"/>
    <m/>
    <x v="5"/>
    <x v="118"/>
    <s v="Salamanda Bay"/>
    <n v="1365"/>
    <m/>
    <n v="1365"/>
    <n v="1501.5000000000002"/>
    <m/>
    <m/>
    <n v="0"/>
    <n v="1365"/>
    <n v="1"/>
    <s v="Invoiced"/>
    <d v="2017-08-08T00:00:00"/>
    <s v="Completed and handover forwarded"/>
    <s v="Mark Leal"/>
    <d v="2017-06-13T00:00:00"/>
    <d v="2017-07-17T00:00:00"/>
    <n v="34"/>
    <d v="2017-06-13T00:00:00"/>
    <n v="-34"/>
  </r>
  <r>
    <s v="A401/Greenfield"/>
    <s v="Sth Coast"/>
    <s v="Inv 12684"/>
    <d v="2017-10-10T00:00:00"/>
    <d v="2017-08-05T00:00:00"/>
    <d v="2017-08-07T00:00:00"/>
    <d v="2017-08-07T00:00:00"/>
    <d v="2017-08-31T00:00:00"/>
    <d v="2017-09-15T00:00:00"/>
    <d v="2017-10-10T00:00:00"/>
    <m/>
    <x v="4"/>
    <x v="119"/>
    <s v="Wonoona"/>
    <n v="10398.84"/>
    <n v="13152.88"/>
    <n v="23551.72"/>
    <n v="25906.892000000003"/>
    <m/>
    <m/>
    <n v="0"/>
    <n v="23551.72"/>
    <n v="1"/>
    <s v="Invoiced"/>
    <d v="2017-08-21T00:00:00"/>
    <s v="Completed and handover forwarded"/>
    <s v="Ertan Cicek "/>
    <d v="2017-05-18T00:00:00"/>
    <d v="2017-05-26T00:00:00"/>
    <n v="8"/>
    <d v="2017-05-26T00:00:00"/>
    <n v="0"/>
  </r>
  <r>
    <s v="A417 Greenfield MDU"/>
    <s v="Sydney"/>
    <s v="Inv 12827"/>
    <d v="2017-11-17T00:00:00"/>
    <d v="2017-08-31T00:00:00"/>
    <d v="2017-08-31T00:00:00"/>
    <d v="2017-09-05T00:00:00"/>
    <d v="2017-09-13T00:00:00"/>
    <d v="2017-11-01T00:00:00"/>
    <d v="2017-11-15T00:00:00"/>
    <m/>
    <x v="4"/>
    <x v="120"/>
    <s v="Kellyville"/>
    <n v="350.24"/>
    <n v="-95.96"/>
    <n v="254.28000000000003"/>
    <n v="279.70800000000003"/>
    <m/>
    <m/>
    <n v="0"/>
    <n v="254.28000000000003"/>
    <n v="1"/>
    <s v="Invoiced"/>
    <d v="2017-09-14T00:00:00"/>
    <s v="Completed and handover forwarded"/>
    <s v="Andrew Mahassy"/>
    <s v="Direct Award"/>
    <d v="2017-06-16T00:00:00"/>
    <m/>
    <d v="2017-07-20T00:00:00"/>
    <n v="34"/>
  </r>
  <r>
    <s v="A417 Greenfield MDU"/>
    <s v="Sydney"/>
    <s v="Inv 12804"/>
    <d v="2017-11-14T00:00:00"/>
    <d v="2017-09-03T00:00:00"/>
    <d v="2017-09-04T00:00:00"/>
    <d v="2017-09-11T00:00:00"/>
    <d v="2017-09-14T00:00:00"/>
    <d v="2017-11-01T00:00:00"/>
    <d v="2017-11-16T00:00:00"/>
    <m/>
    <x v="3"/>
    <x v="121"/>
    <s v="Kellyville"/>
    <n v="12757.7"/>
    <n v="668.4"/>
    <n v="13426.1"/>
    <n v="14768.710000000001"/>
    <m/>
    <m/>
    <n v="0"/>
    <n v="13426.1"/>
    <n v="1"/>
    <s v="Invoiced"/>
    <d v="2017-09-18T00:00:00"/>
    <s v="Completed and handover forwarded"/>
    <s v="Andrew Mahassy"/>
    <s v="Direct Award"/>
    <d v="2017-08-22T00:00:00"/>
    <m/>
    <d v="2017-08-31T00:00:00"/>
    <n v="9"/>
  </r>
  <r>
    <s v="A401/Greenfield"/>
    <s v="Sth Coast"/>
    <s v="Inv 13118"/>
    <d v="2018-01-23T00:00:00"/>
    <d v="2017-12-15T00:00:00"/>
    <d v="2017-12-18T00:00:00"/>
    <d v="2017-12-21T00:00:00"/>
    <d v="2018-01-10T00:00:00"/>
    <d v="2018-01-09T00:00:00"/>
    <d v="2018-01-23T00:00:00"/>
    <m/>
    <x v="9"/>
    <x v="122"/>
    <s v="Nowra"/>
    <n v="6352.19"/>
    <n v="5603.16"/>
    <n v="11955.349999999999"/>
    <n v="13150.885"/>
    <m/>
    <m/>
    <n v="0"/>
    <n v="11955.349999999999"/>
    <n v="1"/>
    <m/>
    <d v="2018-01-01T00:00:00"/>
    <m/>
    <s v="Nabeel Jaimon"/>
    <d v="2017-07-17T00:00:00"/>
    <m/>
    <m/>
    <d v="2017-11-01T00:00:00"/>
    <m/>
  </r>
  <r>
    <s v="A401/Greenfield"/>
    <s v="Sth Coast"/>
    <s v="Inv 13031"/>
    <d v="2018-01-10T00:00:00"/>
    <d v="2017-10-30T00:00:00"/>
    <d v="2017-10-31T00:00:00"/>
    <d v="2017-11-26T00:00:00"/>
    <d v="2017-12-13T00:00:00"/>
    <d v="2018-11-25T00:00:00"/>
    <d v="2018-01-16T00:00:00"/>
    <m/>
    <x v="6"/>
    <x v="123"/>
    <s v="Wollongong"/>
    <n v="5449.38"/>
    <n v="785.90892857142853"/>
    <n v="6235.2889285714282"/>
    <n v="6858.8178214285717"/>
    <m/>
    <m/>
    <n v="0"/>
    <n v="6235.2889285714282"/>
    <n v="1"/>
    <m/>
    <d v="2017-11-14T00:00:00"/>
    <m/>
    <s v="Dave Yoemans"/>
    <d v="2017-08-11T00:00:00"/>
    <d v="2017-10-13T00:00:00"/>
    <n v="63"/>
    <d v="2017-10-13T00:00:00"/>
    <n v="0"/>
  </r>
  <r>
    <s v="A417 Greenfield MDU"/>
    <s v="Sth Coast"/>
    <s v="Inv 12814"/>
    <d v="2017-11-16T00:00:00"/>
    <d v="2017-09-12T00:00:00"/>
    <d v="2017-09-12T00:00:00"/>
    <d v="2017-10-04T00:00:00"/>
    <d v="2017-10-25T00:00:00"/>
    <d v="2017-09-26T00:00:00"/>
    <d v="2017-11-21T00:00:00"/>
    <m/>
    <x v="3"/>
    <x v="124"/>
    <s v="Wollongong"/>
    <n v="1143.67"/>
    <n v="27049.75"/>
    <n v="28193.42"/>
    <n v="31012.761999999999"/>
    <m/>
    <m/>
    <n v="0"/>
    <n v="28193.42"/>
    <n v="1"/>
    <s v="Invoiced"/>
    <d v="2017-09-26T00:00:00"/>
    <s v="Completed and handover forwarded"/>
    <s v="Shaher Aslan"/>
    <s v="Direct Award"/>
    <d v="2017-09-05T00:00:00"/>
    <m/>
    <d v="2017-09-15T00:00:00"/>
    <n v="10"/>
  </r>
  <r>
    <s v="A417 Greenfield MDU"/>
    <s v="Sydney"/>
    <s v="Inv 12878"/>
    <d v="2017-11-29T00:00:00"/>
    <d v="2017-10-16T00:00:00"/>
    <d v="2017-10-16T00:00:00"/>
    <d v="2017-10-17T00:00:00"/>
    <d v="2017-11-17T00:00:00"/>
    <d v="2017-11-01T00:00:00"/>
    <d v="2017-12-05T00:00:00"/>
    <m/>
    <x v="6"/>
    <x v="125"/>
    <s v="Liverpool"/>
    <n v="1627.43"/>
    <n v="5149.76"/>
    <n v="6777.1900000000005"/>
    <n v="7454.9090000000015"/>
    <m/>
    <m/>
    <n v="0"/>
    <n v="6777.1900000000005"/>
    <n v="1"/>
    <s v="Invoiced"/>
    <d v="2017-10-30T00:00:00"/>
    <s v="Completed and handover forwarded"/>
    <s v="Shaher Aslan"/>
    <s v="Direct Award"/>
    <d v="2017-09-05T00:00:00"/>
    <m/>
    <d v="2017-09-29T00:00:00"/>
    <n v="24"/>
  </r>
  <r>
    <s v="A417 Greenfield MDU"/>
    <s v="Sydney"/>
    <s v="Inv 12800"/>
    <d v="2017-11-13T00:00:00"/>
    <d v="2017-10-06T00:00:00"/>
    <d v="2017-10-06T00:00:00"/>
    <m/>
    <m/>
    <d v="2017-10-25T00:00:00"/>
    <d v="2017-11-16T00:00:00"/>
    <m/>
    <x v="6"/>
    <x v="126"/>
    <s v="Kurnell"/>
    <n v="980.54"/>
    <m/>
    <n v="980.54"/>
    <n v="1078.5940000000001"/>
    <m/>
    <m/>
    <n v="0"/>
    <n v="980.54"/>
    <n v="1"/>
    <s v="Invoiced"/>
    <d v="2017-10-20T00:00:00"/>
    <s v="Completed and handover forwarded"/>
    <s v="Ertan Cicek "/>
    <s v="Direct Award"/>
    <d v="2017-09-01T00:00:00"/>
    <m/>
    <d v="2017-09-22T00:00:00"/>
    <n v="21"/>
  </r>
  <r>
    <s v="A417 Greenfield MDU"/>
    <s v="Sydney"/>
    <m/>
    <m/>
    <m/>
    <d v="2018-03-30T00:00:00"/>
    <m/>
    <m/>
    <m/>
    <m/>
    <m/>
    <x v="7"/>
    <x v="127"/>
    <s v="Lidcombe"/>
    <n v="2240"/>
    <m/>
    <n v="2240"/>
    <n v="2464"/>
    <m/>
    <m/>
    <n v="0"/>
    <n v="2240"/>
    <n v="1"/>
    <m/>
    <d v="2018-04-13T00:00:00"/>
    <m/>
    <s v="Lindy Chan"/>
    <s v="Direct Award"/>
    <d v="2017-08-23T00:00:00"/>
    <m/>
    <d v="2017-11-03T00:00:00"/>
    <n v="72"/>
  </r>
  <r>
    <s v="A417 Greenfield MDU"/>
    <s v="Sydney"/>
    <s v="Inv 13316"/>
    <d v="2018-03-01T00:00:00"/>
    <d v="2018-01-23T00:00:00"/>
    <d v="2018-01-24T00:00:00"/>
    <m/>
    <m/>
    <d v="2018-02-07T00:00:00"/>
    <d v="2018-03-01T00:00:00"/>
    <m/>
    <x v="10"/>
    <x v="128"/>
    <s v="Smeaton Grange"/>
    <n v="1680"/>
    <m/>
    <n v="1680"/>
    <n v="1848.0000000000002"/>
    <m/>
    <m/>
    <n v="0"/>
    <n v="1680"/>
    <n v="1"/>
    <m/>
    <d v="2018-02-07T00:00:00"/>
    <m/>
    <s v="Nabeel Jaimon"/>
    <s v="Direct Award"/>
    <d v="2017-08-22T00:00:00"/>
    <m/>
    <d v="2017-10-11T00:00:00"/>
    <n v="50"/>
  </r>
  <r>
    <s v="A401/Greenfield"/>
    <s v="Sydney"/>
    <s v="Inv 12587"/>
    <d v="2017-09-18T00:00:00"/>
    <d v="2017-08-09T00:00:00"/>
    <d v="2017-08-09T00:00:00"/>
    <m/>
    <m/>
    <d v="2017-09-07T00:00:00"/>
    <d v="2017-09-21T00:00:00"/>
    <s v="Aug-17"/>
    <x v="4"/>
    <x v="129"/>
    <s v="Smeaton Grange"/>
    <n v="5825.12"/>
    <m/>
    <n v="5825.12"/>
    <n v="6407.6320000000005"/>
    <m/>
    <m/>
    <n v="0"/>
    <n v="5825.12"/>
    <n v="1"/>
    <s v="Invoiced"/>
    <d v="2017-08-23T00:00:00"/>
    <s v="Completed and handover forwarded"/>
    <s v="Nabeel Jaimon"/>
    <d v="2017-05-22T00:00:00"/>
    <d v="2017-06-14T00:00:00"/>
    <m/>
    <d v="2017-05-30T00:00:00"/>
    <m/>
  </r>
  <r>
    <s v="A401/Greenfield"/>
    <s v="Nth Coast"/>
    <s v="Inv 12813"/>
    <d v="2017-11-16T00:00:00"/>
    <d v="2017-09-26T00:00:00"/>
    <d v="2017-09-26T00:00:00"/>
    <m/>
    <m/>
    <d v="2017-10-13T00:00:00"/>
    <d v="2017-11-21T00:00:00"/>
    <m/>
    <x v="3"/>
    <x v="130"/>
    <s v="Tweed Heads"/>
    <n v="6516"/>
    <m/>
    <n v="6516"/>
    <n v="7167.6"/>
    <m/>
    <m/>
    <n v="0"/>
    <n v="6516"/>
    <n v="1"/>
    <s v="Invoiced"/>
    <d v="2017-10-10T00:00:00"/>
    <s v="Completed and handover forwarded"/>
    <s v="Shaher Aslan"/>
    <d v="2017-09-01T00:00:00"/>
    <d v="2017-09-08T00:00:00"/>
    <n v="7"/>
    <d v="2017-09-08T00:00:00"/>
    <n v="0"/>
  </r>
  <r>
    <s v="A417 Greenfield MDU"/>
    <s v="Sydney"/>
    <s v="Inv 13281"/>
    <d v="2018-02-22T00:00:00"/>
    <d v="2018-01-29T00:00:00"/>
    <d v="2018-01-30T00:00:00"/>
    <m/>
    <m/>
    <d v="2018-02-12T00:00:00"/>
    <d v="2018-02-27T00:00:00"/>
    <m/>
    <x v="10"/>
    <x v="131"/>
    <s v="Miller"/>
    <n v="280"/>
    <m/>
    <n v="280"/>
    <n v="308"/>
    <m/>
    <m/>
    <n v="0"/>
    <n v="280"/>
    <n v="1"/>
    <m/>
    <d v="2018-02-13T00:00:00"/>
    <m/>
    <s v="Nabeel Jaimon"/>
    <s v="Driect Award"/>
    <d v="2017-09-08T00:00:00"/>
    <m/>
    <d v="2017-11-22T00:00:00"/>
    <n v="75"/>
  </r>
  <r>
    <s v="A417 Greenfield MDU"/>
    <s v="Sydney"/>
    <s v="Inv 13302"/>
    <d v="2018-03-02T00:00:00"/>
    <d v="2017-12-16T00:00:00"/>
    <d v="2017-12-18T00:00:00"/>
    <d v="2018-01-09T00:00:00"/>
    <d v="2018-02-12T00:00:00"/>
    <d v="2017-01-02T00:00:00"/>
    <d v="2018-03-01T00:00:00"/>
    <m/>
    <x v="9"/>
    <x v="132"/>
    <s v="Liverpool"/>
    <n v="2643.57"/>
    <n v="3359.82"/>
    <n v="6003.39"/>
    <n v="6603.7290000000012"/>
    <m/>
    <m/>
    <n v="0"/>
    <n v="6003.39"/>
    <n v="1"/>
    <m/>
    <d v="2018-01-01T00:00:00"/>
    <m/>
    <s v="Shaher Aslan"/>
    <s v="Driect Award"/>
    <d v="2017-09-07T00:00:00"/>
    <m/>
    <d v="2017-09-22T00:00:00"/>
    <n v="15"/>
  </r>
  <r>
    <s v="A417 Greenfield MDU"/>
    <s v="Sydney"/>
    <s v="Inv 13244"/>
    <d v="2018-02-16T00:00:00"/>
    <d v="2017-12-05T00:00:00"/>
    <d v="2017-12-05T00:00:00"/>
    <m/>
    <m/>
    <d v="2017-12-22T00:00:00"/>
    <d v="2018-01-05T00:00:00"/>
    <m/>
    <x v="9"/>
    <x v="133"/>
    <s v="Marsden Park"/>
    <n v="1960"/>
    <m/>
    <n v="1960"/>
    <n v="2156"/>
    <m/>
    <m/>
    <n v="0"/>
    <n v="1960"/>
    <n v="1"/>
    <m/>
    <d v="2017-12-19T00:00:00"/>
    <m/>
    <s v="Michael Tram"/>
    <s v="Driect Award"/>
    <d v="2017-09-08T00:00:00"/>
    <m/>
    <d v="2017-10-12T00:00:00"/>
    <n v="34"/>
  </r>
  <r>
    <s v="A401/Greenfield"/>
    <s v="Central West"/>
    <s v="Inv 12984"/>
    <d v="2017-12-18T00:00:00"/>
    <d v="2017-10-31T00:00:00"/>
    <d v="2017-10-31T00:00:00"/>
    <d v="2017-11-08T00:00:00"/>
    <d v="2017-11-21T00:00:00"/>
    <d v="2017-11-24T00:00:00"/>
    <d v="2017-12-18T00:00:00"/>
    <m/>
    <x v="6"/>
    <x v="134"/>
    <s v="Parkes"/>
    <n v="7731.53"/>
    <n v="1439.14"/>
    <n v="9170.67"/>
    <n v="10087.737000000001"/>
    <m/>
    <m/>
    <n v="0"/>
    <n v="9170.67"/>
    <n v="1"/>
    <s v="Invoiced"/>
    <d v="2017-11-14T00:00:00"/>
    <s v="Completed and handover forwarded"/>
    <s v="Dave Yoemans"/>
    <d v="2017-08-11T00:00:00"/>
    <d v="2017-09-14T00:00:00"/>
    <n v="34"/>
    <d v="2017-10-13T00:00:00"/>
    <n v="29"/>
  </r>
  <r>
    <s v="A417 Greenfield MDU"/>
    <s v="Sydney"/>
    <s v="Inv 13082"/>
    <d v="2018-01-17T00:00:00"/>
    <d v="2017-12-03T00:00:00"/>
    <d v="2017-12-04T00:00:00"/>
    <d v="2017-12-04T00:00:00"/>
    <d v="2017-12-12T00:00:00"/>
    <d v="2017-12-14T00:00:00"/>
    <d v="2018-01-18T00:00:00"/>
    <m/>
    <x v="9"/>
    <x v="135"/>
    <s v="Liverpool"/>
    <n v="1400"/>
    <n v="1060.6857142857141"/>
    <n v="2460.6857142857143"/>
    <n v="2706.7542857142857"/>
    <m/>
    <m/>
    <n v="0"/>
    <n v="2460.6857142857143"/>
    <n v="1"/>
    <m/>
    <d v="2017-12-18T00:00:00"/>
    <m/>
    <s v="Michael Tram"/>
    <s v="Driect Award"/>
    <d v="2017-09-12T00:00:00"/>
    <m/>
    <d v="2017-11-11T00:00:00"/>
    <n v="60"/>
  </r>
  <r>
    <s v="A401/Greenfield"/>
    <s v="Newcastle"/>
    <s v="Inv 12884"/>
    <d v="2017-11-30T00:00:00"/>
    <d v="2017-10-17T00:00:00"/>
    <d v="2017-10-17T00:00:00"/>
    <d v="2017-10-17T00:00:00"/>
    <d v="2017-11-17T00:00:00"/>
    <d v="2017-11-01T00:00:00"/>
    <d v="2017-12-05T00:00:00"/>
    <m/>
    <x v="6"/>
    <x v="136"/>
    <s v="Wallsend"/>
    <n v="5557.33"/>
    <n v="6059.7460000000001"/>
    <n v="11617.076000000001"/>
    <n v="12778.783600000002"/>
    <m/>
    <m/>
    <n v="0"/>
    <n v="11617.076000000001"/>
    <n v="1"/>
    <m/>
    <d v="2017-10-31T00:00:00"/>
    <m/>
    <s v="Mark Leal"/>
    <d v="2017-06-26T00:00:00"/>
    <m/>
    <m/>
    <d v="2017-11-01T00:00:00"/>
    <m/>
  </r>
  <r>
    <s v="A401/Greenfield"/>
    <s v="Sydney"/>
    <m/>
    <m/>
    <m/>
    <d v="2018-03-30T00:00:00"/>
    <m/>
    <m/>
    <m/>
    <m/>
    <m/>
    <x v="7"/>
    <x v="137"/>
    <s v="Liverpool"/>
    <n v="8773.94"/>
    <m/>
    <n v="8773.94"/>
    <n v="9651.3340000000007"/>
    <m/>
    <m/>
    <n v="0"/>
    <n v="8773.94"/>
    <n v="1"/>
    <m/>
    <d v="2018-04-13T00:00:00"/>
    <m/>
    <s v="Andrew Mahassy"/>
    <d v="2017-08-22T00:00:00"/>
    <m/>
    <m/>
    <d v="2017-09-30T00:00:00"/>
    <m/>
  </r>
  <r>
    <s v="A417 Greenfield MDU"/>
    <s v="ACT"/>
    <s v="Inv 13192"/>
    <d v="2018-02-07T00:00:00"/>
    <d v="2017-10-23T00:00:00"/>
    <d v="2017-10-23T00:00:00"/>
    <d v="2017-11-22T00:00:00"/>
    <d v="2017-12-20T00:00:00"/>
    <d v="2017-11-02T00:00:00"/>
    <d v="2018-02-08T00:00:00"/>
    <m/>
    <x v="6"/>
    <x v="138"/>
    <s v="Deakin"/>
    <n v="8321.6"/>
    <n v="12809.51"/>
    <n v="21131.11"/>
    <n v="23244.221000000001"/>
    <m/>
    <m/>
    <n v="0"/>
    <n v="21131.11"/>
    <n v="1"/>
    <s v="Invoiced"/>
    <d v="2017-11-06T00:00:00"/>
    <s v="Completed and handover forwarded"/>
    <s v="Shaher Aslan"/>
    <s v="Driect Award"/>
    <d v="2017-09-12T00:00:00"/>
    <m/>
    <d v="2017-09-22T00:00:00"/>
    <n v="10"/>
  </r>
  <r>
    <s v="A401/Greenfield"/>
    <s v="Sth NSW"/>
    <m/>
    <m/>
    <d v="2018-02-08T00:00:00"/>
    <d v="2018-02-13T00:00:00"/>
    <m/>
    <m/>
    <d v="2018-02-26T00:00:00"/>
    <d v="2018-03-12T00:00:00"/>
    <m/>
    <x v="2"/>
    <x v="139"/>
    <s v="Wagga Wagga"/>
    <n v="6447.82"/>
    <n v="2330.9699999999998"/>
    <n v="8778.7899999999991"/>
    <n v="9656.6689999999999"/>
    <m/>
    <m/>
    <n v="0"/>
    <n v="8778.7899999999991"/>
    <n v="1"/>
    <m/>
    <d v="2018-02-27T00:00:00"/>
    <m/>
    <s v="Dave Yoemans"/>
    <d v="2017-08-11T00:00:00"/>
    <d v="2017-09-14T00:00:00"/>
    <m/>
    <d v="2017-10-13T00:00:00"/>
    <n v="29"/>
  </r>
  <r>
    <s v="A401/Greenfield"/>
    <s v="Sth Coast"/>
    <s v="Inv 12877"/>
    <d v="2017-11-29T00:00:00"/>
    <d v="2017-10-12T00:00:00"/>
    <d v="2017-10-12T00:00:00"/>
    <d v="2017-10-24T00:00:00"/>
    <d v="2017-11-16T00:00:00"/>
    <d v="2017-10-26T00:00:00"/>
    <d v="2017-12-05T00:00:00"/>
    <m/>
    <x v="6"/>
    <x v="140"/>
    <s v="Nowra"/>
    <n v="8598.36"/>
    <n v="2094.25"/>
    <n v="10692.61"/>
    <n v="11761.871000000001"/>
    <m/>
    <m/>
    <n v="0"/>
    <n v="10692.61"/>
    <n v="1"/>
    <s v="Invoiced"/>
    <d v="2017-10-26T00:00:00"/>
    <s v="Completed and handover forwarded"/>
    <s v="Ertan Cicek "/>
    <d v="2017-09-05T00:00:00"/>
    <d v="2017-09-18T00:00:00"/>
    <n v="13"/>
    <d v="2017-09-25T00:00:00"/>
    <n v="7"/>
  </r>
  <r>
    <s v="A401/Greenfield"/>
    <s v="Sydney"/>
    <s v="Inv 12825"/>
    <d v="2017-11-16T00:00:00"/>
    <d v="2017-10-04T00:00:00"/>
    <d v="2017-10-06T00:00:00"/>
    <d v="2017-10-17T00:00:00"/>
    <d v="2017-10-25T00:00:00"/>
    <d v="2017-10-13T00:00:00"/>
    <d v="2017-11-21T00:00:00"/>
    <m/>
    <x v="6"/>
    <x v="141"/>
    <s v="Pendle Hill"/>
    <n v="37391.760000000002"/>
    <n v="-1916.7276785714289"/>
    <n v="35475.032321428575"/>
    <n v="39022.535553571433"/>
    <m/>
    <m/>
    <n v="0"/>
    <n v="35475.032321428575"/>
    <n v="1"/>
    <s v="Invoiced"/>
    <d v="2017-10-20T00:00:00"/>
    <s v="Completed and handover forwarded"/>
    <s v="Michael Tram"/>
    <d v="2017-08-15T00:00:00"/>
    <d v="2017-09-25T00:00:00"/>
    <n v="41"/>
    <d v="2017-11-01T00:00:00"/>
    <n v="37"/>
  </r>
  <r>
    <s v="Craig Comms"/>
    <s v="Sydney"/>
    <s v="Inv 12631"/>
    <d v="2017-09-26T00:00:00"/>
    <d v="2017-09-26T00:00:00"/>
    <d v="2017-09-26T00:00:00"/>
    <m/>
    <m/>
    <d v="2017-09-26T00:00:00"/>
    <d v="2017-10-26T00:00:00"/>
    <m/>
    <x v="3"/>
    <x v="142"/>
    <s v="Rouse Hill"/>
    <n v="1475"/>
    <m/>
    <n v="1475"/>
    <n v="1622.5000000000002"/>
    <m/>
    <m/>
    <n v="0"/>
    <n v="1475"/>
    <n v="1"/>
    <s v="Invoiced"/>
    <d v="2017-10-10T00:00:00"/>
    <s v="Completed and handover forwarded"/>
    <s v="Craig Smith (Craig Comms)"/>
    <m/>
    <m/>
    <m/>
    <m/>
    <m/>
  </r>
  <r>
    <s v="A417 Greenfield MDU"/>
    <s v="Sth NSW"/>
    <s v="Inv 13300"/>
    <d v="2018-03-01T00:00:00"/>
    <d v="2018-01-29T00:00:00"/>
    <d v="2018-01-30T00:00:00"/>
    <d v="2018-01-30T00:00:00"/>
    <d v="2018-02-09T00:00:00"/>
    <d v="2018-02-09T00:00:00"/>
    <d v="2018-03-01T00:00:00"/>
    <m/>
    <x v="10"/>
    <x v="143"/>
    <s v="Goulburn"/>
    <n v="560.70000000000005"/>
    <n v="1627.9699999999998"/>
    <n v="2188.67"/>
    <n v="2407.5370000000003"/>
    <m/>
    <m/>
    <n v="0"/>
    <n v="2188.67"/>
    <n v="1"/>
    <m/>
    <d v="2018-02-13T00:00:00"/>
    <m/>
    <s v="Ertan Cicek "/>
    <s v="Direct Award"/>
    <d v="2017-09-20T00:00:00"/>
    <m/>
    <d v="2017-10-26T00:00:00"/>
    <n v="36"/>
  </r>
  <r>
    <s v="A417 Greenfield MDU"/>
    <s v="Sydney"/>
    <m/>
    <m/>
    <d v="2018-01-17T00:00:00"/>
    <d v="2018-01-18T00:00:00"/>
    <d v="2017-01-18T00:00:00"/>
    <d v="2018-02-19T00:00:00"/>
    <d v="2018-02-01T00:00:00"/>
    <d v="2018-02-15T00:00:00"/>
    <m/>
    <x v="10"/>
    <x v="144"/>
    <s v="Rosebery"/>
    <n v="2155.7399999999998"/>
    <n v="6398.35"/>
    <n v="8554.09"/>
    <n v="9409.4990000000016"/>
    <m/>
    <m/>
    <n v="0"/>
    <n v="8554.09"/>
    <n v="1"/>
    <m/>
    <d v="2018-02-01T00:00:00"/>
    <m/>
    <s v="Lindy Chan"/>
    <s v="Direct Award"/>
    <d v="2017-09-26T00:00:00"/>
    <m/>
    <d v="2017-09-29T00:00:00"/>
    <n v="3"/>
  </r>
  <r>
    <s v="A417 Greenfield MDU"/>
    <s v="Sydney"/>
    <m/>
    <m/>
    <m/>
    <d v="2018-03-30T00:00:00"/>
    <m/>
    <m/>
    <m/>
    <m/>
    <m/>
    <x v="7"/>
    <x v="145"/>
    <s v="Lidcombe"/>
    <n v="847"/>
    <m/>
    <n v="847"/>
    <n v="931.7"/>
    <m/>
    <m/>
    <n v="0"/>
    <n v="847"/>
    <n v="1"/>
    <m/>
    <d v="2018-04-13T00:00:00"/>
    <m/>
    <s v="Lindy Chan"/>
    <s v="Direct Award"/>
    <d v="2017-09-26T00:00:00"/>
    <m/>
    <d v="2017-11-01T00:00:00"/>
    <n v="36"/>
  </r>
  <r>
    <s v="A417 Greenfield MDU"/>
    <s v="Sydney"/>
    <s v="Inv 13024"/>
    <d v="2018-01-08T00:00:00"/>
    <d v="2017-11-14T00:00:00"/>
    <d v="2017-11-16T00:00:00"/>
    <d v="2017-11-16T00:00:00"/>
    <d v="2017-11-24T00:00:00"/>
    <d v="2017-11-30T00:00:00"/>
    <d v="2018-01-11T00:00:00"/>
    <m/>
    <x v="8"/>
    <x v="146"/>
    <s v="Doonside"/>
    <n v="1080.54"/>
    <n v="473.56"/>
    <n v="1554.1"/>
    <n v="1709.51"/>
    <m/>
    <m/>
    <n v="0"/>
    <n v="1554.1"/>
    <n v="1"/>
    <m/>
    <d v="2017-11-30T00:00:00"/>
    <m/>
    <s v="Lindy Chan"/>
    <s v="Direct Award"/>
    <d v="2017-09-27T00:00:00"/>
    <m/>
    <d v="2017-10-21T00:00:00"/>
    <n v="24"/>
  </r>
  <r>
    <s v="A401/Greenfield"/>
    <s v="West NSW"/>
    <s v="Inv 12914"/>
    <d v="2017-12-04T00:00:00"/>
    <d v="2017-10-12T00:00:00"/>
    <d v="2017-10-12T00:00:00"/>
    <m/>
    <m/>
    <d v="2017-11-24T00:00:00"/>
    <d v="2017-12-07T00:00:00"/>
    <m/>
    <x v="6"/>
    <x v="147"/>
    <s v="Mudgee"/>
    <n v="1760"/>
    <m/>
    <n v="1760"/>
    <n v="1936.0000000000002"/>
    <m/>
    <m/>
    <n v="0"/>
    <n v="1760"/>
    <n v="1"/>
    <s v="Invoiced"/>
    <d v="2017-10-26T00:00:00"/>
    <s v="Completed and handover forwarded"/>
    <s v="Mark Leal"/>
    <d v="2017-09-08T00:00:00"/>
    <d v="2017-09-28T00:00:00"/>
    <n v="20"/>
    <d v="2017-10-07T00:00:00"/>
    <n v="9"/>
  </r>
  <r>
    <s v="A417 Greenfield MDU"/>
    <s v="Sydney"/>
    <s v="Inv 13117"/>
    <d v="2018-01-23T00:00:00"/>
    <d v="2017-12-12T00:00:00"/>
    <d v="2017-12-13T00:00:00"/>
    <d v="2017-12-18T00:00:00"/>
    <d v="2017-12-20T00:00:00"/>
    <d v="2017-01-02T00:00:00"/>
    <d v="2018-01-23T00:00:00"/>
    <m/>
    <x v="9"/>
    <x v="148"/>
    <s v="Liverpool"/>
    <n v="5179.88"/>
    <n v="-125.23"/>
    <n v="5054.6500000000005"/>
    <n v="5560.1150000000007"/>
    <m/>
    <m/>
    <n v="0"/>
    <n v="5054.6500000000005"/>
    <n v="1"/>
    <m/>
    <d v="2017-12-27T00:00:00"/>
    <m/>
    <s v="Lindy Chan"/>
    <s v="Direct Award"/>
    <d v="2017-09-29T00:00:00"/>
    <m/>
    <d v="2017-10-31T00:00:00"/>
    <n v="32"/>
  </r>
  <r>
    <s v="A417 Greenfield MDU"/>
    <s v="Sydney"/>
    <s v="Inv 13283"/>
    <d v="2018-02-22T00:00:00"/>
    <d v="2018-01-10T00:00:00"/>
    <d v="2018-01-10T00:00:00"/>
    <d v="2018-01-25T00:00:00"/>
    <d v="2018-02-07T00:00:00"/>
    <d v="2018-01-19T00:00:00"/>
    <d v="2018-02-27T00:00:00"/>
    <m/>
    <x v="10"/>
    <x v="149"/>
    <s v="Pendle Hill"/>
    <n v="2140.21"/>
    <n v="3046.46"/>
    <n v="5186.67"/>
    <n v="5705.3370000000004"/>
    <m/>
    <m/>
    <n v="0"/>
    <n v="5186.67"/>
    <n v="1"/>
    <m/>
    <d v="2018-01-24T00:00:00"/>
    <m/>
    <s v="Lindy Chan"/>
    <s v="Direct Award"/>
    <d v="2017-09-29T00:00:00"/>
    <m/>
    <d v="2017-10-31T00:00:00"/>
    <n v="32"/>
  </r>
  <r>
    <s v="A417 Greenfield MDU"/>
    <s v="Sydney"/>
    <m/>
    <m/>
    <m/>
    <d v="2018-06-30T00:00:00"/>
    <m/>
    <m/>
    <m/>
    <m/>
    <m/>
    <x v="11"/>
    <x v="150"/>
    <s v="Eastwood"/>
    <n v="1559.83"/>
    <m/>
    <n v="1559.83"/>
    <n v="1715.8130000000001"/>
    <m/>
    <m/>
    <n v="0"/>
    <n v="1559.83"/>
    <n v="1"/>
    <m/>
    <d v="2018-07-14T00:00:00"/>
    <m/>
    <s v="Lindy Chan"/>
    <s v="Direct Award"/>
    <d v="2017-10-09T00:00:00"/>
    <m/>
    <d v="2017-11-14T00:00:00"/>
    <n v="36"/>
  </r>
  <r>
    <s v="A417 Greenfield MDU"/>
    <s v="Sydney"/>
    <s v="Inv 12932"/>
    <d v="2017-12-21T00:00:00"/>
    <d v="2017-10-16T00:00:00"/>
    <d v="2017-10-16T00:00:00"/>
    <d v="2017-11-17T00:00:00"/>
    <d v="2017-12-04T00:00:00"/>
    <d v="2017-10-23T00:00:00"/>
    <d v="2017-11-06T00:00:00"/>
    <m/>
    <x v="6"/>
    <x v="151"/>
    <s v="Eastwood"/>
    <n v="742.2"/>
    <n v="321.29000000000002"/>
    <n v="1063.49"/>
    <n v="1169.8390000000002"/>
    <m/>
    <m/>
    <n v="0"/>
    <n v="1063.49"/>
    <n v="1"/>
    <s v="Invoiced"/>
    <d v="2017-10-30T00:00:00"/>
    <s v="Completed and handover forwarded"/>
    <s v="Lindy Chan"/>
    <s v="Direct Award"/>
    <d v="2017-10-09T00:00:00"/>
    <m/>
    <d v="2017-11-14T00:00:00"/>
    <n v="36"/>
  </r>
  <r>
    <s v="A417 Greenfield MDU"/>
    <s v="Sydney"/>
    <s v="Inv 13193"/>
    <d v="2017-02-06T00:00:00"/>
    <d v="2018-01-12T00:00:00"/>
    <d v="2018-01-12T00:00:00"/>
    <d v="2018-01-12T00:00:00"/>
    <d v="2018-01-16T00:00:00"/>
    <d v="2018-01-25T00:00:00"/>
    <d v="2018-02-06T00:00:00"/>
    <m/>
    <x v="10"/>
    <x v="152"/>
    <s v="Penrith"/>
    <n v="684.18"/>
    <n v="1930.07"/>
    <n v="2614.25"/>
    <n v="2875.6750000000002"/>
    <m/>
    <m/>
    <n v="0"/>
    <n v="2614.25"/>
    <n v="1"/>
    <m/>
    <d v="2018-01-26T00:00:00"/>
    <m/>
    <s v="Andrew Partalis"/>
    <s v="Direct Award"/>
    <d v="2017-10-10T00:00:00"/>
    <m/>
    <d v="2017-11-14T00:00:00"/>
    <n v="35"/>
  </r>
  <r>
    <s v="A417 Greenfield MDU"/>
    <s v="Sydney"/>
    <s v="Inv 12806"/>
    <d v="2017-11-14T00:00:00"/>
    <d v="2017-10-16T00:00:00"/>
    <d v="2017-10-16T00:00:00"/>
    <m/>
    <m/>
    <d v="2017-10-23T00:00:00"/>
    <d v="2017-11-16T00:00:00"/>
    <m/>
    <x v="6"/>
    <x v="153"/>
    <s v="Schofields"/>
    <n v="697.93"/>
    <m/>
    <n v="697.93"/>
    <n v="767.72299999999996"/>
    <m/>
    <m/>
    <n v="0"/>
    <n v="697.93"/>
    <n v="1"/>
    <s v="Invoiced"/>
    <d v="2017-10-30T00:00:00"/>
    <s v="Completed and handover forwarded"/>
    <s v="Andrew Mahassy"/>
    <s v="Direct Award"/>
    <d v="2017-10-03T00:00:00"/>
    <m/>
    <d v="2017-11-11T00:00:00"/>
    <n v="39"/>
  </r>
  <r>
    <s v="A417 Greenfield MDU"/>
    <s v="Sydney"/>
    <s v="Inv 13048"/>
    <d v="2018-01-12T00:00:00"/>
    <d v="2017-11-24T00:00:00"/>
    <d v="2017-11-24T00:00:00"/>
    <d v="2017-11-24T00:00:00"/>
    <d v="2017-12-20T00:00:00"/>
    <d v="2017-12-08T00:00:00"/>
    <d v="2017-01-16T00:00:00"/>
    <m/>
    <x v="8"/>
    <x v="154"/>
    <s v="Liverpool"/>
    <n v="787.99"/>
    <n v="3543.3989999999999"/>
    <n v="4331.3890000000001"/>
    <n v="4764.527900000001"/>
    <m/>
    <m/>
    <n v="0"/>
    <n v="4331.3890000000001"/>
    <n v="1"/>
    <m/>
    <d v="2017-12-08T00:00:00"/>
    <m/>
    <s v="Lindy Chan"/>
    <s v="Direct Award"/>
    <d v="2017-10-03T00:00:00"/>
    <m/>
    <d v="2017-11-14T00:00:00"/>
    <n v="42"/>
  </r>
  <r>
    <s v="A417 Greenfield MDU"/>
    <s v="Sydney"/>
    <m/>
    <m/>
    <d v="2018-02-08T00:00:00"/>
    <d v="2018-02-08T00:00:00"/>
    <d v="2018-02-08T00:00:00"/>
    <d v="2018-02-21T00:00:00"/>
    <d v="2018-02-22T00:00:00"/>
    <d v="2018-03-08T00:00:00"/>
    <m/>
    <x v="2"/>
    <x v="155"/>
    <s v="Doonside"/>
    <n v="550.82000000000005"/>
    <n v="2183.1"/>
    <n v="2733.92"/>
    <n v="3007.3120000000004"/>
    <m/>
    <m/>
    <n v="0"/>
    <n v="2733.92"/>
    <n v="1"/>
    <m/>
    <d v="2018-02-22T00:00:00"/>
    <m/>
    <s v="Andrew Mahassy\Ertan Cicek "/>
    <s v="Direct Award"/>
    <d v="2017-10-04T00:00:00"/>
    <m/>
    <d v="2017-10-31T00:00:00"/>
    <n v="27"/>
  </r>
  <r>
    <s v="A417 Greenfield MDU"/>
    <s v="Sydney"/>
    <s v="Inv 13022"/>
    <d v="2017-01-08T00:00:00"/>
    <d v="2017-11-23T00:00:00"/>
    <d v="2017-11-23T00:00:00"/>
    <d v="2017-11-23T00:00:00"/>
    <d v="2017-11-28T00:00:00"/>
    <d v="2017-12-12T00:00:00"/>
    <d v="2017-12-26T00:00:00"/>
    <m/>
    <x v="8"/>
    <x v="156"/>
    <s v="Penrith"/>
    <n v="1098.26"/>
    <n v="994.09"/>
    <n v="2092.35"/>
    <n v="2301.585"/>
    <m/>
    <m/>
    <n v="0"/>
    <n v="2092.35"/>
    <n v="1"/>
    <s v="Invoiced"/>
    <d v="2017-12-07T00:00:00"/>
    <s v="Completed and handover forwarded"/>
    <s v="Nabeel Jaimon"/>
    <s v="Direct Award"/>
    <d v="2017-10-04T00:00:00"/>
    <m/>
    <d v="2017-11-14T00:00:00"/>
    <n v="41"/>
  </r>
  <r>
    <s v="A401/Greenfield"/>
    <s v="Sth NSW"/>
    <m/>
    <m/>
    <d v="2017-11-21T00:00:00"/>
    <d v="2017-11-21T00:00:00"/>
    <d v="2017-11-21T00:00:00"/>
    <d v="2017-11-28T00:00:00"/>
    <d v="2017-12-06T00:00:00"/>
    <d v="2017-12-20T00:00:00"/>
    <m/>
    <x v="8"/>
    <x v="157"/>
    <s v="Moss Vale"/>
    <n v="5689.31"/>
    <n v="1388.17"/>
    <n v="7077.4800000000005"/>
    <n v="7785.228000000001"/>
    <m/>
    <m/>
    <n v="0"/>
    <n v="7077.4800000000005"/>
    <n v="1"/>
    <s v="Invoiced"/>
    <d v="2017-12-05T00:00:00"/>
    <s v="Completed and handover forwarded"/>
    <s v="Ertan Cicek "/>
    <d v="2017-09-18T00:00:00"/>
    <d v="2017-10-24T00:00:00"/>
    <m/>
    <d v="2017-11-23T00:00:00"/>
    <n v="30"/>
  </r>
  <r>
    <s v="A401/Greenfield"/>
    <s v="Sth NSW"/>
    <m/>
    <m/>
    <d v="2017-11-17T00:00:00"/>
    <d v="2017-11-17T00:00:00"/>
    <d v="2017-11-22T00:00:00"/>
    <d v="2017-11-28T00:00:00"/>
    <d v="2017-12-04T00:00:00"/>
    <d v="2017-12-18T00:00:00"/>
    <m/>
    <x v="8"/>
    <x v="158"/>
    <s v="Colo Vale"/>
    <n v="6328.8649999999998"/>
    <n v="14364.323571428573"/>
    <n v="20693.188571428575"/>
    <n v="22762.507428571433"/>
    <m/>
    <m/>
    <n v="0"/>
    <n v="20693.188571428575"/>
    <n v="1"/>
    <s v="Invoiced"/>
    <d v="2017-12-01T00:00:00"/>
    <s v="Completed and handover forwarded"/>
    <s v="Ertan Cicek "/>
    <d v="2017-10-02T00:00:00"/>
    <m/>
    <m/>
    <m/>
    <m/>
  </r>
  <r>
    <s v="A401/Greenfield"/>
    <s v="Sth NSW"/>
    <s v="Inv 13299"/>
    <d v="2018-02-22T00:00:00"/>
    <d v="2018-01-22T00:00:00"/>
    <d v="2018-01-22T00:00:00"/>
    <d v="2018-01-22T00:00:00"/>
    <d v="2018-02-07T00:00:00"/>
    <d v="2018-02-07T00:00:00"/>
    <d v="2018-02-27T00:00:00"/>
    <m/>
    <x v="10"/>
    <x v="159"/>
    <s v="Moss Vale"/>
    <n v="8670.86"/>
    <n v="4015.54"/>
    <n v="12686.400000000001"/>
    <n v="13955.040000000003"/>
    <m/>
    <m/>
    <n v="0"/>
    <n v="12686.400000000001"/>
    <n v="1"/>
    <m/>
    <d v="2018-02-05T00:00:00"/>
    <m/>
    <s v="Ertan Cicek "/>
    <d v="2017-10-02T00:00:00"/>
    <m/>
    <m/>
    <m/>
    <m/>
  </r>
  <r>
    <s v="A401/Minor works"/>
    <s v="ACT"/>
    <m/>
    <m/>
    <d v="2018-01-31T00:00:00"/>
    <d v="2018-01-25T00:00:00"/>
    <d v="2018-01-31T00:00:00"/>
    <m/>
    <d v="2018-02-02T00:00:00"/>
    <d v="2018-02-16T00:00:00"/>
    <m/>
    <x v="10"/>
    <x v="160"/>
    <s v="Queanbeyan"/>
    <n v="1281.43"/>
    <n v="69306.039999999994"/>
    <n v="70587.469999999987"/>
    <n v="77646.21699999999"/>
    <m/>
    <m/>
    <n v="0"/>
    <n v="70587.469999999987"/>
    <n v="1"/>
    <m/>
    <d v="2018-02-08T00:00:00"/>
    <m/>
    <s v="Linda Stahlgren Bouveng"/>
    <d v="2017-09-29T00:00:00"/>
    <d v="2017-10-16T00:00:00"/>
    <m/>
    <m/>
    <m/>
  </r>
  <r>
    <s v="A417 Greenfield MDU"/>
    <s v="Sydney"/>
    <s v="Inv 13202"/>
    <d v="2018-02-07T00:00:00"/>
    <d v="2017-12-12T00:00:00"/>
    <d v="2017-12-13T00:00:00"/>
    <d v="2018-01-12T00:00:00"/>
    <d v="2018-01-24T00:00:00"/>
    <d v="2018-01-02T00:00:00"/>
    <d v="2018-02-08T00:00:00"/>
    <m/>
    <x v="9"/>
    <x v="161"/>
    <s v="Blacktown"/>
    <n v="2633.83"/>
    <n v="-2118.86"/>
    <n v="514.9699999999998"/>
    <n v="566.46699999999987"/>
    <m/>
    <m/>
    <n v="0"/>
    <n v="514.9699999999998"/>
    <n v="1"/>
    <m/>
    <d v="2017-12-27T00:00:00"/>
    <m/>
    <s v="Andrew Mahassy"/>
    <s v="Direct Award"/>
    <d v="2017-10-14T00:00:00"/>
    <m/>
    <d v="2017-11-14T00:00:00"/>
    <n v="31"/>
  </r>
  <r>
    <s v="A401/Greenfield"/>
    <s v="Sydney"/>
    <s v="Inv 13278"/>
    <d v="2018-02-22T00:00:00"/>
    <d v="2017-12-21T00:00:00"/>
    <d v="2017-12-22T00:00:00"/>
    <d v="2018-01-09T00:00:00"/>
    <d v="2018-02-07T00:00:00"/>
    <d v="2018-01-08T00:00:00"/>
    <d v="2018-02-27T00:00:00"/>
    <m/>
    <x v="9"/>
    <x v="162"/>
    <s v="Bossley Park"/>
    <n v="2751.085"/>
    <n v="1880.81"/>
    <n v="4631.8950000000004"/>
    <n v="5095.0845000000008"/>
    <m/>
    <m/>
    <n v="0"/>
    <n v="4631.8950000000004"/>
    <n v="1"/>
    <m/>
    <d v="2018-01-05T00:00:00"/>
    <m/>
    <s v="Michael Tram"/>
    <d v="2017-09-18T00:00:00"/>
    <d v="2017-10-13T00:00:00"/>
    <m/>
    <d v="2017-10-14T00:00:00"/>
    <m/>
  </r>
  <r>
    <s v="A417 Greenfield MDU"/>
    <s v="Sydney"/>
    <s v="Inv 12801"/>
    <d v="2017-11-13T00:00:00"/>
    <d v="2017-10-16T00:00:00"/>
    <d v="2017-10-16T00:00:00"/>
    <d v="2017-10-24T00:00:00"/>
    <d v="2017-10-31T00:00:00"/>
    <d v="2017-10-23T00:00:00"/>
    <d v="2017-11-16T00:00:00"/>
    <m/>
    <x v="6"/>
    <x v="163"/>
    <s v="Schofields"/>
    <n v="1740.59"/>
    <n v="-95.96"/>
    <n v="1644.6299999999999"/>
    <n v="1809.0930000000001"/>
    <m/>
    <m/>
    <n v="0"/>
    <n v="1644.6299999999999"/>
    <n v="1"/>
    <s v="Invoiced"/>
    <d v="2017-10-30T00:00:00"/>
    <s v="Completed and handover forwarded"/>
    <s v="Andrew Mahassy"/>
    <s v="Direct Award"/>
    <d v="2017-08-24T00:00:00"/>
    <m/>
    <d v="2017-09-15T00:00:00"/>
    <n v="22"/>
  </r>
  <r>
    <s v="A401/Greenfield"/>
    <s v="Nth Coast"/>
    <s v="Inv 13006"/>
    <d v="2017-12-21T00:00:00"/>
    <d v="2017-11-22T00:00:00"/>
    <d v="2017-11-22T00:00:00"/>
    <m/>
    <m/>
    <d v="2017-12-06T00:00:00"/>
    <d v="2017-12-20T00:00:00"/>
    <m/>
    <x v="8"/>
    <x v="164"/>
    <s v="Old Bar"/>
    <n v="1430"/>
    <m/>
    <n v="1430"/>
    <n v="1573.0000000000002"/>
    <m/>
    <m/>
    <n v="0"/>
    <n v="1430"/>
    <n v="1"/>
    <s v="Invoiced"/>
    <d v="2017-12-06T00:00:00"/>
    <s v="Completed and handover forwarded"/>
    <s v="Mark Leal"/>
    <d v="2017-09-08T00:00:00"/>
    <m/>
    <n v="-42986"/>
    <m/>
    <m/>
  </r>
  <r>
    <s v="A401/Greenfield"/>
    <s v="Sydney"/>
    <m/>
    <m/>
    <m/>
    <d v="2018-03-30T00:00:00"/>
    <m/>
    <m/>
    <m/>
    <m/>
    <m/>
    <x v="7"/>
    <x v="165"/>
    <s v="Elderslie"/>
    <n v="2322.6892857142852"/>
    <m/>
    <n v="2322.6892857142852"/>
    <n v="2554.9582142857139"/>
    <m/>
    <m/>
    <n v="0"/>
    <n v="2322.6892857142852"/>
    <n v="1"/>
    <m/>
    <d v="2018-04-13T00:00:00"/>
    <s v="Completed and handover forwarded"/>
    <s v="Nabeel Jaimon"/>
    <d v="2017-09-29T00:00:00"/>
    <d v="2017-10-18T00:00:00"/>
    <n v="19"/>
    <d v="2017-10-26T00:00:00"/>
    <n v="8"/>
  </r>
  <r>
    <s v="A401/Greenfield"/>
    <s v="West NSW"/>
    <s v="Inv 13119"/>
    <d v="2018-01-23T00:00:00"/>
    <d v="2017-12-20T00:00:00"/>
    <d v="2017-12-20T00:00:00"/>
    <m/>
    <m/>
    <d v="2018-01-08T00:00:00"/>
    <d v="2018-01-23T00:00:00"/>
    <m/>
    <x v="9"/>
    <x v="166"/>
    <s v="Bathurst"/>
    <n v="6664.39"/>
    <m/>
    <n v="6664.39"/>
    <n v="7330.8290000000006"/>
    <m/>
    <m/>
    <n v="0"/>
    <n v="6664.39"/>
    <n v="1"/>
    <m/>
    <d v="2018-01-03T00:00:00"/>
    <m/>
    <m/>
    <m/>
    <m/>
    <m/>
    <m/>
    <m/>
  </r>
  <r>
    <s v="A417 Greenfield MDU"/>
    <s v="Nth Coast"/>
    <m/>
    <m/>
    <d v="2018-02-23T00:00:00"/>
    <d v="2018-02-28T00:00:00"/>
    <m/>
    <m/>
    <m/>
    <m/>
    <m/>
    <x v="2"/>
    <x v="167"/>
    <s v="Casuarina"/>
    <n v="1790.44"/>
    <n v="4547.3999999999996"/>
    <n v="6337.84"/>
    <n v="6971.6240000000007"/>
    <m/>
    <m/>
    <n v="0"/>
    <n v="6337.84"/>
    <n v="1"/>
    <m/>
    <d v="2018-03-14T00:00:00"/>
    <m/>
    <s v="Andrew Partalis"/>
    <m/>
    <m/>
    <m/>
    <m/>
    <m/>
  </r>
  <r>
    <s v="A401/Greenfield"/>
    <s v="Sth NSW"/>
    <m/>
    <m/>
    <d v="2018-02-25T00:00:00"/>
    <d v="2018-02-28T00:00:00"/>
    <m/>
    <m/>
    <d v="2018-03-11T00:00:00"/>
    <d v="2018-03-25T00:00:00"/>
    <m/>
    <x v="2"/>
    <x v="168"/>
    <s v="Wagga Wagga"/>
    <n v="12652.97"/>
    <n v="1876.25"/>
    <n v="14529.22"/>
    <n v="15982.142"/>
    <m/>
    <m/>
    <n v="0"/>
    <n v="14529.22"/>
    <n v="1"/>
    <m/>
    <d v="2018-03-14T00:00:00"/>
    <m/>
    <s v="Dave Yoemans"/>
    <d v="2017-09-18T00:00:00"/>
    <d v="2017-10-18T00:00:00"/>
    <n v="30"/>
    <d v="2017-11-30T00:00:00"/>
    <n v="43"/>
  </r>
  <r>
    <s v="A401/Greenfield"/>
    <s v="Sth NSW"/>
    <m/>
    <m/>
    <d v="2018-01-23T00:00:00"/>
    <d v="2018-01-23T00:00:00"/>
    <m/>
    <m/>
    <d v="2018-02-07T00:00:00"/>
    <d v="2018-02-21T00:00:00"/>
    <m/>
    <x v="10"/>
    <x v="169"/>
    <s v="Wagga Wagga"/>
    <n v="4882.83"/>
    <m/>
    <n v="4882.83"/>
    <n v="5371.1130000000003"/>
    <m/>
    <m/>
    <n v="0"/>
    <n v="4882.83"/>
    <n v="1"/>
    <m/>
    <d v="2018-02-06T00:00:00"/>
    <m/>
    <s v="Dave Yoemans"/>
    <d v="2017-09-19T00:00:00"/>
    <d v="2017-10-18T00:00:00"/>
    <n v="29"/>
    <d v="2017-11-30T00:00:00"/>
    <n v="43"/>
  </r>
  <r>
    <s v="A401/Greenfield"/>
    <s v="Sth NSW"/>
    <s v="Inv 13027"/>
    <d v="2018-01-30T00:00:00"/>
    <d v="2017-12-04T00:00:00"/>
    <d v="2017-12-04T00:00:00"/>
    <d v="2017-12-04T00:00:00"/>
    <d v="2017-12-13T00:00:00"/>
    <d v="2017-12-14T00:00:00"/>
    <d v="2018-01-30T00:00:00"/>
    <m/>
    <x v="9"/>
    <x v="170"/>
    <s v="Bowral"/>
    <n v="4895.03"/>
    <n v="10424.728000000001"/>
    <n v="15319.758000000002"/>
    <n v="16851.733800000002"/>
    <m/>
    <m/>
    <n v="0"/>
    <n v="15319.758000000002"/>
    <n v="1"/>
    <s v="Invoiced"/>
    <d v="2017-12-18T00:00:00"/>
    <s v="Completed and handover forwarded"/>
    <s v="Dave Yoemans"/>
    <d v="2017-09-18T00:00:00"/>
    <d v="2017-10-18T00:00:00"/>
    <n v="30"/>
    <d v="2017-11-30T00:00:00"/>
    <n v="43"/>
  </r>
  <r>
    <s v="A417 Greenfield MDU"/>
    <s v="Sydney"/>
    <s v="Inv 13026"/>
    <d v="2018-01-08T00:00:00"/>
    <d v="2017-12-05T00:00:00"/>
    <d v="2017-12-05T00:00:00"/>
    <d v="2017-12-05T00:00:00"/>
    <d v="2017-12-12T00:00:00"/>
    <d v="2017-12-19T00:00:00"/>
    <d v="2018-01-11T00:00:00"/>
    <m/>
    <x v="9"/>
    <x v="171"/>
    <s v="Penrith"/>
    <n v="1126.31"/>
    <n v="2848.31"/>
    <n v="3974.62"/>
    <n v="4372.0820000000003"/>
    <m/>
    <m/>
    <n v="0"/>
    <n v="3974.62"/>
    <n v="1"/>
    <s v="Invoiced"/>
    <d v="2017-12-19T00:00:00"/>
    <s v="Completed and handover forwarded"/>
    <s v="Andrew Partalis"/>
    <s v="Direct Award"/>
    <d v="2017-10-18T00:00:00"/>
    <m/>
    <d v="2017-11-22T00:00:00"/>
    <n v="35"/>
  </r>
  <r>
    <s v="A401/Greenfield"/>
    <s v="Sydney"/>
    <s v="Inv 13233"/>
    <d v="2018-02-15T00:00:00"/>
    <d v="2017-12-21T00:00:00"/>
    <d v="2017-12-22T00:00:00"/>
    <d v="2018-01-10T00:00:00"/>
    <d v="2018-01-24T00:00:00"/>
    <d v="2018-01-12T00:00:00"/>
    <d v="2018-02-15T00:00:00"/>
    <m/>
    <x v="9"/>
    <x v="172"/>
    <s v="Smithfield"/>
    <n v="5336.9454285714291"/>
    <n v="9985.27"/>
    <n v="15322.21542857143"/>
    <n v="16854.436971428575"/>
    <m/>
    <m/>
    <n v="0"/>
    <n v="15322.21542857143"/>
    <n v="1"/>
    <m/>
    <d v="2018-01-05T00:00:00"/>
    <m/>
    <s v="Lindy Chan"/>
    <d v="2017-09-29T00:00:00"/>
    <d v="2017-10-19T00:00:00"/>
    <n v="20"/>
    <d v="2017-10-26T00:00:00"/>
    <n v="7"/>
  </r>
  <r>
    <s v="A417 Greenfield MDU"/>
    <s v="Sydney"/>
    <m/>
    <m/>
    <m/>
    <d v="2018-03-30T00:00:00"/>
    <m/>
    <m/>
    <m/>
    <m/>
    <m/>
    <x v="7"/>
    <x v="173"/>
    <s v="Berala"/>
    <n v="82.91"/>
    <m/>
    <n v="82.91"/>
    <n v="91.201000000000008"/>
    <m/>
    <m/>
    <n v="0"/>
    <n v="82.91"/>
    <n v="1"/>
    <m/>
    <d v="2018-04-13T00:00:00"/>
    <m/>
    <s v="Lindy Chan"/>
    <s v="Direct Award"/>
    <d v="2017-10-19T00:00:00"/>
    <m/>
    <d v="2017-11-22T00:00:00"/>
    <n v="34"/>
  </r>
  <r>
    <s v="A417 Greenfield MDU"/>
    <s v="Sydney"/>
    <s v="Inv 13023"/>
    <d v="2018-01-08T00:00:00"/>
    <d v="2017-11-30T00:00:00"/>
    <d v="2017-11-30T00:00:00"/>
    <d v="2017-12-01T00:00:00"/>
    <d v="2017-12-12T00:00:00"/>
    <d v="2017-12-13T00:00:00"/>
    <d v="2017-12-27T00:00:00"/>
    <m/>
    <x v="8"/>
    <x v="174"/>
    <s v="Pitt Town"/>
    <n v="5919.34"/>
    <n v="3816.2100000000009"/>
    <n v="9735.5500000000011"/>
    <n v="10709.105000000001"/>
    <m/>
    <m/>
    <n v="0"/>
    <n v="9735.5500000000011"/>
    <n v="1"/>
    <s v="Invoiced"/>
    <d v="2017-12-14T00:00:00"/>
    <s v="Completed and handover forwarded"/>
    <s v="Andrew Mahassy"/>
    <s v="Direct Award"/>
    <d v="2017-10-19T00:00:00"/>
    <m/>
    <d v="2017-11-22T00:00:00"/>
    <n v="34"/>
  </r>
  <r>
    <s v="A417 Greenfield MDU"/>
    <s v="Sydney"/>
    <m/>
    <m/>
    <d v="2018-03-02T00:00:00"/>
    <d v="2018-03-02T00:00:00"/>
    <m/>
    <m/>
    <d v="2018-03-16T00:00:00"/>
    <d v="2018-03-30T00:00:00"/>
    <m/>
    <x v="7"/>
    <x v="175"/>
    <s v="Liverpool"/>
    <n v="9149.8799999999992"/>
    <n v="11162.67"/>
    <n v="20312.55"/>
    <n v="22343.805"/>
    <m/>
    <m/>
    <n v="0"/>
    <n v="20312.55"/>
    <n v="1"/>
    <m/>
    <d v="2018-03-16T00:00:00"/>
    <m/>
    <s v="Nabeel Jaimon"/>
    <s v="Direct Award"/>
    <d v="2017-10-19T00:00:00"/>
    <m/>
    <d v="2017-11-22T00:00:00"/>
    <n v="34"/>
  </r>
  <r>
    <s v="A401/Greenfield"/>
    <s v="Sydney"/>
    <s v="Inv 13150"/>
    <d v="2018-01-30T00:00:00"/>
    <s v="18/12/117"/>
    <d v="2017-12-18T00:00:00"/>
    <m/>
    <m/>
    <d v="2017-01-02T00:00:00"/>
    <d v="2017-01-16T00:00:00"/>
    <m/>
    <x v="9"/>
    <x v="176"/>
    <s v="Miller"/>
    <n v="2044.5"/>
    <m/>
    <n v="2044.5"/>
    <n v="2248.9500000000003"/>
    <m/>
    <m/>
    <n v="0"/>
    <n v="2044.5"/>
    <n v="1"/>
    <m/>
    <d v="2018-01-01T00:00:00"/>
    <m/>
    <s v="Nabeel Jaimon"/>
    <d v="2017-10-02T00:00:00"/>
    <d v="2017-10-20T00:00:00"/>
    <n v="18"/>
    <d v="2017-10-31T00:00:00"/>
    <n v="11"/>
  </r>
  <r>
    <s v="A401/Greenfield"/>
    <s v="Sydney"/>
    <s v="Inv 13201"/>
    <d v="2018-02-07T00:00:00"/>
    <d v="2017-12-21T00:00:00"/>
    <d v="2017-12-22T00:00:00"/>
    <d v="2018-01-12T00:00:00"/>
    <d v="2018-01-25T00:00:00"/>
    <d v="2018-01-12T00:00:00"/>
    <d v="2018-02-08T00:00:00"/>
    <m/>
    <x v="9"/>
    <x v="177"/>
    <s v="Barrack Heights"/>
    <n v="5773.02"/>
    <n v="4353.71"/>
    <n v="10126.73"/>
    <n v="11139.403"/>
    <m/>
    <m/>
    <n v="0"/>
    <n v="10126.73"/>
    <n v="1"/>
    <m/>
    <d v="2018-01-05T00:00:00"/>
    <m/>
    <s v="Dave Yoemans"/>
    <d v="2017-09-18T00:00:00"/>
    <d v="2017-10-23T00:00:00"/>
    <n v="35"/>
    <d v="2017-11-30T00:00:00"/>
    <n v="38"/>
  </r>
  <r>
    <s v="A401/Greenfield"/>
    <s v="West NSW"/>
    <m/>
    <m/>
    <m/>
    <d v="2018-03-30T00:00:00"/>
    <m/>
    <m/>
    <m/>
    <m/>
    <m/>
    <x v="7"/>
    <x v="178"/>
    <s v="Bathurst"/>
    <n v="4802.37"/>
    <m/>
    <n v="4802.37"/>
    <n v="5282.607"/>
    <m/>
    <m/>
    <n v="0"/>
    <n v="4802.37"/>
    <n v="1"/>
    <m/>
    <d v="2018-04-13T00:00:00"/>
    <m/>
    <s v="Mark Leal"/>
    <d v="2017-09-27T00:00:00"/>
    <d v="2017-10-23T00:00:00"/>
    <n v="26"/>
    <d v="2017-11-01T00:00:00"/>
    <n v="9"/>
  </r>
  <r>
    <s v="A401/Greenfield"/>
    <s v="West NSW"/>
    <s v="Inv 13116"/>
    <d v="2018-01-23T00:00:00"/>
    <d v="2017-12-14T00:00:00"/>
    <d v="2017-12-22T00:00:00"/>
    <m/>
    <m/>
    <d v="2018-01-04T00:00:00"/>
    <d v="2018-01-23T00:00:00"/>
    <m/>
    <x v="9"/>
    <x v="179"/>
    <s v="Orange"/>
    <n v="8637.2000000000007"/>
    <m/>
    <n v="8637.2000000000007"/>
    <n v="9500.9200000000019"/>
    <m/>
    <m/>
    <n v="0"/>
    <n v="8637.2000000000007"/>
    <n v="1"/>
    <m/>
    <d v="2018-01-05T00:00:00"/>
    <m/>
    <s v="Ertan Cicek "/>
    <d v="2017-10-02T00:00:00"/>
    <d v="2017-10-23T00:00:00"/>
    <n v="21"/>
    <d v="2017-11-01T00:00:00"/>
    <n v="9"/>
  </r>
  <r>
    <s v="A417 Greenfield MDU"/>
    <s v="Sydney"/>
    <s v="Inv 13232"/>
    <d v="2018-02-15T00:00:00"/>
    <d v="2018-01-11T00:00:00"/>
    <d v="2018-01-11T00:00:00"/>
    <d v="2018-01-12T00:00:00"/>
    <d v="2018-01-24T00:00:00"/>
    <d v="2018-01-23T00:00:00"/>
    <d v="2018-02-15T00:00:00"/>
    <m/>
    <x v="10"/>
    <x v="180"/>
    <s v="Eskineville"/>
    <n v="2012.61"/>
    <n v="6714.56"/>
    <n v="8727.17"/>
    <n v="9599.8870000000006"/>
    <m/>
    <m/>
    <n v="0"/>
    <n v="8727.17"/>
    <n v="1"/>
    <m/>
    <d v="2018-01-25T00:00:00"/>
    <m/>
    <s v="Lindy Chan"/>
    <s v="Direct Award"/>
    <d v="2017-10-24T00:00:00"/>
    <m/>
    <d v="2017-11-29T00:00:00"/>
    <n v="36"/>
  </r>
  <r>
    <s v="A417 Greenfield MDU"/>
    <s v="Sydney"/>
    <s v="Inv 13019"/>
    <d v="2017-12-22T00:00:00"/>
    <d v="2017-11-03T00:00:00"/>
    <d v="2017-11-07T00:00:00"/>
    <d v="2017-11-08T00:00:00"/>
    <d v="2017-11-16T00:00:00"/>
    <d v="2017-12-11T00:00:00"/>
    <d v="2018-01-09T00:00:00"/>
    <m/>
    <x v="8"/>
    <x v="181"/>
    <s v="Aubrn"/>
    <n v="1680"/>
    <n v="7008.33"/>
    <n v="8688.33"/>
    <n v="9557.1630000000005"/>
    <m/>
    <m/>
    <n v="0"/>
    <n v="8688.33"/>
    <n v="1"/>
    <s v="Invoiced"/>
    <d v="2017-11-21T00:00:00"/>
    <s v="Completed and handover forwarded"/>
    <s v="Ertan Cicek "/>
    <s v="Direct Award"/>
    <d v="2017-10-24T00:00:00"/>
    <m/>
    <d v="2017-11-29T00:00:00"/>
    <n v="36"/>
  </r>
  <r>
    <s v="A417 Greenfield MDU"/>
    <s v="Sydney"/>
    <s v="Inv 13120"/>
    <d v="2018-01-23T00:00:00"/>
    <d v="2017-11-29T00:00:00"/>
    <d v="2017-11-30T00:00:00"/>
    <d v="2017-12-01T00:00:00"/>
    <d v="2017-12-20T00:00:00"/>
    <d v="2017-12-12T00:00:00"/>
    <d v="2018-01-23T00:00:00"/>
    <m/>
    <x v="8"/>
    <x v="182"/>
    <s v="Gordon"/>
    <n v="1686.02"/>
    <n v="3182.07"/>
    <n v="4868.09"/>
    <n v="5354.8990000000003"/>
    <m/>
    <m/>
    <n v="0"/>
    <n v="4868.09"/>
    <n v="1"/>
    <s v="Invoiced"/>
    <d v="2017-12-14T00:00:00"/>
    <s v="Completed and handover forwarded"/>
    <s v="Lindy Chan"/>
    <s v="Direct Award"/>
    <d v="2017-10-24T00:00:00"/>
    <m/>
    <d v="2017-11-30T00:00:00"/>
    <n v="37"/>
  </r>
  <r>
    <s v="A417 Greenfield MDU"/>
    <s v="Sydney"/>
    <m/>
    <m/>
    <d v="2017-11-07T00:00:00"/>
    <d v="2017-11-07T00:00:00"/>
    <d v="2017-01-16T00:00:00"/>
    <d v="2018-02-27T00:00:00"/>
    <d v="2017-11-21T00:00:00"/>
    <d v="2017-12-05T00:00:00"/>
    <m/>
    <x v="8"/>
    <x v="183"/>
    <s v="Canterbury"/>
    <n v="2604.61"/>
    <n v="11602.07"/>
    <n v="14206.68"/>
    <n v="15627.348000000002"/>
    <m/>
    <m/>
    <n v="0"/>
    <n v="14206.68"/>
    <n v="1"/>
    <s v="Invoiced"/>
    <d v="2017-11-21T00:00:00"/>
    <s v="Completed and handover forwarded"/>
    <s v="Andrew Partalis"/>
    <s v="Direct Award"/>
    <d v="2017-10-25T00:00:00"/>
    <m/>
    <d v="2017-11-22T00:00:00"/>
    <n v="28"/>
  </r>
  <r>
    <s v="A417 Greenfield MDU"/>
    <s v="Nth West "/>
    <s v="Inv 12986"/>
    <m/>
    <d v="2017-11-24T00:00:00"/>
    <d v="2017-11-27T00:00:00"/>
    <d v="2017-11-27T00:00:00"/>
    <d v="2017-12-08T00:00:00"/>
    <d v="2017-12-11T00:00:00"/>
    <d v="2017-12-25T00:00:00"/>
    <m/>
    <x v="8"/>
    <x v="184"/>
    <s v="Armidale"/>
    <n v="1586.84"/>
    <n v="5543.8700000000017"/>
    <n v="7130.7100000000019"/>
    <n v="7843.7810000000027"/>
    <m/>
    <m/>
    <n v="0"/>
    <n v="7130.7100000000019"/>
    <n v="1"/>
    <s v="Invoiced"/>
    <d v="2017-12-11T00:00:00"/>
    <s v="Completed and handover forwarded"/>
    <s v="Mark Leal"/>
    <s v="Direct Award"/>
    <d v="2017-10-31T00:00:00"/>
    <m/>
    <d v="2017-11-30T00:00:00"/>
    <n v="30"/>
  </r>
  <r>
    <s v="A417 Greenfield MDU"/>
    <s v="ACT"/>
    <s v="Inv 13248"/>
    <d v="2018-02-19T00:00:00"/>
    <d v="2018-01-17T00:00:00"/>
    <d v="2018-01-17T00:00:00"/>
    <d v="2018-01-17T00:00:00"/>
    <d v="2018-01-29T00:00:00"/>
    <d v="2018-01-29T00:00:00"/>
    <d v="2018-02-12T00:00:00"/>
    <m/>
    <x v="10"/>
    <x v="185"/>
    <s v="Queanbeyan"/>
    <n v="1139.1099999999999"/>
    <n v="2470.5100000000002"/>
    <n v="3609.62"/>
    <n v="3970.5820000000003"/>
    <m/>
    <m/>
    <n v="0"/>
    <n v="3609.62"/>
    <n v="1"/>
    <s v="Invoiced"/>
    <d v="2018-01-31T00:00:00"/>
    <s v="Completed and handover forwarded"/>
    <s v="Nabeel Jaimon"/>
    <s v="Direct Award"/>
    <d v="2017-10-31T00:00:00"/>
    <m/>
    <d v="2017-11-29T00:00:00"/>
    <n v="29"/>
  </r>
  <r>
    <s v="A417 Greenfield MDU"/>
    <s v="Newcastle"/>
    <s v="Inv 13030"/>
    <d v="2018-01-12T00:00:00"/>
    <d v="2017-11-17T00:00:00"/>
    <d v="2017-11-17T00:00:00"/>
    <d v="2017-12-06T00:00:00"/>
    <d v="2017-12-08T00:00:00"/>
    <d v="2017-12-12T00:00:00"/>
    <d v="2017-01-16T00:00:00"/>
    <m/>
    <x v="8"/>
    <x v="186"/>
    <s v="Mayfield"/>
    <n v="750.2"/>
    <n v="4376.74"/>
    <n v="5126.9399999999996"/>
    <n v="5639.634"/>
    <m/>
    <m/>
    <n v="0"/>
    <n v="5126.9399999999996"/>
    <n v="1"/>
    <m/>
    <d v="2017-12-01T00:00:00"/>
    <m/>
    <s v="Andrew Partalis"/>
    <s v="Direct Award"/>
    <d v="2017-11-02T00:00:00"/>
    <m/>
    <d v="2017-11-22T00:00:00"/>
    <n v="20"/>
  </r>
  <r>
    <s v="A401/Greenfield"/>
    <s v="West NSW"/>
    <s v="Inv 13164"/>
    <d v="2018-01-31T00:00:00"/>
    <d v="2017-12-14T00:00:00"/>
    <d v="2017-12-25T00:00:00"/>
    <m/>
    <m/>
    <d v="2018-01-04T00:00:00"/>
    <d v="2018-01-18T00:00:00"/>
    <m/>
    <x v="9"/>
    <x v="187"/>
    <s v="Orange"/>
    <n v="5568.32"/>
    <m/>
    <n v="5568.32"/>
    <n v="6125.152"/>
    <m/>
    <m/>
    <n v="0"/>
    <n v="5568.32"/>
    <n v="1"/>
    <m/>
    <d v="2018-01-08T00:00:00"/>
    <m/>
    <s v="Mark Leal"/>
    <d v="2017-10-17T00:00:00"/>
    <d v="2017-11-06T00:00:00"/>
    <n v="20"/>
    <d v="2017-11-14T00:00:00"/>
    <n v="8"/>
  </r>
  <r>
    <s v="A401/Greenfield"/>
    <s v="Nth Coast"/>
    <s v="Inv 13152"/>
    <d v="2018-01-30T00:00:00"/>
    <d v="2017-12-14T00:00:00"/>
    <d v="2017-12-14T00:00:00"/>
    <m/>
    <m/>
    <d v="2017-01-04T00:00:00"/>
    <d v="2018-01-29T00:00:00"/>
    <m/>
    <x v="9"/>
    <x v="188"/>
    <s v="Old Bar"/>
    <n v="13975.96"/>
    <m/>
    <n v="13975.96"/>
    <n v="15373.556"/>
    <m/>
    <m/>
    <n v="0"/>
    <n v="13975.96"/>
    <n v="1"/>
    <m/>
    <d v="2017-12-28T00:00:00"/>
    <m/>
    <s v="Mark Leal"/>
    <d v="2017-10-30T00:00:00"/>
    <d v="2017-11-06T00:00:00"/>
    <n v="7"/>
    <d v="2017-11-30T00:00:00"/>
    <n v="24"/>
  </r>
  <r>
    <s v="A417 Greenfield MDU"/>
    <s v="Sth Coast"/>
    <s v="Inv 13273"/>
    <d v="2018-02-22T00:00:00"/>
    <d v="2017-12-19T00:00:00"/>
    <d v="2017-12-20T00:00:00"/>
    <d v="2018-01-09T00:00:00"/>
    <d v="2018-01-23T00:00:00"/>
    <d v="2017-01-04T00:00:00"/>
    <d v="2018-02-27T00:00:00"/>
    <m/>
    <x v="9"/>
    <x v="189"/>
    <s v="South Nowra"/>
    <n v="1215.49"/>
    <n v="650.54"/>
    <n v="1866.03"/>
    <n v="2052.6330000000003"/>
    <m/>
    <m/>
    <n v="0"/>
    <n v="1866.03"/>
    <n v="1"/>
    <m/>
    <d v="2018-01-03T00:00:00"/>
    <m/>
    <s v="Sogand Mohtat"/>
    <s v="Direct Award"/>
    <d v="2017-11-09T00:00:00"/>
    <m/>
    <d v="2017-12-15T00:00:00"/>
    <n v="36"/>
  </r>
  <r>
    <s v="A401/Greenfield"/>
    <s v="Sydney"/>
    <m/>
    <m/>
    <d v="2018-01-23T00:00:00"/>
    <d v="2018-01-24T00:00:00"/>
    <d v="2017-01-25T00:00:00"/>
    <d v="2018-01-31T00:00:00"/>
    <d v="2018-02-06T00:00:00"/>
    <d v="2018-02-21T00:00:00"/>
    <m/>
    <x v="10"/>
    <x v="190"/>
    <s v="Smeaton Grange"/>
    <n v="4263.5600000000004"/>
    <n v="4345.3999999999996"/>
    <n v="8608.9599999999991"/>
    <n v="9469.8559999999998"/>
    <m/>
    <m/>
    <n v="0"/>
    <n v="8608.9599999999991"/>
    <n v="1"/>
    <m/>
    <d v="2018-02-07T00:00:00"/>
    <m/>
    <s v="Nabeel Jaimon"/>
    <d v="2017-10-30T00:00:00"/>
    <d v="2017-11-09T00:00:00"/>
    <n v="10"/>
    <d v="2017-11-30T00:00:00"/>
    <n v="21"/>
  </r>
  <r>
    <s v="A401/Greenfield"/>
    <s v="Sth NSW"/>
    <m/>
    <m/>
    <d v="2018-02-16T00:00:00"/>
    <d v="2018-02-21T00:00:00"/>
    <d v="2018-02-21T00:00:00"/>
    <m/>
    <d v="2028-03-05T00:00:00"/>
    <d v="2028-03-19T00:00:00"/>
    <m/>
    <x v="2"/>
    <x v="191"/>
    <s v="Moss Vale"/>
    <n v="22553.22"/>
    <n v="2677.9657142857141"/>
    <n v="25231.185714285715"/>
    <n v="27754.30428571429"/>
    <m/>
    <m/>
    <n v="0"/>
    <n v="25231.185714285715"/>
    <n v="1"/>
    <m/>
    <d v="2018-03-07T00:00:00"/>
    <m/>
    <s v="Mark Leal"/>
    <d v="2017-10-24T00:00:00"/>
    <d v="2017-11-10T00:00:00"/>
    <n v="17"/>
    <d v="2017-11-17T00:00:00"/>
    <n v="7"/>
  </r>
  <r>
    <s v="A401/Greenfield"/>
    <s v="Nth Coast"/>
    <m/>
    <m/>
    <d v="2017-11-26T00:00:00"/>
    <d v="2017-11-27T00:00:00"/>
    <m/>
    <m/>
    <d v="2017-12-11T00:00:00"/>
    <d v="2017-12-25T00:00:00"/>
    <m/>
    <x v="8"/>
    <x v="192"/>
    <s v="Wauchope"/>
    <n v="8488.5"/>
    <m/>
    <n v="8488.5"/>
    <n v="9337.35"/>
    <m/>
    <m/>
    <n v="0"/>
    <n v="8488.5"/>
    <n v="1"/>
    <s v="Invoiced"/>
    <d v="2017-12-11T00:00:00"/>
    <s v="Completed and handover forwarded"/>
    <s v="Mark Leal"/>
    <d v="2017-10-23T00:00:00"/>
    <d v="2017-11-10T00:00:00"/>
    <n v="18"/>
    <d v="2017-11-18T00:00:00"/>
    <n v="8"/>
  </r>
  <r>
    <s v="A401/Greenfield"/>
    <s v="Sydney"/>
    <m/>
    <m/>
    <d v="2017-12-05T00:00:00"/>
    <d v="2017-12-05T00:00:00"/>
    <m/>
    <m/>
    <d v="2017-12-15T00:00:00"/>
    <d v="2017-12-29T00:00:00"/>
    <m/>
    <x v="9"/>
    <x v="193"/>
    <s v="Rouse Hill"/>
    <n v="2284.9699999999998"/>
    <m/>
    <n v="2284.9699999999998"/>
    <n v="2513.4670000000001"/>
    <m/>
    <m/>
    <n v="0"/>
    <n v="2284.9699999999998"/>
    <n v="1"/>
    <s v="Invoiced"/>
    <d v="2017-12-19T00:00:00"/>
    <s v="Completed and handover forwarded"/>
    <s v="Andrew Mahassy"/>
    <d v="2017-11-04T00:00:00"/>
    <d v="2017-11-10T00:00:00"/>
    <n v="6"/>
    <d v="2017-11-30T00:00:00"/>
    <n v="20"/>
  </r>
  <r>
    <s v="A401/Greenfield"/>
    <s v="Sydney"/>
    <s v="Inv 12068"/>
    <d v="2018-01-16T00:00:00"/>
    <d v="2017-11-30T00:00:00"/>
    <d v="2017-11-30T00:00:00"/>
    <m/>
    <m/>
    <d v="2017-12-12T00:00:00"/>
    <d v="2018-01-18T00:00:00"/>
    <m/>
    <x v="8"/>
    <x v="194"/>
    <s v="Narellan"/>
    <n v="800"/>
    <m/>
    <n v="800"/>
    <n v="880.00000000000011"/>
    <m/>
    <m/>
    <n v="0"/>
    <n v="800"/>
    <n v="1"/>
    <s v="Invoiced"/>
    <d v="2017-12-14T00:00:00"/>
    <s v="Completed and handover forwarded"/>
    <s v="Andrew Mahassy"/>
    <d v="2017-10-24T00:00:00"/>
    <d v="2017-11-13T00:00:00"/>
    <n v="20"/>
    <d v="2017-11-20T00:00:00"/>
    <n v="7"/>
  </r>
  <r>
    <s v="A401/Greenfield"/>
    <s v="Sth NSW"/>
    <m/>
    <m/>
    <d v="2017-12-07T00:00:00"/>
    <d v="2017-12-11T00:00:00"/>
    <m/>
    <m/>
    <d v="2017-12-19T00:00:00"/>
    <d v="2018-01-02T00:00:00"/>
    <m/>
    <x v="9"/>
    <x v="195"/>
    <s v="Woonona"/>
    <n v="1350"/>
    <m/>
    <n v="1350"/>
    <n v="1485.0000000000002"/>
    <m/>
    <m/>
    <n v="0"/>
    <n v="1350"/>
    <n v="1"/>
    <m/>
    <d v="2017-12-25T00:00:00"/>
    <m/>
    <s v="Andrew Mahassy"/>
    <d v="2017-11-04T00:00:00"/>
    <d v="2017-11-16T00:00:00"/>
    <n v="12"/>
    <d v="2017-11-30T00:00:00"/>
    <n v="14"/>
  </r>
  <r>
    <s v="A401/Greenfield"/>
    <s v="Sth NSW"/>
    <m/>
    <m/>
    <d v="2018-02-21T00:00:00"/>
    <d v="2018-02-21T00:00:00"/>
    <d v="2018-02-21T00:00:00"/>
    <m/>
    <d v="2018-03-05T00:00:00"/>
    <d v="2018-03-19T00:00:00"/>
    <m/>
    <x v="2"/>
    <x v="196"/>
    <s v="Young"/>
    <n v="12059.12"/>
    <n v="3133.8257142857137"/>
    <n v="15192.945714285714"/>
    <n v="16712.240285714288"/>
    <m/>
    <m/>
    <n v="0"/>
    <n v="15192.945714285714"/>
    <n v="1"/>
    <m/>
    <d v="2018-03-07T00:00:00"/>
    <m/>
    <s v="Mark Leal"/>
    <d v="2017-09-29T00:00:00"/>
    <d v="2017-11-17T00:00:00"/>
    <n v="49"/>
    <d v="2017-12-03T00:00:00"/>
    <n v="16"/>
  </r>
  <r>
    <s v="A401/Greenfield"/>
    <s v="Newcastle"/>
    <s v="Inv 13021"/>
    <d v="2018-01-08T00:00:00"/>
    <d v="2017-11-30T00:00:00"/>
    <d v="2017-11-30T00:00:00"/>
    <m/>
    <m/>
    <d v="2017-12-13T00:00:00"/>
    <d v="2017-12-28T00:00:00"/>
    <m/>
    <x v="8"/>
    <x v="197"/>
    <s v="Thornton"/>
    <n v="1670"/>
    <m/>
    <n v="1670"/>
    <n v="1837.0000000000002"/>
    <m/>
    <m/>
    <n v="0"/>
    <n v="1670"/>
    <n v="1"/>
    <s v="Invoiced"/>
    <d v="2017-12-14T00:00:00"/>
    <s v="Completed and handover forwarded"/>
    <s v="Mark Leal"/>
    <d v="2017-09-15T00:00:00"/>
    <d v="2017-11-17T00:00:00"/>
    <n v="63"/>
    <d v="2017-11-30T00:00:00"/>
    <n v="13"/>
  </r>
  <r>
    <s v="VPL"/>
    <s v="Sydney"/>
    <s v="Inv 12851"/>
    <d v="2017-11-22T00:00:00"/>
    <d v="2017-09-06T00:00:00"/>
    <d v="2017-11-23T00:00:00"/>
    <m/>
    <m/>
    <m/>
    <m/>
    <m/>
    <x v="8"/>
    <x v="198"/>
    <s v="Sydney"/>
    <n v="12629.08"/>
    <m/>
    <n v="12629.08"/>
    <n v="13891.988000000001"/>
    <m/>
    <m/>
    <n v="0"/>
    <n v="12629.08"/>
    <n v="1"/>
    <s v="Invoiced"/>
    <d v="2017-12-07T00:00:00"/>
    <s v="Completed and handover forwarded"/>
    <s v="Sam Harwood"/>
    <s v="N/A"/>
    <s v="N/A"/>
    <s v="N/A"/>
    <s v="N/A"/>
    <s v="N/A"/>
  </r>
  <r>
    <s v="VPL"/>
    <s v="Sydney"/>
    <s v="Inv 12852"/>
    <d v="2017-11-22T00:00:00"/>
    <d v="2017-09-06T00:00:00"/>
    <d v="2017-11-23T00:00:00"/>
    <m/>
    <m/>
    <m/>
    <m/>
    <m/>
    <x v="8"/>
    <x v="199"/>
    <s v="Sydney"/>
    <n v="8851.2800000000007"/>
    <m/>
    <n v="8851.2800000000007"/>
    <n v="9736.4080000000013"/>
    <m/>
    <m/>
    <n v="0"/>
    <n v="8851.2800000000007"/>
    <n v="1"/>
    <s v="Invoiced"/>
    <d v="2017-12-07T00:00:00"/>
    <s v="Completed and handover forwarded"/>
    <s v="Sam Harwood"/>
    <s v="N/A"/>
    <s v="N/A"/>
    <s v="N/A"/>
    <s v="N/A"/>
    <s v="N/A"/>
  </r>
  <r>
    <s v="VPL"/>
    <s v="Sydney"/>
    <s v="Inv 12853"/>
    <d v="2017-11-22T00:00:00"/>
    <d v="2017-09-06T00:00:00"/>
    <d v="2017-11-23T00:00:00"/>
    <m/>
    <m/>
    <m/>
    <m/>
    <m/>
    <x v="8"/>
    <x v="200"/>
    <s v="Sydney"/>
    <n v="11338.68"/>
    <m/>
    <n v="11338.68"/>
    <n v="12472.548000000001"/>
    <m/>
    <m/>
    <n v="0"/>
    <n v="11338.68"/>
    <n v="1"/>
    <s v="Invoiced"/>
    <d v="2017-12-07T00:00:00"/>
    <s v="Completed and handover forwarded"/>
    <s v="Sam Harwood"/>
    <s v="N/A"/>
    <s v="N/A"/>
    <s v="N/A"/>
    <s v="N/A"/>
    <s v="N/A"/>
  </r>
  <r>
    <s v="A417 Greenfield MDU"/>
    <s v="Sydney"/>
    <m/>
    <m/>
    <m/>
    <d v="2018-03-30T00:00:00"/>
    <m/>
    <m/>
    <m/>
    <m/>
    <m/>
    <x v="7"/>
    <x v="201"/>
    <s v="Epping"/>
    <n v="1252.5899999999999"/>
    <m/>
    <n v="1252.5899999999999"/>
    <n v="1377.8489999999999"/>
    <m/>
    <m/>
    <n v="0"/>
    <n v="1252.5899999999999"/>
    <n v="1"/>
    <m/>
    <d v="2018-04-13T00:00:00"/>
    <m/>
    <s v="Ertan Cicek"/>
    <s v="Direct Award"/>
    <d v="2017-12-06T00:00:00"/>
    <m/>
    <d v="2017-12-15T00:00:00"/>
    <n v="9"/>
  </r>
  <r>
    <s v="A417 Greenfield MDU"/>
    <s v="Sydney"/>
    <m/>
    <m/>
    <m/>
    <d v="2018-03-30T00:00:00"/>
    <m/>
    <m/>
    <m/>
    <m/>
    <m/>
    <x v="7"/>
    <x v="202"/>
    <s v="Blacktown"/>
    <n v="1711.6"/>
    <m/>
    <n v="1711.6"/>
    <n v="1882.76"/>
    <m/>
    <m/>
    <n v="0"/>
    <n v="1711.6"/>
    <n v="1"/>
    <m/>
    <d v="2018-04-13T00:00:00"/>
    <m/>
    <s v="Ertan Cicek"/>
    <s v="Direct Award"/>
    <d v="2017-12-07T00:00:00"/>
    <m/>
    <d v="2017-12-15T00:00:00"/>
    <n v="8"/>
  </r>
  <r>
    <s v="A417 Greenfield MDU"/>
    <s v="Sydney"/>
    <m/>
    <m/>
    <d v="2018-02-14T00:00:00"/>
    <d v="2018-02-15T00:00:00"/>
    <d v="2018-02-21T00:00:00"/>
    <m/>
    <d v="2018-03-01T00:00:00"/>
    <d v="2018-03-15T00:00:00"/>
    <m/>
    <x v="2"/>
    <x v="203"/>
    <s v="Rouse Hill"/>
    <n v="3895.2"/>
    <n v="8849.84"/>
    <n v="12745.04"/>
    <n v="14019.544000000002"/>
    <m/>
    <m/>
    <n v="0"/>
    <n v="12745.04"/>
    <n v="1"/>
    <m/>
    <d v="2018-03-01T00:00:00"/>
    <m/>
    <s v="Lindy Chan"/>
    <s v="Direct Award"/>
    <d v="2017-12-08T00:00:00"/>
    <m/>
    <d v="2017-12-15T00:00:00"/>
    <n v="7"/>
  </r>
  <r>
    <s v="A417 Greenfield MDU"/>
    <s v="Sydney"/>
    <m/>
    <m/>
    <m/>
    <d v="2018-03-30T00:00:00"/>
    <m/>
    <m/>
    <m/>
    <m/>
    <m/>
    <x v="7"/>
    <x v="204"/>
    <s v="Auburn"/>
    <n v="2066.42"/>
    <m/>
    <n v="2066.42"/>
    <n v="2273.0620000000004"/>
    <m/>
    <m/>
    <n v="0"/>
    <n v="2066.42"/>
    <n v="1"/>
    <m/>
    <d v="2018-04-13T00:00:00"/>
    <m/>
    <s v="Ertan Cicek "/>
    <s v="Direct Award"/>
    <d v="2017-12-12T00:00:00"/>
    <m/>
    <d v="2018-01-04T00:00:00"/>
    <n v="23"/>
  </r>
  <r>
    <s v="A417 Greenfield MDU"/>
    <s v="Sydney"/>
    <m/>
    <m/>
    <m/>
    <d v="2018-03-30T00:00:00"/>
    <m/>
    <m/>
    <m/>
    <m/>
    <m/>
    <x v="7"/>
    <x v="205"/>
    <s v="Oatley"/>
    <n v="560"/>
    <m/>
    <n v="560"/>
    <n v="616"/>
    <m/>
    <m/>
    <n v="0"/>
    <n v="560"/>
    <n v="1"/>
    <m/>
    <d v="2018-04-13T00:00:00"/>
    <m/>
    <m/>
    <s v="Direct Award"/>
    <d v="2017-12-12T00:00:00"/>
    <m/>
    <d v="2017-12-30T00:00:00"/>
    <n v="18"/>
  </r>
  <r>
    <s v="A417 Greenfield MDU"/>
    <s v="Sydney"/>
    <s v="Inv 13274"/>
    <d v="2018-02-22T00:00:00"/>
    <d v="2018-01-12T00:00:00"/>
    <d v="2018-01-12T00:00:00"/>
    <d v="2017-01-15T00:00:00"/>
    <d v="2018-02-07T00:00:00"/>
    <d v="2018-01-29T00:00:00"/>
    <d v="2018-02-27T00:00:00"/>
    <m/>
    <x v="10"/>
    <x v="206"/>
    <s v="Liverpool"/>
    <n v="1093.2"/>
    <n v="4076.63"/>
    <n v="5169.83"/>
    <n v="5686.8130000000001"/>
    <m/>
    <m/>
    <n v="0"/>
    <n v="5169.83"/>
    <n v="1"/>
    <m/>
    <d v="2018-01-26T00:00:00"/>
    <m/>
    <m/>
    <s v="Direct Award"/>
    <d v="2017-12-12T00:00:00"/>
    <m/>
    <d v="2017-12-15T00:00:00"/>
    <n v="3"/>
  </r>
  <r>
    <s v="A417 Greenfield MDU"/>
    <s v="Sth Coast"/>
    <s v="Inv 13276"/>
    <d v="2018-02-22T00:00:00"/>
    <d v="2018-01-12T00:00:00"/>
    <d v="2018-01-12T00:00:00"/>
    <d v="2018-01-12T00:00:00"/>
    <d v="2018-01-29T00:00:00"/>
    <d v="2018-01-31T00:00:00"/>
    <d v="2018-02-14T00:00:00"/>
    <m/>
    <x v="10"/>
    <x v="207"/>
    <s v="Wollongong"/>
    <n v="339.17"/>
    <n v="2680.5549999999998"/>
    <n v="3019.7249999999999"/>
    <n v="3321.6975000000002"/>
    <m/>
    <m/>
    <n v="0"/>
    <n v="3019.7249999999999"/>
    <n v="1"/>
    <m/>
    <d v="2018-01-26T00:00:00"/>
    <m/>
    <s v="Nabeel Jaimon"/>
    <s v="Direct Award"/>
    <d v="2017-12-12T00:00:00"/>
    <m/>
    <d v="2017-12-15T00:00:00"/>
    <n v="3"/>
  </r>
  <r>
    <s v="A417 Greenfield MDU"/>
    <s v="Sydney"/>
    <m/>
    <m/>
    <d v="2018-02-02T00:00:00"/>
    <d v="2018-02-02T00:00:00"/>
    <d v="2018-02-06T00:00:00"/>
    <d v="2018-02-27T00:00:00"/>
    <d v="2018-02-15T00:00:00"/>
    <d v="2018-03-01T00:00:00"/>
    <m/>
    <x v="2"/>
    <x v="208"/>
    <s v="Auburn"/>
    <n v="436.29"/>
    <n v="5127.37"/>
    <n v="5563.66"/>
    <n v="6120.0260000000007"/>
    <m/>
    <m/>
    <n v="0"/>
    <n v="5563.66"/>
    <n v="1"/>
    <m/>
    <d v="2018-02-16T00:00:00"/>
    <m/>
    <m/>
    <s v="Direct Award"/>
    <d v="2017-12-12T00:00:00"/>
    <m/>
    <d v="2017-12-15T00:00:00"/>
    <n v="3"/>
  </r>
  <r>
    <s v="A417 Greenfield MDU"/>
    <s v="Sydney"/>
    <s v="Inv 13234"/>
    <d v="2018-02-15T00:00:00"/>
    <d v="2018-01-10T00:00:00"/>
    <d v="2018-01-10T00:00:00"/>
    <d v="2018-01-10T00:00:00"/>
    <d v="2018-01-24T00:00:00"/>
    <d v="2018-01-22T00:00:00"/>
    <d v="2018-02-15T00:00:00"/>
    <m/>
    <x v="10"/>
    <x v="209"/>
    <s v="Liverpool"/>
    <n v="1441.28"/>
    <n v="3767.91"/>
    <n v="5209.1899999999996"/>
    <n v="5730.1090000000004"/>
    <m/>
    <m/>
    <n v="0"/>
    <n v="5209.1899999999996"/>
    <n v="1"/>
    <m/>
    <d v="2018-01-24T00:00:00"/>
    <m/>
    <m/>
    <s v="Direct Award"/>
    <d v="2017-12-12T00:00:00"/>
    <m/>
    <d v="2017-12-15T00:00:00"/>
    <n v="3"/>
  </r>
  <r>
    <s v="A401/Greenfield"/>
    <s v="Central Coast"/>
    <m/>
    <m/>
    <m/>
    <d v="2018-03-30T00:00:00"/>
    <m/>
    <m/>
    <m/>
    <m/>
    <m/>
    <x v="7"/>
    <x v="210"/>
    <s v="Green Point"/>
    <n v="5531.99"/>
    <m/>
    <n v="5531.99"/>
    <n v="6085.1890000000003"/>
    <m/>
    <m/>
    <n v="0"/>
    <n v="5531.99"/>
    <n v="1"/>
    <m/>
    <d v="2018-04-13T00:00:00"/>
    <m/>
    <m/>
    <d v="2017-11-03T00:00:00"/>
    <d v="2018-01-23T00:00:00"/>
    <n v="81"/>
    <d v="2018-01-16T00:00:00"/>
    <n v="-7"/>
  </r>
  <r>
    <s v="A417 Greenfield MDU"/>
    <s v="Sydney"/>
    <m/>
    <m/>
    <d v="2017-12-14T00:00:00"/>
    <d v="2018-01-15T00:00:00"/>
    <d v="2018-01-15T00:00:00"/>
    <d v="2018-01-29T00:00:00"/>
    <d v="2018-01-30T00:00:00"/>
    <d v="2018-02-13T00:00:00"/>
    <m/>
    <x v="10"/>
    <x v="211"/>
    <s v="Westmead"/>
    <n v="624.42999999999995"/>
    <n v="1621.32"/>
    <n v="2245.75"/>
    <n v="2470.3250000000003"/>
    <m/>
    <m/>
    <n v="0"/>
    <n v="2245.75"/>
    <n v="1"/>
    <m/>
    <d v="2018-01-29T00:00:00"/>
    <m/>
    <m/>
    <s v="Direct Award"/>
    <d v="2017-12-13T00:00:00"/>
    <m/>
    <d v="2017-12-15T00:00:00"/>
    <n v="2"/>
  </r>
  <r>
    <s v="A417 Greenfield MDU"/>
    <s v="Sydney"/>
    <s v="Inv 13282"/>
    <d v="2018-02-22T00:00:00"/>
    <d v="2018-01-29T00:00:00"/>
    <d v="2018-01-30T00:00:00"/>
    <m/>
    <m/>
    <d v="2018-02-12T00:00:00"/>
    <d v="2018-02-27T00:00:00"/>
    <m/>
    <x v="10"/>
    <x v="212"/>
    <s v="Ruse"/>
    <n v="1120"/>
    <m/>
    <n v="1120"/>
    <n v="1232"/>
    <m/>
    <m/>
    <n v="0"/>
    <n v="1120"/>
    <n v="1"/>
    <m/>
    <d v="2018-02-13T00:00:00"/>
    <m/>
    <s v="Nabeel Jaimon"/>
    <s v="Direct Award"/>
    <d v="2017-12-15T00:00:00"/>
    <m/>
    <d v="2018-01-09T00:00:00"/>
    <n v="25"/>
  </r>
  <r>
    <s v="A417 Greenfield MDU"/>
    <s v="Sydney"/>
    <m/>
    <m/>
    <d v="2018-02-01T00:00:00"/>
    <d v="2018-02-01T00:00:00"/>
    <d v="2018-02-08T00:00:00"/>
    <d v="2018-02-27T00:00:00"/>
    <d v="2018-02-14T00:00:00"/>
    <d v="2018-02-28T00:00:00"/>
    <m/>
    <x v="2"/>
    <x v="213"/>
    <s v="Kellyville"/>
    <n v="2663.97"/>
    <n v="9309.69"/>
    <n v="11973.66"/>
    <n v="13171.026000000002"/>
    <m/>
    <m/>
    <n v="0"/>
    <n v="11973.66"/>
    <n v="1"/>
    <m/>
    <d v="2018-02-15T00:00:00"/>
    <m/>
    <s v="Sogand Mohtat"/>
    <s v="Direct Award"/>
    <d v="2017-12-16T00:00:00"/>
    <m/>
    <d v="2017-12-15T00:00:00"/>
    <n v="-1"/>
  </r>
  <r>
    <s v="A401/Greenfield"/>
    <s v="Sydney"/>
    <m/>
    <m/>
    <d v="2017-12-18T00:00:00"/>
    <d v="2018-02-07T00:00:00"/>
    <m/>
    <m/>
    <d v="2018-02-21T00:00:00"/>
    <d v="2018-03-01T00:00:00"/>
    <m/>
    <x v="2"/>
    <x v="214"/>
    <s v="Miller"/>
    <n v="3069.5"/>
    <m/>
    <n v="3069.5"/>
    <n v="3376.4500000000003"/>
    <m/>
    <m/>
    <n v="0"/>
    <n v="3069.5"/>
    <n v="1"/>
    <m/>
    <d v="2018-02-21T00:00:00"/>
    <m/>
    <s v="Nabeel Jaimon"/>
    <d v="2017-11-16T00:00:00"/>
    <d v="2018-02-12T00:00:00"/>
    <n v="88"/>
    <d v="2018-03-02T00:00:00"/>
    <n v="18"/>
  </r>
  <r>
    <s v="A401/Greenfield"/>
    <s v="Sydney"/>
    <m/>
    <m/>
    <m/>
    <d v="2018-03-30T00:00:00"/>
    <m/>
    <m/>
    <m/>
    <m/>
    <m/>
    <x v="7"/>
    <x v="215"/>
    <s v="Wyongah"/>
    <n v="6634.97"/>
    <m/>
    <n v="6634.97"/>
    <n v="7298.4670000000006"/>
    <m/>
    <m/>
    <n v="0"/>
    <n v="6634.97"/>
    <n v="1"/>
    <m/>
    <d v="2018-04-13T00:00:00"/>
    <m/>
    <s v="Dave Yoemans"/>
    <d v="2017-11-04T00:00:00"/>
    <d v="2017-12-18T00:00:00"/>
    <n v="44"/>
    <d v="2017-12-30T00:00:00"/>
    <n v="12"/>
  </r>
  <r>
    <s v="A417 Greenfield MDU"/>
    <s v="Sydney"/>
    <s v="Inv 13153"/>
    <d v="2018-01-30T00:00:00"/>
    <d v="2017-12-19T00:00:00"/>
    <d v="2017-12-20T00:00:00"/>
    <d v="2017-12-21T00:00:00"/>
    <d v="2018-01-04T00:00:00"/>
    <d v="2017-01-09T00:00:00"/>
    <d v="2018-01-29T00:00:00"/>
    <m/>
    <x v="9"/>
    <x v="216"/>
    <s v="Lidcombe"/>
    <n v="2993.87"/>
    <n v="10583.11"/>
    <n v="13576.98"/>
    <n v="14934.678"/>
    <m/>
    <m/>
    <n v="0"/>
    <n v="13576.98"/>
    <n v="1"/>
    <m/>
    <d v="2018-01-03T00:00:00"/>
    <m/>
    <s v="Andrew Partalis"/>
    <s v="Direct Award"/>
    <d v="2017-11-09T00:00:00"/>
    <m/>
    <d v="2017-12-15T00:00:00"/>
    <n v="36"/>
  </r>
  <r>
    <s v="A417 Greenfield MDU"/>
    <s v="Sydney"/>
    <m/>
    <m/>
    <m/>
    <d v="2018-03-30T00:00:00"/>
    <m/>
    <m/>
    <m/>
    <m/>
    <m/>
    <x v="7"/>
    <x v="217"/>
    <s v="Arndell Park"/>
    <n v="1586.44"/>
    <m/>
    <n v="1586.44"/>
    <n v="1745.0840000000003"/>
    <m/>
    <m/>
    <n v="0"/>
    <n v="1586.44"/>
    <n v="1"/>
    <m/>
    <d v="2018-04-13T00:00:00"/>
    <m/>
    <m/>
    <s v="Direct Award"/>
    <d v="2017-12-20T00:00:00"/>
    <m/>
    <d v="2018-01-30T00:00:00"/>
    <n v="41"/>
  </r>
  <r>
    <s v="A417 Greenfield MDU"/>
    <s v="Sydney"/>
    <m/>
    <m/>
    <m/>
    <d v="2018-03-30T00:00:00"/>
    <m/>
    <m/>
    <m/>
    <m/>
    <m/>
    <x v="7"/>
    <x v="218"/>
    <s v="Gordon"/>
    <n v="2026.01"/>
    <m/>
    <n v="2026.01"/>
    <n v="2228.6110000000003"/>
    <m/>
    <m/>
    <n v="0"/>
    <n v="2026.01"/>
    <n v="1"/>
    <m/>
    <d v="2018-04-13T00:00:00"/>
    <m/>
    <s v="Lindy Chan"/>
    <s v="Direct Award"/>
    <d v="2017-12-21T00:00:00"/>
    <m/>
    <d v="2018-02-10T00:00:00"/>
    <n v="51"/>
  </r>
  <r>
    <s v="A417 Greenfield MDU"/>
    <s v="Sydney"/>
    <m/>
    <m/>
    <d v="2018-02-13T00:00:00"/>
    <d v="2018-02-13T00:00:00"/>
    <d v="2018-02-13T00:00:00"/>
    <m/>
    <d v="2018-02-23T00:00:00"/>
    <d v="2018-03-09T00:00:00"/>
    <m/>
    <x v="2"/>
    <x v="219"/>
    <s v="Penrith"/>
    <n v="391.14"/>
    <n v="2114.7199999999998"/>
    <n v="2505.8599999999997"/>
    <n v="2756.4459999999999"/>
    <m/>
    <m/>
    <n v="0"/>
    <n v="2505.8599999999997"/>
    <n v="1"/>
    <m/>
    <d v="2018-02-27T00:00:00"/>
    <m/>
    <m/>
    <s v="Direct Award"/>
    <d v="2017-12-21T00:00:00"/>
    <m/>
    <d v="2017-12-30T00:00:00"/>
    <n v="9"/>
  </r>
  <r>
    <s v="A417 Greenfield MDU"/>
    <s v="Sydney"/>
    <m/>
    <m/>
    <m/>
    <d v="2018-03-30T00:00:00"/>
    <m/>
    <m/>
    <m/>
    <m/>
    <m/>
    <x v="7"/>
    <x v="220"/>
    <s v="Liverpool"/>
    <n v="582.23"/>
    <m/>
    <n v="582.23"/>
    <n v="640.45300000000009"/>
    <m/>
    <m/>
    <n v="0"/>
    <n v="582.23"/>
    <n v="1"/>
    <m/>
    <d v="2018-04-13T00:00:00"/>
    <m/>
    <m/>
    <s v="Direct Award"/>
    <d v="2017-12-21T00:00:00"/>
    <m/>
    <d v="2018-01-30T00:00:00"/>
    <n v="40"/>
  </r>
  <r>
    <s v="A417 Greenfield MDU"/>
    <s v="Sydney"/>
    <m/>
    <m/>
    <m/>
    <d v="2018-03-30T00:00:00"/>
    <m/>
    <m/>
    <m/>
    <m/>
    <m/>
    <x v="7"/>
    <x v="221"/>
    <s v="Erskinville"/>
    <n v="1338.12"/>
    <m/>
    <n v="1338.12"/>
    <n v="1471.932"/>
    <m/>
    <m/>
    <n v="0"/>
    <n v="1338.12"/>
    <n v="1"/>
    <m/>
    <d v="2018-04-13T00:00:00"/>
    <m/>
    <m/>
    <s v="Direct Award"/>
    <d v="2017-12-21T00:00:00"/>
    <m/>
    <d v="2018-01-02T00:00:00"/>
    <n v="12"/>
  </r>
  <r>
    <s v="A417 Greenfield MDU"/>
    <s v="Sydney"/>
    <s v="Inv 13275"/>
    <d v="2018-02-22T00:00:00"/>
    <d v="2018-01-22T00:00:00"/>
    <d v="2018-01-22T00:00:00"/>
    <d v="2018-01-23T00:00:00"/>
    <d v="2018-02-07T00:00:00"/>
    <d v="2018-02-07T00:00:00"/>
    <d v="2018-02-27T00:00:00"/>
    <m/>
    <x v="10"/>
    <x v="222"/>
    <s v="Campbelltown"/>
    <n v="1863.69"/>
    <n v="1955.78"/>
    <n v="3819.4700000000003"/>
    <n v="4201.4170000000004"/>
    <m/>
    <m/>
    <n v="0"/>
    <n v="3819.4700000000003"/>
    <n v="1"/>
    <m/>
    <d v="2018-02-05T00:00:00"/>
    <m/>
    <m/>
    <s v="Direct Award"/>
    <d v="2017-01-04T00:00:00"/>
    <m/>
    <d v="2017-01-29T00:00:00"/>
    <n v="25"/>
  </r>
  <r>
    <s v="A401/Greenfield"/>
    <s v="Sydney"/>
    <m/>
    <m/>
    <m/>
    <d v="2018-03-02T00:00:00"/>
    <m/>
    <m/>
    <m/>
    <m/>
    <m/>
    <x v="7"/>
    <x v="223"/>
    <s v="Gregory Hills"/>
    <n v="2107.06"/>
    <m/>
    <n v="2107.06"/>
    <n v="2317.7660000000001"/>
    <m/>
    <m/>
    <n v="0"/>
    <n v="2107.06"/>
    <n v="1"/>
    <m/>
    <d v="2018-03-16T00:00:00"/>
    <m/>
    <s v="Andrew Mahassy"/>
    <d v="2017-11-23T00:00:00"/>
    <d v="2018-01-04T00:00:00"/>
    <n v="42"/>
    <d v="2018-01-10T00:00:00"/>
    <n v="6"/>
  </r>
  <r>
    <s v="A417 Greenfield MDU"/>
    <s v="Sydney"/>
    <s v="Inv 13280"/>
    <m/>
    <d v="2018-01-22T00:00:00"/>
    <d v="2018-01-22T00:00:00"/>
    <d v="2018-01-23T00:00:00"/>
    <d v="2018-02-06T00:00:00"/>
    <d v="2018-02-01T00:00:00"/>
    <d v="2018-02-22T00:00:00"/>
    <m/>
    <x v="10"/>
    <x v="224"/>
    <s v="Penrith"/>
    <n v="616.64"/>
    <n v="-131.31"/>
    <n v="485.33"/>
    <n v="533.86300000000006"/>
    <m/>
    <m/>
    <n v="0"/>
    <n v="485.33"/>
    <n v="1"/>
    <m/>
    <d v="2018-02-05T00:00:00"/>
    <m/>
    <s v="Ertan Cicek "/>
    <s v="Direct Award"/>
    <d v="2018-01-04T00:00:00"/>
    <m/>
    <d v="2018-01-30T00:00:00"/>
    <n v="26"/>
  </r>
  <r>
    <s v="A417 Greenfield MDU"/>
    <s v="Sydney"/>
    <m/>
    <m/>
    <m/>
    <d v="2018-03-02T00:00:00"/>
    <m/>
    <m/>
    <m/>
    <m/>
    <m/>
    <x v="7"/>
    <x v="225"/>
    <s v="Bankstown"/>
    <n v="2761.16"/>
    <m/>
    <n v="2761.16"/>
    <n v="3037.2760000000003"/>
    <m/>
    <m/>
    <n v="0"/>
    <n v="2761.16"/>
    <n v="1"/>
    <m/>
    <d v="2018-03-16T00:00:00"/>
    <m/>
    <s v="Ertan Cicek "/>
    <s v="Direct Award"/>
    <d v="2018-01-04T00:00:00"/>
    <m/>
    <d v="2018-02-13T00:00:00"/>
    <n v="40"/>
  </r>
  <r>
    <s v="A417 Greenfield MDU"/>
    <s v="Sydney"/>
    <m/>
    <m/>
    <m/>
    <d v="2018-03-03T00:00:00"/>
    <m/>
    <m/>
    <m/>
    <m/>
    <m/>
    <x v="7"/>
    <x v="226"/>
    <s v="Lidcombe"/>
    <n v="671.72"/>
    <m/>
    <n v="671.72"/>
    <n v="738.89200000000005"/>
    <m/>
    <m/>
    <n v="0"/>
    <n v="671.72"/>
    <n v="1"/>
    <m/>
    <d v="2018-03-17T00:00:00"/>
    <m/>
    <s v="Ertan Cicek "/>
    <s v="Direct Award"/>
    <d v="2018-01-04T00:00:00"/>
    <m/>
    <d v="2018-02-15T00:00:00"/>
    <n v="42"/>
  </r>
  <r>
    <s v="A417 Greenfield MDU"/>
    <s v="Sydney"/>
    <m/>
    <m/>
    <d v="2018-03-02T00:00:00"/>
    <d v="2018-03-04T00:00:00"/>
    <m/>
    <m/>
    <m/>
    <m/>
    <m/>
    <x v="7"/>
    <x v="227"/>
    <s v="Ashfield"/>
    <n v="1516.81"/>
    <m/>
    <n v="1516.81"/>
    <n v="1668.491"/>
    <m/>
    <m/>
    <n v="0"/>
    <n v="1516.81"/>
    <n v="1"/>
    <m/>
    <d v="2018-03-18T00:00:00"/>
    <m/>
    <s v="Ertan Cicek "/>
    <s v="Direct Award"/>
    <d v="2018-01-04T00:00:00"/>
    <m/>
    <d v="2018-02-19T00:00:00"/>
    <n v="46"/>
  </r>
  <r>
    <s v="A417 Greenfield MDU"/>
    <s v="Sydney"/>
    <m/>
    <m/>
    <m/>
    <d v="2018-03-05T00:00:00"/>
    <m/>
    <m/>
    <m/>
    <m/>
    <m/>
    <x v="7"/>
    <x v="228"/>
    <s v="Kellyville"/>
    <n v="3447.12"/>
    <m/>
    <n v="3447.12"/>
    <n v="3791.8320000000003"/>
    <m/>
    <m/>
    <n v="0"/>
    <n v="3447.12"/>
    <n v="1"/>
    <m/>
    <d v="2018-03-19T00:00:00"/>
    <m/>
    <s v="Ertan Cicek "/>
    <s v="Direct Award"/>
    <d v="2018-01-04T00:00:00"/>
    <m/>
    <d v="2018-02-15T00:00:00"/>
    <n v="42"/>
  </r>
  <r>
    <s v="A417 Greenfield MDU"/>
    <s v="Sydney"/>
    <m/>
    <m/>
    <m/>
    <d v="2018-03-06T00:00:00"/>
    <m/>
    <m/>
    <m/>
    <m/>
    <m/>
    <x v="7"/>
    <x v="229"/>
    <s v="Blacktown"/>
    <n v="1195.8499999999999"/>
    <m/>
    <n v="1195.8499999999999"/>
    <n v="1315.4349999999999"/>
    <m/>
    <m/>
    <n v="0"/>
    <n v="1195.8499999999999"/>
    <n v="1"/>
    <m/>
    <d v="2018-03-20T00:00:00"/>
    <m/>
    <s v="Ertan Cicek "/>
    <s v="Direct Award"/>
    <d v="2018-01-05T00:00:00"/>
    <m/>
    <d v="2018-01-30T00:00:00"/>
    <n v="25"/>
  </r>
  <r>
    <s v="A417 Greenfield MDU"/>
    <s v="Sydney"/>
    <m/>
    <m/>
    <m/>
    <d v="2018-03-07T00:00:00"/>
    <m/>
    <m/>
    <m/>
    <m/>
    <m/>
    <x v="7"/>
    <x v="230"/>
    <s v="Grasmere"/>
    <n v="4429.6000000000004"/>
    <m/>
    <n v="4429.6000000000004"/>
    <n v="4872.5600000000004"/>
    <m/>
    <m/>
    <n v="0"/>
    <n v="4429.6000000000004"/>
    <n v="1"/>
    <m/>
    <d v="2018-03-21T00:00:00"/>
    <m/>
    <s v="Ertan Cicek "/>
    <s v="Direct Award"/>
    <d v="2018-01-09T00:00:00"/>
    <m/>
    <d v="2018-02-27T00:00:00"/>
    <n v="49"/>
  </r>
  <r>
    <s v="A417 Greenfield MDU"/>
    <s v="Sydney"/>
    <m/>
    <m/>
    <m/>
    <d v="2018-03-08T00:00:00"/>
    <m/>
    <m/>
    <m/>
    <m/>
    <m/>
    <x v="7"/>
    <x v="231"/>
    <s v="Mortlake"/>
    <n v="5248.59"/>
    <m/>
    <n v="5248.59"/>
    <n v="5773.4490000000005"/>
    <m/>
    <m/>
    <n v="0"/>
    <n v="5248.59"/>
    <n v="1"/>
    <m/>
    <d v="2018-03-22T00:00:00"/>
    <m/>
    <s v="Ertan Cicek "/>
    <s v="Direct Award"/>
    <d v="2018-01-09T00:00:00"/>
    <m/>
    <d v="2018-02-15T00:00:00"/>
    <n v="37"/>
  </r>
  <r>
    <s v="A417 Greenfield MDU"/>
    <s v="Sydney"/>
    <m/>
    <m/>
    <m/>
    <d v="2018-03-09T00:00:00"/>
    <m/>
    <m/>
    <m/>
    <m/>
    <m/>
    <x v="7"/>
    <x v="232"/>
    <s v="Marsden Park"/>
    <n v="731.99"/>
    <m/>
    <n v="731.99"/>
    <n v="805.18900000000008"/>
    <m/>
    <m/>
    <n v="0"/>
    <n v="731.99"/>
    <n v="1"/>
    <m/>
    <d v="2018-03-23T00:00:00"/>
    <m/>
    <s v="Ertan Cicek "/>
    <s v="Direct Award"/>
    <d v="2018-01-09T00:00:00"/>
    <m/>
    <d v="2018-02-27T00:00:00"/>
    <n v="49"/>
  </r>
  <r>
    <s v="A401/Greenfield"/>
    <s v="Sydney"/>
    <m/>
    <m/>
    <d v="2018-01-10T00:00:00"/>
    <d v="2018-02-13T00:00:00"/>
    <d v="2018-02-13T00:00:00"/>
    <m/>
    <d v="2018-02-23T00:00:00"/>
    <d v="2018-03-09T00:00:00"/>
    <m/>
    <x v="2"/>
    <x v="233"/>
    <s v="Mascot"/>
    <n v="5871.23"/>
    <n v="3879.7714285714283"/>
    <n v="9751.0014285714278"/>
    <n v="10726.101571428571"/>
    <m/>
    <m/>
    <n v="0"/>
    <n v="9751.0014285714278"/>
    <n v="1"/>
    <m/>
    <d v="2018-02-27T00:00:00"/>
    <m/>
    <s v="Ertan Cicek "/>
    <d v="2017-11-16T00:00:00"/>
    <d v="2018-02-12T00:00:00"/>
    <n v="88"/>
    <d v="2018-03-02T00:00:00"/>
    <n v="18"/>
  </r>
  <r>
    <s v="A401/Greenfield"/>
    <s v="Newcastle"/>
    <m/>
    <m/>
    <d v="2018-01-12T00:00:00"/>
    <d v="2018-02-07T00:00:00"/>
    <d v="2018-02-07T00:00:00"/>
    <d v="2018-02-27T00:00:00"/>
    <d v="2018-02-21T00:00:00"/>
    <d v="2018-03-07T00:00:00"/>
    <m/>
    <x v="2"/>
    <x v="234"/>
    <s v="Wallsend"/>
    <n v="6924.34"/>
    <n v="3879.77"/>
    <n v="10804.11"/>
    <n v="11884.521000000002"/>
    <m/>
    <m/>
    <n v="0"/>
    <n v="10804.11"/>
    <n v="1"/>
    <m/>
    <d v="2018-02-21T00:00:00"/>
    <m/>
    <s v="Andrew Partalis"/>
    <d v="2017-11-14T00:00:00"/>
    <d v="2018-02-06T00:00:00"/>
    <n v="84"/>
    <d v="2018-03-02T00:00:00"/>
    <n v="24"/>
  </r>
  <r>
    <s v="A417 Greenfield MDU"/>
    <s v="Sth Coast"/>
    <s v="Inv 13247"/>
    <d v="2018-02-19T00:00:00"/>
    <d v="2018-01-12T00:00:00"/>
    <d v="2018-01-12T00:00:00"/>
    <d v="2018-01-30T00:00:00"/>
    <d v="2018-02-07T00:00:00"/>
    <d v="2018-01-31T00:00:00"/>
    <d v="2018-02-09T00:00:00"/>
    <s v="Jan-18"/>
    <x v="10"/>
    <x v="235"/>
    <s v="Wollongong"/>
    <n v="339.17"/>
    <n v="1627.9699999999998"/>
    <n v="1967.1399999999999"/>
    <n v="2163.8539999999998"/>
    <m/>
    <m/>
    <n v="0"/>
    <n v="1967.1399999999999"/>
    <n v="1"/>
    <m/>
    <d v="2018-01-26T00:00:00"/>
    <m/>
    <s v="Nabeel Jaimon"/>
    <s v="Direct Award"/>
    <d v="2017-12-12T00:00:00"/>
    <m/>
    <d v="2017-12-15T00:00:00"/>
    <n v="3"/>
  </r>
  <r>
    <s v="A417 Greenfield MDU"/>
    <s v="Sydney"/>
    <s v="Inv 13315"/>
    <d v="2018-03-01T00:00:00"/>
    <d v="2018-01-25T00:00:00"/>
    <d v="2018-01-25T00:00:00"/>
    <m/>
    <m/>
    <d v="2018-02-07T00:00:00"/>
    <d v="2018-03-01T00:00:00"/>
    <m/>
    <x v="10"/>
    <x v="236"/>
    <s v="Penrith"/>
    <n v="2880"/>
    <m/>
    <n v="2880"/>
    <n v="3168.0000000000005"/>
    <m/>
    <m/>
    <n v="0"/>
    <n v="2880"/>
    <n v="1"/>
    <m/>
    <d v="2018-02-08T00:00:00"/>
    <m/>
    <s v="Andrew Partalis"/>
    <s v="Direct Award"/>
    <d v="2017-09-22T00:00:00"/>
    <m/>
    <m/>
    <n v="-43000"/>
  </r>
  <r>
    <s v="A401/Greenfield"/>
    <s v="Sydney"/>
    <m/>
    <m/>
    <m/>
    <d v="2018-03-09T00:00:00"/>
    <m/>
    <m/>
    <m/>
    <m/>
    <m/>
    <x v="7"/>
    <x v="237"/>
    <s v="Riverstone"/>
    <n v="21847.48"/>
    <m/>
    <n v="21847.48"/>
    <n v="24032.228000000003"/>
    <m/>
    <m/>
    <n v="0"/>
    <n v="21847.48"/>
    <n v="1"/>
    <m/>
    <d v="2018-03-23T00:00:00"/>
    <m/>
    <s v="Andrew Mahassy"/>
    <d v="2018-01-15T00:00:00"/>
    <d v="2018-01-25T00:00:00"/>
    <n v="10"/>
    <d v="2018-01-25T00:00:00"/>
    <n v="0"/>
  </r>
  <r>
    <s v="A417 Greenfield MDU"/>
    <s v="Sydney"/>
    <m/>
    <m/>
    <m/>
    <d v="2018-03-10T00:00:00"/>
    <m/>
    <m/>
    <m/>
    <m/>
    <m/>
    <x v="7"/>
    <x v="238"/>
    <s v="Penrith"/>
    <n v="2209.46"/>
    <m/>
    <n v="2209.46"/>
    <n v="2430.4060000000004"/>
    <m/>
    <m/>
    <n v="0"/>
    <n v="2209.46"/>
    <n v="1"/>
    <m/>
    <d v="2018-03-24T00:00:00"/>
    <m/>
    <s v="Ertan Cicek "/>
    <s v="Direct Award"/>
    <d v="2017-12-19T00:00:00"/>
    <m/>
    <d v="2018-01-30T00:00:00"/>
    <n v="42"/>
  </r>
  <r>
    <s v="A417 Greenfield MDU"/>
    <s v="Sydney"/>
    <m/>
    <m/>
    <d v="2018-02-01T00:00:00"/>
    <d v="2018-02-01T00:00:00"/>
    <d v="2018-02-01T00:00:00"/>
    <d v="2018-02-07T00:00:00"/>
    <d v="2018-02-23T00:00:00"/>
    <d v="2018-03-09T00:00:00"/>
    <m/>
    <x v="2"/>
    <x v="239"/>
    <s v="Alexandria"/>
    <n v="1838.95"/>
    <n v="13797.3"/>
    <n v="15636.25"/>
    <n v="17199.875"/>
    <m/>
    <m/>
    <n v="0"/>
    <n v="15636.25"/>
    <n v="1"/>
    <m/>
    <d v="2018-02-15T00:00:00"/>
    <m/>
    <s v="Lindy Chan"/>
    <s v="Direct Award"/>
    <d v="2017-12-15T00:00:00"/>
    <m/>
    <d v="2017-12-15T00:00:00"/>
    <n v="0"/>
  </r>
  <r>
    <s v="A417 Greenfield MDU"/>
    <s v="Sydney"/>
    <m/>
    <m/>
    <m/>
    <d v="2018-03-03T00:00:00"/>
    <m/>
    <m/>
    <m/>
    <m/>
    <m/>
    <x v="7"/>
    <x v="240"/>
    <s v="Lidcombe"/>
    <n v="1400"/>
    <m/>
    <n v="1400"/>
    <n v="1540.0000000000002"/>
    <m/>
    <m/>
    <n v="0"/>
    <n v="1400"/>
    <n v="1"/>
    <m/>
    <d v="2018-03-17T00:00:00"/>
    <m/>
    <s v="Ertan Cicek "/>
    <s v="Direct Award"/>
    <d v="2018-02-01T00:00:00"/>
    <m/>
    <d v="2018-03-01T00:00:00"/>
    <n v="28"/>
  </r>
  <r>
    <s v="A401/Greenfield"/>
    <s v="Central Coast"/>
    <m/>
    <m/>
    <m/>
    <d v="2018-03-04T00:00:00"/>
    <m/>
    <m/>
    <m/>
    <m/>
    <m/>
    <x v="7"/>
    <x v="241"/>
    <s v="Morriset"/>
    <n v="8383.48"/>
    <m/>
    <n v="8383.48"/>
    <n v="9221.8279999999995"/>
    <m/>
    <m/>
    <n v="0"/>
    <n v="8383.48"/>
    <n v="1"/>
    <m/>
    <d v="2018-03-18T00:00:00"/>
    <m/>
    <s v="Ertan Cicek "/>
    <d v="2017-11-13T00:00:00"/>
    <d v="2018-02-06T00:00:00"/>
    <n v="85"/>
    <d v="2018-03-02T00:00:00"/>
    <n v="24"/>
  </r>
  <r>
    <s v="A401/Greenfield"/>
    <s v="Sydney"/>
    <m/>
    <m/>
    <d v="2018-02-13T00:00:00"/>
    <d v="2018-02-13T00:00:00"/>
    <m/>
    <m/>
    <d v="2018-02-23T00:00:00"/>
    <d v="2018-02-27T00:00:00"/>
    <m/>
    <x v="2"/>
    <x v="242"/>
    <s v="Miller"/>
    <n v="1404.18"/>
    <m/>
    <n v="1404.18"/>
    <n v="1544.5980000000002"/>
    <m/>
    <m/>
    <n v="0"/>
    <n v="1404.18"/>
    <n v="1"/>
    <m/>
    <d v="2018-02-27T00:00:00"/>
    <m/>
    <s v="Andrew Mahassy"/>
    <d v="2018-01-18T00:00:00"/>
    <d v="2018-02-06T00:00:00"/>
    <n v="19"/>
    <d v="2018-01-30T00:00:00"/>
    <n v="-7"/>
  </r>
  <r>
    <s v="A417 Greenfield MDU"/>
    <s v="ACT"/>
    <m/>
    <m/>
    <d v="2018-02-09T00:00:00"/>
    <d v="2018-02-09T00:00:00"/>
    <d v="2018-02-13T00:00:00"/>
    <m/>
    <d v="2018-02-23T00:00:00"/>
    <d v="2018-03-09T00:00:00"/>
    <m/>
    <x v="2"/>
    <x v="243"/>
    <s v="Lawson"/>
    <n v="1800.84"/>
    <n v="4436.93"/>
    <n v="6237.77"/>
    <n v="6861.5470000000014"/>
    <m/>
    <m/>
    <n v="0"/>
    <n v="6237.77"/>
    <n v="1"/>
    <m/>
    <d v="2018-02-23T00:00:00"/>
    <m/>
    <s v="Ertan Cicek "/>
    <s v="Direct Award"/>
    <d v="2018-12-13T00:00:00"/>
    <m/>
    <d v="2018-01-15T00:00:00"/>
    <n v="-332"/>
  </r>
  <r>
    <s v="A401/Greenfield"/>
    <s v="Sth NSW"/>
    <m/>
    <m/>
    <d v="2018-02-21T00:00:00"/>
    <d v="2018-02-21T00:00:00"/>
    <d v="2018-02-21T00:00:00"/>
    <d v="2018-02-27T00:00:00"/>
    <d v="2018-03-07T00:00:00"/>
    <d v="2018-03-21T00:00:00"/>
    <m/>
    <x v="2"/>
    <x v="244"/>
    <s v="Wagga Wagga"/>
    <n v="3800.34"/>
    <n v="6538.04"/>
    <n v="10338.380000000001"/>
    <n v="11372.218000000003"/>
    <m/>
    <m/>
    <n v="0"/>
    <n v="10338.380000000001"/>
    <n v="1"/>
    <m/>
    <d v="2018-03-07T00:00:00"/>
    <m/>
    <s v="Mark Leal"/>
    <d v="2017-11-15T00:00:00"/>
    <d v="2018-02-13T00:00:00"/>
    <n v="90"/>
    <d v="2018-01-09T00:00:00"/>
    <n v="-35"/>
  </r>
  <r>
    <s v="A401/Greenfield"/>
    <s v="Sydney"/>
    <m/>
    <m/>
    <m/>
    <d v="2018-03-30T00:00:00"/>
    <m/>
    <m/>
    <m/>
    <m/>
    <m/>
    <x v="7"/>
    <x v="245"/>
    <s v="Smeaton Grange"/>
    <n v="7704.13"/>
    <m/>
    <n v="7704.13"/>
    <n v="8474.5430000000015"/>
    <m/>
    <m/>
    <n v="0"/>
    <n v="7704.13"/>
    <n v="1"/>
    <m/>
    <d v="2018-04-13T00:00:00"/>
    <m/>
    <s v="Ertan Cicek "/>
    <d v="2018-02-12T00:00:00"/>
    <d v="2018-02-19T00:00:00"/>
    <n v="7"/>
    <d v="2018-03-19T00:00:00"/>
    <n v="28"/>
  </r>
  <r>
    <s v="A417 Greenfield MDU"/>
    <s v="Sydney"/>
    <m/>
    <m/>
    <m/>
    <d v="2018-04-30T00:00:00"/>
    <m/>
    <m/>
    <m/>
    <m/>
    <m/>
    <x v="12"/>
    <x v="246"/>
    <s v="Camden"/>
    <n v="1240.76"/>
    <m/>
    <n v="1240.76"/>
    <n v="1364.836"/>
    <m/>
    <m/>
    <n v="0"/>
    <n v="1240.76"/>
    <n v="1"/>
    <m/>
    <d v="2018-05-14T00:00:00"/>
    <m/>
    <s v="Ertan Cicek "/>
    <s v="Direct Award"/>
    <d v="2018-02-20T00:00:00"/>
    <m/>
    <d v="2018-03-22T00:00:00"/>
    <n v="30"/>
  </r>
  <r>
    <s v="A417 Greenfield MDU"/>
    <s v="Sydney"/>
    <m/>
    <m/>
    <m/>
    <d v="2018-04-30T00:00:00"/>
    <m/>
    <m/>
    <m/>
    <m/>
    <m/>
    <x v="12"/>
    <x v="247"/>
    <s v="Kellyville"/>
    <n v="8288.41"/>
    <m/>
    <n v="8288.41"/>
    <n v="9117.2510000000002"/>
    <m/>
    <m/>
    <n v="0"/>
    <n v="8288.41"/>
    <n v="1"/>
    <m/>
    <d v="2018-05-14T00:00:00"/>
    <m/>
    <s v="Sogand Mohtat"/>
    <s v="Direct Award"/>
    <d v="2018-02-20T00:00:00"/>
    <m/>
    <d v="2018-03-22T00:00:00"/>
    <n v="30"/>
  </r>
  <r>
    <s v="A417 Greenfield MDU"/>
    <s v="Sydney"/>
    <m/>
    <m/>
    <m/>
    <d v="2018-04-30T00:00:00"/>
    <m/>
    <m/>
    <m/>
    <m/>
    <m/>
    <x v="12"/>
    <x v="248"/>
    <s v="Liverpool"/>
    <n v="857.61"/>
    <m/>
    <n v="857.61"/>
    <n v="943.37100000000009"/>
    <m/>
    <m/>
    <n v="0"/>
    <n v="857.61"/>
    <n v="1"/>
    <m/>
    <d v="2018-05-14T00:00:00"/>
    <m/>
    <s v="Ertan Cicek "/>
    <s v="Direct Award"/>
    <d v="2018-02-20T00:00:00"/>
    <m/>
    <d v="2018-03-22T00:00:00"/>
    <n v="30"/>
  </r>
  <r>
    <s v="A417 Greenfield MDU"/>
    <s v="Sydney"/>
    <m/>
    <m/>
    <m/>
    <d v="2018-04-30T00:00:00"/>
    <m/>
    <m/>
    <m/>
    <m/>
    <m/>
    <x v="12"/>
    <x v="249"/>
    <s v="Blacktown"/>
    <n v="592.62"/>
    <m/>
    <n v="592.62"/>
    <n v="651.88200000000006"/>
    <m/>
    <m/>
    <n v="0"/>
    <n v="592.62"/>
    <n v="1"/>
    <m/>
    <d v="2018-05-14T00:00:00"/>
    <m/>
    <s v="Ertan Cicek "/>
    <s v="Direct Award"/>
    <d v="2018-02-20T00:00:00"/>
    <m/>
    <m/>
    <m/>
  </r>
  <r>
    <s v="A401/Minor works"/>
    <s v="Sydney"/>
    <m/>
    <m/>
    <m/>
    <d v="2018-03-30T00:00:00"/>
    <m/>
    <m/>
    <m/>
    <m/>
    <m/>
    <x v="7"/>
    <x v="250"/>
    <s v="Schofields"/>
    <n v="15585.13"/>
    <m/>
    <n v="15585.13"/>
    <n v="17143.643"/>
    <m/>
    <m/>
    <n v="0"/>
    <n v="15585.13"/>
    <n v="1"/>
    <m/>
    <d v="2018-04-13T00:00:00"/>
    <m/>
    <s v="Erwin Kurniawan"/>
    <d v="2018-02-20T00:00:00"/>
    <m/>
    <m/>
    <m/>
    <m/>
  </r>
  <r>
    <s v="A401/Minor works"/>
    <s v="Sydney"/>
    <m/>
    <m/>
    <m/>
    <d v="2018-03-30T00:00:00"/>
    <m/>
    <m/>
    <m/>
    <m/>
    <m/>
    <x v="7"/>
    <x v="251"/>
    <s v="Schofields"/>
    <n v="36173.660000000003"/>
    <m/>
    <n v="36173.660000000003"/>
    <n v="39791.026000000005"/>
    <m/>
    <m/>
    <n v="0"/>
    <n v="36173.660000000003"/>
    <n v="1"/>
    <m/>
    <d v="2018-04-13T00:00:00"/>
    <m/>
    <s v="Erwin Kurniawan"/>
    <d v="2018-02-22T00:00:00"/>
    <m/>
    <m/>
    <m/>
    <m/>
  </r>
  <r>
    <s v="A417 Greenfield MDU"/>
    <s v="Sydney"/>
    <m/>
    <m/>
    <m/>
    <d v="2018-04-30T00:00:00"/>
    <m/>
    <m/>
    <m/>
    <m/>
    <m/>
    <x v="12"/>
    <x v="252"/>
    <s v="Spring Farm"/>
    <n v="1516.91"/>
    <m/>
    <n v="1516.91"/>
    <n v="1668.6010000000001"/>
    <m/>
    <m/>
    <n v="0"/>
    <n v="1516.91"/>
    <n v="1"/>
    <m/>
    <d v="2018-05-14T00:00:00"/>
    <m/>
    <s v="Andrew Mahassy"/>
    <s v="Direct Award"/>
    <d v="2018-02-20T00:00:00"/>
    <m/>
    <d v="2018-03-28T00:00:00"/>
    <n v="36"/>
  </r>
  <r>
    <s v="A417 Greenfield MDU"/>
    <s v="Sydney"/>
    <m/>
    <m/>
    <m/>
    <d v="2018-04-30T00:00:00"/>
    <m/>
    <m/>
    <m/>
    <m/>
    <m/>
    <x v="12"/>
    <x v="253"/>
    <s v="Strathfield"/>
    <n v="5741.5"/>
    <m/>
    <n v="5741.5"/>
    <n v="6315.6500000000005"/>
    <m/>
    <m/>
    <n v="0"/>
    <n v="5741.5"/>
    <n v="1"/>
    <m/>
    <d v="2018-05-14T00:00:00"/>
    <m/>
    <s v="Ertan Cicek "/>
    <s v="Direct Award"/>
    <d v="2018-02-20T00:00:00"/>
    <m/>
    <d v="2018-03-22T00:00:00"/>
    <n v="30"/>
  </r>
  <r>
    <s v="A417 Greenfield MDU"/>
    <s v="Sydney"/>
    <m/>
    <m/>
    <m/>
    <d v="2018-04-30T00:00:00"/>
    <m/>
    <m/>
    <m/>
    <m/>
    <m/>
    <x v="12"/>
    <x v="254"/>
    <s v="Westmead"/>
    <n v="1825.19"/>
    <m/>
    <n v="1825.19"/>
    <n v="2007.7090000000003"/>
    <m/>
    <m/>
    <n v="0"/>
    <n v="1825.19"/>
    <n v="1"/>
    <m/>
    <d v="2018-05-14T00:00:00"/>
    <m/>
    <s v="Ertan Cicek "/>
    <s v="Direct Award"/>
    <d v="2018-02-22T00:00:00"/>
    <m/>
    <d v="2018-03-22T00:00:00"/>
    <n v="28"/>
  </r>
  <r>
    <s v="A417 Greenfield MDU"/>
    <s v="Sydney"/>
    <m/>
    <m/>
    <m/>
    <d v="2018-05-30T00:00:00"/>
    <m/>
    <m/>
    <m/>
    <m/>
    <m/>
    <x v="13"/>
    <x v="255"/>
    <s v="Miller"/>
    <n v="3241.78"/>
    <m/>
    <n v="3241.78"/>
    <n v="3565.9580000000005"/>
    <m/>
    <m/>
    <n v="0"/>
    <n v="3241.78"/>
    <n v="1"/>
    <m/>
    <d v="2018-06-13T00:00:00"/>
    <m/>
    <s v="Andrew Mahassy"/>
    <s v="Direct Award"/>
    <d v="2018-02-22T00:00:00"/>
    <m/>
    <d v="2018-04-30T00:00:00"/>
    <n v="67"/>
  </r>
  <r>
    <s v="NBN Assurance"/>
    <s v="NSW"/>
    <s v="Inv 13285"/>
    <d v="2018-02-23T00:00:00"/>
    <d v="2018-02-20T00:00:00"/>
    <d v="2018-02-23T00:00:00"/>
    <m/>
    <m/>
    <m/>
    <m/>
    <m/>
    <x v="2"/>
    <x v="256"/>
    <s v="Narrandera"/>
    <n v="1197.6428571428571"/>
    <m/>
    <n v="1197.6428571428571"/>
    <n v="1317.4071428571428"/>
    <m/>
    <m/>
    <n v="0"/>
    <n v="1197.6428571428571"/>
    <n v="1"/>
    <m/>
    <d v="2018-03-09T00:00:00"/>
    <m/>
    <s v="Tony Gabriel"/>
    <m/>
    <m/>
    <m/>
    <m/>
    <m/>
  </r>
  <r>
    <s v="NBN Assurance"/>
    <s v="NSW"/>
    <s v="Inv 13284"/>
    <d v="2018-02-23T00:00:00"/>
    <d v="2018-02-21T00:00:00"/>
    <d v="2018-02-23T00:00:00"/>
    <m/>
    <m/>
    <m/>
    <m/>
    <m/>
    <x v="2"/>
    <x v="257"/>
    <s v="Narrandera"/>
    <n v="512.57000000000005"/>
    <m/>
    <n v="512.57000000000005"/>
    <n v="563.82700000000011"/>
    <m/>
    <m/>
    <n v="0"/>
    <n v="512.57000000000005"/>
    <n v="1"/>
    <m/>
    <d v="2018-03-09T00:00:00"/>
    <m/>
    <s v="Tony Gabriel"/>
    <m/>
    <m/>
    <m/>
    <m/>
    <m/>
  </r>
  <r>
    <s v="NBN Assurance"/>
    <s v="NSW"/>
    <s v="Inv 13264"/>
    <d v="2018-02-22T00:00:00"/>
    <d v="2018-02-22T00:00:00"/>
    <d v="2018-02-22T00:00:00"/>
    <m/>
    <m/>
    <m/>
    <m/>
    <m/>
    <x v="2"/>
    <x v="258"/>
    <s v="Batemans Bay"/>
    <n v="128.14285714285717"/>
    <m/>
    <n v="128.14285714285717"/>
    <n v="140.95714285714288"/>
    <m/>
    <m/>
    <n v="0"/>
    <n v="128.14285714285717"/>
    <n v="1"/>
    <m/>
    <d v="2018-03-08T00:00:00"/>
    <m/>
    <s v="Tony Gabriel"/>
    <m/>
    <m/>
    <m/>
    <m/>
    <m/>
  </r>
  <r>
    <s v="NBN Assurance"/>
    <s v="NSW"/>
    <s v="Inv 13286"/>
    <d v="2018-02-23T00:00:00"/>
    <d v="2018-02-15T00:00:00"/>
    <d v="2018-02-23T00:00:00"/>
    <m/>
    <m/>
    <m/>
    <m/>
    <m/>
    <x v="2"/>
    <x v="259"/>
    <s v="Ashmont"/>
    <n v="256.29000000000002"/>
    <m/>
    <n v="256.29000000000002"/>
    <n v="281.91900000000004"/>
    <m/>
    <m/>
    <n v="0"/>
    <n v="256.29000000000002"/>
    <n v="1"/>
    <m/>
    <d v="2018-03-09T00:00:00"/>
    <m/>
    <s v="Tony Gabriel"/>
    <m/>
    <m/>
    <m/>
    <m/>
    <m/>
  </r>
  <r>
    <s v="NBN Assurance"/>
    <s v="NSW"/>
    <s v="Inv 13292"/>
    <d v="2018-02-26T00:00:00"/>
    <d v="2018-02-26T00:00:00"/>
    <d v="2018-02-26T00:00:00"/>
    <m/>
    <m/>
    <m/>
    <m/>
    <m/>
    <x v="2"/>
    <x v="260"/>
    <s v="Mount Victoria"/>
    <n v="768.86"/>
    <m/>
    <n v="768.86"/>
    <n v="845.74600000000009"/>
    <m/>
    <m/>
    <n v="0"/>
    <n v="768.86"/>
    <n v="1"/>
    <m/>
    <d v="2018-03-12T00:00:00"/>
    <m/>
    <s v="Tony Gabriel"/>
    <m/>
    <m/>
    <m/>
    <m/>
    <m/>
  </r>
  <r>
    <s v="NBN Assurance"/>
    <s v="ACT"/>
    <s v="Inv 13287"/>
    <d v="2018-02-23T00:00:00"/>
    <d v="2018-02-22T00:00:00"/>
    <d v="2018-02-23T00:00:00"/>
    <m/>
    <m/>
    <m/>
    <m/>
    <m/>
    <x v="2"/>
    <x v="261"/>
    <s v="Harrison"/>
    <n v="1153.29"/>
    <m/>
    <n v="1153.29"/>
    <n v="1268.6190000000001"/>
    <m/>
    <m/>
    <n v="0"/>
    <n v="1153.29"/>
    <n v="1"/>
    <m/>
    <d v="2018-03-09T00:00:00"/>
    <m/>
    <s v="Tony Gabriel"/>
    <m/>
    <m/>
    <m/>
    <m/>
    <m/>
  </r>
  <r>
    <s v="NBN Assurance"/>
    <s v="NSW"/>
    <s v="Inv 13288"/>
    <d v="2018-02-23T00:00:00"/>
    <d v="2018-02-23T00:00:00"/>
    <d v="2018-02-23T00:00:00"/>
    <m/>
    <m/>
    <m/>
    <m/>
    <m/>
    <x v="2"/>
    <x v="262"/>
    <s v="Katoomba"/>
    <n v="640.71"/>
    <m/>
    <n v="640.71"/>
    <n v="704.78100000000006"/>
    <m/>
    <m/>
    <n v="0"/>
    <n v="640.71"/>
    <n v="1"/>
    <m/>
    <d v="2018-03-09T00:00:00"/>
    <m/>
    <s v="Tony Gabriel"/>
    <m/>
    <m/>
    <m/>
    <m/>
    <m/>
  </r>
  <r>
    <s v="NBN Assurance"/>
    <s v="NSW"/>
    <s v="Inv 13289"/>
    <d v="2018-02-23T00:00:00"/>
    <d v="2018-02-14T00:00:00"/>
    <d v="2018-02-23T00:00:00"/>
    <m/>
    <m/>
    <m/>
    <m/>
    <m/>
    <x v="2"/>
    <x v="263"/>
    <s v="Mount Victoria"/>
    <n v="320.36"/>
    <m/>
    <n v="320.36"/>
    <n v="352.39600000000007"/>
    <m/>
    <m/>
    <n v="0"/>
    <n v="320.36"/>
    <n v="1"/>
    <m/>
    <d v="2018-03-09T00:00:00"/>
    <m/>
    <s v="Tony Gabriel"/>
    <m/>
    <m/>
    <m/>
    <m/>
    <m/>
  </r>
  <r>
    <s v="NBN Assurance"/>
    <s v="NSW"/>
    <s v="Inv 13290"/>
    <d v="2018-02-23T00:00:00"/>
    <d v="2018-02-14T00:00:00"/>
    <d v="2018-02-23T00:00:00"/>
    <m/>
    <m/>
    <m/>
    <m/>
    <m/>
    <x v="2"/>
    <x v="264"/>
    <s v="Leura"/>
    <n v="320.36"/>
    <m/>
    <n v="320.36"/>
    <n v="352.39600000000007"/>
    <m/>
    <m/>
    <n v="0"/>
    <n v="320.36"/>
    <n v="1"/>
    <m/>
    <d v="2018-03-09T00:00:00"/>
    <m/>
    <s v="Tony Gabriel"/>
    <m/>
    <m/>
    <m/>
    <m/>
    <m/>
  </r>
  <r>
    <s v="NBN Assurance"/>
    <s v="NSW"/>
    <s v="Inv 13312"/>
    <d v="2018-03-02T00:00:00"/>
    <d v="2018-02-12T00:00:00"/>
    <d v="2018-03-02T00:00:00"/>
    <m/>
    <m/>
    <m/>
    <m/>
    <m/>
    <x v="7"/>
    <x v="265"/>
    <s v="Leura"/>
    <n v="640.71"/>
    <m/>
    <n v="640.71"/>
    <n v="704.78100000000006"/>
    <m/>
    <m/>
    <n v="0"/>
    <n v="640.71"/>
    <n v="1"/>
    <m/>
    <d v="2018-03-16T00:00:00"/>
    <m/>
    <s v="Tony Gabriel"/>
    <m/>
    <m/>
    <m/>
    <m/>
    <m/>
  </r>
  <r>
    <s v="A401/Minor works"/>
    <s v="Sth Coast"/>
    <m/>
    <m/>
    <m/>
    <d v="2018-03-30T00:00:00"/>
    <m/>
    <m/>
    <m/>
    <m/>
    <m/>
    <x v="7"/>
    <x v="266"/>
    <s v="Kiama"/>
    <n v="1919"/>
    <m/>
    <n v="1919"/>
    <n v="2110.9"/>
    <m/>
    <m/>
    <n v="0"/>
    <n v="1919"/>
    <n v="1"/>
    <m/>
    <d v="2018-04-13T00:00:00"/>
    <m/>
    <s v="Andrew Mahassy"/>
    <d v="2017-12-10T00:00:00"/>
    <d v="2018-02-23T00:00:00"/>
    <n v="75"/>
    <d v="2018-02-16T00:00:00"/>
    <n v="-7"/>
  </r>
  <r>
    <s v="A417 Greenfield MDU"/>
    <s v="Newcastle"/>
    <m/>
    <m/>
    <m/>
    <d v="2018-04-30T00:00:00"/>
    <m/>
    <m/>
    <m/>
    <m/>
    <m/>
    <x v="12"/>
    <x v="267"/>
    <s v="Beresfield"/>
    <n v="2010.27"/>
    <m/>
    <n v="2010.27"/>
    <n v="2211.297"/>
    <m/>
    <m/>
    <n v="0"/>
    <n v="2010.27"/>
    <n v="1"/>
    <m/>
    <d v="2018-05-14T00:00:00"/>
    <m/>
    <s v="Mark Leal"/>
    <s v="Direct Award"/>
    <d v="2018-02-23T00:00:00"/>
    <m/>
    <d v="2018-03-28T00:00:00"/>
    <n v="33"/>
  </r>
  <r>
    <s v="A417 Greenfield MDU"/>
    <s v="Sydney"/>
    <m/>
    <m/>
    <m/>
    <d v="2018-04-30T00:00:00"/>
    <m/>
    <m/>
    <m/>
    <m/>
    <m/>
    <x v="12"/>
    <x v="268"/>
    <s v="Pendle Hill"/>
    <n v="515.58000000000004"/>
    <m/>
    <n v="515.58000000000004"/>
    <n v="567.13800000000015"/>
    <m/>
    <m/>
    <n v="0"/>
    <n v="515.58000000000004"/>
    <n v="1"/>
    <m/>
    <d v="2018-05-14T00:00:00"/>
    <m/>
    <s v="Ertan Cicek"/>
    <s v="Direct Award"/>
    <d v="2018-02-23T00:00:00"/>
    <m/>
    <d v="2018-03-22T00:00:00"/>
    <n v="27"/>
  </r>
  <r>
    <s v="A401/Minor works"/>
    <s v="Sth Coast"/>
    <m/>
    <m/>
    <m/>
    <d v="2018-04-30T00:00:00"/>
    <m/>
    <m/>
    <m/>
    <m/>
    <m/>
    <x v="12"/>
    <x v="269"/>
    <s v="Woonona"/>
    <n v="9706.1"/>
    <m/>
    <n v="9706.1"/>
    <n v="10676.710000000001"/>
    <m/>
    <m/>
    <n v="0"/>
    <n v="9706.1"/>
    <n v="1"/>
    <m/>
    <d v="2018-05-14T00:00:00"/>
    <m/>
    <s v="Andrew Mahassy"/>
    <d v="2018-02-20T00:00:00"/>
    <m/>
    <m/>
    <d v="2018-03-30T00:00:00"/>
    <m/>
  </r>
  <r>
    <s v="NBN Assurance"/>
    <s v="NSW"/>
    <s v="Inv 13291"/>
    <d v="2018-02-26T00:00:00"/>
    <d v="2018-02-26T00:00:00"/>
    <d v="2018-02-28T00:00:00"/>
    <m/>
    <m/>
    <m/>
    <m/>
    <m/>
    <x v="2"/>
    <x v="270"/>
    <s v="Bowral"/>
    <n v="3625.46"/>
    <m/>
    <n v="3625.46"/>
    <n v="3988.0060000000003"/>
    <m/>
    <m/>
    <n v="0"/>
    <n v="3625.46"/>
    <n v="1"/>
    <m/>
    <d v="2018-03-14T00:00:00"/>
    <m/>
    <s v="Tony Gabriel"/>
    <s v="Direct Award"/>
    <d v="2018-02-26T00:00:00"/>
    <m/>
    <d v="2018-03-20T00:00:00"/>
    <n v="22"/>
  </r>
  <r>
    <s v="A417 Greenfield MDU"/>
    <s v="South Coast"/>
    <m/>
    <m/>
    <m/>
    <d v="2018-04-30T00:00:00"/>
    <m/>
    <m/>
    <m/>
    <m/>
    <m/>
    <x v="12"/>
    <x v="271"/>
    <s v="Balgownie"/>
    <n v="1924.61"/>
    <m/>
    <n v="1924.61"/>
    <n v="2117.0709999999999"/>
    <m/>
    <m/>
    <n v="0"/>
    <n v="1924.61"/>
    <n v="1"/>
    <m/>
    <d v="2018-05-14T00:00:00"/>
    <m/>
    <s v="Ertan Cicek"/>
    <s v="Direct Award"/>
    <d v="2018-02-26T00:00:00"/>
    <m/>
    <d v="2018-03-20T00:00:00"/>
    <n v="22"/>
  </r>
  <r>
    <s v="A417 Greenfield MDU"/>
    <s v="Sydney"/>
    <m/>
    <m/>
    <m/>
    <d v="2018-04-30T00:00:00"/>
    <m/>
    <m/>
    <m/>
    <m/>
    <m/>
    <x v="12"/>
    <x v="272"/>
    <s v="Waterloo"/>
    <n v="1568.02"/>
    <m/>
    <n v="1568.02"/>
    <n v="1724.8220000000001"/>
    <m/>
    <m/>
    <n v="0"/>
    <n v="1568.02"/>
    <n v="1"/>
    <m/>
    <d v="2018-05-14T00:00:00"/>
    <m/>
    <s v="Ertan Cicek"/>
    <s v="Direct Award"/>
    <d v="2018-02-27T00:00:00"/>
    <m/>
    <d v="2018-02-28T00:00:00"/>
    <n v="1"/>
  </r>
  <r>
    <s v="A417 Greenfield MDU"/>
    <s v="Sydney"/>
    <m/>
    <m/>
    <m/>
    <d v="2018-04-30T00:00:00"/>
    <m/>
    <m/>
    <m/>
    <m/>
    <m/>
    <x v="12"/>
    <x v="273"/>
    <s v="Smeaton Grange"/>
    <n v="1400"/>
    <m/>
    <n v="1400"/>
    <n v="1540.0000000000002"/>
    <m/>
    <m/>
    <n v="0"/>
    <n v="1400"/>
    <n v="1"/>
    <m/>
    <d v="2018-05-14T00:00:00"/>
    <m/>
    <s v="Ertan Cicek"/>
    <s v="Direct Award"/>
    <d v="2018-02-28T00:00:00"/>
    <m/>
    <d v="2018-03-02T00:00:00"/>
    <n v="2"/>
  </r>
  <r>
    <s v="NBN Assurance"/>
    <s v="NSW"/>
    <s v="Inv 13293"/>
    <d v="2018-02-27T00:00:00"/>
    <d v="2018-03-01T00:00:00"/>
    <d v="2018-03-01T00:00:00"/>
    <m/>
    <m/>
    <m/>
    <m/>
    <m/>
    <x v="7"/>
    <x v="274"/>
    <s v="Katoomba"/>
    <n v="2498.79"/>
    <m/>
    <n v="2498.79"/>
    <n v="2748.6690000000003"/>
    <m/>
    <m/>
    <n v="0"/>
    <n v="2498.79"/>
    <n v="1"/>
    <m/>
    <d v="2018-03-15T00:00:00"/>
    <m/>
    <s v="Tony Gabriel"/>
    <m/>
    <m/>
    <m/>
    <m/>
    <m/>
  </r>
  <r>
    <s v="A401/Minor works"/>
    <s v="Sth Coast"/>
    <m/>
    <m/>
    <m/>
    <d v="2018-04-30T00:00:00"/>
    <m/>
    <m/>
    <m/>
    <m/>
    <m/>
    <x v="12"/>
    <x v="275"/>
    <s v="Woonona"/>
    <n v="9706.1"/>
    <m/>
    <n v="9706.1"/>
    <n v="10676.710000000001"/>
    <m/>
    <m/>
    <n v="0"/>
    <n v="9706.1"/>
    <n v="1"/>
    <m/>
    <d v="2018-05-14T00:00:00"/>
    <m/>
    <s v="Andrew Mahassy"/>
    <d v="2018-02-26T00:00:00"/>
    <d v="2018-03-01T00:00:00"/>
    <n v="3"/>
    <d v="2018-03-30T00:00:00"/>
    <n v="29"/>
  </r>
  <r>
    <s v="A417 Greenfield MDU"/>
    <s v="Sydney"/>
    <m/>
    <m/>
    <m/>
    <d v="2018-04-30T00:00:00"/>
    <m/>
    <m/>
    <m/>
    <m/>
    <m/>
    <x v="12"/>
    <x v="276"/>
    <s v="Lidcombe"/>
    <n v="279.01"/>
    <m/>
    <n v="279.01"/>
    <n v="306.911"/>
    <m/>
    <m/>
    <n v="0"/>
    <n v="279.01"/>
    <n v="1"/>
    <m/>
    <d v="2018-05-14T00:00:00"/>
    <m/>
    <s v="Ertan Cicek"/>
    <s v="Direct Award"/>
    <d v="2018-02-28T00:00:00"/>
    <m/>
    <d v="2018-04-06T00:00:00"/>
    <n v="37"/>
  </r>
  <r>
    <s v="A417 Greenfield MDU"/>
    <s v="Sydney"/>
    <m/>
    <m/>
    <m/>
    <d v="2018-04-30T00:00:00"/>
    <m/>
    <m/>
    <m/>
    <m/>
    <m/>
    <x v="12"/>
    <x v="277"/>
    <s v="Smithfield"/>
    <n v="674.33"/>
    <m/>
    <n v="674.33"/>
    <n v="741.76300000000015"/>
    <m/>
    <m/>
    <n v="0"/>
    <n v="674.33"/>
    <n v="1"/>
    <m/>
    <d v="2018-05-14T00:00:00"/>
    <m/>
    <s v="Ertan Cicek"/>
    <s v="Direct Award"/>
    <d v="2018-02-28T00:00:00"/>
    <m/>
    <d v="2018-04-05T00:00:00"/>
    <n v="36"/>
  </r>
  <r>
    <s v="NBN Assurance"/>
    <s v="NSW"/>
    <m/>
    <d v="2018-03-02T00:00:00"/>
    <d v="2018-02-20T00:00:00"/>
    <d v="2018-03-02T00:00:00"/>
    <m/>
    <m/>
    <m/>
    <m/>
    <m/>
    <x v="7"/>
    <x v="278"/>
    <s v="Sanctuary Point"/>
    <n v="3281.35"/>
    <m/>
    <n v="3281.35"/>
    <n v="3609.4850000000001"/>
    <m/>
    <m/>
    <n v="0"/>
    <n v="3281.35"/>
    <n v="1"/>
    <m/>
    <d v="2018-03-16T00:00:00"/>
    <m/>
    <s v="Tony Gabriel"/>
    <m/>
    <m/>
    <m/>
    <m/>
    <m/>
  </r>
  <r>
    <s v="NBN Assurance"/>
    <s v="NSW"/>
    <m/>
    <m/>
    <m/>
    <d v="2018-03-02T00:00:00"/>
    <m/>
    <m/>
    <m/>
    <m/>
    <m/>
    <x v="7"/>
    <x v="279"/>
    <s v="Leura"/>
    <n v="320.36"/>
    <m/>
    <n v="320.36"/>
    <n v="352.39600000000007"/>
    <m/>
    <m/>
    <m/>
    <m/>
    <m/>
    <m/>
    <m/>
    <m/>
    <m/>
    <m/>
    <m/>
    <m/>
    <m/>
    <m/>
  </r>
  <r>
    <s v="NBN Assurance"/>
    <s v="NSW"/>
    <m/>
    <m/>
    <d v="2018-02-21T00:00:00"/>
    <d v="2018-03-02T00:00:00"/>
    <m/>
    <m/>
    <m/>
    <m/>
    <m/>
    <x v="7"/>
    <x v="280"/>
    <s v="Katoomba"/>
    <n v="256.27999999999997"/>
    <m/>
    <n v="256.27999999999997"/>
    <n v="281.90800000000002"/>
    <m/>
    <m/>
    <m/>
    <m/>
    <m/>
    <m/>
    <m/>
    <m/>
    <m/>
    <m/>
    <m/>
    <m/>
    <m/>
    <m/>
  </r>
  <r>
    <s v="NBN Assurance"/>
    <s v="NSW"/>
    <m/>
    <m/>
    <m/>
    <m/>
    <m/>
    <m/>
    <m/>
    <m/>
    <m/>
    <x v="14"/>
    <x v="281"/>
    <s v="Katoomba"/>
    <n v="512.55999999999995"/>
    <m/>
    <n v="512.55999999999995"/>
    <n v="563.81600000000003"/>
    <m/>
    <m/>
    <m/>
    <m/>
    <m/>
    <m/>
    <m/>
    <m/>
    <m/>
    <m/>
    <m/>
    <m/>
    <m/>
    <m/>
  </r>
  <r>
    <s v="NBN Assurance"/>
    <s v="NSW"/>
    <m/>
    <m/>
    <m/>
    <m/>
    <m/>
    <m/>
    <m/>
    <m/>
    <m/>
    <x v="14"/>
    <x v="282"/>
    <s v="Blackheath"/>
    <n v="128.13999999999999"/>
    <m/>
    <n v="128.13999999999999"/>
    <n v="140.95400000000001"/>
    <m/>
    <m/>
    <m/>
    <m/>
    <m/>
    <m/>
    <m/>
    <m/>
    <m/>
    <m/>
    <m/>
    <m/>
    <m/>
    <m/>
  </r>
  <r>
    <s v="A417 Greenfield MDU"/>
    <s v="Sydney"/>
    <m/>
    <m/>
    <m/>
    <d v="2018-04-30T00:00:00"/>
    <m/>
    <m/>
    <m/>
    <m/>
    <m/>
    <x v="12"/>
    <x v="283"/>
    <s v="Wentworthville"/>
    <n v="1021.38"/>
    <m/>
    <n v="1021.38"/>
    <n v="1123.518"/>
    <m/>
    <m/>
    <n v="0"/>
    <n v="1021.38"/>
    <n v="1"/>
    <m/>
    <d v="2018-05-14T00:00:00"/>
    <m/>
    <s v="Ertan Cicek"/>
    <s v="Direct Award"/>
    <d v="2018-03-02T00:00:00"/>
    <m/>
    <d v="2018-04-06T00:00:00"/>
    <n v="36"/>
  </r>
  <r>
    <s v="A417 Greenfield MDU"/>
    <s v="Sydney"/>
    <m/>
    <m/>
    <m/>
    <d v="2018-05-30T00:00:00"/>
    <m/>
    <m/>
    <m/>
    <m/>
    <m/>
    <x v="13"/>
    <x v="284"/>
    <s v="Kellyville"/>
    <n v="2397.62"/>
    <m/>
    <n v="2397.62"/>
    <n v="2637.3820000000001"/>
    <m/>
    <m/>
    <n v="0"/>
    <n v="2397.62"/>
    <n v="1"/>
    <m/>
    <d v="2018-06-13T00:00:00"/>
    <m/>
    <s v="Sogand Mohtat"/>
    <s v="Direct Award"/>
    <d v="2018-03-05T00:00:00"/>
    <m/>
    <m/>
    <m/>
  </r>
  <r>
    <s v="A401/Minor works"/>
    <s v="Sydney"/>
    <m/>
    <m/>
    <m/>
    <d v="2018-05-30T00:00:00"/>
    <m/>
    <m/>
    <m/>
    <m/>
    <m/>
    <x v="15"/>
    <x v="285"/>
    <s v="Huntingwood"/>
    <n v="21901.64"/>
    <m/>
    <n v="21901.64"/>
    <n v="24091.804"/>
    <m/>
    <m/>
    <n v="0"/>
    <n v="21901.64"/>
    <n v="1"/>
    <m/>
    <d v="2018-06-13T00:00:00"/>
    <m/>
    <s v="Greg Moeller"/>
    <d v="2017-11-27T00:00:00"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n v="1218776.3661428571"/>
    <n v="797823.29693279625"/>
    <n v="2016887.663075655"/>
    <n v="2218576.4293832188"/>
    <n v="0"/>
    <n v="3292.54"/>
    <n v="3292.54"/>
    <n v="2012377.7830756549"/>
    <n v="0.99871374045178274"/>
    <m/>
    <m/>
    <m/>
    <m/>
    <m/>
    <m/>
    <m/>
    <m/>
    <m/>
  </r>
  <r>
    <m/>
    <m/>
    <m/>
    <m/>
    <m/>
    <m/>
    <m/>
    <m/>
    <m/>
    <m/>
    <m/>
    <x v="16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6"/>
    <x v="286"/>
    <m/>
    <m/>
    <m/>
    <m/>
    <m/>
    <m/>
    <m/>
    <m/>
    <m/>
    <m/>
    <m/>
    <m/>
    <m/>
    <m/>
    <m/>
    <m/>
    <m/>
    <m/>
    <m/>
  </r>
  <r>
    <m/>
    <m/>
    <m/>
    <m/>
    <m/>
    <s v=" "/>
    <m/>
    <m/>
    <m/>
    <m/>
    <m/>
    <x v="16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n v="0"/>
    <x v="15"/>
    <x v="286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15"/>
    <x v="286"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4">
  <r>
    <x v="0"/>
    <s v="Nth Coast"/>
    <s v="Inv 12261"/>
    <d v="2017-05-31T00:00:00"/>
    <d v="2017-05-18T00:00:00"/>
    <d v="2017-05-18T00:00:00"/>
    <m/>
    <m/>
    <d v="2017-06-30T00:00:00"/>
    <d v="2017-08-24T00:00:00"/>
    <m/>
    <x v="0"/>
    <s v="MW20264 - 2NLB-02 - AYCA-32ARIB - Dowling St "/>
    <s v="Nelson Bay"/>
    <n v="6033.93"/>
    <m/>
    <n v="6033.93"/>
    <n v="6637.3230000000012"/>
    <m/>
    <m/>
    <n v="0"/>
    <n v="6033.93"/>
    <n v="1"/>
    <s v="Invoiced"/>
    <d v="2017-06-01T00:00:00"/>
    <s v="Completed and handover forwarded"/>
    <s v="Mark Leal"/>
  </r>
  <r>
    <x v="0"/>
    <s v="Sydney"/>
    <s v="Inv 12150 &amp; 12150b"/>
    <d v="2017-06-01T00:00:00"/>
    <d v="2017-06-13T00:00:00"/>
    <d v="2017-06-14T00:00:00"/>
    <d v="2017-06-26T00:00:00"/>
    <d v="2017-07-25T00:00:00"/>
    <d v="2017-07-14T00:00:00"/>
    <d v="2017-08-15T00:00:00"/>
    <s v="payment schedule received 14/8"/>
    <x v="1"/>
    <s v="MW20367 - 2NRN-03 - AYCA-3H6ZBG - 61 Smeaton Grange Rd,"/>
    <s v="Smeaton Grange"/>
    <n v="2081.7600000000002"/>
    <n v="6995.47"/>
    <n v="9077.23"/>
    <n v="9984.9529999999995"/>
    <m/>
    <n v="3292.54"/>
    <n v="3292.54"/>
    <n v="5784.69"/>
    <n v="0.63727480740269882"/>
    <s v="Invoiced"/>
    <d v="2017-06-28T00:00:00"/>
    <s v="Completed and handover forwarded"/>
    <s v="John Luker"/>
  </r>
  <r>
    <x v="1"/>
    <s v="Sydney"/>
    <s v="Inv 11969b"/>
    <d v="2017-02-28T00:00:00"/>
    <d v="2017-02-14T00:00:00"/>
    <d v="2017-05-02T00:00:00"/>
    <d v="2017-05-02T00:00:00"/>
    <d v="2017-05-09T00:00:00"/>
    <d v="2017-05-16T00:00:00"/>
    <d v="2017-05-25T00:00:00"/>
    <m/>
    <x v="0"/>
    <s v="2BLK-07  Huntingwood - Additional Variations"/>
    <s v="Huntingwood"/>
    <m/>
    <n v="766.97"/>
    <n v="766.97"/>
    <n v="843.66700000000014"/>
    <m/>
    <m/>
    <n v="0"/>
    <n v="766.97"/>
    <n v="1"/>
    <s v="Invoiced"/>
    <d v="2017-05-16T00:00:00"/>
    <s v="Completed and handover forwarded"/>
    <s v="Shaher Aslam / Jay Shrestha"/>
  </r>
  <r>
    <x v="1"/>
    <s v="Sth Coast"/>
    <m/>
    <m/>
    <d v="2018-02-07T00:00:00"/>
    <d v="2018-02-07T00:00:00"/>
    <d v="2017-02-07T00:00:00"/>
    <d v="2018-02-20T00:00:00"/>
    <d v="2018-02-21T00:00:00"/>
    <d v="2018-03-07T00:00:00"/>
    <m/>
    <x v="2"/>
    <s v="MW20154 - 2WLG-01 &amp; 02 "/>
    <s v="Wollongong"/>
    <n v="5867.23"/>
    <n v="28433.11"/>
    <n v="34300.339999999997"/>
    <n v="37730.373999999996"/>
    <m/>
    <m/>
    <n v="0"/>
    <n v="34300.339999999997"/>
    <n v="1"/>
    <s v="Invoiced"/>
    <d v="2018-02-21T00:00:00"/>
    <s v="Completed and handover forwarded"/>
    <s v="Milan Khanal"/>
  </r>
  <r>
    <x v="1"/>
    <s v="Sydney"/>
    <s v="Inv 12876"/>
    <d v="2017-11-29T00:00:00"/>
    <d v="2017-09-19T00:00:00"/>
    <d v="2017-09-19T00:00:00"/>
    <m/>
    <m/>
    <d v="2017-11-20T00:00:00"/>
    <d v="2017-12-05T00:00:00"/>
    <s v="Waiting on access to one site, Macquarie Street"/>
    <x v="3"/>
    <s v="MW20311 - 2LIV-04 - Liverpool various sites"/>
    <s v="Liverpool"/>
    <n v="1505.23"/>
    <m/>
    <n v="1505.23"/>
    <n v="1655.7530000000002"/>
    <m/>
    <m/>
    <n v="0"/>
    <n v="1505.23"/>
    <n v="1"/>
    <s v="Invoiced"/>
    <d v="2017-10-03T00:00:00"/>
    <s v="Completed and handover forwarded"/>
    <s v="Milan Khanal"/>
  </r>
  <r>
    <x v="1"/>
    <s v="Sth Coast"/>
    <s v="Inv 12812"/>
    <d v="2017-11-16T00:00:00"/>
    <d v="2017-08-10T00:00:00"/>
    <d v="2017-08-10T00:00:00"/>
    <m/>
    <m/>
    <d v="2017-08-31T00:00:00"/>
    <d v="2017-11-21T00:00:00"/>
    <m/>
    <x v="4"/>
    <s v="MW20425 - 2WLG - MPS-062-144-191-190-197-241 &amp; 2WLG-08 "/>
    <s v="Wollongong"/>
    <n v="8027.19"/>
    <m/>
    <n v="8027.19"/>
    <n v="8829.9089999999997"/>
    <m/>
    <m/>
    <n v="0"/>
    <n v="8027.19"/>
    <n v="1"/>
    <s v="Invoiced"/>
    <d v="2017-08-24T00:00:00"/>
    <s v="Completed and handover forwarded"/>
    <s v="Milan Khanal"/>
  </r>
  <r>
    <x v="0"/>
    <s v="Sydney"/>
    <s v="Inv 12352"/>
    <d v="2017-06-26T00:00:00"/>
    <d v="2017-06-27T00:00:00"/>
    <d v="2017-06-27T00:00:00"/>
    <d v="2017-06-27T00:00:00"/>
    <d v="2017-09-22T00:00:00"/>
    <d v="2017-08-08T00:00:00"/>
    <s v="3/101/17"/>
    <s v="Waiting on Variation Approval submitted 2/7"/>
    <x v="1"/>
    <s v="MW20385 - AYCA-38OMCL - 6 Hepher Rd, Campbelltown"/>
    <s v="Campbelltown"/>
    <n v="10952.8"/>
    <n v="2567.12"/>
    <n v="13519.919999999998"/>
    <n v="14871.911999999998"/>
    <m/>
    <m/>
    <n v="0"/>
    <n v="13519.919999999998"/>
    <n v="1"/>
    <s v="Invoiced"/>
    <d v="2017-07-11T00:00:00"/>
    <s v="Completed and handover forwarded"/>
    <s v="Michael Tram"/>
  </r>
  <r>
    <x v="0"/>
    <s v="Central Coast"/>
    <s v="Inv 12641"/>
    <d v="2017-10-10T00:00:00"/>
    <d v="2017-07-17T00:00:00"/>
    <d v="2017-07-17T00:00:00"/>
    <d v="2017-08-14T00:00:00"/>
    <d v="2017-09-07T00:00:00"/>
    <d v="2017-08-08T00:00:00"/>
    <d v="2017-10-10T00:00:00"/>
    <m/>
    <x v="5"/>
    <s v="MW20441 - AYCA-3KSRGR - Norberta St, The Entrance - 1"/>
    <s v="Long Jetty"/>
    <n v="8188.78"/>
    <n v="496.57"/>
    <n v="8685.35"/>
    <n v="9553.885000000002"/>
    <m/>
    <m/>
    <n v="0"/>
    <n v="8685.35"/>
    <n v="1"/>
    <s v="Invoiced"/>
    <d v="2017-07-31T00:00:00"/>
    <s v="Completed and handover forwarded"/>
    <s v="Andrew Partalis"/>
  </r>
  <r>
    <x v="0"/>
    <s v="Sydney"/>
    <s v="Inv 12262"/>
    <d v="2017-05-31T00:00:00"/>
    <d v="2017-05-30T00:00:00"/>
    <d v="2017-05-30T00:00:00"/>
    <d v="2017-06-01T00:00:00"/>
    <d v="2017-06-21T00:00:00"/>
    <d v="2017-08-08T00:00:00"/>
    <d v="2017-08-15T00:00:00"/>
    <m/>
    <x v="0"/>
    <s v="MW20386 - 2CBT-03 - AYCA-39MU9X - Macarthur Mazda"/>
    <s v="Campbelltown"/>
    <n v="7705.93"/>
    <n v="12720.52"/>
    <n v="20426.45"/>
    <n v="22469.095000000001"/>
    <m/>
    <m/>
    <n v="0"/>
    <n v="20426.45"/>
    <n v="1"/>
    <s v="Invoiced"/>
    <d v="2017-06-13T00:00:00"/>
    <s v="Completed and handover forwarded"/>
    <s v="Michael Tram"/>
  </r>
  <r>
    <x v="0"/>
    <s v="Sydney"/>
    <s v="Inv 12265"/>
    <d v="2017-05-31T00:00:00"/>
    <d v="2017-05-05T00:00:00"/>
    <d v="2017-05-05T00:00:00"/>
    <m/>
    <m/>
    <d v="2017-06-06T00:00:00"/>
    <d v="2017-07-28T00:00:00"/>
    <m/>
    <x v="0"/>
    <s v="MW20475 - 2ROU-03 - AYCA-3HUY3N- 4 Wickham Blvd"/>
    <s v="Rouse Hill"/>
    <n v="10233.06"/>
    <m/>
    <n v="10233.06"/>
    <n v="11256.366"/>
    <m/>
    <m/>
    <n v="0"/>
    <n v="10233.06"/>
    <n v="1"/>
    <s v="Invoiced"/>
    <d v="2017-05-19T00:00:00"/>
    <s v="Completed and handover forwarded"/>
    <s v="Andrew Mahassy"/>
  </r>
  <r>
    <x v="0"/>
    <s v="Sydney"/>
    <s v="Inv 12353"/>
    <d v="2017-06-30T00:00:00"/>
    <d v="2017-06-05T00:00:00"/>
    <d v="2017-06-05T00:00:00"/>
    <d v="2017-06-25T00:00:00"/>
    <d v="2017-07-12T00:00:00"/>
    <d v="2017-06-16T00:00:00"/>
    <d v="2017-08-28T00:00:00"/>
    <s v="Waiting on Variation Approval"/>
    <x v="1"/>
    <s v="MW20442 - 2TGL-02 - AYCA-30RVNV - Rockpool – 1"/>
    <s v="Terrigal"/>
    <n v="1026.44"/>
    <n v="8543.546111367652"/>
    <n v="9569.9861113676525"/>
    <n v="10526.984722504418"/>
    <m/>
    <m/>
    <n v="0"/>
    <n v="9569.9861113676525"/>
    <n v="1"/>
    <s v="Invoiced"/>
    <d v="2017-06-19T00:00:00"/>
    <s v="Completed and handover forwarded"/>
    <s v="Andrew Partalis"/>
  </r>
  <r>
    <x v="0"/>
    <s v="Central West"/>
    <s v="Inv 12691"/>
    <d v="2017-10-11T00:00:00"/>
    <d v="2017-07-31T00:00:00"/>
    <d v="2017-07-31T00:00:00"/>
    <d v="2017-09-05T00:00:00"/>
    <d v="2017-09-11T00:00:00"/>
    <d v="2017-09-08T00:00:00"/>
    <d v="2017-10-17T00:00:00"/>
    <m/>
    <x v="5"/>
    <s v="MW20318 - AYCA-35AM2J - NENSW0608 - Yarrandale Road"/>
    <s v="Dubbo"/>
    <n v="16626.7"/>
    <n v="8393.0685714285719"/>
    <n v="25019.768571428573"/>
    <n v="27521.745428571434"/>
    <m/>
    <m/>
    <n v="0"/>
    <n v="25019.768571428573"/>
    <n v="1"/>
    <s v="Invoiced"/>
    <d v="2017-08-14T00:00:00"/>
    <s v="Completed and handover forwarded"/>
    <s v="Dave Yoemans"/>
  </r>
  <r>
    <x v="0"/>
    <s v="Sydney"/>
    <s v="Inv 12264"/>
    <d v="2017-05-31T00:00:00"/>
    <d v="2017-05-15T00:00:00"/>
    <d v="2017-05-15T00:00:00"/>
    <d v="2017-05-30T00:00:00"/>
    <d v="2017-06-26T00:00:00"/>
    <d v="2017-05-25T00:00:00"/>
    <d v="2017-07-28T00:00:00"/>
    <m/>
    <x v="0"/>
    <s v="MW20489 - AYCA-3ZU1PE - 89 Old Hume Highway, Camden"/>
    <s v="Camden"/>
    <n v="2091.71"/>
    <n v="1025.1428571428571"/>
    <n v="3116.8528571428569"/>
    <n v="3428.5381428571427"/>
    <m/>
    <m/>
    <n v="0"/>
    <n v="3116.8528571428569"/>
    <n v="1"/>
    <s v="Invoiced"/>
    <d v="2017-05-29T00:00:00"/>
    <s v="Completed and handover forwarded"/>
    <s v="Nabel Jaimon"/>
  </r>
  <r>
    <x v="0"/>
    <s v="Sydney"/>
    <s v="Inv 12637"/>
    <d v="2017-09-27T00:00:00"/>
    <d v="2017-08-11T00:00:00"/>
    <d v="2017-08-14T00:00:00"/>
    <m/>
    <m/>
    <d v="2017-08-28T00:00:00"/>
    <d v="2017-10-03T00:00:00"/>
    <m/>
    <x v="4"/>
    <s v="MW20491 - AYCA-3W8T05 - 2PAR-60 - Amos St "/>
    <s v="Parramatta"/>
    <n v="3449.71"/>
    <m/>
    <n v="3449.71"/>
    <n v="3794.6810000000005"/>
    <m/>
    <m/>
    <n v="0"/>
    <n v="3449.71"/>
    <n v="1"/>
    <s v="Invoiced"/>
    <d v="2017-08-28T00:00:00"/>
    <s v="Completed and handover forwarded"/>
    <s v="Nabel Jaimon"/>
  </r>
  <r>
    <x v="0"/>
    <s v="Sydney"/>
    <s v="Inv 12364"/>
    <d v="2017-07-03T00:00:00"/>
    <d v="2017-06-08T00:00:00"/>
    <d v="2017-06-08T00:00:00"/>
    <d v="2017-06-15T00:00:00"/>
    <d v="2017-07-11T00:00:00"/>
    <d v="2017-07-11T00:00:00"/>
    <d v="2017-08-15T00:00:00"/>
    <m/>
    <x v="1"/>
    <s v="MW20493 - 2KNS-02 - AYCA-1BR2R4 - Link Apartments Zetland - 1"/>
    <s v="Zetland"/>
    <n v="5062.76"/>
    <n v="3398.56"/>
    <n v="8461.32"/>
    <n v="9307.4520000000011"/>
    <m/>
    <m/>
    <n v="0"/>
    <n v="8461.32"/>
    <n v="1"/>
    <s v="Invoiced"/>
    <d v="2017-06-22T00:00:00"/>
    <s v="Completed and handover forwarded"/>
    <s v="Lindy Chan"/>
  </r>
  <r>
    <x v="0"/>
    <s v="Sydney"/>
    <s v="Inv 12354"/>
    <d v="2017-06-30T00:00:00"/>
    <d v="2017-06-14T00:00:00"/>
    <d v="2017-06-14T00:00:00"/>
    <d v="2017-06-22T00:00:00"/>
    <d v="2017-07-14T00:00:00"/>
    <d v="2017-09-07T00:00:00"/>
    <d v="2017-10-05T00:00:00"/>
    <s v="Waiting on Variation Approval"/>
    <x v="1"/>
    <s v="MW20477 - 2HOM-01 - AYCA-40BZFT - 51-55 Homebush Rd Strathfield"/>
    <s v="Strathfield"/>
    <n v="3433.24"/>
    <n v="6774.67"/>
    <n v="10207.91"/>
    <n v="11228.701000000001"/>
    <m/>
    <m/>
    <n v="0"/>
    <n v="10207.91"/>
    <n v="1"/>
    <s v="Invoiced"/>
    <d v="2017-06-28T00:00:00"/>
    <s v="Completed and handover forwarded"/>
    <s v="Lindy Chan"/>
  </r>
  <r>
    <x v="2"/>
    <s v="Sydney"/>
    <s v="Inv 12638"/>
    <d v="2017-09-27T00:00:00"/>
    <d v="2017-08-14T00:00:00"/>
    <d v="2017-08-14T00:00:00"/>
    <d v="2017-08-15T00:00:00"/>
    <d v="2017-09-04T00:00:00"/>
    <d v="2017-09-11T00:00:00"/>
    <d v="2017-09-27T00:00:00"/>
    <m/>
    <x v="4"/>
    <s v="MW20615 - AYCA-3ZMQUE - Grove Family Trust - 1"/>
    <s v="Lidcombe"/>
    <n v="1761.82"/>
    <n v="1647.1"/>
    <n v="3408.92"/>
    <n v="3749.8120000000004"/>
    <m/>
    <m/>
    <n v="0"/>
    <n v="3408.92"/>
    <n v="1"/>
    <s v="Invoiced"/>
    <d v="2017-08-28T00:00:00"/>
    <s v="Completed and handover forwarded"/>
    <s v="Andrew Partalis"/>
  </r>
  <r>
    <x v="2"/>
    <s v="Sydney"/>
    <s v="Inv 12633"/>
    <d v="2017-09-27T00:00:00"/>
    <d v="2017-07-31T00:00:00"/>
    <d v="2017-07-31T00:00:00"/>
    <d v="2017-08-09T00:00:00"/>
    <d v="2017-09-04T00:00:00"/>
    <d v="2017-09-07T00:00:00"/>
    <d v="2017-09-28T00:00:00"/>
    <s v="Variation submitted 9/8/17"/>
    <x v="5"/>
    <s v="MW20620 - 2EPP-05 - AYCA-3071BP - Macquarie Park Village - 2 "/>
    <s v="Nth Ryde"/>
    <n v="44.62"/>
    <n v="1490.48"/>
    <n v="1535.1"/>
    <n v="1688.6100000000001"/>
    <m/>
    <m/>
    <n v="0"/>
    <n v="1535.1"/>
    <n v="1"/>
    <s v="Invoiced"/>
    <d v="2017-08-14T00:00:00"/>
    <s v="Completed and handover forwarded"/>
    <s v="Lindy Chan"/>
  </r>
  <r>
    <x v="2"/>
    <s v="Sydney"/>
    <s v="Inv 12627"/>
    <d v="2017-09-22T00:00:00"/>
    <d v="2017-08-22T00:00:00"/>
    <d v="2017-08-22T00:00:00"/>
    <d v="2017-08-28T00:00:00"/>
    <d v="2017-09-06T00:00:00"/>
    <d v="2017-09-06T00:00:00"/>
    <d v="2017-09-27T00:00:00"/>
    <m/>
    <x v="4"/>
    <s v="MW20628 - AYCA-32PR0X - 2ROU-03 - 21 Hezlett Rd Kellyville 1"/>
    <s v="Kellyville"/>
    <n v="1520.83"/>
    <n v="6404.7449999999999"/>
    <n v="7925.5749999999998"/>
    <n v="8718.1324999999997"/>
    <m/>
    <m/>
    <n v="0"/>
    <n v="7925.5749999999998"/>
    <n v="1"/>
    <s v="Invoiced"/>
    <d v="2017-09-05T00:00:00"/>
    <s v="Completed and handover forwarded"/>
    <s v="Andrew Partalis"/>
  </r>
  <r>
    <x v="2"/>
    <s v="Sydney"/>
    <s v="Inv 12635"/>
    <d v="2017-09-27T00:00:00"/>
    <d v="2017-07-12T00:00:00"/>
    <d v="2017-07-12T00:00:00"/>
    <d v="2017-08-09T00:00:00"/>
    <d v="2017-09-04T00:00:00"/>
    <d v="2017-09-07T00:00:00"/>
    <d v="2017-09-27T00:00:00"/>
    <s v="Variation submitted 9/8/17"/>
    <x v="5"/>
    <s v="MW20644 - AYCA-35B3X9 -  Renocorp Australia Pty Ltd - 1"/>
    <s v="Parramatta"/>
    <n v="628.32000000000005"/>
    <n v="4350.78"/>
    <n v="4979.0999999999995"/>
    <n v="5477.01"/>
    <m/>
    <m/>
    <n v="0"/>
    <n v="4979.0999999999995"/>
    <n v="1"/>
    <s v="Invoiced"/>
    <d v="2017-07-26T00:00:00"/>
    <s v="Completed and handover forwarded"/>
    <s v="Lindy Chan"/>
  </r>
  <r>
    <x v="2"/>
    <s v="Sydney"/>
    <s v="Inv 12874"/>
    <d v="2017-11-29T00:00:00"/>
    <d v="2017-09-25T00:00:00"/>
    <d v="2017-09-25T00:00:00"/>
    <d v="2017-09-27T00:00:00"/>
    <d v="2017-10-04T00:00:00"/>
    <d v="2017-10-03T00:00:00"/>
    <d v="2017-11-30T00:00:00"/>
    <m/>
    <x v="3"/>
    <s v="MW20798 - AYCA-2LT5GF - Castlereagh Street - 1"/>
    <s v="Liverpool"/>
    <n v="2015.36"/>
    <n v="13856.22"/>
    <n v="15871.58"/>
    <n v="17458.738000000001"/>
    <m/>
    <m/>
    <n v="0"/>
    <n v="15871.58"/>
    <n v="1"/>
    <s v="Invoiced"/>
    <d v="2017-10-09T00:00:00"/>
    <s v="Completed and handover forwarded"/>
    <s v="Michael Tram"/>
  </r>
  <r>
    <x v="2"/>
    <s v="Sydney"/>
    <s v="Inv 12614"/>
    <d v="2017-09-25T00:00:00"/>
    <d v="2017-07-18T00:00:00"/>
    <d v="2017-07-18T00:00:00"/>
    <d v="2017-08-09T00:00:00"/>
    <d v="2017-08-23T00:00:00"/>
    <d v="2017-09-07T00:00:00"/>
    <d v="2017-09-21T00:00:00"/>
    <s v="Variation submitted 9/8/17"/>
    <x v="5"/>
    <s v="MW20758 -  AYCA-3ETV2Y - 2BAN-64 - 21-25 Leonard Street - 1"/>
    <s v="Bankstown"/>
    <n v="2121.89"/>
    <n v="6429.99"/>
    <n v="8551.8799999999992"/>
    <n v="9407.0679999999993"/>
    <m/>
    <m/>
    <n v="0"/>
    <n v="8551.8799999999992"/>
    <n v="1"/>
    <s v="Invoiced"/>
    <d v="2017-08-01T00:00:00"/>
    <s v="Completed and handover forwarded"/>
    <s v="Andrew Partalis"/>
  </r>
  <r>
    <x v="0"/>
    <s v="Central Coast"/>
    <s v="Inv 12260"/>
    <d v="2017-05-31T00:00:00"/>
    <d v="2017-05-15T00:00:00"/>
    <d v="2017-05-15T00:00:00"/>
    <d v="2017-06-01T00:00:00"/>
    <d v="2017-06-15T00:00:00"/>
    <d v="2017-05-29T00:00:00"/>
    <d v="2017-07-28T00:00:00"/>
    <m/>
    <x v="0"/>
    <s v="MW20552 - 2WYO-02 - AYCA-394Y1I - 13 Colonial St "/>
    <s v="Wadalba"/>
    <n v="3798.42"/>
    <n v="3110.87"/>
    <n v="6909.29"/>
    <n v="7600.219000000001"/>
    <m/>
    <m/>
    <n v="0"/>
    <n v="6909.29"/>
    <n v="1"/>
    <s v="Invoiced"/>
    <d v="2017-05-29T00:00:00"/>
    <s v="Completed and handover forwarded"/>
    <s v="Dave Yoemans"/>
  </r>
  <r>
    <x v="3"/>
    <s v="Sydney"/>
    <s v="Inv 12759"/>
    <d v="2017-10-30T00:00:00"/>
    <d v="2017-10-30T00:00:00"/>
    <d v="2017-10-30T00:00:00"/>
    <m/>
    <m/>
    <m/>
    <m/>
    <m/>
    <x v="6"/>
    <s v="ICQ-315 IPT2073 WSU Parramatta Square Western Lead-in"/>
    <s v="Parramatta"/>
    <n v="38717.01"/>
    <n v="29612.840000000004"/>
    <n v="68329.850000000006"/>
    <n v="75162.835000000006"/>
    <m/>
    <m/>
    <n v="0"/>
    <n v="68329.850000000006"/>
    <n v="1"/>
    <s v="Invoiced"/>
    <d v="2017-11-13T00:00:00"/>
    <s v="Completed and handover forwarded"/>
    <s v="Matt Putland"/>
  </r>
  <r>
    <x v="1"/>
    <s v="Sydney"/>
    <m/>
    <m/>
    <m/>
    <d v="2018-03-30T00:00:00"/>
    <m/>
    <m/>
    <m/>
    <m/>
    <m/>
    <x v="7"/>
    <s v="MW20495 - 2CBT-09 - MPS-01 - FTTN-FTTB Construction "/>
    <s v="Campbelltown"/>
    <n v="12264.47"/>
    <m/>
    <n v="12264.47"/>
    <n v="13490.916999999999"/>
    <m/>
    <m/>
    <n v="0"/>
    <n v="12264.47"/>
    <n v="1"/>
    <m/>
    <m/>
    <m/>
    <s v="Anna Juranic"/>
  </r>
  <r>
    <x v="0"/>
    <s v="Sydney"/>
    <m/>
    <m/>
    <m/>
    <d v="2018-03-30T00:00:00"/>
    <m/>
    <m/>
    <m/>
    <m/>
    <m/>
    <x v="7"/>
    <s v="MW20507 - AYCA-2Y5DX4 - Bridgeland Investment"/>
    <s v="Epping"/>
    <n v="6265.77"/>
    <m/>
    <n v="6265.77"/>
    <n v="6892.3470000000007"/>
    <m/>
    <m/>
    <n v="0"/>
    <n v="6265.77"/>
    <n v="1"/>
    <m/>
    <m/>
    <m/>
    <s v="Andrew Partalis"/>
  </r>
  <r>
    <x v="3"/>
    <s v="Sydney"/>
    <s v="Inv 12362"/>
    <d v="2017-06-30T00:00:00"/>
    <d v="2017-08-07T00:00:00"/>
    <d v="2017-08-30T00:00:00"/>
    <m/>
    <m/>
    <m/>
    <m/>
    <m/>
    <x v="4"/>
    <s v="ICQ-459 NSW Health Auburn Hospital"/>
    <s v="Auburn"/>
    <n v="23006.15"/>
    <m/>
    <n v="23006.15"/>
    <n v="25306.765000000003"/>
    <m/>
    <m/>
    <n v="0"/>
    <n v="23006.15"/>
    <n v="1"/>
    <s v="Invoiced"/>
    <d v="2017-09-13T00:00:00"/>
    <s v="Completed and handover forwarded"/>
    <s v="Matt Putland"/>
  </r>
  <r>
    <x v="2"/>
    <s v="Sydney"/>
    <s v="Inv 12267"/>
    <d v="2017-05-31T00:00:00"/>
    <d v="2017-05-25T00:00:00"/>
    <d v="2017-06-09T00:00:00"/>
    <m/>
    <m/>
    <d v="2017-06-23T00:00:00"/>
    <d v="2017-09-14T00:00:00"/>
    <s v="Waiting on Payment Claim approval"/>
    <x v="1"/>
    <s v="MW20555 - AYCA-2Q8I3Y -  2ROU-03 - 16-20 Withers Road – 3 "/>
    <s v="Rouse Hill"/>
    <n v="3030.14"/>
    <m/>
    <n v="3030.14"/>
    <n v="3333.154"/>
    <m/>
    <m/>
    <n v="0"/>
    <n v="3030.14"/>
    <n v="1"/>
    <s v="Invoiced"/>
    <d v="2017-06-23T00:00:00"/>
    <s v="Completed and handover forwarded"/>
    <s v="Ertan Cicek"/>
  </r>
  <r>
    <x v="2"/>
    <s v="Sydney"/>
    <s v="Inv 12267b"/>
    <d v="2017-06-30T00:00:00"/>
    <d v="2017-05-25T00:00:00"/>
    <d v="2017-06-09T00:00:00"/>
    <d v="2017-08-15T00:00:00"/>
    <d v="2017-08-28T00:00:00"/>
    <d v="2017-06-23T00:00:00"/>
    <d v="2017-09-14T00:00:00"/>
    <s v="Waiting on Payment Claim approval"/>
    <x v="1"/>
    <s v="MW20555 - AYCA-2Q8I3Y -  2ROU-03 - 16-20 Withers Road – 3 "/>
    <s v="Rouse Hill"/>
    <m/>
    <n v="1899.06"/>
    <n v="1899.06"/>
    <n v="2088.9659999999999"/>
    <m/>
    <m/>
    <n v="0"/>
    <n v="1899.06"/>
    <n v="1"/>
    <s v="Invoiced"/>
    <d v="2017-06-23T00:00:00"/>
    <s v="Completed and handover forwarded"/>
    <s v="Ertan Cicek"/>
  </r>
  <r>
    <x v="0"/>
    <s v="Sydney"/>
    <s v="Inv 12355"/>
    <d v="2017-06-30T00:00:00"/>
    <d v="2017-06-08T00:00:00"/>
    <d v="2017-06-08T00:00:00"/>
    <m/>
    <m/>
    <d v="2017-07-11T00:00:00"/>
    <d v="2017-08-10T00:00:00"/>
    <s v="PC 33 days, Payment schedule 17days,  payment made on the 10/8/17"/>
    <x v="1"/>
    <s v="MW20532 - 2WYO-01 - AYCA-47OSBM - Pacific Business Centre"/>
    <s v="Wyong"/>
    <n v="10229.42"/>
    <m/>
    <n v="10229.42"/>
    <n v="11252.362000000001"/>
    <m/>
    <m/>
    <n v="0"/>
    <n v="10229.42"/>
    <n v="1"/>
    <s v="Invoiced"/>
    <d v="2017-06-22T00:00:00"/>
    <s v="Completed and handover forwarded"/>
    <s v="Andrew Partalis"/>
  </r>
  <r>
    <x v="0"/>
    <s v="Sth NSW"/>
    <s v="Inv 12266"/>
    <d v="2017-05-31T00:00:00"/>
    <d v="2017-05-26T00:00:00"/>
    <d v="2017-05-26T00:00:00"/>
    <d v="2017-06-25T00:00:00"/>
    <d v="2017-08-30T00:00:00"/>
    <d v="2017-06-14T00:00:00"/>
    <d v="2017-09-27T00:00:00"/>
    <m/>
    <x v="0"/>
    <s v="MW20543 - AYCA-3SR1C6 - 1140 Pemberton St Albury"/>
    <s v="Albury"/>
    <n v="4074.14"/>
    <n v="936.42678571428553"/>
    <n v="5010.5667857142853"/>
    <n v="5511.6234642857144"/>
    <m/>
    <m/>
    <n v="0"/>
    <n v="5010.5667857142853"/>
    <n v="1"/>
    <s v="Invoiced"/>
    <d v="2017-06-09T00:00:00"/>
    <s v="Completed and handover forwarded"/>
    <s v="Ertan Cicek"/>
  </r>
  <r>
    <x v="0"/>
    <s v="Sth Coast"/>
    <s v="Inv 12275"/>
    <d v="2017-05-31T00:00:00"/>
    <d v="2017-05-30T00:00:00"/>
    <d v="2017-05-30T00:00:00"/>
    <d v="2017-06-30T00:00:00"/>
    <d v="2017-07-25T00:00:00"/>
    <d v="2017-06-16T00:00:00"/>
    <d v="2017-08-29T00:00:00"/>
    <m/>
    <x v="0"/>
    <s v="MW20554 - 2DAP-02 - AYCA-2DO5HN - MNJG 145"/>
    <s v="Dapto"/>
    <n v="2277.5100000000002"/>
    <n v="2122.87"/>
    <n v="4400.38"/>
    <n v="4840.4180000000006"/>
    <m/>
    <m/>
    <n v="0"/>
    <n v="4400.38"/>
    <n v="1"/>
    <s v="Invoiced"/>
    <d v="2017-06-13T00:00:00"/>
    <s v="Completed and handover forwarded"/>
    <s v="Ertan Cicek"/>
  </r>
  <r>
    <x v="0"/>
    <s v="Sth Coast"/>
    <s v="Inv 12272"/>
    <d v="2017-05-31T00:00:00"/>
    <d v="2017-05-02T00:00:00"/>
    <d v="2017-05-02T00:00:00"/>
    <m/>
    <m/>
    <d v="2017-05-15T00:00:00"/>
    <d v="2017-07-26T00:00:00"/>
    <s v="Payment schedule received 21/7,  payment made on the 26/7"/>
    <x v="0"/>
    <s v="MW20409 - AYCA-2ONMWX -  Brookwood Estate - 2"/>
    <s v="Jamberoo"/>
    <n v="2943.37"/>
    <m/>
    <n v="2943.37"/>
    <n v="3237.7070000000003"/>
    <m/>
    <m/>
    <n v="0"/>
    <n v="2943.37"/>
    <n v="1"/>
    <s v="Invoiced"/>
    <d v="2017-05-16T00:00:00"/>
    <s v="Completed and handover forwarded"/>
    <s v="Ertan Cicek"/>
  </r>
  <r>
    <x v="2"/>
    <s v="Sydney"/>
    <s v="Inv 12363 &amp; b"/>
    <d v="2017-09-19T00:00:00"/>
    <d v="2017-06-14T00:00:00"/>
    <d v="2017-06-14T00:00:00"/>
    <d v="2017-08-10T00:00:00"/>
    <d v="2017-08-31T00:00:00"/>
    <d v="2017-07-11T00:00:00"/>
    <d v="2017-09-29T00:00:00"/>
    <m/>
    <x v="1"/>
    <s v="MW20649 - 2RCH-03 - AYCA-2MLHJO - Macquarie Street Subdivision"/>
    <s v="Richmond"/>
    <n v="621.32000000000005"/>
    <n v="340.31"/>
    <n v="961.63000000000011"/>
    <n v="1057.7930000000001"/>
    <m/>
    <m/>
    <n v="0"/>
    <n v="961.63000000000011"/>
    <n v="1"/>
    <s v="Invoiced"/>
    <d v="2017-06-28T00:00:00"/>
    <s v="Completed and handover forwarded"/>
    <s v="Ertan Cicek"/>
  </r>
  <r>
    <x v="0"/>
    <s v="Nth Coast"/>
    <s v="Inv 12655"/>
    <d v="2017-10-03T00:00:00"/>
    <d v="2017-07-21T00:00:00"/>
    <d v="2017-07-21T00:00:00"/>
    <d v="2017-09-05T00:00:00"/>
    <d v="2017-09-18T00:00:00"/>
    <d v="2017-08-08T00:00:00"/>
    <d v="2017-10-05T00:00:00"/>
    <s v="Requested PC"/>
    <x v="5"/>
    <s v="MW20585 - AYCA-3KUUY6 - 2WOY-09 - Brittwood "/>
    <s v="Woy Woy"/>
    <n v="7728.82"/>
    <n v="12183.400428571427"/>
    <n v="19912.220428571425"/>
    <n v="21903.442471428571"/>
    <m/>
    <m/>
    <n v="0"/>
    <n v="19912.220428571425"/>
    <n v="1"/>
    <s v="Invoiced"/>
    <d v="2017-08-04T00:00:00"/>
    <s v="Completed and handover forwarded"/>
    <s v="Mark Leal"/>
  </r>
  <r>
    <x v="0"/>
    <s v="Sth Coast"/>
    <s v="Inv 12356"/>
    <d v="2017-06-30T00:00:00"/>
    <d v="2017-06-19T00:00:00"/>
    <d v="2017-06-25T00:00:00"/>
    <d v="2017-07-03T00:00:00"/>
    <d v="2017-09-05T00:00:00"/>
    <d v="2017-08-09T00:00:00"/>
    <d v="2017-09-27T00:00:00"/>
    <s v="Waiting on PC sent in 25/6, Variation 3/7"/>
    <x v="1"/>
    <s v="MW20612 - AYCA-3NXX2P - 7 Cascade Circuit Albion Park"/>
    <s v="Albion Park"/>
    <n v="4242.71"/>
    <n v="2751.05"/>
    <n v="6993.76"/>
    <n v="7693.1360000000004"/>
    <m/>
    <m/>
    <n v="0"/>
    <n v="6993.76"/>
    <n v="1"/>
    <s v="Invoiced"/>
    <d v="2017-07-09T00:00:00"/>
    <s v="Completed and handover forwarded"/>
    <s v="Ertan Cicek"/>
  </r>
  <r>
    <x v="2"/>
    <s v="Sydney"/>
    <s v="Inv 12332"/>
    <d v="2017-06-26T00:00:00"/>
    <d v="2017-05-31T00:00:00"/>
    <d v="2017-05-30T00:00:00"/>
    <m/>
    <m/>
    <d v="2017-06-07T00:00:00"/>
    <d v="2017-08-10T00:00:00"/>
    <s v="39 days for payment claim to come through"/>
    <x v="0"/>
    <s v="MW20673 - 2BLK-11 - AYCA-3RN6QW - 19-21 Irelands Road, Blacktown"/>
    <s v="Blacktown"/>
    <n v="1134.2699999999998"/>
    <m/>
    <n v="1134.2699999999998"/>
    <n v="1247.6969999999999"/>
    <m/>
    <m/>
    <n v="0"/>
    <n v="1134.2699999999998"/>
    <n v="1"/>
    <s v="Invoiced"/>
    <d v="2017-06-13T00:00:00"/>
    <s v="Completed and handover forwarded"/>
    <s v="Andrew Mahassy"/>
  </r>
  <r>
    <x v="0"/>
    <s v="Central Coast"/>
    <s v="Inv 12498"/>
    <d v="2017-08-17T00:00:00"/>
    <d v="2017-07-03T00:00:00"/>
    <d v="2017-07-03T00:00:00"/>
    <m/>
    <m/>
    <d v="2017-08-08T00:00:00"/>
    <d v="2017-08-24T00:00:00"/>
    <m/>
    <x v="5"/>
    <s v="MW20613 - AYCA-3CGK8N - Tulkaba View – 1"/>
    <s v="Terabla"/>
    <n v="3471.5"/>
    <m/>
    <n v="3471.5"/>
    <n v="3818.65"/>
    <m/>
    <m/>
    <n v="0"/>
    <n v="3471.5"/>
    <n v="1"/>
    <s v="Invoiced"/>
    <d v="2017-07-17T00:00:00"/>
    <s v="Completed and handover forwarded"/>
    <s v="Mark Leal"/>
  </r>
  <r>
    <x v="2"/>
    <s v="Sydney"/>
    <s v="Inv 12357"/>
    <d v="2017-06-30T00:00:00"/>
    <d v="2017-06-02T00:00:00"/>
    <d v="2017-06-01T00:00:00"/>
    <m/>
    <m/>
    <d v="2017-06-13T00:00:00"/>
    <d v="2017-08-10T00:00:00"/>
    <s v="39 Days for payment claim approval"/>
    <x v="1"/>
    <s v="MW20682 - AYCA-3NDQ7T - 2ROU-04 - 67 Barry Street "/>
    <s v="Rouse Hill"/>
    <n v="345.37"/>
    <n v="139.95999999999998"/>
    <n v="485.33"/>
    <n v="533.86300000000006"/>
    <m/>
    <m/>
    <n v="0"/>
    <n v="485.33"/>
    <n v="1"/>
    <s v="Invoiced"/>
    <d v="2017-06-15T00:00:00"/>
    <s v="Completed and handover forwarded"/>
    <s v="Andrew Mahassy"/>
  </r>
  <r>
    <x v="2"/>
    <s v="Sydney"/>
    <s v="Inv 12636"/>
    <d v="2017-10-27T00:00:00"/>
    <d v="2017-07-05T00:00:00"/>
    <d v="2017-07-05T00:00:00"/>
    <d v="2017-08-09T00:00:00"/>
    <d v="2017-09-11T00:00:00"/>
    <d v="2017-09-11T00:00:00"/>
    <d v="2017-09-28T00:00:00"/>
    <m/>
    <x v="5"/>
    <s v="MW20648-2KEL-03 -AYCA-3BH4IQ - Lot A, 8 Merriville Road - 1"/>
    <s v="Kellyville"/>
    <n v="1532.61"/>
    <n v="1946.79"/>
    <n v="3479.3999999999996"/>
    <n v="3827.3399999999997"/>
    <m/>
    <m/>
    <n v="0"/>
    <n v="3479.3999999999996"/>
    <n v="1"/>
    <s v="Invoiced"/>
    <d v="2017-07-19T00:00:00"/>
    <s v="Completed and handover forwarded"/>
    <s v="Lindy Chan"/>
  </r>
  <r>
    <x v="2"/>
    <s v="Sydney"/>
    <s v="Inv 12358"/>
    <d v="2017-06-30T00:00:00"/>
    <d v="2017-06-14T00:00:00"/>
    <d v="2017-06-14T00:00:00"/>
    <d v="2017-08-09T00:00:00"/>
    <d v="2017-08-14T00:00:00"/>
    <d v="2017-07-14T00:00:00"/>
    <d v="2017-08-24T00:00:00"/>
    <s v="Waiting on PC approval sent in 14/6, variation submitted 9/8/17"/>
    <x v="1"/>
    <s v="MW20652 - AYCA-1CI2SU - Jenkins - East, West &amp; South"/>
    <s v="Carlingford"/>
    <n v="1166.1099999999999"/>
    <n v="7788.37"/>
    <n v="8954.48"/>
    <n v="9849.9279999999999"/>
    <m/>
    <m/>
    <n v="0"/>
    <n v="8954.48"/>
    <n v="1"/>
    <s v="Invoiced"/>
    <d v="2017-06-28T00:00:00"/>
    <s v="Completed and handover forwarded"/>
    <s v="Michael Tram"/>
  </r>
  <r>
    <x v="2"/>
    <s v="Sydney"/>
    <s v="Inv 12712"/>
    <d v="2017-10-18T00:00:00"/>
    <d v="2017-06-30T00:00:00"/>
    <d v="2017-07-01T00:00:00"/>
    <d v="2017-08-09T00:00:00"/>
    <d v="2017-09-07T00:00:00"/>
    <d v="2017-08-08T00:00:00"/>
    <d v="2017-10-24T00:00:00"/>
    <s v="Variation submitted 9/8/17"/>
    <x v="5"/>
    <s v="MW20669 - AYCA-47X9GS - Mackenzie Residences - Strathfield - 1 "/>
    <s v="Strathfield"/>
    <n v="1633.8"/>
    <n v="826.67"/>
    <n v="2460.4699999999998"/>
    <n v="2706.5169999999998"/>
    <m/>
    <m/>
    <n v="0"/>
    <n v="2460.4699999999998"/>
    <n v="1"/>
    <s v="Invoiced"/>
    <d v="2017-07-15T00:00:00"/>
    <s v="Completed and handover forwarded"/>
    <s v="Lindy Chan"/>
  </r>
  <r>
    <x v="2"/>
    <s v="Sydney"/>
    <m/>
    <m/>
    <m/>
    <d v="2018-03-30T00:00:00"/>
    <m/>
    <m/>
    <m/>
    <m/>
    <m/>
    <x v="7"/>
    <s v="MW20698 - AYCA-1SQ3K5 - 189 Macquarie Street"/>
    <s v="Parramatta"/>
    <n v="1056.78"/>
    <m/>
    <n v="1056.78"/>
    <n v="1162.4580000000001"/>
    <m/>
    <m/>
    <n v="0"/>
    <n v="1056.78"/>
    <n v="1"/>
    <m/>
    <d v="2018-04-13T00:00:00"/>
    <m/>
    <s v="Lindy Chan"/>
  </r>
  <r>
    <x v="2"/>
    <s v="Sydney"/>
    <s v="Inv 12600"/>
    <d v="2017-09-15T00:00:00"/>
    <d v="2017-07-11T00:00:00"/>
    <d v="2017-07-11T00:00:00"/>
    <d v="2017-08-09T00:00:00"/>
    <d v="2017-09-01T00:00:00"/>
    <d v="2017-08-08T00:00:00"/>
    <d v="2017-09-21T00:00:00"/>
    <m/>
    <x v="5"/>
    <s v="MW20686 - AYCA-1RBL6L - The North Village , Kellyville - 1"/>
    <s v="Kellyville"/>
    <n v="1317.54"/>
    <n v="7782.07"/>
    <n v="9099.61"/>
    <n v="10009.571000000002"/>
    <m/>
    <m/>
    <n v="0"/>
    <n v="9099.61"/>
    <n v="1"/>
    <s v="Invoiced"/>
    <d v="2017-07-25T00:00:00"/>
    <s v="Completed and handover forwarded"/>
    <s v="Michael Tram"/>
  </r>
  <r>
    <x v="2"/>
    <s v="Sydney"/>
    <s v="Inv 13121"/>
    <d v="2018-01-23T00:00:00"/>
    <d v="2017-11-23T00:00:00"/>
    <d v="2017-11-23T00:00:00"/>
    <d v="2017-12-04T00:00:00"/>
    <d v="2017-12-08T00:00:00"/>
    <d v="2017-12-14T00:00:00"/>
    <d v="2018-02-06T00:00:00"/>
    <m/>
    <x v="8"/>
    <s v="MW20692 - AYCA-2HTGPP - Scalabrini Village Residential"/>
    <s v="Drummoyne "/>
    <n v="2134.75"/>
    <n v="8039.13"/>
    <n v="10173.880000000001"/>
    <n v="11191.268000000002"/>
    <m/>
    <m/>
    <n v="0"/>
    <n v="10173.880000000001"/>
    <m/>
    <m/>
    <d v="2017-12-07T00:00:00"/>
    <m/>
    <s v="Michael Tram"/>
  </r>
  <r>
    <x v="2"/>
    <s v="Sydney"/>
    <s v="Inv 12361 &amp;12361b"/>
    <d v="2017-06-30T00:00:00"/>
    <d v="2017-07-01T00:00:00"/>
    <d v="2017-06-30T00:00:00"/>
    <d v="2017-08-09T00:00:00"/>
    <d v="2017-09-07T00:00:00"/>
    <d v="2017-08-08T00:00:00"/>
    <d v="2017-09-14T00:00:00"/>
    <s v="Variation Submitted 09/08/17"/>
    <x v="1"/>
    <s v="MW20699 - AYCA-3BSZ4M - 41 &amp; 55 Rynan Ave"/>
    <s v="Edmondson Park"/>
    <n v="254.28"/>
    <n v="780"/>
    <n v="1034.28"/>
    <n v="1137.7080000000001"/>
    <m/>
    <m/>
    <n v="0"/>
    <n v="1034.28"/>
    <n v="1"/>
    <s v="Invoiced"/>
    <d v="2017-07-14T00:00:00"/>
    <s v="Completed and handover forwarded"/>
    <s v="Andrew Mahassy"/>
  </r>
  <r>
    <x v="2"/>
    <s v="Sydney"/>
    <s v="Inv 12873"/>
    <d v="2017-11-29T00:00:00"/>
    <d v="2017-08-09T00:00:00"/>
    <d v="2017-09-06T00:00:00"/>
    <m/>
    <m/>
    <d v="2017-09-20T00:00:00"/>
    <d v="2017-11-30T00:00:00"/>
    <m/>
    <x v="3"/>
    <s v="MW20727 - 2NRN-10 - AYCA-3UYW26 - P150 - Internals"/>
    <s v="Smeaton Grange"/>
    <n v="1120"/>
    <m/>
    <n v="1120"/>
    <n v="1232"/>
    <m/>
    <m/>
    <n v="0"/>
    <n v="1120"/>
    <n v="1"/>
    <s v="Invoiced"/>
    <d v="2017-09-20T00:00:00"/>
    <s v="Completed and handover forwarded"/>
    <s v="Nabeel Jaimon"/>
  </r>
  <r>
    <x v="0"/>
    <s v="Newcastle"/>
    <s v="Inv 12263"/>
    <d v="2017-05-31T00:00:00"/>
    <d v="2017-05-19T00:00:00"/>
    <d v="2017-05-30T00:00:00"/>
    <m/>
    <m/>
    <d v="2017-08-08T00:00:00"/>
    <d v="2017-08-24T00:00:00"/>
    <s v="Payment Claim submitted 9/9/17"/>
    <x v="0"/>
    <s v="MW20660 - AYCA-45D358 NSB Albuera Close SITE SURVEY"/>
    <s v="Matiland"/>
    <n v="2760"/>
    <m/>
    <n v="2760"/>
    <n v="3036.0000000000005"/>
    <m/>
    <m/>
    <n v="0"/>
    <n v="2760"/>
    <n v="1"/>
    <s v="Invoiced"/>
    <d v="2017-06-13T00:00:00"/>
    <s v="Completed and handover forwarded"/>
    <s v="Mark Leal"/>
  </r>
  <r>
    <x v="2"/>
    <s v="Sydney"/>
    <s v="Inv 12269"/>
    <d v="2017-05-31T00:00:00"/>
    <d v="2017-05-31T00:00:00"/>
    <d v="2017-05-31T00:00:00"/>
    <m/>
    <m/>
    <d v="2017-06-09T00:00:00"/>
    <d v="2017-08-15T00:00:00"/>
    <m/>
    <x v="0"/>
    <s v="MW20749 - 2KEL-07 - AYCA-3R9JM5 - 31 Memorial Av"/>
    <s v="Kellyville"/>
    <n v="465.57"/>
    <m/>
    <n v="465.57"/>
    <n v="512.12700000000007"/>
    <m/>
    <m/>
    <n v="0"/>
    <n v="465.57"/>
    <n v="1"/>
    <s v="Invoiced"/>
    <d v="2017-06-14T00:00:00"/>
    <s v="Completed and handover forwarded"/>
    <s v="Andrew Mahassy"/>
  </r>
  <r>
    <x v="1"/>
    <s v="Sydney"/>
    <s v="Inv 12065b"/>
    <d v="2017-05-31T00:00:00"/>
    <d v="2017-03-31T00:00:00"/>
    <d v="2017-05-16T00:00:00"/>
    <d v="2017-07-07T00:00:00"/>
    <d v="2017-08-10T00:00:00"/>
    <d v="2017-04-20T00:00:00"/>
    <d v="2017-08-24T00:00:00"/>
    <s v="Up to V3 of Variation request, Chris A handling it now.  Submitted payment claim on the 10/8"/>
    <x v="0"/>
    <s v="MW20187 - 2CBT-01-14_10 &amp; 2CBT-04-14"/>
    <s v="Campbelltown"/>
    <n v="0"/>
    <n v="39403.65"/>
    <n v="39403.65"/>
    <n v="43344.015000000007"/>
    <m/>
    <m/>
    <n v="0"/>
    <n v="39403.65"/>
    <n v="1"/>
    <s v="Invoiced"/>
    <d v="2017-05-30T00:00:00"/>
    <s v="Completed and handover forwarded"/>
    <s v="Anna Juranic"/>
  </r>
  <r>
    <x v="0"/>
    <s v="Sydney"/>
    <s v="Inv 12338"/>
    <d v="2017-06-27T00:00:00"/>
    <d v="2017-06-05T00:00:00"/>
    <d v="2017-06-05T00:00:00"/>
    <m/>
    <m/>
    <d v="2017-08-08T00:00:00"/>
    <d v="2017-08-22T00:00:00"/>
    <m/>
    <x v="1"/>
    <s v="MW20662 - 2KEL-08 - AYCA-42POJA - NSB - Memorial Ave Kelly Survey"/>
    <s v="Kellyville"/>
    <n v="2100"/>
    <m/>
    <n v="2100"/>
    <n v="2310"/>
    <m/>
    <m/>
    <n v="0"/>
    <n v="2100"/>
    <n v="1"/>
    <s v="Invoiced"/>
    <d v="2017-06-19T00:00:00"/>
    <s v="Completed and handover forwarded"/>
    <s v="Andrew Mahassy"/>
  </r>
  <r>
    <x v="0"/>
    <s v="Sydney"/>
    <s v="Inv 12359"/>
    <d v="2017-06-30T00:00:00"/>
    <d v="2017-06-26T00:00:00"/>
    <d v="2017-06-30T00:00:00"/>
    <m/>
    <m/>
    <d v="2017-08-08T00:00:00"/>
    <d v="2017-08-29T00:00:00"/>
    <s v="Payment Claim submitted 9/9/17"/>
    <x v="1"/>
    <s v="MW20661 - 2LIV-04 - AYCA-476RM9 - 87-91 Campbell St NSB Survey"/>
    <s v="Liverpool"/>
    <n v="2100"/>
    <m/>
    <n v="2100"/>
    <n v="2310"/>
    <m/>
    <m/>
    <n v="0"/>
    <n v="2100"/>
    <n v="1"/>
    <s v="Invoiced"/>
    <d v="2017-07-14T00:00:00"/>
    <s v="Completed and handover forwarded"/>
    <s v="Andrew Mahassy"/>
  </r>
  <r>
    <x v="0"/>
    <s v="Sth Coast"/>
    <s v="Inv 12049b"/>
    <d v="2017-08-17T00:00:00"/>
    <d v="2017-07-13T00:00:00"/>
    <d v="2017-07-18T00:00:00"/>
    <d v="2017-07-18T00:00:00"/>
    <d v="2017-08-11T00:00:00"/>
    <d v="2017-08-18T00:00:00"/>
    <d v="2017-09-19T00:00:00"/>
    <m/>
    <x v="5"/>
    <s v="MW20667 - AYCA-41NF6X - Non Standard Builds - Miller St    BUILD"/>
    <s v="Coniston"/>
    <n v="10585.7"/>
    <n v="2720.57"/>
    <n v="13306.27"/>
    <n v="14636.897000000001"/>
    <m/>
    <m/>
    <n v="0"/>
    <n v="13306.27"/>
    <n v="1"/>
    <s v="Invoiced"/>
    <d v="2017-08-01T00:00:00"/>
    <s v="Completed and handover forwarded"/>
    <s v="Andrew Mahassy"/>
  </r>
  <r>
    <x v="0"/>
    <s v="Central Coast"/>
    <s v="Inv 12640"/>
    <d v="2017-10-11T00:00:00"/>
    <d v="2017-08-17T00:00:00"/>
    <d v="2017-08-17T00:00:00"/>
    <d v="2017-08-17T00:00:00"/>
    <d v="2017-09-11T00:00:00"/>
    <d v="2017-09-11T00:00:00"/>
    <d v="2017-10-17T00:00:00"/>
    <s v="Waiting on DY NBN"/>
    <x v="4"/>
    <s v="MW20604 - AYCA-46I5YX - 878 Pacific Hwy, Lisarow"/>
    <s v="Lisarow"/>
    <n v="6610.72"/>
    <n v="2460.3428571428572"/>
    <n v="9071.062857142857"/>
    <n v="9978.169142857143"/>
    <m/>
    <m/>
    <n v="0"/>
    <n v="9071.062857142857"/>
    <n v="1"/>
    <s v="Invoiced"/>
    <d v="2017-08-31T00:00:00"/>
    <s v="Completed and handover forwarded"/>
    <s v="Dave Yoemans"/>
  </r>
  <r>
    <x v="1"/>
    <s v="Central Coast"/>
    <s v="Inv 12360a"/>
    <d v="2017-06-30T00:00:00"/>
    <d v="2017-06-26T00:00:00"/>
    <d v="2017-06-26T00:00:00"/>
    <d v="2017-07-20T00:00:00"/>
    <d v="2017-07-28T00:00:00"/>
    <d v="2017-07-20T00:00:00"/>
    <d v="2017-08-31T00:00:00"/>
    <s v="Waiting on Variation Approval"/>
    <x v="1"/>
    <s v="MW20679 - 2LJT-02 - MPS-012 - 3 Corella"/>
    <s v="Long Jetty"/>
    <n v="6239.62"/>
    <n v="-4880.3"/>
    <n v="1359.3199999999997"/>
    <n v="1495.2519999999997"/>
    <m/>
    <m/>
    <n v="0"/>
    <n v="1359.3199999999997"/>
    <n v="1"/>
    <s v="Invoiced"/>
    <d v="2017-07-10T00:00:00"/>
    <s v="Completed and handover forwarded"/>
    <s v="Jay Shrestha"/>
  </r>
  <r>
    <x v="2"/>
    <s v="Sydney"/>
    <m/>
    <m/>
    <d v="2018-03-04T00:00:00"/>
    <d v="2018-03-30T00:00:00"/>
    <m/>
    <m/>
    <m/>
    <m/>
    <m/>
    <x v="7"/>
    <s v="MW20778 - AYCA-40UXV5 - 163 Parker St, South Penrith Ext"/>
    <s v="Penrith"/>
    <n v="1571.26"/>
    <m/>
    <n v="1571.26"/>
    <n v="1728.3860000000002"/>
    <m/>
    <m/>
    <n v="0"/>
    <n v="1571.26"/>
    <n v="1"/>
    <m/>
    <d v="2018-04-13T00:00:00"/>
    <m/>
    <s v="Andrew Partalis"/>
  </r>
  <r>
    <x v="2"/>
    <s v="Sydney"/>
    <s v="Inv 12588"/>
    <d v="2017-09-18T00:00:00"/>
    <d v="2017-08-04T00:00:00"/>
    <d v="2017-08-04T00:00:00"/>
    <d v="2017-08-09T00:00:00"/>
    <d v="2017-08-23T00:00:00"/>
    <d v="2017-09-04T00:00:00"/>
    <d v="2017-09-21T00:00:00"/>
    <s v="Variation submitted 9/08/17"/>
    <x v="4"/>
    <s v="MW20786 - 2LIV-03 - AYCA-47DIBW - Dale Development – 1"/>
    <s v="Liverpool"/>
    <n v="945.25"/>
    <n v="2842.35"/>
    <n v="3787.6"/>
    <n v="4166.3600000000006"/>
    <m/>
    <m/>
    <n v="0"/>
    <n v="3787.6"/>
    <n v="1"/>
    <s v="Invoiced"/>
    <d v="2017-08-18T00:00:00"/>
    <s v="Completed and handover forwarded"/>
    <s v="Andrew Mahassy"/>
  </r>
  <r>
    <x v="2"/>
    <s v="Sydney"/>
    <m/>
    <m/>
    <d v="2018-02-26T00:00:00"/>
    <d v="2018-02-27T00:00:00"/>
    <d v="2018-02-27T00:00:00"/>
    <m/>
    <d v="2018-03-12T00:00:00"/>
    <d v="2018-03-26T00:00:00"/>
    <s v="Waiting on PC and Variation submission"/>
    <x v="2"/>
    <s v="MW20767 - AYCA-1PM9JB - 2GRA-64 -  Merrylands Rd"/>
    <s v="Merrylands"/>
    <n v="982.6"/>
    <n v="14413.24"/>
    <n v="15395.84"/>
    <n v="16935.424000000003"/>
    <m/>
    <m/>
    <n v="0"/>
    <n v="15395.84"/>
    <n v="1"/>
    <m/>
    <d v="2018-03-13T00:00:00"/>
    <m/>
    <s v="Michael Tram"/>
  </r>
  <r>
    <x v="0"/>
    <s v="Sydney"/>
    <s v="Inv 12573"/>
    <d v="2017-09-11T00:00:00"/>
    <d v="2017-07-03T00:00:00"/>
    <d v="2017-07-03T00:00:00"/>
    <d v="2017-07-03T00:00:00"/>
    <d v="2017-08-18T00:00:00"/>
    <d v="2017-09-04T00:00:00"/>
    <d v="2017-09-21T00:00:00"/>
    <s v="Waiting for PC &amp; Variation approval"/>
    <x v="5"/>
    <s v="MW20725 - AYCA-3I8QKP - 6-8 Biara Street, Bargo – 11"/>
    <s v="Bargo"/>
    <n v="4091.52"/>
    <n v="1416.6946428571423"/>
    <n v="5508.2146428571423"/>
    <n v="6059.036107142857"/>
    <m/>
    <m/>
    <n v="0"/>
    <n v="5508.2146428571423"/>
    <n v="1"/>
    <s v="Invoiced"/>
    <d v="2017-07-17T00:00:00"/>
    <s v="Completed and handover forwarded"/>
    <s v="Ertan Cicek"/>
  </r>
  <r>
    <x v="2"/>
    <s v="Sydney"/>
    <s v="Inv 12798"/>
    <d v="2017-11-09T00:00:00"/>
    <d v="2017-09-12T00:00:00"/>
    <d v="2017-09-12T00:00:00"/>
    <d v="2017-09-12T00:00:00"/>
    <d v="2017-10-03T00:00:00"/>
    <d v="2017-09-26T00:00:00"/>
    <d v="2017-11-23T00:00:00"/>
    <m/>
    <x v="3"/>
    <s v="MW20765 - 2HOR-63 - AYCA-2ZE1AV - 1 &amp; 1A Cowan Road, Mount Colah - Killara "/>
    <s v="Hornsby"/>
    <n v="1984.44"/>
    <n v="2687.91"/>
    <n v="4672.3500000000004"/>
    <n v="5139.5850000000009"/>
    <m/>
    <m/>
    <n v="0"/>
    <n v="4672.3500000000004"/>
    <n v="1"/>
    <s v="Invoiced"/>
    <d v="2017-09-26T00:00:00"/>
    <s v="Completed and handover forwarded"/>
    <s v="Andrew Partalis"/>
  </r>
  <r>
    <x v="1"/>
    <s v="Sydney"/>
    <s v="Inv 12268"/>
    <d v="2017-05-31T00:00:00"/>
    <d v="2017-05-31T00:00:00"/>
    <d v="2017-05-16T00:00:00"/>
    <m/>
    <m/>
    <d v="2017-06-28T00:00:00"/>
    <d v="2017-07-28T00:00:00"/>
    <m/>
    <x v="0"/>
    <s v="MW20680 - 2BLK-02/07 - MPS-032 &amp; MPS-010"/>
    <s v="Blacktown"/>
    <n v="18758.95"/>
    <m/>
    <n v="18758.95"/>
    <n v="20634.845000000001"/>
    <m/>
    <m/>
    <n v="0"/>
    <n v="18758.95"/>
    <n v="1"/>
    <s v="Invoiced"/>
    <d v="2017-05-30T00:00:00"/>
    <s v="Completed and handover forwarded"/>
    <s v="Jay Shrestha"/>
  </r>
  <r>
    <x v="2"/>
    <s v="Sydney"/>
    <s v="Inv 12562"/>
    <d v="2017-09-07T00:00:00"/>
    <d v="2017-07-21T00:00:00"/>
    <d v="2017-07-21T00:00:00"/>
    <d v="2017-08-09T00:00:00"/>
    <d v="2017-08-18T00:00:00"/>
    <d v="2017-08-08T00:00:00"/>
    <d v="2017-09-12T00:00:00"/>
    <m/>
    <x v="5"/>
    <s v="MW20791 - 2RIV-01 - AYCA-3W8B3W - 43 Church St - 1"/>
    <s v="Riverstone"/>
    <n v="891.6"/>
    <n v="601.80999999999995"/>
    <n v="1493.4099999999999"/>
    <n v="1642.751"/>
    <m/>
    <m/>
    <n v="0"/>
    <n v="1493.4099999999999"/>
    <n v="1"/>
    <s v="Invoiced"/>
    <d v="2017-08-04T00:00:00"/>
    <s v="Completed and handover forwarded"/>
    <s v="Andrew Mahassy"/>
  </r>
  <r>
    <x v="0"/>
    <s v="Newcastle"/>
    <s v="Inv 12586"/>
    <d v="2017-09-18T00:00:00"/>
    <d v="2017-07-04T00:00:00"/>
    <d v="2017-07-04T00:00:00"/>
    <m/>
    <m/>
    <d v="2017-08-08T00:00:00"/>
    <d v="2017-09-21T00:00:00"/>
    <m/>
    <x v="5"/>
    <s v="MW20719 - AYCA-3RWSQB - 26 Kalinya Close, Cameron Park – 1"/>
    <s v="Cameron Park"/>
    <n v="3684.78"/>
    <m/>
    <n v="3684.78"/>
    <n v="4053.2580000000007"/>
    <m/>
    <m/>
    <n v="0"/>
    <n v="3684.78"/>
    <n v="1"/>
    <s v="Invoiced"/>
    <d v="2017-07-18T00:00:00"/>
    <s v="Completed and handover forwarded"/>
    <s v="Mark Leal"/>
  </r>
  <r>
    <x v="0"/>
    <s v="Sth NSW"/>
    <s v="Inv 12496"/>
    <d v="2017-08-17T00:00:00"/>
    <d v="2017-07-03T00:00:00"/>
    <d v="2017-07-03T00:00:00"/>
    <m/>
    <m/>
    <d v="2017-08-08T00:00:00"/>
    <d v="2017-08-24T00:00:00"/>
    <m/>
    <x v="5"/>
    <s v="MW20720 - AYCA-4BHWVV - Argyle Community Housing - 1 "/>
    <s v="Bowral"/>
    <n v="3135.04"/>
    <m/>
    <n v="3135.04"/>
    <n v="3448.5440000000003"/>
    <m/>
    <m/>
    <n v="0"/>
    <n v="3135.04"/>
    <n v="1"/>
    <s v="Invoiced"/>
    <d v="2017-07-17T00:00:00"/>
    <s v="Completed and handover forwarded"/>
    <s v="Nabel Jaimon"/>
  </r>
  <r>
    <x v="2"/>
    <s v="Sydney"/>
    <s v="Inv 12685"/>
    <d v="2017-10-10T00:00:00"/>
    <d v="2017-08-12T00:00:00"/>
    <d v="2017-08-14T00:00:00"/>
    <d v="2017-08-16T00:00:00"/>
    <d v="2017-08-25T00:00:00"/>
    <d v="2017-09-08T00:00:00"/>
    <d v="2017-10-12T00:00:00"/>
    <m/>
    <x v="4"/>
    <s v="MW20801 - 2RCH-05- AYCA-35BURW - 503-505 Londonderry Road "/>
    <s v="Londonderry"/>
    <n v="1539.68"/>
    <n v="2526.21"/>
    <n v="4065.8900000000003"/>
    <n v="4472.4790000000003"/>
    <m/>
    <m/>
    <n v="0"/>
    <n v="4065.8900000000003"/>
    <n v="1"/>
    <s v="Invoiced"/>
    <d v="2017-08-28T00:00:00"/>
    <s v="Completed and handover forwarded"/>
    <s v="Andrew Mahassy"/>
  </r>
  <r>
    <x v="2"/>
    <s v="Sydney"/>
    <s v="Inv 12799"/>
    <d v="2017-11-13T00:00:00"/>
    <d v="2017-09-21T00:00:00"/>
    <d v="2017-09-25T00:00:00"/>
    <d v="2017-09-27T00:00:00"/>
    <d v="2017-10-02T00:00:00"/>
    <d v="2017-10-02T00:00:00"/>
    <d v="2017-11-16T00:00:00"/>
    <m/>
    <x v="3"/>
    <s v="MW20817 - 2LIV-12 - 2QUA – 02- 2PTH-02 - Glenfield_Margo_Jamison"/>
    <s v="Various"/>
    <n v="1876.95"/>
    <n v="2105.2800000000002"/>
    <n v="3982.2300000000005"/>
    <n v="4380.4530000000004"/>
    <m/>
    <m/>
    <n v="0"/>
    <n v="3982.2300000000005"/>
    <n v="1"/>
    <s v="Invoiced"/>
    <d v="2017-10-09T00:00:00"/>
    <s v="Completed and handover forwarded"/>
    <s v="Andrew Mahassy"/>
  </r>
  <r>
    <x v="2"/>
    <s v="Sydney"/>
    <s v="Inv 12639"/>
    <d v="2017-09-27T00:00:00"/>
    <d v="2017-07-21T00:00:00"/>
    <d v="2017-07-21T00:00:00"/>
    <d v="2017-08-09T00:00:00"/>
    <d v="2017-08-31T00:00:00"/>
    <d v="2017-09-07T00:00:00"/>
    <d v="2017-09-27T00:00:00"/>
    <m/>
    <x v="5"/>
    <s v="MW20688 - AYCA-42LEI4 - MNR Investment Group Pty Ltd - 1 "/>
    <s v="Lidcombe"/>
    <n v="1706.42"/>
    <n v="2638"/>
    <n v="4344.42"/>
    <n v="4778.8620000000001"/>
    <m/>
    <m/>
    <n v="0"/>
    <n v="4344.42"/>
    <n v="1"/>
    <s v="Invoiced"/>
    <d v="2017-08-04T00:00:00"/>
    <s v="Completed and handover forwarded"/>
    <s v="Mary Angly"/>
  </r>
  <r>
    <x v="2"/>
    <s v="Sydney"/>
    <s v="Inv 12499"/>
    <d v="2017-08-17T00:00:00"/>
    <d v="2017-07-21T00:00:00"/>
    <d v="2017-07-21T00:00:00"/>
    <d v="2017-08-10T00:00:00"/>
    <d v="2017-08-24T00:00:00"/>
    <d v="2017-08-09T00:00:00"/>
    <d v="2017-09-14T00:00:00"/>
    <m/>
    <x v="5"/>
    <s v="MW20876 - SOPR MWI - 2RIV-02 - 34-36 Schofields - North Park - 10"/>
    <s v="Schofields"/>
    <n v="815.12"/>
    <n v="142.16"/>
    <n v="957.28"/>
    <n v="1053.008"/>
    <m/>
    <m/>
    <n v="0"/>
    <n v="957.28"/>
    <n v="1"/>
    <s v="Invoiced"/>
    <d v="2017-08-04T00:00:00"/>
    <s v="Completed and handover forwarded"/>
    <s v="Andrew Mahassy"/>
  </r>
  <r>
    <x v="2"/>
    <s v="Sydney"/>
    <s v="Inv 12590"/>
    <d v="2017-09-18T00:00:00"/>
    <d v="2017-07-04T00:00:00"/>
    <d v="2017-07-04T00:00:00"/>
    <d v="2017-08-09T00:00:00"/>
    <d v="2017-08-18T00:00:00"/>
    <d v="2017-09-04T00:00:00"/>
    <d v="2017-09-21T00:00:00"/>
    <m/>
    <x v="5"/>
    <s v="MW20877 - 2RIV-02 - 34-36 Schofields - North Park  - 9"/>
    <s v="Schofields"/>
    <n v="124.97"/>
    <n v="390"/>
    <n v="514.97"/>
    <n v="566.4670000000001"/>
    <m/>
    <m/>
    <n v="0"/>
    <n v="514.97"/>
    <n v="1"/>
    <s v="Invoiced"/>
    <d v="2017-07-18T00:00:00"/>
    <s v="Completed and handover forwarded"/>
    <s v="Andrew Mahassy"/>
  </r>
  <r>
    <x v="2"/>
    <s v="Sydney"/>
    <s v="Inv 12568"/>
    <d v="2017-09-08T00:00:00"/>
    <d v="2017-07-21T00:00:00"/>
    <d v="2017-07-21T00:00:00"/>
    <d v="2017-08-09T00:00:00"/>
    <d v="2017-08-18T00:00:00"/>
    <d v="2017-08-08T00:00:00"/>
    <d v="2017-09-08T00:00:00"/>
    <m/>
    <x v="5"/>
    <s v="MW20882 - 2BLK-07 - AYCA-468EU5 - 299 Flushcombe - 1"/>
    <s v="Blacktown"/>
    <n v="288.08"/>
    <n v="692.46"/>
    <n v="980.54"/>
    <n v="1078.5940000000001"/>
    <m/>
    <m/>
    <n v="0"/>
    <n v="980.54"/>
    <n v="1"/>
    <s v="Invoiced"/>
    <d v="2017-08-04T00:00:00"/>
    <s v="Completed and handover forwarded"/>
    <s v="Andrew Mahassy"/>
  </r>
  <r>
    <x v="2"/>
    <s v="Sydney"/>
    <s v="Inv 12606"/>
    <d v="2017-09-06T00:00:00"/>
    <d v="2017-07-12T00:00:00"/>
    <d v="2017-07-03T00:00:00"/>
    <d v="2017-08-09T00:00:00"/>
    <d v="2017-09-01T00:00:00"/>
    <d v="2017-08-08T00:00:00"/>
    <d v="2017-09-21T00:00:00"/>
    <s v="Variation Proposal Submitted 9/8/17"/>
    <x v="5"/>
    <s v="MW20898 - 2MIL-01 -AYCA-45L86C-Non Standard Builds - Zulu Road – Build"/>
    <s v="Edmonton"/>
    <n v="1026.45"/>
    <n v="112.25"/>
    <n v="1138.7"/>
    <n v="1252.5700000000002"/>
    <m/>
    <m/>
    <n v="0"/>
    <n v="1138.7"/>
    <n v="1"/>
    <s v="Invoiced"/>
    <d v="2017-07-17T00:00:00"/>
    <s v="Completed and handover forwarded"/>
    <s v="Andrew Mahassy"/>
  </r>
  <r>
    <x v="2"/>
    <s v="Sydney"/>
    <s v="Inv 12744"/>
    <d v="2017-10-25T00:00:00"/>
    <d v="2017-08-01T00:00:00"/>
    <d v="2017-08-04T00:00:00"/>
    <d v="2017-08-09T00:00:00"/>
    <d v="2017-09-15T00:00:00"/>
    <d v="2017-09-07T00:00:00"/>
    <d v="2017-10-31T00:00:00"/>
    <m/>
    <x v="4"/>
    <s v="MW20897 - AYCA-3UMID0 - 2BLK-01 - 25 ALLAWAH ST, BLACKTOWN"/>
    <s v="Blacktown"/>
    <n v="182.87"/>
    <n v="375.17"/>
    <n v="558.04"/>
    <n v="613.84400000000005"/>
    <m/>
    <m/>
    <n v="0"/>
    <n v="558.04"/>
    <n v="1"/>
    <s v="Invoiced"/>
    <d v="2017-08-18T00:00:00"/>
    <s v="Completed and handover forwarded"/>
    <s v="Markk Leal"/>
  </r>
  <r>
    <x v="0"/>
    <s v="Sydney"/>
    <s v="Inv 12872"/>
    <d v="2017-11-29T00:00:00"/>
    <d v="2017-09-04T00:00:00"/>
    <d v="2017-09-04T00:00:00"/>
    <m/>
    <m/>
    <d v="2017-09-18T00:00:00"/>
    <d v="2017-11-30T00:00:00"/>
    <m/>
    <x v="3"/>
    <s v="MW20705 - AYCA-3QCL7A - 48 Arnold Avenue Kellyville"/>
    <s v="Kellyville"/>
    <n v="2090.71"/>
    <m/>
    <n v="2090.71"/>
    <n v="2299.7810000000004"/>
    <m/>
    <m/>
    <n v="0"/>
    <n v="2090.71"/>
    <n v="1"/>
    <s v="Invoiced"/>
    <d v="2017-09-18T00:00:00"/>
    <s v="Completed and handover forwarded"/>
    <s v="Dave Yoemans"/>
  </r>
  <r>
    <x v="2"/>
    <s v="Sydney"/>
    <s v="Inv 12686"/>
    <d v="2017-10-10T00:00:00"/>
    <d v="2017-08-13T00:00:00"/>
    <d v="2017-08-14T00:00:00"/>
    <d v="2017-08-15T00:00:00"/>
    <d v="2017-09-01T00:00:00"/>
    <d v="2017-08-28T00:00:00"/>
    <d v="2017-10-12T00:00:00"/>
    <m/>
    <x v="4"/>
    <s v="MW20875 - ACYA-3W8TJD - 31-33 Irelands Road Blacktown "/>
    <s v="Blacktown"/>
    <n v="300.05"/>
    <n v="3632.01"/>
    <n v="3932.0600000000004"/>
    <n v="4325.2660000000005"/>
    <m/>
    <m/>
    <n v="0"/>
    <n v="3932.0600000000004"/>
    <n v="1"/>
    <s v="Invoiced"/>
    <d v="2017-08-28T00:00:00"/>
    <s v="Completed and handover forwarded"/>
    <s v="Andrew Mahassy"/>
  </r>
  <r>
    <x v="0"/>
    <s v="Sydney"/>
    <s v="Inv 12871"/>
    <d v="2017-11-29T00:00:00"/>
    <d v="2017-10-05T00:00:00"/>
    <d v="2017-10-05T00:00:00"/>
    <d v="2017-10-16T00:00:00"/>
    <d v="2017-11-17T00:00:00"/>
    <d v="2017-10-20T00:00:00"/>
    <d v="2017-12-05T00:00:00"/>
    <m/>
    <x v="6"/>
    <s v="MW20677 - AYCA-3ENYEX - Cleopatra St Blackheath"/>
    <s v="Blackheath"/>
    <n v="2844.81"/>
    <n v="-106.5"/>
    <n v="2738.31"/>
    <n v="3012.1410000000001"/>
    <m/>
    <m/>
    <n v="0"/>
    <n v="2738.31"/>
    <n v="1"/>
    <s v="Invoiced"/>
    <d v="2017-10-19T00:00:00"/>
    <s v="Completed and handover forwarded"/>
    <s v="Mark Leal"/>
  </r>
  <r>
    <x v="0"/>
    <s v="Sydney"/>
    <s v="Inv 12572"/>
    <d v="2017-09-11T00:00:00"/>
    <d v="2017-07-10T00:00:00"/>
    <d v="2017-07-11T00:00:00"/>
    <m/>
    <m/>
    <d v="2017-08-08T00:00:00"/>
    <d v="2017-09-21T00:00:00"/>
    <m/>
    <x v="5"/>
    <s v="MW20730 - AYCA-3ZFK8V - 2NRN-10 - 11-19 Waler "/>
    <s v="Narellan"/>
    <n v="12365.6"/>
    <m/>
    <n v="12365.6"/>
    <n v="13602.160000000002"/>
    <m/>
    <m/>
    <n v="0"/>
    <n v="12365.6"/>
    <n v="1"/>
    <s v="Invoiced"/>
    <d v="2017-07-25T00:00:00"/>
    <s v="Completed and handover forwarded"/>
    <s v="Andrew Partalis"/>
  </r>
  <r>
    <x v="2"/>
    <s v="Sydney"/>
    <m/>
    <m/>
    <m/>
    <d v="2018-03-30T00:00:00"/>
    <m/>
    <m/>
    <s v=" "/>
    <m/>
    <m/>
    <x v="7"/>
    <s v="MW20888 - 2HOR-62 - AYCA-39AB50 -2HOR-62 -JAAN – 1"/>
    <s v="Asquith"/>
    <n v="1035.19"/>
    <m/>
    <n v="1035.19"/>
    <n v="1138.7090000000001"/>
    <m/>
    <m/>
    <n v="0"/>
    <n v="1035.19"/>
    <n v="1"/>
    <m/>
    <d v="2018-04-13T00:00:00"/>
    <m/>
    <s v="Andrew Partalis"/>
  </r>
  <r>
    <x v="1"/>
    <s v="Sth NSW"/>
    <s v="Inv 12934"/>
    <d v="2017-12-07T00:00:00"/>
    <d v="2017-08-10T00:00:00"/>
    <d v="2017-10-23T00:00:00"/>
    <d v="2017-11-04T00:00:00"/>
    <d v="2017-11-24T00:00:00"/>
    <d v="2017-11-02T00:00:00"/>
    <d v="2017-12-13T00:00:00"/>
    <m/>
    <x v="6"/>
    <s v="MW20812 - 2WLG-01 - 2LIV-04 - Crown, Kembla, Macquarie, George"/>
    <s v="Wollongong / Liverpool"/>
    <n v="10612"/>
    <n v="9213"/>
    <n v="19825"/>
    <n v="21807.5"/>
    <m/>
    <m/>
    <n v="0"/>
    <n v="19825"/>
    <n v="1"/>
    <s v="Invoiced"/>
    <d v="2017-11-06T00:00:00"/>
    <s v="Completed and handover forwarded"/>
    <s v="Milan Khanal"/>
  </r>
  <r>
    <x v="1"/>
    <s v="Sth NSW"/>
    <s v="Inv 12687"/>
    <d v="2017-10-10T00:00:00"/>
    <d v="2017-08-07T00:00:00"/>
    <d v="2017-08-10T00:00:00"/>
    <m/>
    <m/>
    <d v="2017-09-19T00:00:00"/>
    <d v="2017-10-12T00:00:00"/>
    <m/>
    <x v="4"/>
    <s v="MW20828 - 2WLG-07 - MPS-889 - 438 Crown Street Wollongong."/>
    <s v="Wollongong"/>
    <n v="6272.99"/>
    <m/>
    <n v="6272.99"/>
    <n v="6900.2890000000007"/>
    <m/>
    <m/>
    <n v="0"/>
    <n v="6272.99"/>
    <n v="1"/>
    <s v="Invoiced"/>
    <d v="2017-08-24T00:00:00"/>
    <s v="Completed and handover forwarded"/>
    <s v="Milan Khanal"/>
  </r>
  <r>
    <x v="2"/>
    <s v="Sydney"/>
    <s v="Inv 12830"/>
    <d v="2017-11-16T00:00:00"/>
    <d v="2017-10-16T00:00:00"/>
    <d v="2017-10-16T00:00:00"/>
    <d v="2017-10-24T00:00:00"/>
    <d v="2017-10-24T00:00:00"/>
    <d v="2017-10-23T00:00:00"/>
    <d v="2017-11-21T00:00:00"/>
    <m/>
    <x v="6"/>
    <s v="MW20833 - 2RIV-02 - AYCA-334H1X - The Maples - 4"/>
    <s v="Schofields"/>
    <n v="2766.71"/>
    <n v="-1040.96"/>
    <n v="1725.75"/>
    <n v="1898.325"/>
    <m/>
    <m/>
    <n v="0"/>
    <n v="1725.75"/>
    <n v="1"/>
    <s v="Invoiced"/>
    <d v="2017-10-30T00:00:00"/>
    <s v="Completed and handover forwarded"/>
    <s v="Andrew Mahassy"/>
  </r>
  <r>
    <x v="2"/>
    <s v="Sydney"/>
    <s v="Inv 12811"/>
    <d v="2017-11-16T00:00:00"/>
    <d v="2017-09-27T00:00:00"/>
    <d v="2017-09-27T00:00:00"/>
    <d v="2017-09-28T00:00:00"/>
    <d v="2017-10-03T00:00:00"/>
    <d v="2017-10-13T00:00:00"/>
    <d v="2017-11-21T00:00:00"/>
    <m/>
    <x v="3"/>
    <s v="MW20966 - 2BLK-11 - AYCA-3W8LJB - 42-44 Norfolk St"/>
    <s v="Blacktown"/>
    <n v="232.27"/>
    <n v="7875.13"/>
    <n v="8107.4000000000005"/>
    <n v="8918.1400000000012"/>
    <m/>
    <m/>
    <n v="0"/>
    <n v="8107.4000000000005"/>
    <n v="1"/>
    <s v="Invoiced"/>
    <d v="2017-10-11T00:00:00"/>
    <s v="Completed and handover forwarded"/>
    <s v="Andrew Mahassy"/>
  </r>
  <r>
    <x v="2"/>
    <s v="Sydney"/>
    <s v="Inv 12802"/>
    <d v="2017-11-13T00:00:00"/>
    <d v="2017-10-04T00:00:00"/>
    <d v="2017-10-06T00:00:00"/>
    <d v="2017-10-18T00:00:00"/>
    <d v="2017-10-25T00:00:00"/>
    <d v="2017-10-20T00:00:00"/>
    <d v="2017-11-16T00:00:00"/>
    <m/>
    <x v="6"/>
    <s v="MW20939 - 2PEN-64 - AYCA-2Y4BYB -344 GWH Wentworthville – 1- EXTERNAL"/>
    <s v="Wentworthville"/>
    <n v="1768.07"/>
    <n v="2146.79"/>
    <n v="3914.8599999999997"/>
    <n v="4306.3459999999995"/>
    <m/>
    <m/>
    <n v="0"/>
    <n v="3914.8599999999997"/>
    <n v="1"/>
    <s v="Invoiced"/>
    <d v="2017-10-20T00:00:00"/>
    <s v="Completed and handover forwarded"/>
    <s v="Michael Tram"/>
  </r>
  <r>
    <x v="0"/>
    <s v="Sydney"/>
    <s v="Inv 12803"/>
    <d v="2017-11-13T00:00:00"/>
    <d v="2017-09-25T00:00:00"/>
    <d v="2017-09-25T00:00:00"/>
    <d v="2017-09-27T00:00:00"/>
    <d v="2017-10-02T00:00:00"/>
    <d v="2017-10-04T00:00:00"/>
    <d v="2016-11-16T00:00:00"/>
    <m/>
    <x v="3"/>
    <s v="MW20806 - 2EPS-61 -AYCA-42J4C9– 54 Tyrone Place, Erskine Park - Loscam"/>
    <s v="Erskine Park"/>
    <n v="6073.69"/>
    <n v="3516.71"/>
    <n v="9590.4"/>
    <n v="10549.44"/>
    <m/>
    <m/>
    <n v="0"/>
    <n v="9590.4"/>
    <n v="1"/>
    <s v="Invoiced"/>
    <d v="2017-10-09T00:00:00"/>
    <s v="Completed and handover forwarded"/>
    <s v="Andrew Mahassy"/>
  </r>
  <r>
    <x v="0"/>
    <s v="Newcastle"/>
    <s v="Inv 12497"/>
    <d v="2017-10-03T00:00:00"/>
    <d v="2017-08-14T00:00:00"/>
    <d v="2017-08-14T00:00:00"/>
    <d v="2017-08-15T00:00:00"/>
    <d v="2017-09-15T00:00:00"/>
    <d v="2017-08-25T00:00:00"/>
    <d v="2017-10-05T00:00:00"/>
    <m/>
    <x v="4"/>
    <s v="MW20821 - AYCA-45D358 NSB Albuera Close -  BUILD"/>
    <s v="Morphet"/>
    <n v="7531.6314285714288"/>
    <n v="464.5"/>
    <n v="7996.1314285714288"/>
    <n v="8795.7445714285732"/>
    <m/>
    <m/>
    <n v="0"/>
    <n v="7996.1314285714288"/>
    <n v="1"/>
    <s v="Invoiced"/>
    <d v="2017-08-28T00:00:00"/>
    <s v="Completed and handover forwarded"/>
    <s v="Mark Leal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3"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  <r>
    <m/>
    <m/>
    <m/>
    <m/>
    <m/>
    <m/>
    <m/>
    <m/>
    <m/>
    <m/>
    <m/>
    <x v="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3"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  <r>
    <m/>
    <m/>
    <m/>
    <m/>
    <x v="0"/>
    <m/>
    <m/>
    <m/>
    <m/>
    <m/>
    <m/>
    <x v="0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59">
  <r>
    <s v="Central Coast"/>
    <s v="Inv 11230"/>
    <d v="2016-07-07T00:00:00"/>
    <s v="Jul-16"/>
    <s v="2LJT04MPS038"/>
    <s v="1 Daniel Close"/>
    <n v="6496.7"/>
    <s v="Paid 04/08/16"/>
    <d v="2016-08-06T00:00:00"/>
    <s v="Completed and Submitted"/>
    <x v="0"/>
  </r>
  <r>
    <s v="Sydney"/>
    <s v="Inv 11246"/>
    <d v="2016-07-12T00:00:00"/>
    <s v="Jul-16"/>
    <s v="2PTH11MPS028,  2PTH‐11‐13"/>
    <s v="33 ALDEBARAN ST, CRANEBROOK, NSW 2749"/>
    <n v="638.82000000000005"/>
    <s v="Paid, 21/07/16"/>
    <d v="2016-08-11T00:00:00"/>
    <s v="Completed and Submitted"/>
    <x v="1"/>
  </r>
  <r>
    <s v="Central Coast"/>
    <s v="Inv 11259"/>
    <d v="2016-07-15T00:00:00"/>
    <s v="Jul-16"/>
    <s v="2LJT-04 FDA-38-PDH-0001 "/>
    <s v="1 Daniel Close ‐ PON Patching"/>
    <n v="386"/>
    <s v="Paid 04/08/16"/>
    <d v="2016-08-14T00:00:00"/>
    <s v="Completed and Submitted"/>
    <x v="0"/>
  </r>
  <r>
    <s v="Sydney"/>
    <s v="Inv 11260"/>
    <d v="2016-07-15T00:00:00"/>
    <s v="Jul-16"/>
    <s v="PCD Workmanship 511066‐208073794"/>
    <s v="22 Alanson Av Bulli"/>
    <n v="384.42"/>
    <s v="Paid 11/08/16"/>
    <d v="2016-08-14T00:00:00"/>
    <s v="Completed and Submitted"/>
    <x v="2"/>
  </r>
  <r>
    <s v="Canberra"/>
    <s v="Inv 11275"/>
    <d v="2016-07-22T00:00:00"/>
    <s v="Jul-16"/>
    <s v="9QBN08MPS028"/>
    <s v="189 Gilmore Road"/>
    <n v="3049.68"/>
    <s v="Paid 23/08/16"/>
    <d v="2016-08-21T00:00:00"/>
    <s v="Completed and Submitted"/>
    <x v="3"/>
  </r>
  <r>
    <s v="Canberra"/>
    <s v="Inv 11276"/>
    <d v="2016-07-22T00:00:00"/>
    <s v="Jul-16"/>
    <s v="9QBN03 MPS103"/>
    <s v="12 Morisset Street Queanbeyan,  189 Gilmore Road"/>
    <n v="18981.32"/>
    <s v="Paid 11/08/16"/>
    <d v="2016-08-21T00:00:00"/>
    <s v="Completed and Submitted"/>
    <x v="3"/>
  </r>
  <r>
    <s v="Canberra"/>
    <s v="Inv 11277"/>
    <d v="2016-07-22T00:00:00"/>
    <s v="Jul-16"/>
    <s v="9QBN05MPS090"/>
    <s v="Unit 6 -18 Gilmore Road"/>
    <n v="908.65"/>
    <s v="Paid 11/08/16"/>
    <d v="2016-08-21T00:00:00"/>
    <s v="Completed and Submitted"/>
    <x v="3"/>
  </r>
  <r>
    <s v="Canberra"/>
    <s v="Inv 11278"/>
    <d v="2016-07-22T00:00:00"/>
    <s v="Jul-16"/>
    <s v="9QBN05MPS119"/>
    <s v="Unit 5 -83-85 Tharwa Road"/>
    <n v="1715.28"/>
    <s v="Paid 11/08/16"/>
    <d v="2016-08-21T00:00:00"/>
    <s v="Completed and Submitted"/>
    <x v="3"/>
  </r>
  <r>
    <s v="Canberra"/>
    <s v="Inv 11315"/>
    <d v="2016-08-04T00:00:00"/>
    <s v="Aug-16"/>
    <s v="9CVI02MPS095 DCD Priority - TOW000012997405"/>
    <s v="Level 1, 17 Moore St, Canberra"/>
    <n v="640.70000000000005"/>
    <s v="Paid 18/08/16"/>
    <d v="2016-09-03T00:00:00"/>
    <s v="Completed and Submitted"/>
    <x v="4"/>
  </r>
  <r>
    <s v="Canberra"/>
    <s v="Inv 11316"/>
    <d v="2016-08-04T00:00:00"/>
    <s v="Aug-16"/>
    <s v="9CVI02MPS116 TOW000011288252"/>
    <s v="OFFC 1, Lvl 5 71 NORTHBOURNE AV CANBERRA"/>
    <n v="3545.36"/>
    <s v="Paid 18/08/16"/>
    <d v="2016-09-03T00:00:00"/>
    <s v="Completed and Submitted"/>
    <x v="4"/>
  </r>
  <r>
    <s v="Canberra"/>
    <s v="Inv 11317"/>
    <d v="2016-08-04T00:00:00"/>
    <s v="Aug-16"/>
    <s v="9CVI02MPS054 TOW000013224012 LOC000140067459"/>
    <s v="GRIFFIN CENTRE ROOM LIFT PHONE, 20 GENGE ST CANBERRA"/>
    <n v="875.7"/>
    <s v="Paid 18/08/16"/>
    <d v="2016-09-03T00:00:00"/>
    <s v="Completed and Submitted"/>
    <x v="4"/>
  </r>
  <r>
    <s v="Canberra"/>
    <s v="Inv 11318"/>
    <d v="2016-08-04T00:00:00"/>
    <s v="Aug-16"/>
    <s v="9CVI-02-14-MPT-001 Serial MPT"/>
    <s v="15 Childers St"/>
    <n v="899.48"/>
    <s v="Paid 18/08/16"/>
    <d v="2016-09-03T00:00:00"/>
    <s v="Completed and Submitted"/>
    <x v="4"/>
  </r>
  <r>
    <s v="Canberra"/>
    <s v="Inv 11319"/>
    <d v="2016-08-04T00:00:00"/>
    <s v="Aug-16"/>
    <s v="9QBN08MPS044 &amp; 045"/>
    <s v="8 &amp; 10 Nimmitabel ST QUEANBEYAN WEST"/>
    <n v="3391.28"/>
    <s v="Paid 18/08/16"/>
    <d v="2016-09-03T00:00:00"/>
    <s v="Completed and Submitted"/>
    <x v="4"/>
  </r>
  <r>
    <s v="Canberra"/>
    <s v="Inv 11320"/>
    <d v="2016-08-04T00:00:00"/>
    <s v="Aug-16"/>
    <s v="9CVI-02-19"/>
    <s v="Verity Lane"/>
    <n v="16896.240000000002"/>
    <s v="Paid 18/08/16"/>
    <d v="2016-09-03T00:00:00"/>
    <s v="Completed and Submitted"/>
    <x v="4"/>
  </r>
  <r>
    <s v="Canberra"/>
    <s v="Inv 11321"/>
    <d v="2016-08-04T00:00:00"/>
    <s v="Aug-16"/>
    <s v="9CVI01MPS061"/>
    <s v="108 Northbourne Ave"/>
    <n v="3802.63"/>
    <s v="Paid 18/08/16"/>
    <d v="2016-09-03T00:00:00"/>
    <s v="Completed and Submitted"/>
    <x v="4"/>
  </r>
  <r>
    <s v="Canberra"/>
    <s v="Inv 11322"/>
    <d v="2016-08-04T00:00:00"/>
    <s v="Aug-16"/>
    <s v="9CVI02MPS237"/>
    <s v="188 London CCT"/>
    <n v="4683.28"/>
    <s v="Paid 18/08/16"/>
    <d v="2016-09-03T00:00:00"/>
    <s v="Completed and Submitted"/>
    <x v="4"/>
  </r>
  <r>
    <s v="Canberra"/>
    <s v="Inv 11323"/>
    <d v="2016-08-04T00:00:00"/>
    <s v="Aug-16"/>
    <s v="511066-209291405"/>
    <s v="27 RIVER ST  OAKS ESTATE ACT 2620"/>
    <n v="256.27999999999997"/>
    <s v="Paid 25/08/16"/>
    <d v="2016-09-03T00:00:00"/>
    <s v="Completed and Submitted"/>
    <x v="4"/>
  </r>
  <r>
    <s v="Canberra"/>
    <s v="Inv 11324"/>
    <d v="2016-08-04T00:00:00"/>
    <s v="Aug-16"/>
    <s v="ORD000055923288 / TOW000013795979"/>
    <s v="MELBOURNE BUILDING SHOP 2, 72 ALINGA ST CANBERRA"/>
    <n v="256.27999999999997"/>
    <s v="Paid 06/09/16"/>
    <d v="2016-09-03T00:00:00"/>
    <s v="Completed and Submitted"/>
    <x v="4"/>
  </r>
  <r>
    <s v="Central Coast"/>
    <s v="Inv 11335"/>
    <d v="2016-08-10T00:00:00"/>
    <s v="Aug-16"/>
    <s v="2LJT04MPS038 "/>
    <s v="1 Daniel Close ‐ PON Patching"/>
    <n v="328.55"/>
    <s v="Paid 23/08/16"/>
    <d v="2016-09-09T00:00:00"/>
    <s v="Completed and Submitted"/>
    <x v="0"/>
  </r>
  <r>
    <s v="Sydney"/>
    <s v="Inv 11342"/>
    <d v="2016-08-12T00:00:00"/>
    <s v="Aug-16"/>
    <s v="2PTH‐11‐11"/>
    <s v="HELD ORDER 14 Thuroong Pl Cranebrook"/>
    <n v="768.84"/>
    <s v="Paid 23/08/16"/>
    <d v="2016-09-11T00:00:00"/>
    <s v="Completed and Submitted"/>
    <x v="5"/>
  </r>
  <r>
    <s v="Central Coast"/>
    <s v="Inv 11417"/>
    <d v="2016-09-01T00:00:00"/>
    <s v="Sep-16"/>
    <s v="2LJT01MPS014 "/>
    <s v="5-25 Berkeley Road, Glenning Valley"/>
    <n v="4497.58"/>
    <s v="Paid 18/10/16"/>
    <d v="2016-10-01T00:00:00"/>
    <s v="Completed and Submitted"/>
    <x v="6"/>
  </r>
  <r>
    <s v="Sydney"/>
    <s v="inv 11475"/>
    <d v="2016-09-30T00:00:00"/>
    <s v="Sep-16"/>
    <s v="Held Order"/>
    <s v="175 Walters rd blacktown NSW LOC000135691929 "/>
    <n v="5591.25"/>
    <s v="Paid 23/09/16"/>
    <d v="2016-10-30T00:00:00"/>
    <s v="Completed and Submitted"/>
    <x v="6"/>
  </r>
  <r>
    <s v="Canberra"/>
    <s v="Inv 11416"/>
    <d v="2016-09-01T00:00:00"/>
    <s v="Sep-16"/>
    <s v="9QBN08MPS078"/>
    <s v="52 MCCRAE ST"/>
    <n v="1213.08"/>
    <s v="Paid 1/09/16"/>
    <d v="2016-10-01T00:00:00"/>
    <s v="Completed and Submitted"/>
    <x v="4"/>
  </r>
  <r>
    <s v="Canberra"/>
    <s v="Inv 11415"/>
    <d v="2016-09-01T00:00:00"/>
    <s v="Sep-16"/>
    <s v="9CVI02MPS047"/>
    <s v="MDU Variations_20160727 - 15 Edinburgh Ave"/>
    <n v="512.55999999999995"/>
    <s v="Paid 06/09/16"/>
    <d v="2016-10-01T00:00:00"/>
    <s v="Completed and Submitted"/>
    <x v="4"/>
  </r>
  <r>
    <s v="Canberra"/>
    <s v="Inv 11411"/>
    <d v="2016-09-01T00:00:00"/>
    <s v="Sep-16"/>
    <s v="9CRC10MPS013"/>
    <s v="TOW000013903053 LOC000110936522 - UNIT 8, 15 FREDA BENNETT CCT NICHOLLS"/>
    <n v="1077.28"/>
    <s v="Paid 13/09/16"/>
    <d v="2016-10-01T00:00:00"/>
    <s v="Completed and Submitted"/>
    <x v="4"/>
  </r>
  <r>
    <s v="Canberra"/>
    <s v="Inv 11414"/>
    <d v="2016-09-01T00:00:00"/>
    <s v="Sep-16"/>
    <s v="9CRC10MPS018"/>
    <s v="TOW000013648577 LOC000110371504 - UNIT 6, 21 KRANTZCKE CCT NICHOLLS"/>
    <n v="512.55999999999995"/>
    <s v="Paid 13/09/16"/>
    <d v="2016-10-01T00:00:00"/>
    <s v="Completed and Submitted"/>
    <x v="4"/>
  </r>
  <r>
    <s v="Canberra"/>
    <s v="Inv 11412"/>
    <d v="2016-09-01T00:00:00"/>
    <s v="Sep-16"/>
    <s v="9CRC10MPS019"/>
    <s v="TOW000013783470 LOC000112451193 - UNIT 24, 23 TEMPERLEY ST NICHOLLS"/>
    <n v="512.55999999999995"/>
    <s v="Paid 13/09/16"/>
    <d v="2016-10-01T00:00:00"/>
    <s v="Completed and Submitted"/>
    <x v="4"/>
  </r>
  <r>
    <s v="Canberra"/>
    <s v="Inv 11413"/>
    <d v="2016-09-01T00:00:00"/>
    <s v="Sep-16"/>
    <s v="9QBN03MPS034"/>
    <s v="TOW000013432629 - SHOP 5, 251 CRAWFORD ST QUEANBEYAN"/>
    <n v="512.55999999999995"/>
    <s v="Paid 1/09/16"/>
    <d v="2016-10-01T00:00:00"/>
    <s v="Completed and Submitted"/>
    <x v="4"/>
  </r>
  <r>
    <s v="Central Coast"/>
    <s v="Inv 11426"/>
    <d v="2016-09-08T00:00:00"/>
    <s v="Sep-16"/>
    <s v="ORD000056464722 / TOW000013947443 "/>
    <s v="UNIT 5, 319 MANN ST  GOSFORD"/>
    <n v="512.55999999999995"/>
    <s v="Paid 15/09/16"/>
    <d v="2016-10-08T00:00:00"/>
    <s v="Completed and Submitted"/>
    <x v="6"/>
  </r>
  <r>
    <s v="Central Coast"/>
    <s v="Inv 11438"/>
    <d v="2016-09-14T00:00:00"/>
    <s v="Sep-16"/>
    <s v="TOW000014456761 "/>
    <s v="25 Hutton Road Held Order"/>
    <n v="893.48"/>
    <s v="Paid 27/09/16"/>
    <d v="2016-10-14T00:00:00"/>
    <s v="Completed and Submitted"/>
    <x v="6"/>
  </r>
  <r>
    <s v="Sydney"/>
    <s v="Inv 11496"/>
    <d v="2016-09-30T00:00:00"/>
    <s v="Sep-16"/>
    <s v="2WLG-08-03 "/>
    <s v="7 Flinders St"/>
    <n v="19832.03"/>
    <s v="Paid 29/09/16"/>
    <d v="2016-10-30T00:00:00"/>
    <s v="Completed and Submitted"/>
    <x v="1"/>
  </r>
  <r>
    <s v="Sydney"/>
    <s v="Inv 11445"/>
    <d v="2016-09-30T00:00:00"/>
    <s v="Sep-16"/>
    <s v="2WLG-08-00-MPS-201 "/>
    <s v="Unit 7, 70-74 Smith St"/>
    <n v="384.42"/>
    <s v="Paid 22/09/16"/>
    <d v="2016-10-30T00:00:00"/>
    <s v="Completed and Submitted"/>
    <x v="5"/>
  </r>
  <r>
    <s v="Sydney"/>
    <s v="Inv 11446"/>
    <d v="2016-09-30T00:00:00"/>
    <s v="Sep-16"/>
    <s v="2WLG-08-00-MPS-152 "/>
    <s v="Unit 2, 4 Market Place"/>
    <n v="512.55999999999995"/>
    <s v="Paid 22/09/16"/>
    <d v="2016-10-30T00:00:00"/>
    <s v="Completed and Submitted"/>
    <x v="5"/>
  </r>
  <r>
    <s v="Sydney"/>
    <s v="Inv 11476"/>
    <d v="2016-09-30T00:00:00"/>
    <s v="Sep-16"/>
    <s v="Held Order"/>
    <s v="Lot 2, 175 Walters rd blacktown"/>
    <n v="608.1"/>
    <s v="Paid 23/09/16"/>
    <d v="2016-10-30T00:00:00"/>
    <s v="Completed and Submitted"/>
    <x v="6"/>
  </r>
  <r>
    <s v="Canberra"/>
    <s v="Inv - 11502"/>
    <d v="2016-09-30T00:00:00"/>
    <s v="Sep-16"/>
    <s v="9CRC-02 TOW000010473767  "/>
    <s v="ACTEW AGL Power Substation - Mirrabei Dr, Ngunnawal"/>
    <n v="4012.19"/>
    <s v="Paid 30/09/16"/>
    <d v="2016-10-30T00:00:00"/>
    <s v="Completed and Submitted"/>
    <x v="4"/>
  </r>
  <r>
    <s v="Canberra"/>
    <s v="Inv - 11503"/>
    <d v="2016-09-30T00:00:00"/>
    <s v="Sep-16"/>
    <s v="9CVI02MPS166 TOW000014090216 "/>
    <s v="SE1 22 Garema Pl"/>
    <n v="1440.56"/>
    <s v="Paid 30/09/16"/>
    <d v="2016-10-30T00:00:00"/>
    <s v="Completed and Submitted"/>
    <x v="4"/>
  </r>
  <r>
    <s v="Canberra"/>
    <s v="Inv - 11504"/>
    <d v="2016-09-30T00:00:00"/>
    <s v="Sep-16"/>
    <s v="9QBN03MPS106 - TOW000012704932"/>
    <s v="7-9 Morriset St"/>
    <n v="3261.46"/>
    <s v="Paid 30/09/16"/>
    <d v="2016-10-30T00:00:00"/>
    <s v="Completed and Submitted"/>
    <x v="4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  <r>
    <m/>
    <m/>
    <m/>
    <m/>
    <m/>
    <m/>
    <m/>
    <m/>
    <m/>
    <m/>
    <x v="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59">
  <r>
    <x v="0"/>
    <s v="Inv 11230"/>
    <d v="2016-07-07T00:00:00"/>
    <x v="0"/>
    <s v="2LJT04MPS038"/>
    <s v="1 Daniel Close"/>
    <n v="6496.7"/>
    <s v="Paid 04/08/16"/>
    <d v="2016-08-06T00:00:00"/>
    <s v="Completed and Submitted"/>
    <s v="Sam Mikhail"/>
  </r>
  <r>
    <x v="1"/>
    <s v="Inv 11246"/>
    <d v="2016-07-12T00:00:00"/>
    <x v="0"/>
    <s v="2PTH11MPS028,  2PTH‐11‐13"/>
    <s v="33 ALDEBARAN ST, CRANEBROOK, NSW 2749"/>
    <n v="638.82000000000005"/>
    <s v="Paid, 21/07/16"/>
    <d v="2016-08-11T00:00:00"/>
    <s v="Completed and Submitted"/>
    <s v="Sam Belani"/>
  </r>
  <r>
    <x v="0"/>
    <s v="Inv 11259"/>
    <d v="2016-07-15T00:00:00"/>
    <x v="0"/>
    <s v="2LJT-04 FDA-38-PDH-0001 "/>
    <s v="1 Daniel Close ‐ PON Patching"/>
    <n v="386"/>
    <s v="Paid 04/08/16"/>
    <d v="2016-08-14T00:00:00"/>
    <s v="Completed and Submitted"/>
    <s v="Sam Mikhail"/>
  </r>
  <r>
    <x v="1"/>
    <s v="Inv 11260"/>
    <d v="2016-07-15T00:00:00"/>
    <x v="0"/>
    <s v="PCD Workmanship 511066‐208073794"/>
    <s v="22 Alanson Av Bulli"/>
    <n v="384.42"/>
    <s v="Paid 11/08/16"/>
    <d v="2016-08-14T00:00:00"/>
    <s v="Completed and Submitted"/>
    <s v="Ahmad Faqiri"/>
  </r>
  <r>
    <x v="2"/>
    <s v="Inv 11275"/>
    <d v="2016-07-22T00:00:00"/>
    <x v="0"/>
    <s v="9QBN08MPS028"/>
    <s v="189 Gilmore Road"/>
    <n v="3049.68"/>
    <s v="Paid 23/08/16"/>
    <d v="2016-08-21T00:00:00"/>
    <s v="Completed and Submitted"/>
    <s v="Tina Mok"/>
  </r>
  <r>
    <x v="2"/>
    <s v="Inv 11276"/>
    <d v="2016-07-22T00:00:00"/>
    <x v="0"/>
    <s v="9QBN03 MPS103"/>
    <s v="12 Morisset Street Queanbeyan,  189 Gilmore Road"/>
    <n v="18981.32"/>
    <s v="Paid 11/08/16"/>
    <d v="2016-08-21T00:00:00"/>
    <s v="Completed and Submitted"/>
    <s v="Tina Mok"/>
  </r>
  <r>
    <x v="2"/>
    <s v="Inv 11277"/>
    <d v="2016-07-22T00:00:00"/>
    <x v="0"/>
    <s v="9QBN05MPS090"/>
    <s v="Unit 6 -18 Gilmore Road"/>
    <n v="908.65"/>
    <s v="Paid 11/08/16"/>
    <d v="2016-08-21T00:00:00"/>
    <s v="Completed and Submitted"/>
    <s v="Tina Mok"/>
  </r>
  <r>
    <x v="2"/>
    <s v="Inv 11278"/>
    <d v="2016-07-22T00:00:00"/>
    <x v="0"/>
    <s v="9QBN05MPS119"/>
    <s v="Unit 5 -83-85 Tharwa Road"/>
    <n v="1715.28"/>
    <s v="Paid 11/08/16"/>
    <d v="2016-08-21T00:00:00"/>
    <s v="Completed and Submitted"/>
    <s v="Tina Mok"/>
  </r>
  <r>
    <x v="2"/>
    <s v="Inv 11315"/>
    <d v="2016-08-04T00:00:00"/>
    <x v="1"/>
    <s v="9CVI02MPS095 DCD Priority - TOW000012997405"/>
    <s v="Level 1, 17 Moore St, Canberra"/>
    <n v="640.70000000000005"/>
    <s v="Paid 18/08/16"/>
    <d v="2016-09-03T00:00:00"/>
    <s v="Completed and Submitted"/>
    <s v="Adrian Mills"/>
  </r>
  <r>
    <x v="2"/>
    <s v="Inv 11316"/>
    <d v="2016-08-04T00:00:00"/>
    <x v="1"/>
    <s v="9CVI02MPS116 TOW000011288252"/>
    <s v="OFFC 1, Lvl 5 71 NORTHBOURNE AV CANBERRA"/>
    <n v="3545.36"/>
    <s v="Paid 18/08/16"/>
    <d v="2016-09-03T00:00:00"/>
    <s v="Completed and Submitted"/>
    <s v="Adrian Mills"/>
  </r>
  <r>
    <x v="2"/>
    <s v="Inv 11317"/>
    <d v="2016-08-04T00:00:00"/>
    <x v="1"/>
    <s v="9CVI02MPS054 TOW000013224012 LOC000140067459"/>
    <s v="GRIFFIN CENTRE ROOM LIFT PHONE, 20 GENGE ST CANBERRA"/>
    <n v="875.7"/>
    <s v="Paid 18/08/16"/>
    <d v="2016-09-03T00:00:00"/>
    <s v="Completed and Submitted"/>
    <s v="Adrian Mills"/>
  </r>
  <r>
    <x v="2"/>
    <s v="Inv 11318"/>
    <d v="2016-08-04T00:00:00"/>
    <x v="1"/>
    <s v="9CVI-02-14-MPT-001 Serial MPT"/>
    <s v="15 Childers St"/>
    <n v="899.48"/>
    <s v="Paid 18/08/16"/>
    <d v="2016-09-03T00:00:00"/>
    <s v="Completed and Submitted"/>
    <s v="Adrian Mills"/>
  </r>
  <r>
    <x v="2"/>
    <s v="Inv 11319"/>
    <d v="2016-08-04T00:00:00"/>
    <x v="1"/>
    <s v="9QBN08MPS044 &amp; 045"/>
    <s v="8 &amp; 10 Nimmitabel ST QUEANBEYAN WEST"/>
    <n v="3391.28"/>
    <s v="Paid 18/08/16"/>
    <d v="2016-09-03T00:00:00"/>
    <s v="Completed and Submitted"/>
    <s v="Adrian Mills"/>
  </r>
  <r>
    <x v="2"/>
    <s v="Inv 11320"/>
    <d v="2016-08-04T00:00:00"/>
    <x v="1"/>
    <s v="9CVI-02-19"/>
    <s v="Verity Lane"/>
    <n v="16896.240000000002"/>
    <s v="Paid 18/08/16"/>
    <d v="2016-09-03T00:00:00"/>
    <s v="Completed and Submitted"/>
    <s v="Adrian Mills"/>
  </r>
  <r>
    <x v="2"/>
    <s v="Inv 11321"/>
    <d v="2016-08-04T00:00:00"/>
    <x v="1"/>
    <s v="9CVI01MPS061"/>
    <s v="108 Northbourne Ave"/>
    <n v="3802.63"/>
    <s v="Paid 18/08/16"/>
    <d v="2016-09-03T00:00:00"/>
    <s v="Completed and Submitted"/>
    <s v="Adrian Mills"/>
  </r>
  <r>
    <x v="2"/>
    <s v="Inv 11322"/>
    <d v="2016-08-04T00:00:00"/>
    <x v="1"/>
    <s v="9CVI02MPS237"/>
    <s v="188 London CCT"/>
    <n v="4683.28"/>
    <s v="Paid 18/08/16"/>
    <d v="2016-09-03T00:00:00"/>
    <s v="Completed and Submitted"/>
    <s v="Adrian Mills"/>
  </r>
  <r>
    <x v="2"/>
    <s v="Inv 11323"/>
    <d v="2016-08-04T00:00:00"/>
    <x v="1"/>
    <s v="511066-209291405"/>
    <s v="27 RIVER ST  OAKS ESTATE ACT 2620"/>
    <n v="256.27999999999997"/>
    <s v="Paid 25/08/16"/>
    <d v="2016-09-03T00:00:00"/>
    <s v="Completed and Submitted"/>
    <s v="Adrian Mills"/>
  </r>
  <r>
    <x v="2"/>
    <s v="Inv 11324"/>
    <d v="2016-08-04T00:00:00"/>
    <x v="1"/>
    <s v="ORD000055923288 / TOW000013795979"/>
    <s v="MELBOURNE BUILDING SHOP 2, 72 ALINGA ST CANBERRA"/>
    <n v="256.27999999999997"/>
    <s v="Paid 06/09/16"/>
    <d v="2016-09-03T00:00:00"/>
    <s v="Completed and Submitted"/>
    <s v="Adrian Mills"/>
  </r>
  <r>
    <x v="0"/>
    <s v="Inv 11335"/>
    <d v="2016-08-10T00:00:00"/>
    <x v="1"/>
    <s v="2LJT04MPS038 "/>
    <s v="1 Daniel Close ‐ PON Patching"/>
    <n v="328.55"/>
    <s v="Paid 23/08/16"/>
    <d v="2016-09-09T00:00:00"/>
    <s v="Completed and Submitted"/>
    <s v="Sam Mikhail"/>
  </r>
  <r>
    <x v="1"/>
    <s v="Inv 11342"/>
    <d v="2016-08-12T00:00:00"/>
    <x v="1"/>
    <s v="2PTH‐11‐11"/>
    <s v="HELD ORDER 14 Thuroong Pl Cranebrook"/>
    <n v="768.84"/>
    <s v="Paid 23/08/16"/>
    <d v="2016-09-11T00:00:00"/>
    <s v="Completed and Submitted"/>
    <s v="Azar Toyserkany"/>
  </r>
  <r>
    <x v="0"/>
    <s v="Inv 11417"/>
    <d v="2016-09-01T00:00:00"/>
    <x v="2"/>
    <s v="2LJT01MPS014 "/>
    <s v="5-25 Berkeley Road, Glenning Valley"/>
    <n v="4497.58"/>
    <s v="Paid 18/10/16"/>
    <d v="2016-10-01T00:00:00"/>
    <s v="Completed and Submitted"/>
    <s v="Jay Shrestha"/>
  </r>
  <r>
    <x v="1"/>
    <s v="inv 11475"/>
    <d v="2016-09-30T00:00:00"/>
    <x v="2"/>
    <s v="Held Order"/>
    <s v="175 Walters rd blacktown NSW LOC000135691929 "/>
    <n v="5591.25"/>
    <s v="Paid 23/09/16"/>
    <d v="2016-10-30T00:00:00"/>
    <s v="Completed and Submitted"/>
    <s v="Jay Shrestha"/>
  </r>
  <r>
    <x v="2"/>
    <s v="Inv 11416"/>
    <d v="2016-09-01T00:00:00"/>
    <x v="2"/>
    <s v="9QBN08MPS078"/>
    <s v="52 MCCRAE ST"/>
    <n v="1213.08"/>
    <s v="Paid 1/09/16"/>
    <d v="2016-10-01T00:00:00"/>
    <s v="Completed and Submitted"/>
    <s v="Adrian Mills"/>
  </r>
  <r>
    <x v="2"/>
    <s v="Inv 11415"/>
    <d v="2016-09-01T00:00:00"/>
    <x v="2"/>
    <s v="9CVI02MPS047"/>
    <s v="MDU Variations_20160727 - 15 Edinburgh Ave"/>
    <n v="512.55999999999995"/>
    <s v="Paid 06/09/16"/>
    <d v="2016-10-01T00:00:00"/>
    <s v="Completed and Submitted"/>
    <s v="Adrian Mills"/>
  </r>
  <r>
    <x v="2"/>
    <s v="Inv 11411"/>
    <d v="2016-09-01T00:00:00"/>
    <x v="2"/>
    <s v="9CRC10MPS013"/>
    <s v="TOW000013903053 LOC000110936522 - UNIT 8, 15 FREDA BENNETT CCT NICHOLLS"/>
    <n v="1077.28"/>
    <s v="Paid 13/09/16"/>
    <d v="2016-10-01T00:00:00"/>
    <s v="Completed and Submitted"/>
    <s v="Adrian Mills"/>
  </r>
  <r>
    <x v="2"/>
    <s v="Inv 11414"/>
    <d v="2016-09-01T00:00:00"/>
    <x v="2"/>
    <s v="9CRC10MPS018"/>
    <s v="TOW000013648577 LOC000110371504 - UNIT 6, 21 KRANTZCKE CCT NICHOLLS"/>
    <n v="512.55999999999995"/>
    <s v="Paid 13/09/16"/>
    <d v="2016-10-01T00:00:00"/>
    <s v="Completed and Submitted"/>
    <s v="Adrian Mills"/>
  </r>
  <r>
    <x v="2"/>
    <s v="Inv 11412"/>
    <d v="2016-09-01T00:00:00"/>
    <x v="2"/>
    <s v="9CRC10MPS019"/>
    <s v="TOW000013783470 LOC000112451193 - UNIT 24, 23 TEMPERLEY ST NICHOLLS"/>
    <n v="512.55999999999995"/>
    <s v="Paid 13/09/16"/>
    <d v="2016-10-01T00:00:00"/>
    <s v="Completed and Submitted"/>
    <s v="Adrian Mills"/>
  </r>
  <r>
    <x v="2"/>
    <s v="Inv 11413"/>
    <d v="2016-09-01T00:00:00"/>
    <x v="2"/>
    <s v="9QBN03MPS034"/>
    <s v="TOW000013432629 - SHOP 5, 251 CRAWFORD ST QUEANBEYAN"/>
    <n v="512.55999999999995"/>
    <s v="Paid 1/09/16"/>
    <d v="2016-10-01T00:00:00"/>
    <s v="Completed and Submitted"/>
    <s v="Adrian Mills"/>
  </r>
  <r>
    <x v="0"/>
    <s v="Inv 11426"/>
    <d v="2016-09-08T00:00:00"/>
    <x v="2"/>
    <s v="ORD000056464722 / TOW000013947443 "/>
    <s v="UNIT 5, 319 MANN ST  GOSFORD"/>
    <n v="512.55999999999995"/>
    <s v="Paid 15/09/16"/>
    <d v="2016-10-08T00:00:00"/>
    <s v="Completed and Submitted"/>
    <s v="Jay Shrestha"/>
  </r>
  <r>
    <x v="0"/>
    <s v="Inv 11438"/>
    <d v="2016-09-14T00:00:00"/>
    <x v="2"/>
    <s v="TOW000014456761 "/>
    <s v="25 Hutton Road Held Order"/>
    <n v="893.48"/>
    <s v="Paid 27/09/16"/>
    <d v="2016-10-14T00:00:00"/>
    <s v="Completed and Submitted"/>
    <s v="Jay Shrestha"/>
  </r>
  <r>
    <x v="1"/>
    <s v="Inv 11496"/>
    <d v="2016-09-30T00:00:00"/>
    <x v="2"/>
    <s v="2WLG-08-03 "/>
    <s v="7 Flinders St"/>
    <n v="19832.03"/>
    <s v="Paid 29/09/16"/>
    <d v="2016-10-30T00:00:00"/>
    <s v="Completed and Submitted"/>
    <s v="Sam Belani"/>
  </r>
  <r>
    <x v="1"/>
    <s v="Inv 11445"/>
    <d v="2016-09-30T00:00:00"/>
    <x v="2"/>
    <s v="2WLG-08-00-MPS-201 "/>
    <s v="Unit 7, 70-74 Smith St"/>
    <n v="384.42"/>
    <s v="Paid 22/09/16"/>
    <d v="2016-10-30T00:00:00"/>
    <s v="Completed and Submitted"/>
    <s v="Azar Toyserkany"/>
  </r>
  <r>
    <x v="1"/>
    <s v="Inv 11446"/>
    <d v="2016-09-30T00:00:00"/>
    <x v="2"/>
    <s v="2WLG-08-00-MPS-152 "/>
    <s v="Unit 2, 4 Market Place"/>
    <n v="512.55999999999995"/>
    <s v="Paid 22/09/16"/>
    <d v="2016-10-30T00:00:00"/>
    <s v="Completed and Submitted"/>
    <s v="Azar Toyserkany"/>
  </r>
  <r>
    <x v="1"/>
    <s v="Inv 11476"/>
    <d v="2016-09-30T00:00:00"/>
    <x v="2"/>
    <s v="Held Order"/>
    <s v="Lot 2, 175 Walters rd blacktown"/>
    <n v="608.1"/>
    <s v="Paid 23/09/16"/>
    <d v="2016-10-30T00:00:00"/>
    <s v="Completed and Submitted"/>
    <s v="Jay Shrestha"/>
  </r>
  <r>
    <x v="2"/>
    <s v="Inv - 11502"/>
    <d v="2016-09-30T00:00:00"/>
    <x v="2"/>
    <s v="9CRC-02 TOW000010473767  "/>
    <s v="ACTEW AGL Power Substation - Mirrabei Dr, Ngunnawal"/>
    <n v="4012.19"/>
    <s v="Paid 30/09/16"/>
    <d v="2016-10-30T00:00:00"/>
    <s v="Completed and Submitted"/>
    <s v="Adrian Mills"/>
  </r>
  <r>
    <x v="2"/>
    <s v="Inv - 11503"/>
    <d v="2016-09-30T00:00:00"/>
    <x v="2"/>
    <s v="9CVI02MPS166 TOW000014090216 "/>
    <s v="SE1 22 Garema Pl"/>
    <n v="1440.56"/>
    <s v="Paid 30/09/16"/>
    <d v="2016-10-30T00:00:00"/>
    <s v="Completed and Submitted"/>
    <s v="Adrian Mills"/>
  </r>
  <r>
    <x v="2"/>
    <s v="Inv - 11504"/>
    <d v="2016-09-30T00:00:00"/>
    <x v="2"/>
    <s v="9QBN03MPS106 - TOW000012704932"/>
    <s v="7-9 Morriset St"/>
    <n v="3261.46"/>
    <s v="Paid 30/09/16"/>
    <d v="2016-10-30T00:00:00"/>
    <s v="Completed and Submitted"/>
    <s v="Adrian Mills"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  <r>
    <x v="3"/>
    <m/>
    <m/>
    <x v="3"/>
    <m/>
    <m/>
    <m/>
    <m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5">
  <r>
    <n v="64008"/>
    <s v="Inv 11478"/>
    <d v="2016-09-30T00:00:00"/>
    <x v="0"/>
    <m/>
    <s v="RT622706 - DF Link - Level 1, 28 George Street, Sydney NSW to Level 1, 17-23 Talavera Road,"/>
    <m/>
    <n v="48180.34"/>
    <m/>
    <m/>
    <m/>
    <m/>
    <n v="50220.34"/>
    <m/>
    <m/>
    <m/>
  </r>
  <r>
    <n v="64642"/>
    <s v="Inv 11477"/>
    <d v="2016-09-30T00:00:00"/>
    <x v="0"/>
    <m/>
    <s v="RT622706 - DF Link - Level 1, 28 George Street, Sydney NSW to Level 1, 17-23 Talavera Road, Splicing"/>
    <m/>
    <n v="2040"/>
    <m/>
    <m/>
    <m/>
    <m/>
    <m/>
    <m/>
    <m/>
    <m/>
  </r>
  <r>
    <n v="64065"/>
    <s v="Inv 11567"/>
    <d v="2016-10-30T00:00:00"/>
    <x v="1"/>
    <m/>
    <s v="IX5257C01 Duct Access Study Request - CA3777096 - Dark Fibre link between Ground Floor, 21 Vidler Avenue Woy Woy NSW and 42 Mann Street, Gosford NSW"/>
    <m/>
    <n v="26995.05"/>
    <m/>
    <m/>
    <m/>
    <m/>
    <n v="26995.05"/>
    <m/>
    <m/>
    <m/>
  </r>
  <r>
    <n v="64405"/>
    <s v="Inv 11418"/>
    <d v="2016-09-01T00:00:00"/>
    <x v="0"/>
    <m/>
    <s v="RT632496 RT632497 - Cust Project - 30 Ross St to 400 Harris St "/>
    <m/>
    <n v="640"/>
    <m/>
    <m/>
    <m/>
    <m/>
    <n v="1120"/>
    <m/>
    <m/>
    <m/>
  </r>
  <r>
    <n v="64787"/>
    <s v="Inv 11419"/>
    <d v="2016-09-01T00:00:00"/>
    <x v="0"/>
    <m/>
    <s v="RT632496 RT632497 - Cust Project - 30 Ross St to 400 Harris St "/>
    <m/>
    <n v="480"/>
    <m/>
    <m/>
    <m/>
    <m/>
    <m/>
    <m/>
    <m/>
    <m/>
  </r>
  <r>
    <n v="66187"/>
    <s v="Inv 11568"/>
    <d v="2016-10-30T00:00:00"/>
    <x v="1"/>
    <m/>
    <s v="RT625696, CN25786 (External/Internal Hauling, Splicing) 21 Vidler Avenue Woy Woy NSW and 42 Mann Street, Gosford NSW"/>
    <m/>
    <n v="6659.3"/>
    <m/>
    <m/>
    <m/>
    <m/>
    <n v="6659.3"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  <r>
    <m/>
    <m/>
    <m/>
    <x v="2"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90">
  <r>
    <x v="0"/>
    <s v="Inv 11311"/>
    <d v="2016-08-02T00:00:00"/>
    <d v="2016-07-15T00:00:00"/>
    <d v="2016-07-15T00:00:00"/>
    <d v="2016-07-29T00:00:00"/>
    <d v="2016-08-03T00:00:00"/>
    <x v="0"/>
    <s v="AYCA-2KHI4F The Vault "/>
    <s v="Coffs Harbour"/>
    <n v="3313.85"/>
    <m/>
    <n v="3313.85"/>
    <n v="3645.2350000000001"/>
    <e v="#REF!"/>
    <n v="1442.6868712998539"/>
    <n v="0"/>
    <e v="#REF!"/>
    <e v="#REF!"/>
    <e v="#REF!"/>
    <s v="Invoiced"/>
    <d v="2016-08-12T00:00:00"/>
    <s v="Completed and handover forwarded"/>
  </r>
  <r>
    <x v="0"/>
    <s v="Inv 11253"/>
    <d v="2016-07-13T00:00:00"/>
    <d v="2016-07-06T00:00:00"/>
    <d v="2016-07-07T00:00:00"/>
    <d v="2016-07-21T00:00:00"/>
    <d v="2017-08-16T00:00:00"/>
    <x v="1"/>
    <s v="AYCA-20KSI0 Redgum Ridge Estate"/>
    <s v="Wollongong"/>
    <n v="4261.26"/>
    <n v="-900"/>
    <n v="3361.26"/>
    <n v="4687.3860000000004"/>
    <e v="#REF!"/>
    <n v="1208.710058644333"/>
    <n v="0"/>
    <e v="#REF!"/>
    <e v="#REF!"/>
    <e v="#REF!"/>
    <s v="Invoiced"/>
    <d v="2016-08-04T00:00:00"/>
    <s v="Completed and handover forwarded"/>
  </r>
  <r>
    <x v="0"/>
    <s v="Inv 11661"/>
    <d v="2016-10-17T00:00:00"/>
    <d v="2016-08-18T00:00:00"/>
    <d v="2016-10-11T00:00:00"/>
    <d v="2016-10-17T00:00:00"/>
    <d v="2016-10-31T00:00:00"/>
    <x v="2"/>
    <s v="AYCA-2PFFWC - 19 Brae Street, Prospect and Variation"/>
    <s v="Prospect"/>
    <n v="4018.06"/>
    <n v="935"/>
    <n v="4953.0599999999995"/>
    <n v="4419.866"/>
    <e v="#REF!"/>
    <n v="1582.647028001287"/>
    <n v="0"/>
    <e v="#REF!"/>
    <e v="#REF!"/>
    <e v="#REF!"/>
    <s v="Invoiced"/>
    <d v="2016-10-31T00:00:00"/>
    <s v="Completed and handover forwarded"/>
  </r>
  <r>
    <x v="0"/>
    <s v="Inv 11346"/>
    <d v="2016-08-15T00:00:00"/>
    <d v="2016-07-22T00:00:00"/>
    <d v="2016-08-30T00:00:00"/>
    <d v="2016-09-13T00:00:00"/>
    <d v="2016-08-15T00:00:00"/>
    <x v="0"/>
    <s v="AYCA-24VU33 Bunya Lot 3075-3077 "/>
    <s v="Doonside"/>
    <n v="771.34"/>
    <m/>
    <n v="771.34"/>
    <n v="848.47400000000016"/>
    <e v="#REF!"/>
    <m/>
    <n v="0"/>
    <e v="#REF!"/>
    <e v="#REF!"/>
    <e v="#REF!"/>
    <s v="Invoiced"/>
    <d v="2016-09-27T00:00:00"/>
    <s v="Completed and handover forwarded"/>
  </r>
  <r>
    <x v="0"/>
    <s v="Inv 11344"/>
    <d v="2016-08-15T00:00:00"/>
    <d v="2016-07-22T00:00:00"/>
    <d v="2016-08-30T00:00:00"/>
    <d v="2016-09-13T00:00:00"/>
    <d v="2016-08-15T00:00:00"/>
    <x v="0"/>
    <s v="AYCA-24VUME - Bunya Lot 6208 "/>
    <s v="Doonside"/>
    <n v="5884.1"/>
    <m/>
    <n v="5884.1"/>
    <n v="6472.5100000000011"/>
    <e v="#REF!"/>
    <m/>
    <n v="0"/>
    <e v="#REF!"/>
    <e v="#REF!"/>
    <e v="#REF!"/>
    <s v="Invoiced"/>
    <d v="2016-09-27T00:00:00"/>
    <s v="Completed and handover forwarded"/>
  </r>
  <r>
    <x v="0"/>
    <s v="Inv 11349"/>
    <d v="2016-08-15T00:00:00"/>
    <d v="2016-07-22T00:00:00"/>
    <d v="2016-08-30T00:00:00"/>
    <d v="2016-09-13T00:00:00"/>
    <d v="2016-08-15T00:00:00"/>
    <x v="0"/>
    <s v="AYCA-24VSRG - Bunya Lot 2272"/>
    <s v="Doonside"/>
    <n v="2528.1"/>
    <m/>
    <n v="2528.1"/>
    <n v="2780.9100000000003"/>
    <e v="#REF!"/>
    <m/>
    <n v="0"/>
    <e v="#REF!"/>
    <e v="#REF!"/>
    <e v="#REF!"/>
    <s v="Invoiced"/>
    <d v="2016-09-27T00:00:00"/>
    <s v="Completed and handover forwarded"/>
  </r>
  <r>
    <x v="0"/>
    <s v="Inv 11345"/>
    <d v="2016-08-15T00:00:00"/>
    <d v="2016-07-22T00:00:00"/>
    <d v="2016-08-30T00:00:00"/>
    <d v="2016-09-13T00:00:00"/>
    <d v="2016-08-15T00:00:00"/>
    <x v="0"/>
    <s v="AYCA-24VUGB - Bunya Lot 6000 "/>
    <s v="Doonside"/>
    <n v="2736.89"/>
    <m/>
    <n v="2736.89"/>
    <n v="3010.5790000000002"/>
    <e v="#REF!"/>
    <m/>
    <n v="0"/>
    <e v="#REF!"/>
    <e v="#REF!"/>
    <e v="#REF!"/>
    <s v="Invoiced"/>
    <d v="2016-09-27T00:00:00"/>
    <s v="Completed and handover forwarded"/>
  </r>
  <r>
    <x v="0"/>
    <s v="Inv 11343"/>
    <d v="2016-08-15T00:00:00"/>
    <d v="2016-07-22T00:00:00"/>
    <d v="2016-08-30T00:00:00"/>
    <d v="2016-09-13T00:00:00"/>
    <d v="2016-08-15T00:00:00"/>
    <x v="0"/>
    <s v="AYCA-24VUJT - Bunya Lot 6207 + vari PON Patch"/>
    <s v="Doonside"/>
    <n v="2248.67"/>
    <n v="100"/>
    <n v="2348.67"/>
    <n v="2583.5370000000003"/>
    <e v="#REF!"/>
    <m/>
    <n v="0"/>
    <e v="#REF!"/>
    <e v="#REF!"/>
    <e v="#REF!"/>
    <s v="Invoiced"/>
    <d v="2016-09-27T00:00:00"/>
    <s v="Completed and handover forwarded"/>
  </r>
  <r>
    <x v="0"/>
    <s v="Inv 11348"/>
    <d v="2016-08-15T00:00:00"/>
    <d v="2016-07-22T00:00:00"/>
    <d v="2016-08-30T00:00:00"/>
    <d v="2016-09-13T00:00:00"/>
    <d v="2016-08-15T00:00:00"/>
    <x v="0"/>
    <s v="AYCA-24VU6N - Bunya Lot 5014 + vari PON Patch"/>
    <s v="Doonside"/>
    <n v="2399.02"/>
    <n v="100"/>
    <n v="2499.02"/>
    <n v="2748.922"/>
    <e v="#REF!"/>
    <m/>
    <n v="0"/>
    <e v="#REF!"/>
    <e v="#REF!"/>
    <e v="#REF!"/>
    <s v="Invoiced"/>
    <d v="2016-09-27T00:00:00"/>
    <s v="Completed and handover forwarded"/>
  </r>
  <r>
    <x v="0"/>
    <s v="Inv 11347"/>
    <d v="2016-08-15T00:00:00"/>
    <d v="2016-07-22T00:00:00"/>
    <d v="2016-08-30T00:00:00"/>
    <d v="2016-09-13T00:00:00"/>
    <d v="2016-08-15T00:00:00"/>
    <x v="0"/>
    <s v="AYCA-24VU9K - Bunya Lot 5055"/>
    <s v="Doonside"/>
    <n v="2241.84"/>
    <m/>
    <n v="2241.84"/>
    <n v="2466.0240000000003"/>
    <e v="#REF!"/>
    <m/>
    <n v="0"/>
    <e v="#REF!"/>
    <e v="#REF!"/>
    <e v="#REF!"/>
    <s v="Invoiced"/>
    <d v="2016-09-27T00:00:00"/>
    <s v="Completed and handover forwarded"/>
  </r>
  <r>
    <x v="0"/>
    <s v="Inv 11350"/>
    <d v="2016-08-15T00:00:00"/>
    <d v="2016-07-22T00:00:00"/>
    <d v="2016-08-30T00:00:00"/>
    <d v="2016-09-13T00:00:00"/>
    <d v="2016-08-15T00:00:00"/>
    <x v="0"/>
    <s v="AYCA-24VU9K - Bunya Lot 5099"/>
    <s v="Doonside"/>
    <n v="1033.8900000000001"/>
    <m/>
    <n v="1033.8900000000001"/>
    <n v="1137.2790000000002"/>
    <m/>
    <n v="450.10472090414652"/>
    <n v="0"/>
    <n v="450.10472090414652"/>
    <n v="583.78527909585364"/>
    <n v="0.56464931384949424"/>
    <s v="Invoiced"/>
    <d v="2016-09-27T00:00:00"/>
    <s v="Completed and handover forwarded"/>
  </r>
  <r>
    <x v="0"/>
    <s v="Inv 11340"/>
    <d v="2016-08-10T00:00:00"/>
    <d v="2016-05-26T00:00:00"/>
    <d v="2016-05-26T00:00:00"/>
    <d v="2016-06-09T00:00:00"/>
    <d v="2016-08-10T00:00:00"/>
    <x v="0"/>
    <s v="AYCA‐1F7EBL ‐ Lampada"/>
    <s v="Tamworth"/>
    <n v="7731.44"/>
    <m/>
    <n v="7731.44"/>
    <n v="8504.5840000000007"/>
    <n v="3683.05"/>
    <m/>
    <n v="0"/>
    <n v="3683.05"/>
    <n v="4048.3899999999994"/>
    <n v="0.52362690520782673"/>
    <s v="Invoiced"/>
    <d v="2016-06-23T00:00:00"/>
    <s v="Completed and handover forwarded"/>
  </r>
  <r>
    <x v="0"/>
    <s v="Inv 11254"/>
    <d v="2016-07-13T00:00:00"/>
    <d v="2016-05-26T00:00:00"/>
    <d v="2016-05-26T00:00:00"/>
    <d v="2016-06-09T00:00:00"/>
    <d v="2016-06-16T00:00:00"/>
    <x v="3"/>
    <s v="AYCA-26BG82 Breakfast Point - 7D3"/>
    <s v="Mortlake/Cabarita"/>
    <n v="2005.7"/>
    <n v="1380.9"/>
    <n v="3386.6000000000004"/>
    <n v="3725.2600000000007"/>
    <n v="275"/>
    <m/>
    <n v="943.43"/>
    <n v="1218.4299999999998"/>
    <n v="787.27000000000021"/>
    <n v="0.39251632846387802"/>
    <s v="Invoiced"/>
    <d v="2016-06-23T00:00:00"/>
    <s v="Completed and handover forwarded"/>
  </r>
  <r>
    <x v="0"/>
    <s v="Inv 11248"/>
    <d v="2016-07-13T00:00:00"/>
    <d v="2016-05-31T00:00:00"/>
    <d v="2016-06-07T00:00:00"/>
    <d v="2016-06-21T00:00:00"/>
    <d v="2016-08-11T00:00:00"/>
    <x v="4"/>
    <s v="AYCA-2BJH68 -Southlakes Estate"/>
    <s v="Dubbo"/>
    <n v="1256.19"/>
    <m/>
    <n v="1256.19"/>
    <n v="1381.8090000000002"/>
    <m/>
    <m/>
    <n v="0"/>
    <n v="0"/>
    <n v="1256.19"/>
    <n v="1"/>
    <s v="Invoiced"/>
    <d v="2016-07-05T00:00:00"/>
    <s v="Completed and handover forwarded"/>
  </r>
  <r>
    <x v="0"/>
    <s v="Inv 11249"/>
    <d v="2016-07-13T00:00:00"/>
    <d v="2016-06-07T00:00:00"/>
    <d v="2016-06-21T00:00:00"/>
    <d v="2016-07-05T00:00:00"/>
    <d v="2016-08-30T00:00:00"/>
    <x v="4"/>
    <s v="AYCA-WWC93 - Sugar Valley Lifestyle Estate"/>
    <s v="Newcastle"/>
    <n v="671.14"/>
    <m/>
    <n v="671.14"/>
    <n v="738.25400000000002"/>
    <m/>
    <n v="241.34213621039655"/>
    <n v="0"/>
    <n v="241.34213621039655"/>
    <n v="429.79786378960341"/>
    <n v="0.64039971360610815"/>
    <s v="Invoiced"/>
    <d v="2016-07-19T00:00:00"/>
    <s v="Completed and handover forwarded"/>
  </r>
  <r>
    <x v="0"/>
    <s v="Inv 11247"/>
    <d v="2016-07-13T00:00:00"/>
    <d v="2016-06-21T00:00:00"/>
    <d v="2016-07-06T00:00:00"/>
    <d v="2016-07-20T00:00:00"/>
    <d v="2016-08-11T00:00:00"/>
    <x v="1"/>
    <s v="AYCA-2BM7CJ - Magnolia Estate"/>
    <s v="Dubbo"/>
    <n v="11071.89"/>
    <m/>
    <n v="11071.89"/>
    <n v="12179.079"/>
    <m/>
    <m/>
    <n v="0"/>
    <n v="0"/>
    <n v="11071.89"/>
    <n v="1"/>
    <s v="Invoiced"/>
    <d v="2016-08-03T00:00:00"/>
    <s v="Completed and handover forwarded"/>
  </r>
  <r>
    <x v="0"/>
    <s v="Inv 11250"/>
    <d v="2016-07-13T00:00:00"/>
    <d v="2016-07-06T00:00:00"/>
    <d v="2016-07-04T00:00:00"/>
    <d v="2016-07-18T00:00:00"/>
    <d v="2016-08-11T00:00:00"/>
    <x v="1"/>
    <s v="AYCA-2PBQFJ 102 Kanahooka Rd "/>
    <s v="Dapto"/>
    <n v="3199.03"/>
    <m/>
    <n v="3199.03"/>
    <n v="3518.9330000000004"/>
    <n v="0"/>
    <n v="1150.3721041826518"/>
    <n v="0"/>
    <n v="1150.3721041826518"/>
    <n v="2048.6578958173486"/>
    <n v="0.64039971360610826"/>
    <s v="Invoiced"/>
    <d v="2016-08-01T00:00:00"/>
    <s v="Completed and handover forwarded"/>
  </r>
  <r>
    <x v="0"/>
    <s v="Inv 11252"/>
    <d v="2016-07-13T00:00:00"/>
    <d v="2016-07-04T00:00:00"/>
    <d v="2016-07-01T00:00:00"/>
    <d v="2016-07-15T00:00:00"/>
    <d v="2016-08-08T00:00:00"/>
    <x v="1"/>
    <s v="AYCA-2I7RJL 135 Southern Cross Ave Middleton Grange "/>
    <s v="Middleton Grange "/>
    <n v="6247.95"/>
    <n v="567.6"/>
    <n v="6815.55"/>
    <n v="7497.1050000000005"/>
    <m/>
    <n v="2450.8737319318893"/>
    <n v="0"/>
    <n v="2450.8737319318893"/>
    <n v="3797.0762680681105"/>
    <n v="0.6077315388356358"/>
    <s v="Invoiced"/>
    <d v="2016-07-29T00:00:00"/>
    <s v="Completed and handover forwarded"/>
  </r>
  <r>
    <x v="0"/>
    <s v="Inv 11551"/>
    <d v="2016-10-17T00:00:00"/>
    <d v="2016-08-24T00:00:00"/>
    <d v="2016-10-11T00:00:00"/>
    <d v="2016-10-17T00:00:00"/>
    <d v="2016-10-31T00:00:00"/>
    <x v="2"/>
    <s v="AYCA-2R1JTT -Greenway"/>
    <s v="Riverstone"/>
    <n v="4388.46"/>
    <n v="-950"/>
    <n v="3438.46"/>
    <n v="3782.3060000000005"/>
    <e v="#REF!"/>
    <m/>
    <n v="0"/>
    <e v="#REF!"/>
    <e v="#REF!"/>
    <e v="#REF!"/>
    <s v="Invoiced"/>
    <d v="2016-10-31T00:00:00"/>
    <s v="Completed and handover forwarded"/>
  </r>
  <r>
    <x v="0"/>
    <s v="Inv 11312"/>
    <d v="2016-08-02T00:00:00"/>
    <d v="2016-08-02T00:00:00"/>
    <d v="2016-08-03T00:00:00"/>
    <d v="2016-08-17T00:00:00"/>
    <d v="2016-08-03T00:00:00"/>
    <x v="0"/>
    <s v="AYCA‐1BGK5U Project Independence"/>
    <s v="Crace"/>
    <n v="4006.99"/>
    <m/>
    <n v="4006.99"/>
    <n v="4407.6890000000003"/>
    <m/>
    <m/>
    <n v="0"/>
    <n v="0"/>
    <n v="4006.99"/>
    <n v="1"/>
    <s v="Invoiced"/>
    <d v="2016-08-31T00:00:00"/>
    <s v="Completed and handover forwarded"/>
  </r>
  <r>
    <x v="0"/>
    <s v="Inv 11407"/>
    <d v="2016-09-01T00:00:00"/>
    <d v="2016-08-09T00:00:00"/>
    <d v="2016-09-01T00:00:00"/>
    <d v="2016-09-15T00:00:00"/>
    <d v="2026-09-22T00:00:00"/>
    <x v="5"/>
    <s v="AYCA‐2Q7AAG Land and Housing Penrith"/>
    <s v="Penrith"/>
    <n v="3287.77"/>
    <n v="1728.79"/>
    <n v="5016.5599999999995"/>
    <n v="5518.2159999999994"/>
    <e v="#REF!"/>
    <n v="2450.8737319318893"/>
    <n v="0"/>
    <e v="#REF!"/>
    <e v="#REF!"/>
    <e v="#REF!"/>
    <s v="Invoiced"/>
    <d v="2016-09-29T00:00:00"/>
    <s v="Completed and handover forwarded"/>
  </r>
  <r>
    <x v="0"/>
    <s v="Inv 11365"/>
    <d v="2016-08-19T00:00:00"/>
    <d v="2016-08-19T00:00:00"/>
    <d v="2016-08-19T00:00:00"/>
    <d v="2016-09-02T00:00:00"/>
    <d v="2016-08-19T00:00:00"/>
    <x v="0"/>
    <s v="AYCA-24O1QL - 85 Jamison Road + Vari for Breakout &amp; temp resto"/>
    <s v="Penrith"/>
    <n v="3773.41"/>
    <n v="931.29"/>
    <n v="4704.7"/>
    <n v="5175.17"/>
    <e v="#REF!"/>
    <m/>
    <n v="0"/>
    <e v="#REF!"/>
    <e v="#REF!"/>
    <e v="#REF!"/>
    <s v="Invoiced"/>
    <d v="2016-09-16T00:00:00"/>
    <s v="Completed and handover forwarded"/>
  </r>
  <r>
    <x v="0"/>
    <s v="Inv 11339"/>
    <d v="2016-09-07T00:00:00"/>
    <d v="2016-07-08T00:00:00"/>
    <d v="2016-07-08T00:00:00"/>
    <d v="2016-07-22T00:00:00"/>
    <d v="2016-08-09T00:00:00"/>
    <x v="0"/>
    <s v="AYCA-LYZ4T -Wallis Creek"/>
    <s v="Wallis Creek"/>
    <n v="966.94"/>
    <m/>
    <n v="966.94"/>
    <n v="1063.6340000000002"/>
    <m/>
    <m/>
    <n v="0"/>
    <n v="0"/>
    <n v="966.94"/>
    <n v="1"/>
    <s v="Invoiced"/>
    <d v="2016-08-05T00:00:00"/>
    <s v="Completed and handover forwarded"/>
  </r>
  <r>
    <x v="0"/>
    <s v="Inv 11377"/>
    <d v="2016-08-23T00:00:00"/>
    <d v="2016-08-19T00:00:00"/>
    <d v="2016-08-22T00:00:00"/>
    <d v="2016-09-05T00:00:00"/>
    <d v="2016-10-27T00:00:00"/>
    <x v="0"/>
    <s v="AYCA-2BU21S -  Block 7 Section 136 Casey including Casey and Kanahooka vari"/>
    <s v="Casey"/>
    <n v="3191.87"/>
    <n v="1208.05"/>
    <n v="4399.92"/>
    <n v="4839.9120000000003"/>
    <m/>
    <m/>
    <n v="0"/>
    <n v="0"/>
    <n v="3191.87"/>
    <n v="1"/>
    <s v="Invoiced"/>
    <d v="2016-09-19T00:00:00"/>
    <s v="Completed and handover forwarded"/>
  </r>
  <r>
    <x v="0"/>
    <s v="Inv 11800"/>
    <d v="2016-12-22T00:00:00"/>
    <d v="2017-01-11T00:00:00"/>
    <d v="2017-01-11T00:00:00"/>
    <d v="2017-01-25T00:00:00"/>
    <d v="2017-02-14T00:00:00"/>
    <x v="6"/>
    <s v="AYCA-2AW2N9-  2-10 Tyler street, Campbelltown"/>
    <s v="Campbelltown"/>
    <n v="5985.51"/>
    <n v="-328.53"/>
    <n v="5656.9800000000005"/>
    <n v="6222.6780000000008"/>
    <e v="#REF!"/>
    <m/>
    <m/>
    <e v="#REF!"/>
    <e v="#REF!"/>
    <e v="#REF!"/>
    <s v="Invoiced"/>
    <d v="2017-02-08T00:00:00"/>
    <s v="Completed and handover forwarded"/>
  </r>
  <r>
    <x v="0"/>
    <s v="Inv 11474"/>
    <d v="2016-09-23T00:00:00"/>
    <d v="2016-09-19T00:00:00"/>
    <d v="2016-09-19T00:00:00"/>
    <d v="2016-09-21T00:00:00"/>
    <d v="2016-09-27T00:00:00"/>
    <x v="5"/>
    <s v="AYCA-35B3CV- Schofield "/>
    <s v="Schofields"/>
    <n v="2226.8000000000002"/>
    <m/>
    <n v="2226.8000000000002"/>
    <n v="2449.4800000000005"/>
    <m/>
    <n v="3279.4589319706051"/>
    <n v="0"/>
    <n v="3279.4589319706051"/>
    <n v="-1052.658931970605"/>
    <n v="-0.47272271060293014"/>
    <s v="Invoiced"/>
    <d v="2016-10-05T00:00:00"/>
    <s v="Completed and handover forwarded"/>
  </r>
  <r>
    <x v="0"/>
    <s v="Inv 11514"/>
    <d v="2016-10-05T00:00:00"/>
    <d v="2016-09-08T00:00:00"/>
    <d v="2016-09-08T00:00:00"/>
    <d v="2016-09-22T00:00:00"/>
    <d v="2016-10-06T00:00:00"/>
    <x v="5"/>
    <s v="AYCA-2LWX4U-2MAI-02-Finch Crescent "/>
    <s v="Maitland"/>
    <n v="951.94"/>
    <m/>
    <n v="951.94"/>
    <n v="1047.1340000000002"/>
    <m/>
    <n v="286.76001443001439"/>
    <n v="0"/>
    <n v="286.76001443001439"/>
    <n v="665.17998556998566"/>
    <n v="0.69876251189149063"/>
    <s v="Invoiced"/>
    <d v="2016-10-06T00:00:00"/>
    <s v="Completed and handover forwarded"/>
  </r>
  <r>
    <x v="0"/>
    <s v="Inv 11580"/>
    <d v="2016-10-31T00:00:00"/>
    <d v="2016-10-12T00:00:00"/>
    <d v="2016-10-17T00:00:00"/>
    <d v="2016-11-01T00:00:00"/>
    <d v="2016-11-15T00:00:00"/>
    <x v="2"/>
    <s v="AYCA-2CZWG0 - ARV Kingswood"/>
    <s v="Kingswood"/>
    <n v="3851.74"/>
    <n v="3423.28"/>
    <n v="7275.02"/>
    <n v="8002.5220000000008"/>
    <n v="3928.07"/>
    <n v="733.16"/>
    <n v="0"/>
    <n v="4661.2300000000005"/>
    <n v="-809.49000000000069"/>
    <n v="-0.21016216047812178"/>
    <s v="Invoiced"/>
    <d v="2016-11-15T00:00:00"/>
    <s v="Completed and handover forwarded"/>
  </r>
  <r>
    <x v="0"/>
    <s v="Inv 11582"/>
    <d v="2016-10-31T00:00:00"/>
    <d v="2016-10-22T00:00:00"/>
    <d v="2016-10-24T00:00:00"/>
    <d v="2016-11-08T00:00:00"/>
    <d v="2016-11-22T00:00:00"/>
    <x v="2"/>
    <s v="AYCA-2DJ6MC Peterson Estate 3 Stage 3B"/>
    <s v="Armidale"/>
    <n v="4679.17"/>
    <m/>
    <n v="4679.17"/>
    <n v="5147.0870000000004"/>
    <n v="1355.1822093659475"/>
    <m/>
    <n v="0"/>
    <n v="1355.1822093659475"/>
    <n v="3323.9877906340525"/>
    <n v="0.71037978757644038"/>
    <s v="Invoiced"/>
    <d v="2016-11-22T00:00:00"/>
    <s v="Completed and handover forwarded"/>
  </r>
  <r>
    <x v="0"/>
    <s v="Inv 11552"/>
    <d v="2016-10-17T00:00:00"/>
    <d v="2016-09-27T00:00:00"/>
    <d v="2016-10-04T00:00:00"/>
    <d v="2016-10-14T00:00:00"/>
    <d v="2016-10-27T00:00:00"/>
    <x v="2"/>
    <s v="AYCA-1WQ908 McCauleys Beach - Lots 600-619"/>
    <s v="Bulli"/>
    <n v="4454.72"/>
    <m/>
    <n v="4454.72"/>
    <n v="4900.1920000000009"/>
    <n v="702"/>
    <n v="595.72"/>
    <n v="0"/>
    <n v="1297.72"/>
    <n v="3157"/>
    <n v="0.70868651677322025"/>
    <s v="Invoiced"/>
    <d v="2016-10-28T00:00:00"/>
    <s v="Completed and handover forwarded"/>
  </r>
  <r>
    <x v="0"/>
    <s v="Inv 11553"/>
    <d v="2016-10-17T00:00:00"/>
    <d v="2016-10-05T00:00:00"/>
    <d v="2016-10-05T00:00:00"/>
    <d v="2016-10-19T00:00:00"/>
    <d v="2016-10-27T00:00:00"/>
    <x v="2"/>
    <s v="AYCA-NGFYK-Wentworth Point LOT 9"/>
    <s v="Silverwater"/>
    <n v="3430.64"/>
    <m/>
    <n v="3430.64"/>
    <n v="3773.7040000000002"/>
    <m/>
    <n v="854.97333333333336"/>
    <n v="0"/>
    <n v="854.97333333333336"/>
    <n v="2575.6666666666665"/>
    <n v="0.75078313861747858"/>
    <s v="Invoiced"/>
    <d v="2016-11-02T00:00:00"/>
    <s v="Completed and handover forwarded"/>
  </r>
  <r>
    <x v="0"/>
    <s v="Inv 11511"/>
    <d v="2016-10-04T00:00:00"/>
    <d v="2016-09-19T00:00:00"/>
    <d v="2016-09-30T00:00:00"/>
    <d v="2016-10-14T00:00:00"/>
    <d v="2016-10-28T00:00:00"/>
    <x v="5"/>
    <s v="AYCA 1780KC Johns Road Wadalba"/>
    <s v="Wyong"/>
    <n v="1458.73"/>
    <m/>
    <n v="1458.73"/>
    <n v="1604.6030000000001"/>
    <m/>
    <n v="286.7527525252525"/>
    <n v="0"/>
    <n v="286.7527525252525"/>
    <n v="1171.9772474747474"/>
    <n v="0.80342301006680295"/>
    <s v="Invoiced"/>
    <d v="2016-10-28T00:00:00"/>
    <s v="Completed and handover forwarded"/>
  </r>
  <r>
    <x v="0"/>
    <s v="Inv 11581"/>
    <d v="2016-10-31T00:00:00"/>
    <d v="2016-10-21T00:00:00"/>
    <d v="2016-10-31T00:00:00"/>
    <d v="2016-10-25T00:00:00"/>
    <d v="2016-11-11T00:00:00"/>
    <x v="2"/>
    <s v="AYCA-3B3VXN-Mann Street Gosford "/>
    <s v="Gosford"/>
    <n v="1278.97"/>
    <m/>
    <n v="1278.97"/>
    <n v="1406.8670000000002"/>
    <m/>
    <n v="360.16333333333336"/>
    <n v="0"/>
    <n v="360.16333333333336"/>
    <n v="918.80666666666662"/>
    <n v="0.71839579244756846"/>
    <s v="Invoiced"/>
    <d v="2016-11-08T00:00:00"/>
    <s v="Completed and handover forwarded"/>
  </r>
  <r>
    <x v="0"/>
    <s v="Inv 11549"/>
    <d v="2016-10-17T00:00:00"/>
    <d v="2016-10-03T00:00:00"/>
    <d v="2016-10-04T00:00:00"/>
    <d v="2016-10-17T00:00:00"/>
    <d v="2016-11-24T00:00:00"/>
    <x v="2"/>
    <s v="AYCA-1QR3ND Hillview Rise"/>
    <s v="Kellyville"/>
    <n v="8619.01"/>
    <n v="429.03"/>
    <n v="9048.0400000000009"/>
    <n v="9952.844000000001"/>
    <n v="4673.7"/>
    <n v="360.16333333333336"/>
    <n v="0"/>
    <n v="5033.8633333333328"/>
    <n v="3585.1466666666674"/>
    <n v="0.41595805860147134"/>
    <s v="Invoiced"/>
    <d v="2016-10-31T00:00:00"/>
    <s v="Completed and handover forwarded"/>
  </r>
  <r>
    <x v="0"/>
    <s v="Inv 11660"/>
    <d v="2016-10-31T00:00:00"/>
    <d v="2016-10-17T00:00:00"/>
    <d v="2016-10-17T00:00:00"/>
    <d v="2016-10-20T00:00:00"/>
    <d v="2016-11-24T00:00:00"/>
    <x v="2"/>
    <s v="AYCA-2DSDPB-3 Glenfield Road, Glenfield + Variation"/>
    <s v="Glenfield"/>
    <n v="3446.12"/>
    <n v="4280.75"/>
    <n v="7726.87"/>
    <n v="8499.5570000000007"/>
    <e v="#REF!"/>
    <n v="475.13333333333333"/>
    <n v="0"/>
    <e v="#REF!"/>
    <e v="#REF!"/>
    <e v="#REF!"/>
    <s v="Invoiced"/>
    <d v="2016-11-03T00:00:00"/>
    <s v="Completed and handover forwarded"/>
  </r>
  <r>
    <x v="0"/>
    <s v="Inv 11586"/>
    <d v="2016-10-31T00:00:00"/>
    <d v="2016-10-20T00:00:00"/>
    <d v="2016-10-20T00:00:00"/>
    <d v="2016-11-03T00:00:00"/>
    <d v="2016-11-17T00:00:00"/>
    <x v="2"/>
    <s v="AYCA-1RX8QD Redgum Ridge Estate - 12"/>
    <s v="Figtree"/>
    <n v="3514.09"/>
    <n v="-1050"/>
    <n v="2464.09"/>
    <n v="2710.4990000000003"/>
    <m/>
    <m/>
    <m/>
    <n v="0"/>
    <n v="3514.09"/>
    <n v="1"/>
    <s v="Invoiced"/>
    <d v="2016-11-17T00:00:00"/>
    <s v="Completed and handover forwarded"/>
  </r>
  <r>
    <x v="0"/>
    <s v="Inv 11583"/>
    <d v="2016-10-31T00:00:00"/>
    <d v="2016-10-21T00:00:00"/>
    <d v="2016-10-21T00:00:00"/>
    <d v="2016-11-02T00:00:00"/>
    <d v="2016-11-17T00:00:00"/>
    <x v="2"/>
    <s v="AYCA-2E2WXJ - Shallows 6"/>
    <s v="Shell Harbour"/>
    <n v="3650.93"/>
    <n v="800"/>
    <n v="4450.93"/>
    <n v="4896.023000000001"/>
    <m/>
    <n v="244.54750000000001"/>
    <n v="0"/>
    <n v="244.54750000000001"/>
    <n v="3406.3824999999997"/>
    <n v="0.93301775164136258"/>
    <s v="Invoiced"/>
    <d v="2016-11-16T00:00:00"/>
    <s v="Completed and handover forwarded"/>
  </r>
  <r>
    <x v="0"/>
    <s v="Inv 11755"/>
    <d v="2016-12-12T00:00:00"/>
    <d v="2016-11-20T00:00:00"/>
    <d v="2016-11-23T00:00:00"/>
    <d v="2016-11-28T00:00:00"/>
    <d v="2016-12-12T00:00:00"/>
    <x v="7"/>
    <s v="AYCA-3FV0PQ - 60 Industrial Drive 1 &amp; 2 "/>
    <s v="Boambee Valley"/>
    <n v="4296.5"/>
    <m/>
    <n v="4296.5"/>
    <n v="4726.1500000000005"/>
    <m/>
    <m/>
    <m/>
    <n v="0"/>
    <n v="4296.5"/>
    <n v="1"/>
    <s v="Invoiced"/>
    <d v="2016-12-12T00:00:00"/>
    <s v="Completed and handover forwarded"/>
  </r>
  <r>
    <x v="0"/>
    <s v="Inv 11587"/>
    <d v="2016-11-01T00:00:00"/>
    <d v="2016-11-01T00:00:00"/>
    <d v="2016-11-01T00:00:00"/>
    <d v="2016-11-15T00:00:00"/>
    <d v="2016-11-29T00:00:00"/>
    <x v="7"/>
    <s v="AYCA-2N2GYJ - Tatton Park - 6 "/>
    <s v="Kellyville"/>
    <n v="3768.8"/>
    <m/>
    <n v="3768.8"/>
    <n v="4145.68"/>
    <m/>
    <e v="#REF!"/>
    <n v="0"/>
    <e v="#REF!"/>
    <e v="#REF!"/>
    <e v="#REF!"/>
    <s v="Invoiced"/>
    <d v="2016-11-15T00:00:00"/>
    <s v="Completed and handover forwarded"/>
  </r>
  <r>
    <x v="0"/>
    <s v="Inv 11764"/>
    <d v="2016-12-15T00:00:00"/>
    <d v="2016-11-20T00:00:00"/>
    <d v="2016-11-23T00:00:00"/>
    <d v="2016-12-07T00:00:00"/>
    <d v="2016-12-21T00:00:00"/>
    <x v="7"/>
    <s v="AYCA-2FOK7Q - RedBank Estate - 4 "/>
    <s v="Tamworth"/>
    <n v="13397.48"/>
    <n v="1591.1428571428573"/>
    <n v="14988.622857142856"/>
    <n v="16487.485142857142"/>
    <m/>
    <m/>
    <m/>
    <n v="0"/>
    <n v="13397.48"/>
    <n v="1"/>
    <s v="Invoiced"/>
    <d v="2016-12-07T00:00:00"/>
    <s v="Completed and handover forwarded"/>
  </r>
  <r>
    <x v="0"/>
    <s v="Inv 11947"/>
    <d v="2017-02-22T00:00:00"/>
    <d v="2017-02-06T00:00:00"/>
    <d v="2017-02-06T00:00:00"/>
    <d v="2017-02-20T00:00:00"/>
    <d v="2017-03-06T00:00:00"/>
    <x v="8"/>
    <s v="AYCA-1WA1Y6 21-24 Railway Road Meadowbank"/>
    <s v="Meadowbank"/>
    <n v="6345.14"/>
    <n v="1237.0299999999997"/>
    <n v="7582.17"/>
    <n v="8340.3870000000006"/>
    <e v="#REF!"/>
    <s v=" "/>
    <m/>
    <e v="#REF!"/>
    <e v="#REF!"/>
    <e v="#REF!"/>
    <m/>
    <d v="2017-02-20T00:00:00"/>
    <s v="Completed and handover forwarded"/>
  </r>
  <r>
    <x v="0"/>
    <s v="Inv 11885"/>
    <d v="2017-01-13T00:00:00"/>
    <d v="2017-01-30T00:00:00"/>
    <d v="2017-01-31T00:00:00"/>
    <d v="2017-02-14T00:00:00"/>
    <d v="2017-02-28T00:00:00"/>
    <x v="6"/>
    <s v="AYCA-2XCYEX Elysium, 47-49 Mowatt Street,"/>
    <s v="Queanbeyan"/>
    <n v="8236.23"/>
    <n v="895.32999999999993"/>
    <n v="9131.56"/>
    <n v="10044.716"/>
    <m/>
    <m/>
    <m/>
    <n v="0"/>
    <n v="8236.23"/>
    <n v="1"/>
    <s v="Invoiced"/>
    <d v="2017-02-14T00:00:00"/>
    <s v="Completed and handover forwarded"/>
  </r>
  <r>
    <x v="0"/>
    <m/>
    <m/>
    <m/>
    <d v="2017-05-30T00:00:00"/>
    <s v=" "/>
    <m/>
    <x v="9"/>
    <s v="AYCA‐22IZTU Charles Sturt Estate ‐ 4B"/>
    <s v="Queanbeyan"/>
    <n v="2444.5700000000002"/>
    <m/>
    <n v="2444.5700000000002"/>
    <n v="2689.0270000000005"/>
    <m/>
    <m/>
    <m/>
    <n v="0"/>
    <n v="2444.5700000000002"/>
    <n v="1"/>
    <m/>
    <d v="2017-06-13T00:00:00"/>
    <m/>
  </r>
  <r>
    <x v="0"/>
    <s v="Inv 11793"/>
    <d v="2016-12-22T00:00:00"/>
    <d v="2016-12-22T00:00:00"/>
    <d v="2016-12-08T00:00:00"/>
    <d v="2016-12-20T00:00:00"/>
    <d v="2017-01-19T00:00:00"/>
    <x v="10"/>
    <s v="AYCA-32OIQA Gracewood Kellyville"/>
    <s v="Kellyville"/>
    <n v="4576.8599999999997"/>
    <n v="1299.7891200000001"/>
    <n v="5876.64912"/>
    <n v="6464.3140320000002"/>
    <e v="#REF!"/>
    <m/>
    <n v="0"/>
    <e v="#REF!"/>
    <e v="#REF!"/>
    <e v="#REF!"/>
    <s v="Invoiced"/>
    <d v="2016-12-22T00:00:00"/>
    <s v="Completed and handover forwarded"/>
  </r>
  <r>
    <x v="0"/>
    <m/>
    <m/>
    <m/>
    <d v="2017-03-30T00:00:00"/>
    <m/>
    <m/>
    <x v="11"/>
    <s v="AYCA-3HNMNR - Uraga Pty Ltd ATF The Uraga Family Trust"/>
    <s v="Edmondson Park"/>
    <n v="1975.2"/>
    <m/>
    <n v="1975.2"/>
    <n v="2172.7200000000003"/>
    <m/>
    <e v="#REF!"/>
    <m/>
    <e v="#REF!"/>
    <e v="#REF!"/>
    <e v="#REF!"/>
    <m/>
    <d v="2017-04-13T00:00:00"/>
    <m/>
  </r>
  <r>
    <x v="0"/>
    <s v="Inv 11970"/>
    <d v="2017-02-28T00:00:00"/>
    <d v="2017-02-27T00:00:00"/>
    <d v="2017-02-28T00:00:00"/>
    <d v="2017-03-14T00:00:00"/>
    <d v="2017-03-28T00:00:00"/>
    <x v="8"/>
    <s v="NENSW0226-2MSV-02-68 Elizabeth Street, Moss Vale V2"/>
    <s v="Moss Vale"/>
    <n v="11866.71"/>
    <n v="-7769.5199999999995"/>
    <n v="4097.1899999999996"/>
    <n v="4506.9089999999997"/>
    <m/>
    <m/>
    <m/>
    <n v="0"/>
    <n v="11866.71"/>
    <n v="1"/>
    <s v="Invoiced"/>
    <d v="2017-03-14T00:00:00"/>
    <s v="Completed and handover forwarded"/>
  </r>
  <r>
    <x v="0"/>
    <m/>
    <m/>
    <m/>
    <d v="2017-03-30T00:00:00"/>
    <m/>
    <m/>
    <x v="11"/>
    <s v="NENSW0156 - 2TAH-01-62-64 Menangle Rd, Picton V2"/>
    <s v="Picton"/>
    <n v="11582.31"/>
    <m/>
    <n v="11582.31"/>
    <n v="12740.541000000001"/>
    <m/>
    <m/>
    <m/>
    <n v="0"/>
    <n v="11582.31"/>
    <n v="1"/>
    <m/>
    <d v="2017-04-13T00:00:00"/>
    <m/>
  </r>
  <r>
    <x v="0"/>
    <m/>
    <m/>
    <m/>
    <d v="2017-03-30T00:00:00"/>
    <m/>
    <m/>
    <x v="11"/>
    <s v="AYCA-32ARIB – Dowling Street Copper"/>
    <s v="Nelson Bay"/>
    <n v="6033.93"/>
    <m/>
    <n v="6033.93"/>
    <n v="6637.3230000000012"/>
    <m/>
    <m/>
    <m/>
    <n v="0"/>
    <n v="6033.93"/>
    <n v="1"/>
    <m/>
    <d v="2017-04-13T00:00:00"/>
    <m/>
  </r>
  <r>
    <x v="0"/>
    <m/>
    <m/>
    <m/>
    <d v="2017-03-30T00:00:00"/>
    <m/>
    <m/>
    <x v="11"/>
    <s v="AYCA-37LWLY - Backhouse Street - 1 Copper"/>
    <s v="Blue Mountains"/>
    <n v="4682.05"/>
    <m/>
    <n v="4682.05"/>
    <n v="5150.255000000001"/>
    <m/>
    <e v="#REF!"/>
    <m/>
    <e v="#REF!"/>
    <e v="#REF!"/>
    <e v="#REF!"/>
    <m/>
    <d v="2017-04-13T00:00:00"/>
    <m/>
  </r>
  <r>
    <x v="0"/>
    <s v="Inv 11967"/>
    <d v="2017-02-28T00:00:00"/>
    <d v="2017-02-25T00:00:00"/>
    <d v="2017-01-30T00:00:00"/>
    <d v="2017-02-28T00:00:00"/>
    <d v="2017-03-14T00:00:00"/>
    <x v="6"/>
    <s v="AYCA-2B2DZQ - Greenview Parade - 1 "/>
    <s v="Schofields"/>
    <n v="1137.5999999999999"/>
    <m/>
    <n v="1137.5999999999999"/>
    <n v="1251.3599999999999"/>
    <m/>
    <e v="#REF!"/>
    <m/>
    <e v="#REF!"/>
    <e v="#REF!"/>
    <e v="#REF!"/>
    <m/>
    <d v="2017-02-13T00:00:00"/>
    <m/>
  </r>
  <r>
    <x v="0"/>
    <s v="Inv 11763"/>
    <d v="2016-12-15T00:00:00"/>
    <d v="2016-12-06T00:00:00"/>
    <d v="2016-12-07T00:00:00"/>
    <d v="2016-12-21T00:00:00"/>
    <d v="2017-01-04T00:00:00"/>
    <x v="10"/>
    <s v="AYCA-1W6XSN - Alex Ave Schofields - 7A"/>
    <s v="Schofields"/>
    <n v="478.8"/>
    <n v="1045.5"/>
    <n v="1524.3"/>
    <n v="1676.73"/>
    <m/>
    <m/>
    <n v="0"/>
    <n v="0"/>
    <n v="478.8"/>
    <n v="1"/>
    <s v="Invoiced"/>
    <d v="2016-12-21T00:00:00"/>
    <s v="Completed and handover forwarded"/>
  </r>
  <r>
    <x v="0"/>
    <s v="Inv 11965"/>
    <d v="2017-02-27T00:00:00"/>
    <d v="2017-02-08T00:00:00"/>
    <d v="2017-01-30T00:00:00"/>
    <d v="2017-02-21T00:00:00"/>
    <m/>
    <x v="6"/>
    <s v="AYCA-157236 - Macquarie Park Village - 1 "/>
    <s v="Nth Ryde"/>
    <n v="6769.08"/>
    <n v="-2073.29"/>
    <n v="4695.79"/>
    <n v="5165.3690000000006"/>
    <m/>
    <m/>
    <m/>
    <n v="0"/>
    <n v="6769.08"/>
    <n v="1"/>
    <s v="Invoiced"/>
    <d v="2017-02-13T00:00:00"/>
    <s v="Completed and handover forwarded"/>
  </r>
  <r>
    <x v="0"/>
    <s v="Inv 11869"/>
    <d v="2017-01-20T00:00:00"/>
    <d v="2017-01-03T00:00:00"/>
    <d v="2017-01-20T00:00:00"/>
    <d v="2017-01-19T00:00:00"/>
    <d v="2017-01-30T00:00:00"/>
    <x v="6"/>
    <s v="AYCA-2HQZXU - Remembrance Drive - 1D"/>
    <s v="Camden"/>
    <n v="248.14"/>
    <m/>
    <n v="248.14"/>
    <m/>
    <m/>
    <m/>
    <m/>
    <n v="0"/>
    <n v="248.14"/>
    <n v="1"/>
    <s v="Invoiced"/>
    <d v="2017-02-03T00:00:00"/>
    <s v="Completed and handover forwarded"/>
  </r>
  <r>
    <x v="0"/>
    <s v="Inv 11966"/>
    <d v="2017-02-27T00:00:00"/>
    <d v="2017-02-16T00:00:00"/>
    <d v="2017-02-16T00:00:00"/>
    <d v="2017-03-02T00:00:00"/>
    <d v="2017-03-16T00:00:00"/>
    <x v="8"/>
    <s v="AYCA-3P61JX-Princes Court - 1 copper"/>
    <s v="Wollongong"/>
    <n v="3746.75"/>
    <n v="4519.1499999999996"/>
    <n v="8265.9"/>
    <m/>
    <m/>
    <m/>
    <m/>
    <n v="0"/>
    <n v="3746.75"/>
    <n v="1"/>
    <s v="Invoiced"/>
    <d v="2017-03-02T00:00:00"/>
    <s v="Completed and handover forwarded"/>
  </r>
  <r>
    <x v="0"/>
    <m/>
    <m/>
    <m/>
    <d v="2017-03-30T00:00:00"/>
    <m/>
    <m/>
    <x v="11"/>
    <s v="AYCA-428F2C - 167-173 Foxall"/>
    <s v="Kellyville"/>
    <n v="25638.28"/>
    <n v="51038.22"/>
    <n v="76676.5"/>
    <m/>
    <m/>
    <m/>
    <m/>
    <n v="0"/>
    <n v="25638.28"/>
    <n v="1"/>
    <m/>
    <d v="2017-04-13T00:00:00"/>
    <m/>
  </r>
  <r>
    <x v="0"/>
    <m/>
    <m/>
    <m/>
    <d v="2017-03-30T00:00:00"/>
    <m/>
    <m/>
    <x v="11"/>
    <s v="AYCA-1RO4NM - 31 CROWN STREET"/>
    <s v="Wollongong"/>
    <n v="8771.68"/>
    <m/>
    <n v="8771.68"/>
    <m/>
    <m/>
    <m/>
    <m/>
    <n v="0"/>
    <n v="8771.68"/>
    <n v="1"/>
    <m/>
    <d v="2017-04-13T00:00:00"/>
    <m/>
  </r>
  <r>
    <x v="0"/>
    <s v="Inv 11871"/>
    <d v="2017-01-20T00:00:00"/>
    <d v="2017-01-20T00:00:00"/>
    <d v="2017-01-20T00:00:00"/>
    <d v="2017-02-03T00:00:00"/>
    <d v="2017-02-17T00:00:00"/>
    <x v="6"/>
    <s v="AYCA-32OUIO - 5-7 Wonga Street, Canterbury"/>
    <s v="Canterbury"/>
    <n v="3140.26"/>
    <n v="1255.23"/>
    <n v="4395.49"/>
    <m/>
    <m/>
    <e v="#REF!"/>
    <m/>
    <e v="#REF!"/>
    <e v="#REF!"/>
    <e v="#REF!"/>
    <s v="Invoiced"/>
    <d v="2017-02-03T00:00:00"/>
    <s v="Completed and handover forwarded"/>
  </r>
  <r>
    <x v="0"/>
    <s v="Inv 19955"/>
    <d v="2027-02-23T00:00:00"/>
    <d v="2017-02-09T00:00:00"/>
    <d v="2017-02-21T00:00:00"/>
    <d v="2017-02-21T00:00:00"/>
    <d v="2017-03-07T00:00:00"/>
    <x v="8"/>
    <s v="AYCA-23JF57 - Charlotte Gardens - 1"/>
    <s v="Hornsby"/>
    <n v="2782.38"/>
    <m/>
    <n v="2782.38"/>
    <m/>
    <m/>
    <m/>
    <m/>
    <n v="0"/>
    <n v="2782.38"/>
    <n v="1"/>
    <s v="Invoiced"/>
    <d v="2017-03-07T00:00:00"/>
    <s v="Completed and handover forwarded"/>
  </r>
  <r>
    <x v="0"/>
    <m/>
    <m/>
    <m/>
    <d v="2017-03-30T00:00:00"/>
    <m/>
    <m/>
    <x v="11"/>
    <s v="AYCA-30IORM - Luxe on Eve - 1"/>
    <s v="Newtown"/>
    <n v="3620.18"/>
    <m/>
    <n v="3620.18"/>
    <m/>
    <m/>
    <m/>
    <m/>
    <n v="0"/>
    <n v="3620.18"/>
    <n v="1"/>
    <m/>
    <d v="2017-04-13T00:00:00"/>
    <m/>
  </r>
  <r>
    <x v="0"/>
    <m/>
    <m/>
    <m/>
    <d v="2017-03-30T00:00:00"/>
    <m/>
    <m/>
    <x v="11"/>
    <s v="AYCA-39BLYW - 18 Victoria St, Coffs Harbour – 1"/>
    <s v="Coffs Harbour"/>
    <n v="4236.0600000000004"/>
    <m/>
    <n v="4236.0600000000004"/>
    <m/>
    <m/>
    <m/>
    <m/>
    <n v="0"/>
    <n v="4236.0600000000004"/>
    <n v="1"/>
    <m/>
    <d v="2017-04-13T00:00:00"/>
    <m/>
  </r>
  <r>
    <x v="0"/>
    <m/>
    <m/>
    <m/>
    <d v="2017-03-30T00:00:00"/>
    <m/>
    <m/>
    <x v="11"/>
    <s v="AYCA-3G7XGQ    Loaders Lane Coffs Harbour - 2A."/>
    <s v="Coffs Harbour"/>
    <n v="4004.35"/>
    <m/>
    <n v="4004.35"/>
    <m/>
    <m/>
    <m/>
    <m/>
    <n v="0"/>
    <n v="4004.35"/>
    <n v="1"/>
    <m/>
    <d v="2017-04-13T00:00:00"/>
    <m/>
  </r>
  <r>
    <x v="0"/>
    <s v="Inv 11938"/>
    <d v="2017-02-17T00:00:00"/>
    <d v="2017-02-06T00:00:00"/>
    <d v="2017-02-06T00:00:00"/>
    <d v="2017-02-15T00:00:00"/>
    <d v="2017-02-23T00:00:00"/>
    <x v="8"/>
    <s v="AYCA-2N2GU7 - Tatton Park – 8"/>
    <s v="Kellyville"/>
    <n v="3842.62"/>
    <m/>
    <n v="3842.62"/>
    <m/>
    <m/>
    <m/>
    <m/>
    <n v="0"/>
    <n v="3842.62"/>
    <n v="1"/>
    <s v="Invoiced"/>
    <d v="2017-02-20T00:00:00"/>
    <s v="Completed and handover forwarded"/>
  </r>
  <r>
    <x v="0"/>
    <m/>
    <m/>
    <m/>
    <d v="2017-03-01T00:00:00"/>
    <m/>
    <m/>
    <x v="11"/>
    <s v="AYCA-3H6ZBG - 61 Smeaton Grange Rd Smeaton Grange, copper"/>
    <s v="Smeaton Grange"/>
    <n v="2081.7600000000002"/>
    <m/>
    <n v="2081.7600000000002"/>
    <m/>
    <m/>
    <m/>
    <m/>
    <n v="0"/>
    <n v="2081.7600000000002"/>
    <n v="1"/>
    <m/>
    <d v="2017-03-15T00:00:00"/>
    <m/>
  </r>
  <r>
    <x v="0"/>
    <m/>
    <m/>
    <m/>
    <d v="2017-03-02T00:00:00"/>
    <m/>
    <m/>
    <x v="11"/>
    <s v="AYCA-36D744 - Grace-SHA - 1 Version 2"/>
    <s v="Campbelltown"/>
    <n v="6008.19"/>
    <m/>
    <n v="6008.19"/>
    <m/>
    <m/>
    <m/>
    <m/>
    <n v="0"/>
    <n v="6008.19"/>
    <n v="1"/>
    <m/>
    <d v="2017-03-16T00:00:00"/>
    <m/>
  </r>
  <r>
    <x v="0"/>
    <m/>
    <m/>
    <m/>
    <d v="2017-03-03T00:00:00"/>
    <m/>
    <m/>
    <x v="11"/>
    <s v=" AYCA-2LPEZ4 - 2-6 Messiter Street Campsie - 1"/>
    <s v="Campsie"/>
    <n v="3869.46"/>
    <m/>
    <n v="3869.46"/>
    <m/>
    <m/>
    <m/>
    <m/>
    <n v="0"/>
    <n v="3869.46"/>
    <n v="1"/>
    <m/>
    <d v="2017-03-17T00:00:00"/>
    <m/>
  </r>
  <r>
    <x v="0"/>
    <m/>
    <m/>
    <m/>
    <d v="2017-03-04T00:00:00"/>
    <m/>
    <m/>
    <x v="11"/>
    <s v="AYCA-3OGHM6 - Botanica - Lidcombe - 88a "/>
    <s v="Lidcombe"/>
    <n v="1466.16"/>
    <m/>
    <n v="1466.16"/>
    <m/>
    <m/>
    <m/>
    <m/>
    <n v="0"/>
    <n v="1466.16"/>
    <n v="1"/>
    <m/>
    <d v="2017-03-18T00:00:00"/>
    <m/>
  </r>
  <r>
    <x v="0"/>
    <m/>
    <m/>
    <m/>
    <d v="2017-03-05T00:00:00"/>
    <m/>
    <m/>
    <x v="11"/>
    <s v="AYCA-3DOTZW - Industrial Development at 6 Money Close"/>
    <s v="Rouse Hill"/>
    <n v="3524.54"/>
    <m/>
    <n v="3524.54"/>
    <m/>
    <m/>
    <m/>
    <m/>
    <n v="0"/>
    <n v="3524.54"/>
    <n v="1"/>
    <m/>
    <d v="2017-03-19T00:00:00"/>
    <m/>
  </r>
  <r>
    <x v="0"/>
    <m/>
    <m/>
    <m/>
    <d v="2017-03-06T00:00:00"/>
    <m/>
    <m/>
    <x v="11"/>
    <s v="AYCA-3HE07T - 37 Bridge Street - 1 "/>
    <s v="Wollongong"/>
    <n v="2708.34"/>
    <m/>
    <n v="2708.34"/>
    <m/>
    <m/>
    <m/>
    <m/>
    <n v="0"/>
    <n v="2708.34"/>
    <n v="1"/>
    <m/>
    <d v="2017-03-20T00:00:00"/>
    <m/>
  </r>
  <r>
    <x v="0"/>
    <m/>
    <m/>
    <m/>
    <d v="2017-03-07T00:00:00"/>
    <m/>
    <m/>
    <x v="11"/>
    <s v="AYCA-35RM69 - 209 Hill St – 3 Copper"/>
    <s v="Orange"/>
    <n v="8606.7099999999991"/>
    <m/>
    <n v="8606.7099999999991"/>
    <m/>
    <m/>
    <m/>
    <m/>
    <n v="0"/>
    <n v="8606.7099999999991"/>
    <n v="1"/>
    <m/>
    <d v="2017-03-21T00:00:00"/>
    <m/>
  </r>
  <r>
    <x v="0"/>
    <m/>
    <m/>
    <m/>
    <d v="2017-03-08T00:00:00"/>
    <m/>
    <m/>
    <x v="11"/>
    <s v="AYCA-3LJLKQ - 72 CAM ST CAMBRIDGE PARK - 1"/>
    <s v="Penrith"/>
    <n v="3693.46"/>
    <m/>
    <n v="3693.46"/>
    <m/>
    <m/>
    <m/>
    <m/>
    <n v="0"/>
    <n v="3693.46"/>
    <n v="1"/>
    <m/>
    <d v="2017-03-22T00:00:00"/>
    <m/>
  </r>
  <r>
    <x v="0"/>
    <s v="Inv 11972"/>
    <d v="2017-02-28T00:00:00"/>
    <d v="2017-02-27T00:00:00"/>
    <d v="2017-02-28T00:00:00"/>
    <d v="2017-03-14T00:00:00"/>
    <d v="2017-03-28T00:00:00"/>
    <x v="8"/>
    <s v=" AYCA-3A6FG3 - Roseglass - 1"/>
    <s v="Wollongong"/>
    <n v="7729.07"/>
    <n v="1348.4600000000009"/>
    <n v="9077.5300000000007"/>
    <m/>
    <m/>
    <m/>
    <m/>
    <n v="0"/>
    <n v="7729.07"/>
    <n v="1"/>
    <s v="Invoiced"/>
    <d v="2017-03-14T00:00:00"/>
    <s v="Completed and handover forwarded"/>
  </r>
  <r>
    <x v="0"/>
    <m/>
    <m/>
    <m/>
    <d v="2017-03-10T00:00:00"/>
    <m/>
    <m/>
    <x v="11"/>
    <s v="AYCA-2XQPKW - Australian Int'l Academy Kellyville - 3"/>
    <s v="Kellyville"/>
    <n v="6766.23"/>
    <m/>
    <n v="6766.23"/>
    <n v="6766.23"/>
    <m/>
    <m/>
    <m/>
    <n v="0"/>
    <n v="6766.23"/>
    <n v="1"/>
    <m/>
    <d v="2017-03-24T00:00:00"/>
    <m/>
  </r>
  <r>
    <x v="0"/>
    <m/>
    <m/>
    <m/>
    <d v="2017-03-11T00:00:00"/>
    <m/>
    <m/>
    <x v="11"/>
    <s v="AYCA-2ONMWX -  Brookwood Estate - 2"/>
    <s v="Kiama"/>
    <n v="2943.37"/>
    <m/>
    <n v="2943.37"/>
    <m/>
    <m/>
    <m/>
    <m/>
    <n v="0"/>
    <n v="2943.37"/>
    <n v="1"/>
    <m/>
    <d v="2017-03-25T00:00:00"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n v="298064.57999999996"/>
    <n v="67043.20197714286"/>
    <n v="363759.32197714283"/>
    <n v="249944.82917485715"/>
    <e v="#REF!"/>
    <e v="#REF!"/>
    <n v="943.43"/>
    <e v="#REF!"/>
    <e v="#REF!"/>
    <e v="#REF!"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s v="OH Allocation per project vs rev"/>
    <m/>
    <x v="12"/>
    <s v=" "/>
    <m/>
    <m/>
    <m/>
    <m/>
    <m/>
    <m/>
    <m/>
    <m/>
    <m/>
    <m/>
    <m/>
    <m/>
    <m/>
    <m/>
  </r>
  <r>
    <x v="1"/>
    <m/>
    <s v="July rev Total"/>
    <n v="35303.360000000001"/>
    <m/>
    <m/>
    <m/>
    <x v="12"/>
    <s v="Overhead Cost July "/>
    <n v="0"/>
    <m/>
    <m/>
    <m/>
    <m/>
    <m/>
    <m/>
    <m/>
    <m/>
    <m/>
    <m/>
    <m/>
    <m/>
    <m/>
  </r>
  <r>
    <x v="1"/>
    <m/>
    <s v="July Overhead"/>
    <n v="0"/>
    <m/>
    <m/>
    <m/>
    <x v="12"/>
    <s v="Overhead Cost August"/>
    <n v="0"/>
    <m/>
    <m/>
    <m/>
    <m/>
    <m/>
    <m/>
    <m/>
    <m/>
    <m/>
    <m/>
    <m/>
    <m/>
    <m/>
  </r>
  <r>
    <x v="1"/>
    <m/>
    <s v="NBN Greenfields AYCA-2GRPSA 2 Barney St Kiama"/>
    <n v="5541.7"/>
    <n v="0.1569737271466512"/>
    <n v="0"/>
    <m/>
    <x v="12"/>
    <s v="Overhead Cost Sept"/>
    <n v="0"/>
    <m/>
    <m/>
    <m/>
    <m/>
    <m/>
    <m/>
    <m/>
    <m/>
    <m/>
    <m/>
    <m/>
    <m/>
    <m/>
  </r>
  <r>
    <x v="1"/>
    <m/>
    <s v="NBN Greenfields AYCA-26BG82 Breakfast Point"/>
    <n v="3386.6"/>
    <n v="9.5928546178040836E-2"/>
    <n v="0"/>
    <m/>
    <x v="12"/>
    <s v="Overhead Cost Oct"/>
    <n v="0"/>
    <m/>
    <m/>
    <m/>
    <m/>
    <m/>
    <m/>
    <m/>
    <m/>
    <m/>
    <m/>
    <m/>
    <m/>
    <m/>
  </r>
  <r>
    <x v="1"/>
    <m/>
    <s v="NBN Greenfields AYCA-20KSI0 Redgum Ridge Estate "/>
    <n v="3361.26"/>
    <n v="9.5210767473690894E-2"/>
    <n v="0"/>
    <m/>
    <x v="12"/>
    <s v="Overhead Cost Nov"/>
    <n v="0"/>
    <m/>
    <m/>
    <m/>
    <m/>
    <m/>
    <m/>
    <m/>
    <m/>
    <m/>
    <m/>
    <m/>
    <m/>
    <m/>
  </r>
  <r>
    <x v="1"/>
    <m/>
    <s v="NBN Greenfields AYCA-2I7RJL 135 Southern Cross Ave Middleton Grange_x000a__x000a_"/>
    <n v="6815.55"/>
    <n v="0.1930566948868323"/>
    <n v="0"/>
    <m/>
    <x v="12"/>
    <s v="Overhead Cost Dec"/>
    <n v="0"/>
    <m/>
    <m/>
    <m/>
    <m/>
    <m/>
    <m/>
    <m/>
    <m/>
    <m/>
    <m/>
    <m/>
    <m/>
    <m/>
  </r>
  <r>
    <x v="1"/>
    <m/>
    <s v="NBN Greenfields AYCA-2BM7CJ - Magnolia Estate_x000a__x000a_"/>
    <n v="11071.89"/>
    <n v="0.31362142300336282"/>
    <n v="0"/>
    <m/>
    <x v="12"/>
    <s v="Overhead Cost Jan 2017"/>
    <n v="0"/>
    <m/>
    <m/>
    <m/>
    <m/>
    <m/>
    <m/>
    <m/>
    <m/>
    <m/>
    <m/>
    <m/>
    <m/>
    <m/>
  </r>
  <r>
    <x v="1"/>
    <m/>
    <s v="NBN Greenfields AYCA-2PBQFJ - Kanahooka"/>
    <n v="3199.03"/>
    <n v="9.0615454166402293E-2"/>
    <n v="0"/>
    <m/>
    <x v="12"/>
    <s v="Overhead Cost Feb 2017"/>
    <n v="0"/>
    <m/>
    <m/>
    <m/>
    <m/>
    <m/>
    <m/>
    <m/>
    <m/>
    <m/>
    <m/>
    <m/>
    <m/>
    <m/>
  </r>
  <r>
    <x v="1"/>
    <m/>
    <s v="NBN Greenfields AYCA-WWC93-Sugar Valley Lifestyle Estat"/>
    <n v="671.14"/>
    <n v="1.9010655076457311E-2"/>
    <n v="0"/>
    <m/>
    <x v="12"/>
    <m/>
    <m/>
    <m/>
    <m/>
    <m/>
    <m/>
    <m/>
    <s v=" "/>
    <m/>
    <m/>
    <m/>
    <m/>
    <m/>
    <m/>
    <m/>
  </r>
  <r>
    <x v="1"/>
    <m/>
    <s v="NBN Greenfields AYCA-2BJH68-Southlakes Estate"/>
    <n v="1256.19"/>
    <n v="3.5582732068562314E-2"/>
    <n v="0"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s v="Aug rev Total"/>
    <n v="45167.689999999995"/>
    <m/>
    <m/>
    <m/>
    <x v="12"/>
    <m/>
    <m/>
    <m/>
    <m/>
    <m/>
    <m/>
    <m/>
    <m/>
    <m/>
    <m/>
    <m/>
    <m/>
    <m/>
    <m/>
    <m/>
  </r>
  <r>
    <x v="1"/>
    <m/>
    <s v="Aug Overhead"/>
    <n v="0"/>
    <m/>
    <m/>
    <m/>
    <x v="12"/>
    <m/>
    <m/>
    <m/>
    <m/>
    <m/>
    <m/>
    <m/>
    <m/>
    <m/>
    <m/>
    <m/>
    <m/>
    <m/>
    <m/>
    <m/>
  </r>
  <r>
    <x v="1"/>
    <m/>
    <s v="NBN Greenfields AYCA-2KHI4F The Vault "/>
    <n v="3313.85"/>
    <n v="7.3367710414236384E-2"/>
    <n v="0"/>
    <m/>
    <x v="12"/>
    <m/>
    <m/>
    <m/>
    <m/>
    <m/>
    <m/>
    <m/>
    <m/>
    <m/>
    <m/>
    <m/>
    <m/>
    <m/>
    <m/>
    <m/>
  </r>
  <r>
    <x v="1"/>
    <m/>
    <s v="NBN Greenfields AYCA‐1BGK5U Project Independence"/>
    <n v="4006.99"/>
    <n v="8.87136357869973E-2"/>
    <n v="0"/>
    <m/>
    <x v="12"/>
    <m/>
    <m/>
    <m/>
    <m/>
    <m/>
    <m/>
    <m/>
    <m/>
    <m/>
    <m/>
    <m/>
    <m/>
    <m/>
    <m/>
    <m/>
  </r>
  <r>
    <x v="1"/>
    <m/>
    <s v="NBN Greenfields AYCA-LYZ4T -Wallis Creek"/>
    <n v="966.94"/>
    <n v="2.1407780650283426E-2"/>
    <n v="0"/>
    <m/>
    <x v="12"/>
    <m/>
    <m/>
    <m/>
    <m/>
    <m/>
    <m/>
    <m/>
    <m/>
    <m/>
    <m/>
    <m/>
    <m/>
    <m/>
    <m/>
    <m/>
  </r>
  <r>
    <x v="1"/>
    <m/>
    <s v="NBN Greenfield AYCA‐1F7EBL ‐ Lampada"/>
    <n v="7731.44"/>
    <n v="0.17117191514553878"/>
    <n v="0"/>
    <m/>
    <x v="12"/>
    <m/>
    <m/>
    <m/>
    <m/>
    <m/>
    <m/>
    <m/>
    <m/>
    <m/>
    <m/>
    <m/>
    <m/>
    <m/>
    <m/>
    <m/>
  </r>
  <r>
    <x v="1"/>
    <m/>
    <s v="NBN Greenfields AYCA-24VUJT - Bunya Lot 6207"/>
    <n v="2348.67"/>
    <n v="5.1998895670777062E-2"/>
    <n v="0"/>
    <m/>
    <x v="12"/>
    <m/>
    <m/>
    <m/>
    <m/>
    <m/>
    <m/>
    <m/>
    <m/>
    <m/>
    <m/>
    <m/>
    <m/>
    <m/>
    <m/>
    <m/>
  </r>
  <r>
    <x v="1"/>
    <m/>
    <s v="NBN Greenfields AYCA-24VUME - Bunya Lot 6208 "/>
    <n v="5884.1"/>
    <n v="0.13027232519528895"/>
    <n v="0"/>
    <m/>
    <x v="12"/>
    <m/>
    <m/>
    <m/>
    <m/>
    <m/>
    <m/>
    <m/>
    <m/>
    <m/>
    <m/>
    <m/>
    <m/>
    <m/>
    <m/>
    <m/>
  </r>
  <r>
    <x v="1"/>
    <m/>
    <s v="NBN Greenfields AYCA-24VUGB - Bunya Lot 6000 "/>
    <n v="2736.89"/>
    <n v="6.059397768626202E-2"/>
    <n v="0"/>
    <m/>
    <x v="12"/>
    <m/>
    <m/>
    <m/>
    <m/>
    <m/>
    <m/>
    <m/>
    <m/>
    <m/>
    <m/>
    <m/>
    <m/>
    <m/>
    <m/>
    <m/>
  </r>
  <r>
    <x v="1"/>
    <m/>
    <s v="NBN Greenfields AYCA-24VU33 Bunya Lot 3075-3077 "/>
    <n v="771.34"/>
    <n v="1.7077251460059173E-2"/>
    <n v="0"/>
    <m/>
    <x v="12"/>
    <m/>
    <m/>
    <m/>
    <m/>
    <m/>
    <m/>
    <m/>
    <m/>
    <m/>
    <m/>
    <m/>
    <m/>
    <m/>
    <m/>
    <m/>
  </r>
  <r>
    <x v="1"/>
    <m/>
    <s v="NBN Greenfields AYCA-24VU9K - Bunya Lot 5055"/>
    <n v="2241.84"/>
    <n v="4.9633709405993542E-2"/>
    <n v="0"/>
    <m/>
    <x v="12"/>
    <m/>
    <m/>
    <m/>
    <m/>
    <m/>
    <m/>
    <m/>
    <m/>
    <m/>
    <m/>
    <m/>
    <m/>
    <m/>
    <m/>
    <m/>
  </r>
  <r>
    <x v="1"/>
    <m/>
    <s v="NBN Greenfields AYCA-24VU6N - Bunya Lot 5014 "/>
    <n v="2499.02"/>
    <n v="5.5327602540665689E-2"/>
    <n v="0"/>
    <m/>
    <x v="12"/>
    <m/>
    <m/>
    <m/>
    <m/>
    <m/>
    <m/>
    <m/>
    <m/>
    <m/>
    <m/>
    <m/>
    <m/>
    <m/>
    <m/>
    <m/>
  </r>
  <r>
    <x v="1"/>
    <m/>
    <s v="NBN Greenfields AYCA-24VSRG - Bunya Lot 2272"/>
    <n v="2528.1"/>
    <n v="5.5971425592054855E-2"/>
    <n v="0"/>
    <m/>
    <x v="12"/>
    <m/>
    <m/>
    <m/>
    <m/>
    <m/>
    <m/>
    <m/>
    <m/>
    <m/>
    <m/>
    <m/>
    <m/>
    <m/>
    <m/>
    <m/>
  </r>
  <r>
    <x v="1"/>
    <m/>
    <s v="NBN Greenfields AYCA-24VU9K - Bunya Lot 5099"/>
    <n v="1033.8900000000001"/>
    <n v="2.2890034889984416E-2"/>
    <n v="0"/>
    <m/>
    <x v="12"/>
    <m/>
    <m/>
    <m/>
    <m/>
    <m/>
    <m/>
    <m/>
    <m/>
    <m/>
    <m/>
    <m/>
    <m/>
    <m/>
    <m/>
    <m/>
  </r>
  <r>
    <x v="1"/>
    <m/>
    <s v="NBN Greenfields AYCA-24O1QL - 85 Jamison Road "/>
    <n v="4704.7"/>
    <n v="0.10416073967918218"/>
    <n v="0"/>
    <m/>
    <x v="12"/>
    <m/>
    <m/>
    <m/>
    <m/>
    <m/>
    <m/>
    <m/>
    <m/>
    <m/>
    <m/>
    <m/>
    <m/>
    <m/>
    <m/>
    <m/>
  </r>
  <r>
    <x v="1"/>
    <m/>
    <s v="NBN Greenfields AYCA-2BU21S-Block 7 Section 136 Casey"/>
    <n v="4399.92"/>
    <n v="9.7412995882676323E-2"/>
    <n v="0"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s v="Sept rev Total"/>
    <n v="6481.51"/>
    <m/>
    <m/>
    <m/>
    <x v="12"/>
    <m/>
    <m/>
    <m/>
    <m/>
    <m/>
    <m/>
    <m/>
    <m/>
    <m/>
    <m/>
    <m/>
    <m/>
    <m/>
    <m/>
    <m/>
  </r>
  <r>
    <x v="1"/>
    <m/>
    <s v="Sept Overhead"/>
    <n v="0"/>
    <m/>
    <m/>
    <m/>
    <x v="12"/>
    <m/>
    <m/>
    <m/>
    <m/>
    <m/>
    <m/>
    <m/>
    <m/>
    <m/>
    <m/>
    <m/>
    <m/>
    <m/>
    <m/>
    <m/>
  </r>
  <r>
    <x v="1"/>
    <m/>
    <s v="NBN Greenfields AYCA‐2Q7AAG Land and Housing Penrith"/>
    <n v="3287.77"/>
    <n v="0.50725371094081473"/>
    <n v="0"/>
    <m/>
    <x v="12"/>
    <m/>
    <m/>
    <m/>
    <m/>
    <m/>
    <m/>
    <m/>
    <m/>
    <m/>
    <m/>
    <m/>
    <m/>
    <m/>
    <m/>
    <m/>
  </r>
  <r>
    <x v="1"/>
    <m/>
    <s v="NBN Greenfields AYCA-LYZ4T- Wallis Creek"/>
    <n v="966.94"/>
    <n v="0.14918437216019106"/>
    <n v="0"/>
    <m/>
    <x v="12"/>
    <m/>
    <m/>
    <m/>
    <m/>
    <m/>
    <m/>
    <m/>
    <m/>
    <m/>
    <m/>
    <m/>
    <m/>
    <m/>
    <m/>
    <m/>
  </r>
  <r>
    <x v="1"/>
    <m/>
    <s v="NBN Greenfields AYCA-35B3CV- Schofield "/>
    <n v="2226.8000000000002"/>
    <n v="0.34356191689899424"/>
    <n v="0"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s v="Oct rev Total"/>
    <n v="61145.760000000002"/>
    <m/>
    <m/>
    <m/>
    <x v="12"/>
    <m/>
    <m/>
    <m/>
    <m/>
    <m/>
    <m/>
    <m/>
    <m/>
    <m/>
    <m/>
    <m/>
    <m/>
    <m/>
    <m/>
    <m/>
  </r>
  <r>
    <x v="1"/>
    <m/>
    <s v="Oct Overhead"/>
    <n v="0"/>
    <m/>
    <m/>
    <m/>
    <x v="12"/>
    <m/>
    <m/>
    <m/>
    <m/>
    <m/>
    <m/>
    <m/>
    <m/>
    <m/>
    <m/>
    <m/>
    <m/>
    <m/>
    <m/>
    <m/>
  </r>
  <r>
    <x v="1"/>
    <m/>
    <s v="NBN Greenfields AYCA 1780KC Johns Road Wadalba"/>
    <n v="1458.73"/>
    <n v="2.3856601013708883E-2"/>
    <n v="0"/>
    <m/>
    <x v="12"/>
    <m/>
    <m/>
    <m/>
    <m/>
    <m/>
    <m/>
    <m/>
    <m/>
    <m/>
    <m/>
    <m/>
    <m/>
    <m/>
    <m/>
    <m/>
  </r>
  <r>
    <x v="1"/>
    <m/>
    <s v="NBN Greenfields AYCA-2LWX4U-2MAI-02-Finch Crescent "/>
    <n v="951.94"/>
    <n v="1.5568373015561505E-2"/>
    <n v="0"/>
    <m/>
    <x v="12"/>
    <m/>
    <m/>
    <m/>
    <m/>
    <m/>
    <m/>
    <m/>
    <m/>
    <m/>
    <m/>
    <m/>
    <m/>
    <m/>
    <m/>
    <m/>
  </r>
  <r>
    <x v="1"/>
    <m/>
    <s v="NBN Greenfields AYCA-1WQ908 McCauleys Beach - Lots 600-619"/>
    <n v="4454.72"/>
    <n v="7.2854111225373594E-2"/>
    <n v="0"/>
    <m/>
    <x v="12"/>
    <m/>
    <m/>
    <m/>
    <m/>
    <m/>
    <m/>
    <m/>
    <m/>
    <m/>
    <m/>
    <m/>
    <m/>
    <m/>
    <m/>
    <m/>
  </r>
  <r>
    <x v="1"/>
    <m/>
    <s v="NBN Greenfields AYCA-2R1JTT -Greenway"/>
    <n v="3438.46"/>
    <n v="5.6233825534264356E-2"/>
    <n v="0"/>
    <m/>
    <x v="12"/>
    <m/>
    <m/>
    <m/>
    <m/>
    <m/>
    <m/>
    <m/>
    <m/>
    <m/>
    <m/>
    <m/>
    <m/>
    <m/>
    <m/>
    <m/>
  </r>
  <r>
    <x v="1"/>
    <m/>
    <s v="NBN Greenfields AYCA-NGFYK-Wentworth Point LOT 9"/>
    <n v="3430.64"/>
    <n v="5.6105934409842968E-2"/>
    <n v="0"/>
    <m/>
    <x v="12"/>
    <m/>
    <m/>
    <m/>
    <m/>
    <m/>
    <m/>
    <m/>
    <m/>
    <m/>
    <m/>
    <m/>
    <m/>
    <m/>
    <m/>
    <m/>
  </r>
  <r>
    <x v="1"/>
    <m/>
    <s v="NBN Greenfields  AYCA-2PFFWC-19 Brae Street, Prospect"/>
    <n v="5464.56"/>
    <n v="8.9369401901292916E-2"/>
    <n v="0"/>
    <m/>
    <x v="12"/>
    <m/>
    <m/>
    <m/>
    <m/>
    <m/>
    <m/>
    <m/>
    <m/>
    <m/>
    <m/>
    <m/>
    <m/>
    <m/>
    <m/>
    <m/>
  </r>
  <r>
    <x v="1"/>
    <m/>
    <s v="NBN Greenfields  AYCA-1QR3ND Hillview Rise"/>
    <n v="9048.0400000000009"/>
    <n v="0.14797493726466071"/>
    <n v="0"/>
    <m/>
    <x v="12"/>
    <m/>
    <m/>
    <m/>
    <m/>
    <m/>
    <m/>
    <m/>
    <m/>
    <m/>
    <m/>
    <m/>
    <m/>
    <m/>
    <m/>
    <m/>
  </r>
  <r>
    <x v="1"/>
    <m/>
    <s v="NBN Greenfields AYCA-2DSDBP - 3 Glenfield Road, Glenfield - 1"/>
    <n v="7931.68"/>
    <n v="0.12971757976350282"/>
    <n v="0"/>
    <m/>
    <x v="12"/>
    <m/>
    <m/>
    <m/>
    <m/>
    <m/>
    <m/>
    <m/>
    <m/>
    <m/>
    <m/>
    <m/>
    <m/>
    <m/>
    <m/>
    <m/>
  </r>
  <r>
    <x v="1"/>
    <m/>
    <s v="NBN Greenfields AYCA-2N2GYJ – Tatton Park -6"/>
    <n v="3768.8"/>
    <n v="6.163632605106225E-2"/>
    <n v="0"/>
    <m/>
    <x v="12"/>
    <m/>
    <m/>
    <m/>
    <m/>
    <m/>
    <m/>
    <m/>
    <m/>
    <m/>
    <m/>
    <m/>
    <m/>
    <m/>
    <m/>
    <m/>
  </r>
  <r>
    <x v="1"/>
    <m/>
    <s v="NBN Greenfields  AYCA-1RX8QD Redgum Ridge Estate – 12 "/>
    <n v="3514.09"/>
    <n v="5.7470706063674735E-2"/>
    <n v="0"/>
    <m/>
    <x v="12"/>
    <m/>
    <m/>
    <m/>
    <m/>
    <m/>
    <m/>
    <m/>
    <m/>
    <m/>
    <m/>
    <m/>
    <m/>
    <m/>
    <m/>
    <m/>
  </r>
  <r>
    <x v="1"/>
    <m/>
    <s v="NBN Greenfields AYCA-2E2WXJ - Shallows 6 "/>
    <n v="4450.93"/>
    <n v="7.2792128186811314E-2"/>
    <n v="0"/>
    <m/>
    <x v="12"/>
    <m/>
    <m/>
    <m/>
    <m/>
    <m/>
    <m/>
    <m/>
    <m/>
    <m/>
    <m/>
    <m/>
    <m/>
    <m/>
    <m/>
    <m/>
  </r>
  <r>
    <x v="1"/>
    <m/>
    <s v="NBN Greenfields AYCA-3B3VXN-Mann Street Gosford "/>
    <n v="1278.97"/>
    <n v="2.0916740588390756E-2"/>
    <n v="0"/>
    <m/>
    <x v="12"/>
    <m/>
    <m/>
    <m/>
    <m/>
    <m/>
    <m/>
    <m/>
    <m/>
    <m/>
    <m/>
    <m/>
    <m/>
    <m/>
    <m/>
    <m/>
  </r>
  <r>
    <x v="1"/>
    <m/>
    <s v="NBN Greenfields AYCA-2CZWG0-ARV Kingswood"/>
    <n v="7275.03"/>
    <n v="0.11897848681576612"/>
    <n v="0"/>
    <m/>
    <x v="12"/>
    <m/>
    <m/>
    <m/>
    <m/>
    <m/>
    <m/>
    <m/>
    <m/>
    <m/>
    <m/>
    <m/>
    <m/>
    <m/>
    <m/>
    <m/>
  </r>
  <r>
    <x v="1"/>
    <m/>
    <s v="NBN Greenfields AYCA-2DJ6MC Peterson Estate Stage 3 - 3B"/>
    <n v="4679.17"/>
    <n v="7.6524848166087067E-2"/>
    <n v="0"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s v="Nov Rev Total"/>
    <n v="14421.5"/>
    <m/>
    <m/>
    <m/>
    <x v="12"/>
    <m/>
    <m/>
    <m/>
    <m/>
    <m/>
    <m/>
    <m/>
    <m/>
    <m/>
    <m/>
    <m/>
    <m/>
    <m/>
    <m/>
    <m/>
  </r>
  <r>
    <x v="1"/>
    <m/>
    <s v="Nov O/Head"/>
    <n v="0"/>
    <m/>
    <m/>
    <m/>
    <x v="12"/>
    <m/>
    <m/>
    <m/>
    <m/>
    <m/>
    <m/>
    <m/>
    <m/>
    <m/>
    <m/>
    <m/>
    <m/>
    <m/>
    <m/>
    <m/>
  </r>
  <r>
    <x v="1"/>
    <m/>
    <s v="AYCA-1WA1Y6 21-24 Railway Road Meadowbank"/>
    <n v="6345.14"/>
    <n v="0.43997781090732591"/>
    <n v="0"/>
    <m/>
    <x v="12"/>
    <m/>
    <m/>
    <m/>
    <m/>
    <m/>
    <m/>
    <m/>
    <m/>
    <m/>
    <m/>
    <m/>
    <m/>
    <m/>
    <m/>
    <m/>
  </r>
  <r>
    <x v="1"/>
    <m/>
    <s v="AYCA-32OIQA Gracewood Kellyville"/>
    <n v="4576.8599999999997"/>
    <n v="0.31736365842665465"/>
    <n v="0"/>
    <m/>
    <x v="12"/>
    <m/>
    <m/>
    <m/>
    <m/>
    <m/>
    <m/>
    <m/>
    <m/>
    <m/>
    <m/>
    <m/>
    <m/>
    <m/>
    <m/>
    <m/>
  </r>
  <r>
    <x v="1"/>
    <m/>
    <s v="AYCA-3HNMNR - Uraga Pty Ltd ATF The Uraga Family Trust"/>
    <n v="1975.2"/>
    <n v="0.13696217453108206"/>
    <n v="0"/>
    <m/>
    <x v="12"/>
    <m/>
    <m/>
    <m/>
    <m/>
    <m/>
    <m/>
    <m/>
    <m/>
    <m/>
    <m/>
    <m/>
    <m/>
    <m/>
    <m/>
    <m/>
  </r>
  <r>
    <x v="1"/>
    <m/>
    <s v="AYCA-1W6XSN - Alex Ave Schofields - 7A"/>
    <n v="1524.3"/>
    <n v="0.10569635613493741"/>
    <n v="0"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s v="Dec Rev Total"/>
    <n v="7400.9491200000002"/>
    <m/>
    <m/>
    <m/>
    <x v="12"/>
    <m/>
    <m/>
    <m/>
    <m/>
    <m/>
    <m/>
    <m/>
    <m/>
    <m/>
    <m/>
    <m/>
    <m/>
    <m/>
    <m/>
    <m/>
  </r>
  <r>
    <x v="1"/>
    <m/>
    <s v="Dec O/H Total"/>
    <n v="0"/>
    <m/>
    <m/>
    <m/>
    <x v="12"/>
    <m/>
    <m/>
    <m/>
    <m/>
    <m/>
    <m/>
    <m/>
    <m/>
    <m/>
    <m/>
    <m/>
    <m/>
    <m/>
    <m/>
    <m/>
  </r>
  <r>
    <x v="1"/>
    <m/>
    <s v="AYCA-32OIQA Gracewood Kellyville"/>
    <n v="5876.64912"/>
    <n v="0.79403992984078231"/>
    <n v="0"/>
    <m/>
    <x v="12"/>
    <m/>
    <m/>
    <m/>
    <m/>
    <m/>
    <m/>
    <m/>
    <m/>
    <m/>
    <m/>
    <m/>
    <m/>
    <m/>
    <m/>
    <m/>
  </r>
  <r>
    <x v="1"/>
    <m/>
    <s v="AYCA-1W6XSN - Alex Ave Schofields - 7A"/>
    <n v="1524.3"/>
    <n v="0.20596007015921763"/>
    <n v="0"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s v="Jan Rev Total"/>
    <n v="27667.379999999997"/>
    <m/>
    <m/>
    <m/>
    <x v="12"/>
    <m/>
    <m/>
    <m/>
    <m/>
    <m/>
    <m/>
    <m/>
    <m/>
    <m/>
    <m/>
    <m/>
    <m/>
    <m/>
    <m/>
    <m/>
  </r>
  <r>
    <x v="1"/>
    <m/>
    <s v="Jan O/H Total"/>
    <n v="0"/>
    <m/>
    <m/>
    <m/>
    <x v="12"/>
    <m/>
    <m/>
    <m/>
    <m/>
    <m/>
    <m/>
    <m/>
    <m/>
    <m/>
    <m/>
    <m/>
    <m/>
    <m/>
    <m/>
    <m/>
  </r>
  <r>
    <x v="1"/>
    <m/>
    <s v="AYCA-2AW2N9-  2-10 Tyler street, Campbelltown"/>
    <n v="5985.51"/>
    <n v="0.21633815706438414"/>
    <n v="0"/>
    <m/>
    <x v="12"/>
    <m/>
    <m/>
    <m/>
    <m/>
    <m/>
    <m/>
    <m/>
    <m/>
    <m/>
    <m/>
    <m/>
    <m/>
    <m/>
    <m/>
    <m/>
  </r>
  <r>
    <x v="1"/>
    <m/>
    <s v="AYCA-2XCYEX Elysium, 47-49 Mowatt Street,"/>
    <n v="9131.56"/>
    <n v="0.33004787587404372"/>
    <n v="0"/>
    <m/>
    <x v="12"/>
    <m/>
    <m/>
    <m/>
    <m/>
    <m/>
    <m/>
    <m/>
    <m/>
    <m/>
    <m/>
    <m/>
    <m/>
    <m/>
    <m/>
    <m/>
  </r>
  <r>
    <x v="1"/>
    <m/>
    <s v="AYCA-2B2DZQ - Greenview Parade - 1 "/>
    <n v="1137.5999999999999"/>
    <n v="4.1117012163782767E-2"/>
    <n v="0"/>
    <m/>
    <x v="12"/>
    <m/>
    <m/>
    <m/>
    <m/>
    <m/>
    <m/>
    <m/>
    <m/>
    <m/>
    <m/>
    <m/>
    <m/>
    <m/>
    <m/>
    <m/>
  </r>
  <r>
    <x v="1"/>
    <m/>
    <s v="AYCA-157236 - Macquarie Park Village - 1 "/>
    <n v="6769.08"/>
    <n v="0.24465923408721754"/>
    <n v="0"/>
    <m/>
    <x v="12"/>
    <m/>
    <m/>
    <m/>
    <m/>
    <m/>
    <m/>
    <m/>
    <m/>
    <m/>
    <m/>
    <m/>
    <m/>
    <m/>
    <m/>
    <m/>
  </r>
  <r>
    <x v="1"/>
    <m/>
    <s v="AYCA-2HQZXU - Remembrance Drive - 1D"/>
    <n v="248.14"/>
    <n v="8.9686844218715336E-3"/>
    <n v="0"/>
    <m/>
    <x v="12"/>
    <m/>
    <m/>
    <m/>
    <m/>
    <m/>
    <m/>
    <m/>
    <m/>
    <m/>
    <m/>
    <m/>
    <m/>
    <m/>
    <m/>
    <m/>
  </r>
  <r>
    <x v="1"/>
    <m/>
    <s v="AYCA-32OUIO - 5-7 Wonga Street, Canterbury"/>
    <n v="4395.49"/>
    <n v="0.15886903638870034"/>
    <n v="0"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  <r>
    <x v="1"/>
    <m/>
    <m/>
    <m/>
    <m/>
    <m/>
    <m/>
    <x v="12"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2">
  <r>
    <s v="Andrew Patarlis"/>
    <s v="AYCA-2IMIS4 - Merewether St  Llewellyn St Merewether"/>
    <n v="4127.45"/>
    <m/>
    <m/>
    <m/>
    <m/>
    <m/>
    <m/>
    <m/>
    <m/>
    <m/>
    <m/>
    <m/>
    <m/>
  </r>
  <r>
    <s v="Andrew Patarlis"/>
    <s v="AYCA‐403X85 ‐ 55‐57 Bexley Road Campsie – 1"/>
    <n v="6742.66"/>
    <m/>
    <m/>
    <m/>
    <m/>
    <m/>
    <m/>
    <m/>
    <m/>
    <m/>
    <m/>
    <m/>
    <m/>
  </r>
  <r>
    <s v="Nabeel Jaimon"/>
    <s v="AYCA-41AC7Q - Horsley Drive Business Park"/>
    <n v="5142.3900000000003"/>
    <m/>
    <m/>
    <m/>
    <m/>
    <m/>
    <m/>
    <m/>
    <m/>
    <m/>
    <m/>
    <m/>
    <m/>
  </r>
  <r>
    <s v="Nabeel Jaimon"/>
    <s v="AYCA-4118T1 - HORSLEY DRIVE BUSINESS PARK "/>
    <n v="3109.73"/>
    <m/>
    <m/>
    <m/>
    <m/>
    <m/>
    <m/>
    <m/>
    <m/>
    <m/>
    <m/>
    <m/>
    <m/>
  </r>
  <r>
    <s v="Ertan Cicek"/>
    <s v="AYCA-2VZLWA - National Ave &amp; Glades Parkway - 1."/>
    <n v="2563.91"/>
    <m/>
    <m/>
    <m/>
    <m/>
    <m/>
    <m/>
    <m/>
    <m/>
    <m/>
    <m/>
    <m/>
    <m/>
  </r>
  <r>
    <s v="Ertan Cicek"/>
    <s v="AYCA-47WSFU - 4 Hansons Rd North Nowra"/>
    <n v="2010"/>
    <m/>
    <m/>
    <m/>
    <m/>
    <m/>
    <m/>
    <m/>
    <m/>
    <m/>
    <m/>
    <m/>
    <m/>
  </r>
  <r>
    <s v="Lindy Chan"/>
    <s v="AYCA‐46PUI1 ‐2HBD‐21 ‐ 724 Pittwater Rd Brookvale – 1"/>
    <m/>
    <n v="2139.2800000000002"/>
    <m/>
    <m/>
    <m/>
    <m/>
    <m/>
    <m/>
    <m/>
    <m/>
    <m/>
    <n v="1"/>
    <m/>
  </r>
  <r>
    <s v="Andrew Mahassy"/>
    <s v="AYCA-45XOFT - 2LIV-04 - Lodges Road – 1"/>
    <n v="12795.53"/>
    <m/>
    <m/>
    <m/>
    <m/>
    <m/>
    <m/>
    <m/>
    <m/>
    <m/>
    <m/>
    <m/>
    <m/>
  </r>
  <r>
    <s v="Andrew Mahassy"/>
    <s v="AYCA-42RWMG - Hat Hill Road – 1"/>
    <n v="14978.69"/>
    <m/>
    <m/>
    <m/>
    <m/>
    <m/>
    <m/>
    <m/>
    <m/>
    <m/>
    <m/>
    <m/>
    <m/>
  </r>
  <r>
    <s v="Andrew Mahassy"/>
    <s v="AYCA-3NYZIL - 2 Cathay Pl"/>
    <m/>
    <m/>
    <m/>
    <m/>
    <m/>
    <m/>
    <m/>
    <m/>
    <n v="6899.94"/>
    <m/>
    <m/>
    <m/>
    <m/>
  </r>
  <r>
    <s v="Michael Tram"/>
    <s v="AYCA-42J4C9 - 54 Tyrone Pl"/>
    <m/>
    <n v="6073.6875"/>
    <m/>
    <m/>
    <m/>
    <m/>
    <m/>
    <m/>
    <m/>
    <m/>
    <m/>
    <m/>
    <n v="1"/>
  </r>
  <r>
    <s v="Mark Leal"/>
    <s v="AYCA-456RTL -2MRS-03 -Non Standard Builds - Oakleigh Way "/>
    <n v="5672.4624999999996"/>
    <m/>
    <m/>
    <m/>
    <m/>
    <m/>
    <m/>
    <m/>
    <m/>
    <m/>
    <m/>
    <m/>
    <m/>
  </r>
  <r>
    <s v="Vipin K Gajula "/>
    <s v="AYCA-3UGXHS -282 Newcastle Road"/>
    <m/>
    <m/>
    <m/>
    <m/>
    <m/>
    <m/>
    <m/>
    <m/>
    <n v="3420.28"/>
    <m/>
    <m/>
    <m/>
    <m/>
  </r>
  <r>
    <s v="Vipin K Gajula "/>
    <s v="AYCA-3137ZW  - Torrance Investments Pty Ltd"/>
    <m/>
    <m/>
    <m/>
    <m/>
    <m/>
    <m/>
    <m/>
    <m/>
    <n v="7963.08"/>
    <m/>
    <m/>
    <m/>
    <m/>
  </r>
  <r>
    <s v="Dave Yoemans"/>
    <s v="AYCA-3YVYF5 - 1 Dairy Place Yass."/>
    <m/>
    <m/>
    <m/>
    <m/>
    <m/>
    <m/>
    <m/>
    <m/>
    <n v="35421.440000000002"/>
    <m/>
    <m/>
    <m/>
    <m/>
  </r>
  <r>
    <s v="Shaher Aslan"/>
    <s v="AYCA-44LXQI - Tongarra"/>
    <m/>
    <m/>
    <m/>
    <m/>
    <m/>
    <m/>
    <m/>
    <m/>
    <n v="6611.96"/>
    <m/>
    <m/>
    <m/>
    <m/>
  </r>
  <r>
    <s v="Vipin K Gajula "/>
    <s v="AYCA-3YUT4L - Brundah Road – 1"/>
    <m/>
    <n v="6869.87"/>
    <m/>
    <m/>
    <m/>
    <m/>
    <m/>
    <m/>
    <m/>
    <m/>
    <m/>
    <m/>
    <m/>
  </r>
  <r>
    <s v="Vipin K Gajula "/>
    <s v="AYCA-4BCVPP -Stage 2 Wattle Rd"/>
    <m/>
    <m/>
    <m/>
    <m/>
    <m/>
    <m/>
    <m/>
    <m/>
    <n v="8146.11"/>
    <m/>
    <m/>
    <m/>
    <m/>
  </r>
  <r>
    <s v="Mark Leal"/>
    <s v="AYCA-4DWSZZ-  81 Albatross Way - NSB – SURVEY"/>
    <m/>
    <n v="1430"/>
    <m/>
    <m/>
    <m/>
    <m/>
    <m/>
    <m/>
    <m/>
    <m/>
    <m/>
    <m/>
    <m/>
  </r>
  <r>
    <s v="Mark Leal"/>
    <s v="AYCA-4F1FWW_AYCA-4GRO21 - NSB 13 Vantage 55 Kingston"/>
    <m/>
    <n v="1906.5"/>
    <m/>
    <m/>
    <m/>
    <m/>
    <m/>
    <m/>
    <m/>
    <m/>
    <m/>
    <m/>
    <m/>
  </r>
  <r>
    <s v="Mark Leal"/>
    <s v="AYCA-4IA7K9 - 9CVI-21 - 22 Condamine St"/>
    <m/>
    <m/>
    <m/>
    <m/>
    <m/>
    <m/>
    <m/>
    <m/>
    <n v="7214.44"/>
    <m/>
    <m/>
    <m/>
    <m/>
  </r>
  <r>
    <s v="Andrew Mahassy"/>
    <s v="AYCA-4JN54Z (Elderslie - TH5) "/>
    <m/>
    <m/>
    <m/>
    <m/>
    <m/>
    <m/>
    <m/>
    <m/>
    <m/>
    <m/>
    <m/>
    <m/>
    <m/>
  </r>
  <r>
    <s v="Mark Leal"/>
    <s v="AYCA-3RBG8Z - 20-29 Lake Street – 1"/>
    <m/>
    <m/>
    <m/>
    <m/>
    <m/>
    <m/>
    <m/>
    <m/>
    <n v="4933.1099999999997"/>
    <m/>
    <m/>
    <m/>
    <m/>
  </r>
  <r>
    <s v="Nabeel Jaimon"/>
    <s v="AYCA-49DNJ1 - Nowra BP &amp; McDonalds - 1-  INTERNAL AND EXTERNAL"/>
    <n v="6352.1914285714283"/>
    <m/>
    <m/>
    <m/>
    <m/>
    <m/>
    <m/>
    <m/>
    <n v="0"/>
    <m/>
    <m/>
    <m/>
    <m/>
  </r>
  <r>
    <s v="Michael Tram"/>
    <s v="AYCA-1Z6XAC -1-9 Florence Street &amp; 19-23 Quinn Street"/>
    <m/>
    <n v="37391.760000000002"/>
    <m/>
    <m/>
    <m/>
    <m/>
    <m/>
    <m/>
    <m/>
    <m/>
    <m/>
    <m/>
    <m/>
  </r>
  <r>
    <s v="Andrew Mahassy"/>
    <s v="AYCA-4EMSE3_AYCA-4GM40D - 15 Allman_Talana Hill"/>
    <m/>
    <m/>
    <m/>
    <m/>
    <m/>
    <m/>
    <m/>
    <m/>
    <n v="1427.5"/>
    <m/>
    <m/>
    <m/>
    <m/>
  </r>
  <r>
    <s v="Andrew Mahassy"/>
    <s v="AYCA-45UVAF - Non Standard Builds - 15 Baldi Drive"/>
    <m/>
    <n v="18063.68"/>
    <m/>
    <m/>
    <m/>
    <m/>
    <m/>
    <m/>
    <m/>
    <m/>
    <m/>
    <m/>
    <m/>
  </r>
  <r>
    <s v="Vipin K Gajula "/>
    <s v="AYCA-29RFVG - Breakfast Point - 7D1 Providence"/>
    <n v="4240.51"/>
    <m/>
    <m/>
    <m/>
    <m/>
    <m/>
    <m/>
    <m/>
    <m/>
    <m/>
    <m/>
    <m/>
    <m/>
  </r>
  <r>
    <s v="Shaher Aslan"/>
    <s v="AYCA-4IDMPC- 9 Fitzpatrick St - 1"/>
    <m/>
    <n v="8099.36"/>
    <m/>
    <m/>
    <m/>
    <m/>
    <m/>
    <m/>
    <m/>
    <m/>
    <m/>
    <m/>
    <m/>
  </r>
  <r>
    <s v="Andrew Mahassy"/>
    <s v="AYCA-47PV52 - Non Standard Builds - 22-24 Barry Road"/>
    <m/>
    <n v="17870.099999999999"/>
    <m/>
    <m/>
    <m/>
    <m/>
    <m/>
    <m/>
    <m/>
    <m/>
    <m/>
    <m/>
    <m/>
  </r>
  <r>
    <s v="Dave Yeomans"/>
    <s v="AYCA-49I4SO - 72 Brolgan Road"/>
    <m/>
    <n v="7731.53"/>
    <m/>
    <m/>
    <m/>
    <m/>
    <m/>
    <m/>
    <m/>
    <m/>
    <m/>
    <m/>
    <m/>
  </r>
  <r>
    <s v="Dave Yeomans"/>
    <s v="AYCA-48HYBB - 89 Hammond Avenue"/>
    <m/>
    <n v="6447.82"/>
    <m/>
    <m/>
    <m/>
    <m/>
    <m/>
    <m/>
    <m/>
    <m/>
    <m/>
    <m/>
    <m/>
  </r>
  <r>
    <s v="Dave Yeomans"/>
    <s v="AYCA-461JCF - 8 Creole Road"/>
    <m/>
    <n v="5449.38"/>
    <m/>
    <m/>
    <m/>
    <m/>
    <m/>
    <m/>
    <m/>
    <m/>
    <m/>
    <m/>
    <m/>
  </r>
  <r>
    <s v="Shaher Aslan"/>
    <s v="AYCA-4H1TB6 - Sampson St - 1"/>
    <m/>
    <m/>
    <m/>
    <m/>
    <m/>
    <m/>
    <m/>
    <m/>
    <n v="8264"/>
    <m/>
    <m/>
    <m/>
    <m/>
  </r>
  <r>
    <s v="Andrew Mahassy"/>
    <s v="AYCA-476RM9 - Non Standard Builds - 87-91 Campbell St"/>
    <m/>
    <n v="8773.94"/>
    <m/>
    <m/>
    <m/>
    <m/>
    <m/>
    <m/>
    <m/>
    <m/>
    <m/>
    <m/>
    <m/>
  </r>
  <r>
    <s v="Shaher Aslan"/>
    <s v="AYCA-4K6BDG - Melito Drive - 1"/>
    <m/>
    <n v="8291.4699999999993"/>
    <m/>
    <m/>
    <m/>
    <m/>
    <m/>
    <m/>
    <m/>
    <m/>
    <m/>
    <m/>
    <m/>
  </r>
  <r>
    <s v="Ertan Cicek"/>
    <s v="MW20865 - 2NWR-03 - AYCA-2K3SGD - Elian Crescent 1."/>
    <m/>
    <n v="8598.36"/>
    <m/>
    <m/>
    <m/>
    <m/>
    <m/>
    <m/>
    <m/>
    <m/>
    <m/>
    <m/>
    <m/>
  </r>
  <r>
    <s v="Shaher Aslan"/>
    <s v="MW21086 - 2ORG-02 - AYCA-4BZJJB - 49 Moulder St - 2"/>
    <m/>
    <m/>
    <m/>
    <m/>
    <m/>
    <m/>
    <m/>
    <m/>
    <n v="7010.18"/>
    <m/>
    <m/>
    <m/>
    <m/>
  </r>
  <r>
    <s v="Mark Leal"/>
    <s v="MW21041 - 2OBA-20 - AYCA-4L6PEC - NSB - Old Bar Survey"/>
    <m/>
    <n v="1430"/>
    <m/>
    <m/>
    <m/>
    <m/>
    <m/>
    <m/>
    <m/>
    <m/>
    <m/>
    <m/>
    <m/>
  </r>
  <r>
    <s v="Shaher Aslan"/>
    <s v="MW21270 - 2BTH-01 - AYCA-47Y3BF - Arndilly"/>
    <m/>
    <n v="6664.39"/>
    <m/>
    <m/>
    <m/>
    <m/>
    <m/>
    <m/>
    <m/>
    <m/>
    <m/>
    <m/>
    <m/>
  </r>
  <r>
    <s v="Ertan Cicek"/>
    <s v="MW21249 - AYCA-4F6JI6-2WLG-08-NSB - 72-74 Cliff Road"/>
    <m/>
    <n v="13338.48"/>
    <m/>
    <m/>
    <m/>
    <m/>
    <m/>
    <m/>
    <m/>
    <m/>
    <m/>
    <m/>
    <m/>
  </r>
  <r>
    <s v="Ertan Cicek"/>
    <s v="MW21226 - 2MSV-02 - AYCA-3PR30G - 12-16 Watson Road"/>
    <m/>
    <m/>
    <m/>
    <m/>
    <m/>
    <m/>
    <m/>
    <m/>
    <n v="4809.3526571428565"/>
    <m/>
    <m/>
    <m/>
    <m/>
  </r>
  <r>
    <s v="Shaher Aslan"/>
    <s v="MW21209 - AYCA-4K7VB2 -2TWH-05 - River Views – 1"/>
    <m/>
    <n v="6516"/>
    <m/>
    <m/>
    <m/>
    <m/>
    <m/>
    <m/>
    <m/>
    <m/>
    <m/>
    <m/>
    <m/>
  </r>
  <r>
    <s v="Michael Tram"/>
    <s v="MW21266 - OOMWI - 2NRN-03 - AYCA-3MUJP4 - 11 McPherson Rd, Smeaton Grange – 1 "/>
    <n v="10817.41"/>
    <m/>
    <m/>
    <m/>
    <m/>
    <m/>
    <m/>
    <m/>
    <m/>
    <m/>
    <m/>
    <m/>
    <m/>
  </r>
  <r>
    <s v="Mark Leal"/>
    <s v="MW21032 - AYCA-4L57RB - 2MDG-01 -NSB - Bateman Ave Mudgee"/>
    <m/>
    <n v="1760"/>
    <m/>
    <m/>
    <m/>
    <m/>
    <m/>
    <m/>
    <m/>
    <m/>
    <m/>
    <m/>
    <m/>
  </r>
  <r>
    <s v="Dave Yoemans"/>
    <s v="MW21286 - AYCA-4DREB8 - 2PKE-08 - 85 William James Drive Cordeaux Heigh"/>
    <m/>
    <m/>
    <m/>
    <m/>
    <m/>
    <m/>
    <m/>
    <m/>
    <n v="5602.7"/>
    <m/>
    <m/>
    <m/>
    <m/>
  </r>
  <r>
    <s v="Dave Yeomans"/>
    <s v="MW21285 - AYCA-496F3H - 2MSV-04 - 8 Bendooley Street Bowral"/>
    <m/>
    <n v="4895.03"/>
    <m/>
    <m/>
    <m/>
    <m/>
    <m/>
    <m/>
    <m/>
    <m/>
    <m/>
    <m/>
    <m/>
  </r>
  <r>
    <s v="Dave Yeomans"/>
    <s v="MW21290 - AYCA-49VQSG - 2CAS-23 - 4 Jabiru Place - Castle Hill"/>
    <m/>
    <m/>
    <m/>
    <m/>
    <m/>
    <m/>
    <m/>
    <m/>
    <n v="4356.7700000000004"/>
    <m/>
    <m/>
    <m/>
    <m/>
  </r>
  <r>
    <s v="Dave Yeomans"/>
    <s v="MW21287 - AYCA-4BSSM6 - 2WAG-10 - 10 Fisher Place Lloyd"/>
    <m/>
    <n v="4882.83"/>
    <m/>
    <m/>
    <m/>
    <m/>
    <m/>
    <m/>
    <m/>
    <m/>
    <m/>
    <m/>
    <m/>
  </r>
  <r>
    <s v="Dave Yeomans"/>
    <s v="MW21288 - AYCA-4BG97M - 2WET-21 - 8 Magnolia Street Greystanes"/>
    <m/>
    <m/>
    <m/>
    <m/>
    <m/>
    <m/>
    <m/>
    <m/>
    <n v="3905.54"/>
    <m/>
    <m/>
    <m/>
    <m/>
  </r>
  <r>
    <s v="Dave Yeomans"/>
    <s v="MW21289 - AYCA-45YGSM - 2WAG-05 - 138 Elizabeth Avenue Forest Hill"/>
    <m/>
    <n v="12652.97"/>
    <m/>
    <m/>
    <m/>
    <m/>
    <m/>
    <m/>
    <m/>
    <m/>
    <m/>
    <m/>
    <m/>
  </r>
  <r>
    <s v="Shaher Aslan"/>
    <s v="MW21145 - AYCA-4KU6BE -OOMWI - 2WET-20 - Seniors Housing"/>
    <m/>
    <n v="2751.085"/>
    <m/>
    <m/>
    <m/>
    <m/>
    <m/>
    <m/>
    <m/>
    <m/>
    <m/>
    <m/>
    <m/>
  </r>
  <r>
    <s v="Mark Leal"/>
    <s v="MW21123 - 2TAR -02 - AYCA-4LIG38 - Non Standard Builds Survey"/>
    <m/>
    <n v="1670"/>
    <m/>
    <m/>
    <m/>
    <m/>
    <m/>
    <m/>
    <m/>
    <m/>
    <m/>
    <m/>
    <m/>
  </r>
  <r>
    <s v="Dave Yeomans"/>
    <s v="MW21080 - AYCA-2K262F - 2MSV-05 - Rochester Park - 1"/>
    <m/>
    <n v="5689.31"/>
    <m/>
    <m/>
    <m/>
    <m/>
    <m/>
    <m/>
    <m/>
    <m/>
    <m/>
    <m/>
    <m/>
  </r>
  <r>
    <s v="Dave Yeomans"/>
    <s v="MW21321 - AYCA-44VVQL - 2FOE-22 - 9,21, 23 Churchill Road Forster"/>
    <m/>
    <m/>
    <m/>
    <m/>
    <m/>
    <m/>
    <m/>
    <m/>
    <n v="8721.4699999999993"/>
    <m/>
    <m/>
    <m/>
    <m/>
  </r>
  <r>
    <s v="Dave Yeomans"/>
    <s v="MW21322 - 2SHH-02 - AYCA-4FHB4D - 3 Bellbird Close Barrack Heights"/>
    <m/>
    <n v="5773.02"/>
    <m/>
    <m/>
    <m/>
    <m/>
    <m/>
    <m/>
    <m/>
    <m/>
    <m/>
    <m/>
    <m/>
  </r>
  <r>
    <s v="Ertan Cicek"/>
    <s v="MW21380 - 2YON-01 - AYCA-4MRFUW - 1 Patterson Avenue, Young – 1"/>
    <m/>
    <n v="12059.12"/>
    <m/>
    <m/>
    <m/>
    <m/>
    <m/>
    <m/>
    <m/>
    <m/>
    <m/>
    <m/>
    <m/>
  </r>
  <r>
    <s v="Nabeel Jaimon"/>
    <s v="MW21325 - 2NRL-20 - AYCA-2QFUTJ - Camden Day Hospital - 1"/>
    <m/>
    <n v="2322.6892857142852"/>
    <m/>
    <m/>
    <m/>
    <m/>
    <m/>
    <m/>
    <m/>
    <m/>
    <m/>
    <m/>
    <m/>
  </r>
  <r>
    <s v="Lindy Chan"/>
    <s v="MW21373 - 2WET-65 - AYCA-4O5GBC - 106 - 108 Chifley St - Smithfield"/>
    <m/>
    <n v="5336.9454285714291"/>
    <m/>
    <m/>
    <m/>
    <m/>
    <m/>
    <m/>
    <m/>
    <m/>
    <m/>
    <m/>
    <m/>
  </r>
  <r>
    <s v="Mark Leal"/>
    <s v="MW20905 - 2NLT-09 - AYCA-47ENGU - 16 WALL – 1"/>
    <m/>
    <n v="5557.33"/>
    <m/>
    <m/>
    <m/>
    <m/>
    <m/>
    <m/>
    <m/>
    <m/>
    <m/>
    <m/>
    <m/>
  </r>
  <r>
    <s v="Nabeel Jaimon"/>
    <s v="MW21392 - 2MIL-20 - AYCA-4NGNW3 - LOT 421 &amp; 422, 10-12 PROGRESS CIRCUIT"/>
    <m/>
    <n v="2044.5"/>
    <m/>
    <m/>
    <m/>
    <m/>
    <m/>
    <m/>
    <m/>
    <m/>
    <m/>
    <m/>
    <m/>
  </r>
  <r>
    <s v="Andrew Mahassy"/>
    <s v="MW21401 - 2PTH-11 - AYCA-4RYUIS -  Non Standard Builds - Assisi Close Cranebrook"/>
    <m/>
    <n v="900"/>
    <m/>
    <m/>
    <m/>
    <m/>
    <m/>
    <m/>
    <m/>
    <m/>
    <m/>
    <m/>
    <m/>
  </r>
  <r>
    <s v="Ertan Cicek"/>
    <s v="MW21400 - 2MTT-02 - AYCA-4JV9PM - Wattle St Colo Vale - 1"/>
    <m/>
    <n v="6328.8649999999998"/>
    <m/>
    <m/>
    <m/>
    <m/>
    <m/>
    <m/>
    <m/>
    <m/>
    <m/>
    <m/>
    <m/>
  </r>
  <r>
    <s v="Ertan Cicek"/>
    <s v="MW21398 - 2MSV-03 - AYCA-3MIX48 - Sutherland Park Estate - 1"/>
    <m/>
    <n v="8670.86"/>
    <m/>
    <m/>
    <m/>
    <m/>
    <m/>
    <m/>
    <m/>
    <m/>
    <m/>
    <m/>
    <m/>
  </r>
  <r>
    <s v="Ertan Cicek"/>
    <s v="MW21395 - 2BTH-01 - AYCA-4LYVIU - Arndilly - 2"/>
    <m/>
    <n v="4802.3678571428572"/>
    <m/>
    <m/>
    <m/>
    <m/>
    <m/>
    <m/>
    <m/>
    <m/>
    <m/>
    <m/>
    <m/>
  </r>
  <r>
    <s v="Dave Yeomans"/>
    <s v="MW21415 - 2WOY-04 - AYCA-357A3D - 243 Blackwall Rd Woy Woy"/>
    <m/>
    <m/>
    <m/>
    <m/>
    <m/>
    <m/>
    <m/>
    <m/>
    <n v="8708.2000000000007"/>
    <m/>
    <m/>
    <m/>
    <m/>
  </r>
  <r>
    <s v="Mark Leal"/>
    <s v="MW21416 - 2ORG-05 - AYCA-4H25NY - 12 Wakeford – 1"/>
    <m/>
    <n v="8637.2000000000007"/>
    <m/>
    <m/>
    <m/>
    <m/>
    <m/>
    <m/>
    <m/>
    <m/>
    <m/>
    <m/>
    <m/>
  </r>
  <r>
    <s v="Ertan Cicek"/>
    <s v="MW20076 - AYCA-4TBHNX - 2SHH-05 - Non Standard Builds - 125 Lake Entrance - SURVEY MWI Pack"/>
    <m/>
    <n v="1698"/>
    <m/>
    <m/>
    <m/>
    <m/>
    <m/>
    <m/>
    <m/>
    <m/>
    <m/>
    <m/>
    <m/>
  </r>
  <r>
    <s v="Mark Leal"/>
    <s v="MW21438 - 2ORG-01 - AYCA-4J2IIB - Majestic Way - 1"/>
    <m/>
    <n v="5568.32"/>
    <m/>
    <m/>
    <m/>
    <m/>
    <m/>
    <m/>
    <m/>
    <m/>
    <m/>
    <m/>
    <m/>
  </r>
  <r>
    <s v="Mark Leal"/>
    <s v="MW21311 - 2WAU-21 - AYCA-4N13KQ - 127 Cameron St"/>
    <m/>
    <n v="8488.5"/>
    <m/>
    <m/>
    <m/>
    <m/>
    <m/>
    <m/>
    <m/>
    <m/>
    <m/>
    <m/>
    <m/>
  </r>
  <r>
    <s v="Ertan Cicek"/>
    <s v="MW21379 ‐ 2TUM‐20 ‐ AYCA‐4QFUB7 ‐ Non Standard Builds ‐ Emery Place Tumut"/>
    <m/>
    <m/>
    <m/>
    <m/>
    <m/>
    <m/>
    <m/>
    <m/>
    <n v="1606"/>
    <m/>
    <m/>
    <m/>
    <m/>
  </r>
  <r>
    <s v="Andrew Mahassy"/>
    <s v="MW21516 - AYCA-4TB2X9 - NSB - Wirrinya Pl Grasmere - SURVEY"/>
    <m/>
    <n v="800"/>
    <m/>
    <m/>
    <m/>
    <m/>
    <m/>
    <m/>
    <m/>
    <m/>
    <m/>
    <m/>
    <m/>
  </r>
  <r>
    <s v="Mark Leal"/>
    <s v="MW21037 - AYCA-32NN4T -2MSV-05 -Blue Gum Rd Estate – 1"/>
    <m/>
    <n v="22553.22"/>
    <m/>
    <m/>
    <m/>
    <m/>
    <m/>
    <m/>
    <m/>
    <m/>
    <m/>
    <m/>
    <m/>
  </r>
  <r>
    <s v="Nabeel Jaimon"/>
    <s v="MW21464 - 2NRN-03 - AYCA-4EAKM1-63 SGR - 1- EXTERNAL"/>
    <m/>
    <n v="4263.5600000000004"/>
    <m/>
    <m/>
    <m/>
    <m/>
    <m/>
    <m/>
    <m/>
    <m/>
    <m/>
    <m/>
    <m/>
  </r>
  <r>
    <s v="Mark Leal"/>
    <s v="MW21459 - AYCA-4DWSZZ -2OBA-20 -NSB - 81 Albatross Way"/>
    <m/>
    <n v="13975.962500000001"/>
    <m/>
    <m/>
    <m/>
    <m/>
    <m/>
    <m/>
    <m/>
    <m/>
    <m/>
    <m/>
    <m/>
  </r>
  <r>
    <s v="Dave Yoemans"/>
    <s v="MW21472 - OOMWI - 2GRK-01 - AYCA-4G5CSP - 20 Stanley Street Wyongah"/>
    <m/>
    <n v="6634.97"/>
    <m/>
    <m/>
    <m/>
    <m/>
    <m/>
    <m/>
    <m/>
    <m/>
    <m/>
    <m/>
    <m/>
  </r>
  <r>
    <s v="Dave Yoemans"/>
    <s v="MW21473 - OOMWI - AYCA-3TNJ90-64 James Sea Drive, Green Point"/>
    <m/>
    <n v="5531.99"/>
    <m/>
    <m/>
    <m/>
    <m/>
    <m/>
    <m/>
    <m/>
    <m/>
    <m/>
    <m/>
    <m/>
  </r>
  <r>
    <s v="Andrew Mahassy"/>
    <s v="MW21488 - OOMWI - 2ROU-03 - AYCA-4877L8 - Non Standard Builds - Windon Avenue"/>
    <m/>
    <n v="2284.9699999999998"/>
    <m/>
    <m/>
    <m/>
    <m/>
    <m/>
    <m/>
    <m/>
    <m/>
    <m/>
    <m/>
    <m/>
  </r>
  <r>
    <s v="Andrew Patarlis"/>
    <s v="MW21493 - OOMWI - 2PTH-02 - AYCA-3O0SC6 - Hope Gardens - 1"/>
    <m/>
    <n v="741.95"/>
    <m/>
    <m/>
    <m/>
    <m/>
    <m/>
    <m/>
    <m/>
    <m/>
    <m/>
    <m/>
    <m/>
  </r>
  <r>
    <s v="Andrew Mahassy"/>
    <s v="MW21495 - OOMWI - 2COR-04 - AYCA-4UUWX6 - Non Standard Build - 13 Popes Rd Woonona - SURVEY MWI Pack"/>
    <m/>
    <n v="1350"/>
    <m/>
    <m/>
    <m/>
    <m/>
    <m/>
    <m/>
    <m/>
    <m/>
    <m/>
    <m/>
    <m/>
  </r>
  <r>
    <s v="Nabeel Jaimon"/>
    <s v="MW21507 - OOMWI - 2WAG-05 - AYCA-4Q1LKQ -The Mill Commercial Development - 1"/>
    <m/>
    <n v="3800.34"/>
    <m/>
    <m/>
    <m/>
    <m/>
    <m/>
    <m/>
    <m/>
    <m/>
    <m/>
    <m/>
    <m/>
  </r>
  <r>
    <s v="Vipin K Gajula "/>
    <s v="MW21271 -OOMWI-2MRS-03-AYCA-45TAFX  - Cooranbong - 1"/>
    <m/>
    <n v="8838.48"/>
    <m/>
    <m/>
    <m/>
    <m/>
    <m/>
    <m/>
    <m/>
    <m/>
    <m/>
    <m/>
    <m/>
  </r>
  <r>
    <s v="Nabeel Jaimon"/>
    <s v="MW21506-AYCA-4TCZPJ-2MIL-20-LOT 421 &amp; 422, PROGRESS CIRCUIT"/>
    <m/>
    <n v="3069.5"/>
    <m/>
    <m/>
    <m/>
    <m/>
    <m/>
    <m/>
    <m/>
    <m/>
    <m/>
    <m/>
    <m/>
  </r>
  <r>
    <s v="Andrew Patarlis"/>
    <s v="MW21512 - OOMWI - 2NLT-09 - AYCA-4IUR86 -Clarendene - 1 "/>
    <m/>
    <n v="6924.34"/>
    <m/>
    <m/>
    <m/>
    <m/>
    <m/>
    <m/>
    <m/>
    <m/>
    <m/>
    <m/>
    <m/>
  </r>
  <r>
    <s v="Lindy Chan"/>
    <s v="MW21408 - OOMWI - 2ROC-04 - AYCA-4GCT7O - Baxter International Hotel - 1 "/>
    <m/>
    <n v="5871.23"/>
    <m/>
    <m/>
    <m/>
    <m/>
    <m/>
    <m/>
    <m/>
    <m/>
    <m/>
    <m/>
    <m/>
  </r>
  <r>
    <s v="Paul Hales"/>
    <s v="MWxxxxx Datateks - New Dev MDU 476TI5 Freight Linz  Annexure B - RFQ 7 Mar 2016"/>
    <m/>
    <m/>
    <m/>
    <m/>
    <m/>
    <m/>
    <m/>
    <m/>
    <n v="5195.0600000000004"/>
    <m/>
    <m/>
    <m/>
    <m/>
  </r>
  <r>
    <s v="Paul Hales"/>
    <s v="MWxxxxx Datateks - New Dev MDU 4JI593-2BYB-21 Banksia Byron Bay  Annexure B - RFQ 7 Mar 2016"/>
    <m/>
    <m/>
    <m/>
    <m/>
    <m/>
    <m/>
    <m/>
    <m/>
    <n v="10085.700000000001"/>
    <m/>
    <m/>
    <m/>
    <m/>
  </r>
  <r>
    <s v="Paul Hales"/>
    <s v="MW21642- AYCA-48KUSD-2NRN-10 - 79-85 TURNER ROAD, GREGORY HILLS"/>
    <m/>
    <n v="2107.06"/>
    <m/>
    <m/>
    <m/>
    <m/>
    <m/>
    <m/>
    <m/>
    <m/>
    <m/>
    <m/>
    <m/>
  </r>
  <r>
    <s v="Paul Hales"/>
    <s v="MWxxxxx Datateks - New Dev MDU 4V3WL4-2PTM-Port Macq  Annexure B - RFQ 7 Mar 2016"/>
    <m/>
    <m/>
    <m/>
    <m/>
    <m/>
    <m/>
    <m/>
    <m/>
    <n v="17083.599999999999"/>
    <m/>
    <m/>
    <m/>
    <m/>
  </r>
  <r>
    <s v="Vipin K Gajula "/>
    <s v="MW21390 - 2KIA - AYCA-4QG9AV - NSB - 33 Shoalhaven St K - Datateks NBN Quote"/>
    <m/>
    <n v="1919"/>
    <m/>
    <m/>
    <m/>
    <m/>
    <m/>
    <m/>
    <m/>
    <m/>
    <m/>
    <m/>
    <m/>
  </r>
  <r>
    <s v="Paul Hales"/>
    <s v="AYCA-4VVZEF - 2OBA-20 - NSB - Trevally Ave Old Bar - Survey"/>
    <m/>
    <m/>
    <m/>
    <m/>
    <m/>
    <m/>
    <m/>
    <m/>
    <n v="1578"/>
    <m/>
    <m/>
    <m/>
    <m/>
  </r>
  <r>
    <s v="Paul Hales"/>
    <s v="AYCA-3K4RCM - Marsden Park Tonzat Development – 1 and 2"/>
    <m/>
    <n v="21847.48"/>
    <m/>
    <m/>
    <m/>
    <m/>
    <m/>
    <m/>
    <m/>
    <m/>
    <m/>
    <m/>
    <m/>
  </r>
  <r>
    <s v="Paul Hales"/>
    <s v="MW21703 - AYCA-41SAXG - 2MIL-04 - Stage 2 Lagana"/>
    <m/>
    <n v="1404.18"/>
    <m/>
    <m/>
    <m/>
    <m/>
    <m/>
    <m/>
    <m/>
    <m/>
    <m/>
    <m/>
    <m/>
  </r>
  <r>
    <s v="Ertan Cicek"/>
    <s v="MW21821-2NRN-10-AYCA-52OMAH-18 Bluett Dr, Smeaton Grange"/>
    <m/>
    <n v="7704.13"/>
    <m/>
    <m/>
    <m/>
    <m/>
    <m/>
    <m/>
    <m/>
    <m/>
    <m/>
    <m/>
    <m/>
  </r>
  <r>
    <s v="Vipin K Gajula "/>
    <s v="2ROU-02-AYCA-4YPSLH - Home Co Rouse Hill – 1 "/>
    <m/>
    <m/>
    <m/>
    <m/>
    <m/>
    <m/>
    <m/>
    <m/>
    <n v="680.36"/>
    <m/>
    <m/>
    <m/>
    <m/>
  </r>
  <r>
    <s v="Andrew Mahassy"/>
    <s v="MW21946-2COR-04-AYCA-4XKUSR-13 Popes Rd, Woonona"/>
    <m/>
    <n v="9706.1"/>
    <m/>
    <m/>
    <m/>
    <m/>
    <m/>
    <m/>
    <m/>
    <m/>
    <m/>
    <m/>
    <m/>
  </r>
  <r>
    <s v="Mark Leal"/>
    <s v="AYCA-4GRO21 NSB - 55 Kingston Parade, Heatherbrae,"/>
    <m/>
    <n v="2191.88"/>
    <m/>
    <m/>
    <m/>
    <m/>
    <m/>
    <m/>
    <m/>
    <m/>
    <m/>
    <m/>
    <m/>
  </r>
  <r>
    <s v="Mark Leal"/>
    <s v="AYCA-4L6PEC- Non Standard Builds - Brook Close Old Bar "/>
    <m/>
    <n v="3519"/>
    <m/>
    <m/>
    <m/>
    <m/>
    <m/>
    <m/>
    <m/>
    <m/>
    <m/>
    <m/>
    <m/>
  </r>
  <r>
    <s v="Mark Leal"/>
    <s v="51 Alliance Avenue Morisset"/>
    <m/>
    <n v="8001.45"/>
    <m/>
    <m/>
    <m/>
    <m/>
    <m/>
    <m/>
    <m/>
    <m/>
    <m/>
    <m/>
    <m/>
  </r>
  <r>
    <s v="Dave Yoemans"/>
    <s v="MW22032-AYCA-4C48KZ-2MDG-01-4 Lewis Street Mudgee"/>
    <m/>
    <n v="6077.33"/>
    <m/>
    <m/>
    <m/>
    <m/>
    <m/>
    <m/>
    <m/>
    <m/>
    <m/>
    <m/>
    <m/>
  </r>
  <r>
    <s v="Dave Yoemans"/>
    <s v="MW22035-AYCA-4C4E63-2CWR-01-11 Liverpool Street Cowra"/>
    <m/>
    <n v="8506.73"/>
    <m/>
    <m/>
    <m/>
    <m/>
    <m/>
    <m/>
    <m/>
    <m/>
    <m/>
    <m/>
    <m/>
  </r>
  <r>
    <s v="Dave Yoemans"/>
    <s v="MW22034-AYCA-4DZ83F-2NLT-01-6 Callan Avenue Maryland "/>
    <m/>
    <n v="4859.5"/>
    <m/>
    <m/>
    <m/>
    <m/>
    <m/>
    <m/>
    <m/>
    <m/>
    <m/>
    <m/>
    <m/>
  </r>
  <r>
    <s v="Dave Yoemans"/>
    <s v="MW22033 -AYCA-4PX9WA- 2YAS-01 - 23 Browne Street Yass"/>
    <m/>
    <n v="2191.88"/>
    <m/>
    <m/>
    <m/>
    <m/>
    <m/>
    <m/>
    <m/>
    <m/>
    <m/>
    <m/>
    <m/>
  </r>
  <r>
    <s v="Dave Yoemans"/>
    <s v="MW22098-AYCA-4RWURH-2CES-02-147 Mathieson Street Bellbird Heights "/>
    <m/>
    <n v="5003.75"/>
    <m/>
    <m/>
    <m/>
    <m/>
    <m/>
    <m/>
    <m/>
    <m/>
    <m/>
    <m/>
    <m/>
  </r>
  <r>
    <s v="Mark Leal"/>
    <s v="MW22100 - 2KTB-02 - AYCA-4QBUIV - Non Standard Builds - Letitia St Katoomb"/>
    <m/>
    <n v="2772.3999999999996"/>
    <m/>
    <m/>
    <m/>
    <m/>
    <m/>
    <m/>
    <m/>
    <m/>
    <m/>
    <m/>
    <m/>
  </r>
  <r>
    <s v="Dave Yoemans"/>
    <s v="MW22196 - 2ORG-01 - AYCA-4VVND3 - 258 CLERGATE RD, ORANGE"/>
    <m/>
    <n v="6657.74"/>
    <m/>
    <m/>
    <m/>
    <m/>
    <m/>
    <m/>
    <m/>
    <m/>
    <m/>
    <m/>
    <m/>
  </r>
  <r>
    <s v="Ertan Cicek"/>
    <s v="MW22188 - 2BAN-60 - AYCA-4YPJJH - Home Co Chullora - 1"/>
    <m/>
    <n v="789.43"/>
    <m/>
    <m/>
    <m/>
    <m/>
    <m/>
    <m/>
    <m/>
    <m/>
    <m/>
    <m/>
    <m/>
  </r>
  <r>
    <s v="Ertan Cicek"/>
    <s v="MW22183 - 2REV-20 - AYCA-55F4KR -Revesby Industrial Site - 1"/>
    <m/>
    <n v="3090.0625"/>
    <m/>
    <m/>
    <m/>
    <m/>
    <m/>
    <m/>
    <m/>
    <m/>
    <m/>
    <m/>
    <m/>
  </r>
  <r>
    <s v="Ertan Cicek"/>
    <s v="MW22186 - 2CAS-23 - AYCA-3L48XJ - Mercedes Benz Castle Hill - 1"/>
    <m/>
    <n v="4057.47"/>
    <m/>
    <m/>
    <m/>
    <m/>
    <m/>
    <m/>
    <m/>
    <m/>
    <m/>
    <m/>
    <m/>
  </r>
  <r>
    <s v="Ertan Cicek"/>
    <s v="MW22191 - 2MIL-20 - AYCA-4Z4FSB - Mainfreight Logistics - 1"/>
    <m/>
    <n v="41413.659642857143"/>
    <m/>
    <m/>
    <m/>
    <m/>
    <m/>
    <m/>
    <m/>
    <m/>
    <m/>
    <m/>
    <m/>
  </r>
  <r>
    <s v="Sogand Mohat"/>
    <s v="MW22208-2KEL-07-AYCA-4PWSOZ-1B Fairway Dr Kellyville"/>
    <m/>
    <n v="7979.71"/>
    <m/>
    <m/>
    <m/>
    <m/>
    <m/>
    <m/>
    <m/>
    <m/>
    <m/>
    <m/>
    <m/>
  </r>
  <r>
    <s v="Sogand Mohat"/>
    <s v="MW22239 - 2KTB-01 - AYCA-552R88 - Lot33-36 The Escarpments - 1"/>
    <m/>
    <n v="4434.76"/>
    <m/>
    <m/>
    <m/>
    <m/>
    <m/>
    <m/>
    <m/>
    <m/>
    <m/>
    <m/>
    <m/>
  </r>
  <r>
    <s v="Sogand Mohat"/>
    <s v="MW22209-2ORG-02-AYCA-48LNJ7-Cedar St Orange"/>
    <m/>
    <n v="7615.85"/>
    <m/>
    <m/>
    <m/>
    <m/>
    <m/>
    <m/>
    <m/>
    <m/>
    <m/>
    <m/>
    <m/>
  </r>
  <r>
    <s v="Nabeel Jaimon"/>
    <s v="MW22264-2WAG-05-AYCA-4YPT3F-145129 - 145 Hammond Ave East Wagga"/>
    <m/>
    <n v="1065"/>
    <m/>
    <m/>
    <m/>
    <m/>
    <m/>
    <m/>
    <m/>
    <m/>
    <m/>
    <m/>
    <m/>
  </r>
  <r>
    <s v="Andrew Mahassy"/>
    <s v="MW22288-2MIL-04-AYCA-4R7UP6-40 Government Rd, Hinchinbrook"/>
    <m/>
    <n v="8639.27"/>
    <m/>
    <m/>
    <m/>
    <m/>
    <m/>
    <m/>
    <m/>
    <m/>
    <m/>
    <m/>
    <m/>
  </r>
  <r>
    <s v="Dave Yoemans"/>
    <s v="AYCA-4Q0G0C - 20 Scarborough Close Port Macquarie NSW 2444"/>
    <m/>
    <n v="8773.7999999999993"/>
    <m/>
    <m/>
    <m/>
    <m/>
    <m/>
    <m/>
    <m/>
    <m/>
    <m/>
    <m/>
    <m/>
  </r>
  <r>
    <s v="Mark Leal"/>
    <s v="MW22336 - 2KMS-21 - AYCA-4MJKV1 - Springfields Drive - 1 "/>
    <m/>
    <n v="7769.35"/>
    <m/>
    <m/>
    <m/>
    <m/>
    <m/>
    <m/>
    <m/>
    <m/>
    <m/>
    <m/>
    <m/>
  </r>
  <r>
    <s v="Mark Leal"/>
    <s v="MW22335 - 2WOY-03 - AYCA-55S741 - Broken Bay – 1"/>
    <m/>
    <n v="4540.0600000000004"/>
    <m/>
    <m/>
    <m/>
    <m/>
    <m/>
    <m/>
    <m/>
    <m/>
    <m/>
    <m/>
    <m/>
  </r>
  <r>
    <s v="Andrew Mahassy"/>
    <s v="MW22350-9SCU-07-AYCA-4VAQ8P-11 Prevost Pl MacGregor, ACT "/>
    <m/>
    <n v="10564.933999999999"/>
    <m/>
    <m/>
    <m/>
    <m/>
    <m/>
    <m/>
    <m/>
    <m/>
    <m/>
    <m/>
    <m/>
  </r>
  <r>
    <s v="Mark Leal"/>
    <s v="MW22392-2WEL-01-AYCA-53Y8BE-17 Nicholii St, Montefiores"/>
    <m/>
    <n v="7630.73"/>
    <m/>
    <m/>
    <m/>
    <m/>
    <m/>
    <m/>
    <m/>
    <m/>
    <m/>
    <m/>
    <m/>
  </r>
  <r>
    <s v="Dave Yoemans"/>
    <s v="AYCA-501QN5 - 30 Pentonville Parade, Castle Hill"/>
    <n v="2549.4500000000003"/>
    <m/>
    <m/>
    <m/>
    <m/>
    <m/>
    <m/>
    <m/>
    <m/>
    <m/>
    <m/>
    <m/>
    <m/>
  </r>
  <r>
    <s v="Sogand Mohat"/>
    <s v="MW22433-2GLB-04-AYCA-4OJUJI-20 Cathcart St Goulburn"/>
    <m/>
    <n v="4404.1400000000003"/>
    <m/>
    <m/>
    <m/>
    <m/>
    <m/>
    <m/>
    <m/>
    <m/>
    <m/>
    <m/>
    <m/>
  </r>
  <r>
    <m/>
    <s v="MW22455 - 2KEL-08 - AYCA-3LT1P4 - Sub of 123 Arnold Ave, Kellyville - 2"/>
    <n v="7140.73"/>
    <m/>
    <m/>
    <m/>
    <m/>
    <m/>
    <m/>
    <m/>
    <m/>
    <m/>
    <m/>
    <m/>
    <m/>
  </r>
  <r>
    <m/>
    <s v="MW22483-2CAH-21-AYCA-4IEHVB-Bottlebrush Place, Lakewood"/>
    <n v="6677.56"/>
    <m/>
    <m/>
    <m/>
    <m/>
    <m/>
    <m/>
    <m/>
    <m/>
    <m/>
    <m/>
    <m/>
    <m/>
  </r>
  <r>
    <s v="Andrew Mahassy"/>
    <s v="MW417R000044-2ABN-03-AYCA-4YZZ1I-149 The Boulevarde, Oak Flats"/>
    <n v="7574.8"/>
    <m/>
    <m/>
    <m/>
    <m/>
    <m/>
    <m/>
    <m/>
    <m/>
    <m/>
    <m/>
    <m/>
    <m/>
  </r>
  <r>
    <s v="Dave Yoemans"/>
    <s v="MW22481 - 2KEL-08 - AYCA-4R2N0H - 6,8,9,11 John Hillas Avenue Kellyville "/>
    <n v="3239.95"/>
    <m/>
    <m/>
    <m/>
    <m/>
    <m/>
    <m/>
    <m/>
    <m/>
    <m/>
    <m/>
    <m/>
    <m/>
  </r>
  <r>
    <s v="Dave Yoemans"/>
    <s v="MW22493 - 2LTO-20 - AYCA-4VG4KY - 23-25 Chelmsford Place Leeton"/>
    <n v="4293.8739999999998"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  <r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s v="AYCA-2IMIS4 - Merewether St  Llewellyn St Merewether"/>
    <n v="4127.45"/>
    <m/>
    <m/>
    <m/>
    <m/>
    <m/>
    <m/>
    <m/>
    <m/>
    <m/>
    <m/>
    <m/>
    <m/>
  </r>
  <r>
    <x v="0"/>
    <s v="AYCA‐403X85 ‐ 55‐57 Bexley Road Campsie – 1"/>
    <n v="6742.66"/>
    <m/>
    <m/>
    <m/>
    <m/>
    <m/>
    <m/>
    <m/>
    <m/>
    <m/>
    <m/>
    <m/>
    <m/>
  </r>
  <r>
    <x v="1"/>
    <s v="AYCA-41AC7Q - Horsley Drive Business Park"/>
    <n v="5142.3900000000003"/>
    <m/>
    <m/>
    <m/>
    <m/>
    <m/>
    <m/>
    <m/>
    <m/>
    <m/>
    <m/>
    <m/>
    <m/>
  </r>
  <r>
    <x v="1"/>
    <s v="AYCA-4118T1 - HORSLEY DRIVE BUSINESS PARK "/>
    <n v="3109.73"/>
    <m/>
    <m/>
    <m/>
    <m/>
    <m/>
    <m/>
    <m/>
    <m/>
    <m/>
    <m/>
    <m/>
    <m/>
  </r>
  <r>
    <x v="2"/>
    <s v="AYCA-2VZLWA - National Ave &amp; Glades Parkway - 1."/>
    <n v="2563.91"/>
    <m/>
    <m/>
    <m/>
    <m/>
    <m/>
    <m/>
    <m/>
    <m/>
    <m/>
    <m/>
    <m/>
    <m/>
  </r>
  <r>
    <x v="2"/>
    <s v="AYCA-47WSFU - 4 Hansons Rd North Nowra"/>
    <n v="2010"/>
    <m/>
    <m/>
    <m/>
    <m/>
    <m/>
    <m/>
    <m/>
    <m/>
    <m/>
    <m/>
    <m/>
    <m/>
  </r>
  <r>
    <x v="3"/>
    <s v="AYCA‐46PUI1 ‐2HBD‐21 ‐ 724 Pittwater Rd Brookvale – 1"/>
    <m/>
    <n v="2139.2800000000002"/>
    <m/>
    <m/>
    <m/>
    <m/>
    <m/>
    <m/>
    <m/>
    <m/>
    <m/>
    <n v="1"/>
    <m/>
  </r>
  <r>
    <x v="4"/>
    <s v="AYCA-45XOFT - 2LIV-04 - Lodges Road – 1"/>
    <n v="12795.53"/>
    <m/>
    <m/>
    <m/>
    <m/>
    <m/>
    <m/>
    <m/>
    <m/>
    <m/>
    <m/>
    <m/>
    <m/>
  </r>
  <r>
    <x v="4"/>
    <s v="AYCA-42RWMG - Hat Hill Road – 1"/>
    <n v="14978.69"/>
    <m/>
    <m/>
    <m/>
    <m/>
    <m/>
    <m/>
    <m/>
    <m/>
    <m/>
    <m/>
    <m/>
    <m/>
  </r>
  <r>
    <x v="4"/>
    <s v="AYCA-3NYZIL - 2 Cathay Pl"/>
    <m/>
    <m/>
    <m/>
    <m/>
    <m/>
    <m/>
    <m/>
    <m/>
    <n v="6899.94"/>
    <m/>
    <m/>
    <m/>
    <m/>
  </r>
  <r>
    <x v="5"/>
    <s v="AYCA-42J4C9 - 54 Tyrone Pl"/>
    <m/>
    <n v="6073.6875"/>
    <m/>
    <m/>
    <m/>
    <m/>
    <m/>
    <m/>
    <m/>
    <m/>
    <m/>
    <m/>
    <n v="1"/>
  </r>
  <r>
    <x v="6"/>
    <s v="AYCA-456RTL -2MRS-03 -Non Standard Builds - Oakleigh Way "/>
    <n v="5672.4624999999996"/>
    <m/>
    <m/>
    <m/>
    <m/>
    <m/>
    <m/>
    <m/>
    <m/>
    <m/>
    <m/>
    <m/>
    <m/>
  </r>
  <r>
    <x v="7"/>
    <s v="AYCA-3UGXHS -282 Newcastle Road"/>
    <m/>
    <m/>
    <m/>
    <m/>
    <m/>
    <m/>
    <m/>
    <m/>
    <n v="3420.28"/>
    <m/>
    <m/>
    <m/>
    <m/>
  </r>
  <r>
    <x v="7"/>
    <s v="AYCA-3137ZW  - Torrance Investments Pty Ltd"/>
    <m/>
    <m/>
    <m/>
    <m/>
    <m/>
    <m/>
    <m/>
    <m/>
    <n v="7963.08"/>
    <m/>
    <m/>
    <m/>
    <m/>
  </r>
  <r>
    <x v="8"/>
    <s v="AYCA-3YVYF5 - 1 Dairy Place Yass."/>
    <m/>
    <m/>
    <m/>
    <m/>
    <m/>
    <m/>
    <m/>
    <m/>
    <n v="35421.440000000002"/>
    <m/>
    <m/>
    <m/>
    <m/>
  </r>
  <r>
    <x v="9"/>
    <s v="AYCA-44LXQI - Tongarra"/>
    <m/>
    <m/>
    <m/>
    <m/>
    <m/>
    <m/>
    <m/>
    <m/>
    <n v="6611.96"/>
    <m/>
    <m/>
    <m/>
    <m/>
  </r>
  <r>
    <x v="7"/>
    <s v="AYCA-3YUT4L - Brundah Road – 1"/>
    <m/>
    <n v="6869.87"/>
    <m/>
    <m/>
    <m/>
    <m/>
    <m/>
    <m/>
    <m/>
    <m/>
    <m/>
    <m/>
    <m/>
  </r>
  <r>
    <x v="7"/>
    <s v="AYCA-4BCVPP -Stage 2 Wattle Rd"/>
    <m/>
    <m/>
    <m/>
    <m/>
    <m/>
    <m/>
    <m/>
    <m/>
    <n v="8146.11"/>
    <m/>
    <m/>
    <m/>
    <m/>
  </r>
  <r>
    <x v="6"/>
    <s v="AYCA-4DWSZZ-  81 Albatross Way - NSB – SURVEY"/>
    <m/>
    <n v="1430"/>
    <m/>
    <m/>
    <m/>
    <m/>
    <m/>
    <m/>
    <m/>
    <m/>
    <m/>
    <m/>
    <m/>
  </r>
  <r>
    <x v="6"/>
    <s v="AYCA-4F1FWW_AYCA-4GRO21 - NSB 13 Vantage 55 Kingston"/>
    <m/>
    <n v="1906.5"/>
    <m/>
    <m/>
    <m/>
    <m/>
    <m/>
    <m/>
    <m/>
    <m/>
    <m/>
    <m/>
    <m/>
  </r>
  <r>
    <x v="6"/>
    <s v="AYCA-4IA7K9 - 9CVI-21 - 22 Condamine St"/>
    <m/>
    <m/>
    <m/>
    <m/>
    <m/>
    <m/>
    <m/>
    <m/>
    <n v="7214.44"/>
    <m/>
    <m/>
    <m/>
    <m/>
  </r>
  <r>
    <x v="4"/>
    <s v="AYCA-4JN54Z (Elderslie - TH5) "/>
    <m/>
    <m/>
    <m/>
    <m/>
    <m/>
    <m/>
    <m/>
    <m/>
    <m/>
    <m/>
    <m/>
    <m/>
    <m/>
  </r>
  <r>
    <x v="6"/>
    <s v="AYCA-3RBG8Z - 20-29 Lake Street – 1"/>
    <m/>
    <m/>
    <m/>
    <m/>
    <m/>
    <m/>
    <m/>
    <m/>
    <n v="4933.1099999999997"/>
    <m/>
    <m/>
    <m/>
    <m/>
  </r>
  <r>
    <x v="1"/>
    <s v="AYCA-49DNJ1 - Nowra BP &amp; McDonalds - 1-  INTERNAL AND EXTERNAL"/>
    <n v="6352.1914285714283"/>
    <m/>
    <m/>
    <m/>
    <m/>
    <m/>
    <m/>
    <m/>
    <n v="0"/>
    <m/>
    <m/>
    <m/>
    <m/>
  </r>
  <r>
    <x v="5"/>
    <s v="AYCA-1Z6XAC -1-9 Florence Street &amp; 19-23 Quinn Street"/>
    <m/>
    <n v="37391.760000000002"/>
    <m/>
    <m/>
    <m/>
    <m/>
    <m/>
    <m/>
    <m/>
    <m/>
    <m/>
    <m/>
    <m/>
  </r>
  <r>
    <x v="4"/>
    <s v="AYCA-4EMSE3_AYCA-4GM40D - 15 Allman_Talana Hill"/>
    <m/>
    <m/>
    <m/>
    <m/>
    <m/>
    <m/>
    <m/>
    <m/>
    <n v="1427.5"/>
    <m/>
    <m/>
    <m/>
    <m/>
  </r>
  <r>
    <x v="4"/>
    <s v="AYCA-45UVAF - Non Standard Builds - 15 Baldi Drive"/>
    <m/>
    <n v="18063.68"/>
    <m/>
    <m/>
    <m/>
    <m/>
    <m/>
    <m/>
    <m/>
    <m/>
    <m/>
    <m/>
    <m/>
  </r>
  <r>
    <x v="7"/>
    <s v="AYCA-29RFVG - Breakfast Point - 7D1 Providence"/>
    <n v="4240.51"/>
    <m/>
    <m/>
    <m/>
    <m/>
    <m/>
    <m/>
    <m/>
    <m/>
    <m/>
    <m/>
    <m/>
    <m/>
  </r>
  <r>
    <x v="9"/>
    <s v="AYCA-4IDMPC- 9 Fitzpatrick St - 1"/>
    <m/>
    <n v="8099.36"/>
    <m/>
    <m/>
    <m/>
    <m/>
    <m/>
    <m/>
    <m/>
    <m/>
    <m/>
    <m/>
    <m/>
  </r>
  <r>
    <x v="4"/>
    <s v="AYCA-47PV52 - Non Standard Builds - 22-24 Barry Road"/>
    <m/>
    <n v="17870.099999999999"/>
    <m/>
    <m/>
    <m/>
    <m/>
    <m/>
    <m/>
    <m/>
    <m/>
    <m/>
    <m/>
    <m/>
  </r>
  <r>
    <x v="10"/>
    <s v="AYCA-49I4SO - 72 Brolgan Road"/>
    <m/>
    <n v="7731.53"/>
    <m/>
    <m/>
    <m/>
    <m/>
    <m/>
    <m/>
    <m/>
    <m/>
    <m/>
    <m/>
    <m/>
  </r>
  <r>
    <x v="10"/>
    <s v="AYCA-48HYBB - 89 Hammond Avenue"/>
    <m/>
    <n v="6447.82"/>
    <m/>
    <m/>
    <m/>
    <m/>
    <m/>
    <m/>
    <m/>
    <m/>
    <m/>
    <m/>
    <m/>
  </r>
  <r>
    <x v="10"/>
    <s v="AYCA-461JCF - 8 Creole Road"/>
    <m/>
    <n v="5449.38"/>
    <m/>
    <m/>
    <m/>
    <m/>
    <m/>
    <m/>
    <m/>
    <m/>
    <m/>
    <m/>
    <m/>
  </r>
  <r>
    <x v="9"/>
    <s v="AYCA-4H1TB6 - Sampson St - 1"/>
    <m/>
    <m/>
    <m/>
    <m/>
    <m/>
    <m/>
    <m/>
    <m/>
    <n v="8264"/>
    <m/>
    <m/>
    <m/>
    <m/>
  </r>
  <r>
    <x v="4"/>
    <s v="AYCA-476RM9 - Non Standard Builds - 87-91 Campbell St"/>
    <m/>
    <n v="8773.94"/>
    <m/>
    <m/>
    <m/>
    <m/>
    <m/>
    <m/>
    <m/>
    <m/>
    <m/>
    <m/>
    <m/>
  </r>
  <r>
    <x v="9"/>
    <s v="AYCA-4K6BDG - Melito Drive - 1"/>
    <m/>
    <n v="8291.4699999999993"/>
    <m/>
    <m/>
    <m/>
    <m/>
    <m/>
    <m/>
    <m/>
    <m/>
    <m/>
    <m/>
    <m/>
  </r>
  <r>
    <x v="2"/>
    <s v="MW20865 - 2NWR-03 - AYCA-2K3SGD - Elian Crescent 1."/>
    <m/>
    <n v="8598.36"/>
    <m/>
    <m/>
    <m/>
    <m/>
    <m/>
    <m/>
    <m/>
    <m/>
    <m/>
    <m/>
    <m/>
  </r>
  <r>
    <x v="9"/>
    <s v="MW21086 - 2ORG-02 - AYCA-4BZJJB - 49 Moulder St - 2"/>
    <m/>
    <m/>
    <m/>
    <m/>
    <m/>
    <m/>
    <m/>
    <m/>
    <n v="7010.18"/>
    <m/>
    <m/>
    <m/>
    <m/>
  </r>
  <r>
    <x v="6"/>
    <s v="MW21041 - 2OBA-20 - AYCA-4L6PEC - NSB - Old Bar Survey"/>
    <m/>
    <n v="1430"/>
    <m/>
    <m/>
    <m/>
    <m/>
    <m/>
    <m/>
    <m/>
    <m/>
    <m/>
    <m/>
    <m/>
  </r>
  <r>
    <x v="9"/>
    <s v="MW21270 - 2BTH-01 - AYCA-47Y3BF - Arndilly"/>
    <m/>
    <n v="6664.39"/>
    <m/>
    <m/>
    <m/>
    <m/>
    <m/>
    <m/>
    <m/>
    <m/>
    <m/>
    <m/>
    <m/>
  </r>
  <r>
    <x v="2"/>
    <s v="MW21249 - AYCA-4F6JI6-2WLG-08-NSB - 72-74 Cliff Road"/>
    <m/>
    <n v="13338.48"/>
    <m/>
    <m/>
    <m/>
    <m/>
    <m/>
    <m/>
    <m/>
    <m/>
    <m/>
    <m/>
    <m/>
  </r>
  <r>
    <x v="2"/>
    <s v="MW21226 - 2MSV-02 - AYCA-3PR30G - 12-16 Watson Road"/>
    <m/>
    <m/>
    <m/>
    <m/>
    <m/>
    <m/>
    <m/>
    <m/>
    <n v="4809.3526571428565"/>
    <m/>
    <m/>
    <m/>
    <m/>
  </r>
  <r>
    <x v="9"/>
    <s v="MW21209 - AYCA-4K7VB2 -2TWH-05 - River Views – 1"/>
    <m/>
    <n v="6516"/>
    <m/>
    <m/>
    <m/>
    <m/>
    <m/>
    <m/>
    <m/>
    <m/>
    <m/>
    <m/>
    <m/>
  </r>
  <r>
    <x v="5"/>
    <s v="MW21266 - OOMWI - 2NRN-03 - AYCA-3MUJP4 - 11 McPherson Rd, Smeaton Grange – 1 "/>
    <n v="10817.41"/>
    <m/>
    <m/>
    <m/>
    <m/>
    <m/>
    <m/>
    <m/>
    <m/>
    <m/>
    <m/>
    <m/>
    <m/>
  </r>
  <r>
    <x v="6"/>
    <s v="MW21032 - AYCA-4L57RB - 2MDG-01 -NSB - Bateman Ave Mudgee"/>
    <m/>
    <n v="1760"/>
    <m/>
    <m/>
    <m/>
    <m/>
    <m/>
    <m/>
    <m/>
    <m/>
    <m/>
    <m/>
    <m/>
  </r>
  <r>
    <x v="8"/>
    <s v="MW21286 - AYCA-4DREB8 - 2PKE-08 - 85 William James Drive Cordeaux Heigh"/>
    <m/>
    <m/>
    <m/>
    <m/>
    <m/>
    <m/>
    <m/>
    <m/>
    <n v="5602.7"/>
    <m/>
    <m/>
    <m/>
    <m/>
  </r>
  <r>
    <x v="10"/>
    <s v="MW21285 - AYCA-496F3H - 2MSV-04 - 8 Bendooley Street Bowral"/>
    <m/>
    <n v="4895.03"/>
    <m/>
    <m/>
    <m/>
    <m/>
    <m/>
    <m/>
    <m/>
    <m/>
    <m/>
    <m/>
    <m/>
  </r>
  <r>
    <x v="10"/>
    <s v="MW21290 - AYCA-49VQSG - 2CAS-23 - 4 Jabiru Place - Castle Hill"/>
    <m/>
    <m/>
    <m/>
    <m/>
    <m/>
    <m/>
    <m/>
    <m/>
    <n v="4356.7700000000004"/>
    <m/>
    <m/>
    <m/>
    <m/>
  </r>
  <r>
    <x v="10"/>
    <s v="MW21287 - AYCA-4BSSM6 - 2WAG-10 - 10 Fisher Place Lloyd"/>
    <m/>
    <n v="4882.83"/>
    <m/>
    <m/>
    <m/>
    <m/>
    <m/>
    <m/>
    <m/>
    <m/>
    <m/>
    <m/>
    <m/>
  </r>
  <r>
    <x v="10"/>
    <s v="MW21288 - AYCA-4BG97M - 2WET-21 - 8 Magnolia Street Greystanes"/>
    <m/>
    <m/>
    <m/>
    <m/>
    <m/>
    <m/>
    <m/>
    <m/>
    <n v="3905.54"/>
    <m/>
    <m/>
    <m/>
    <m/>
  </r>
  <r>
    <x v="10"/>
    <s v="MW21289 - AYCA-45YGSM - 2WAG-05 - 138 Elizabeth Avenue Forest Hill"/>
    <m/>
    <n v="12652.97"/>
    <m/>
    <m/>
    <m/>
    <m/>
    <m/>
    <m/>
    <m/>
    <m/>
    <m/>
    <m/>
    <m/>
  </r>
  <r>
    <x v="9"/>
    <s v="MW21145 - AYCA-4KU6BE -OOMWI - 2WET-20 - Seniors Housing"/>
    <m/>
    <n v="2751.085"/>
    <m/>
    <m/>
    <m/>
    <m/>
    <m/>
    <m/>
    <m/>
    <m/>
    <m/>
    <m/>
    <m/>
  </r>
  <r>
    <x v="6"/>
    <s v="MW21123 - 2TAR -02 - AYCA-4LIG38 - Non Standard Builds Survey"/>
    <m/>
    <n v="1670"/>
    <m/>
    <m/>
    <m/>
    <m/>
    <m/>
    <m/>
    <m/>
    <m/>
    <m/>
    <m/>
    <m/>
  </r>
  <r>
    <x v="10"/>
    <s v="MW21080 - AYCA-2K262F - 2MSV-05 - Rochester Park - 1"/>
    <m/>
    <n v="5689.31"/>
    <m/>
    <m/>
    <m/>
    <m/>
    <m/>
    <m/>
    <m/>
    <m/>
    <m/>
    <m/>
    <m/>
  </r>
  <r>
    <x v="10"/>
    <s v="MW21321 - AYCA-44VVQL - 2FOE-22 - 9,21, 23 Churchill Road Forster"/>
    <m/>
    <m/>
    <m/>
    <m/>
    <m/>
    <m/>
    <m/>
    <m/>
    <n v="8721.4699999999993"/>
    <m/>
    <m/>
    <m/>
    <m/>
  </r>
  <r>
    <x v="10"/>
    <s v="MW21322 - 2SHH-02 - AYCA-4FHB4D - 3 Bellbird Close Barrack Heights"/>
    <m/>
    <n v="5773.02"/>
    <m/>
    <m/>
    <m/>
    <m/>
    <m/>
    <m/>
    <m/>
    <m/>
    <m/>
    <m/>
    <m/>
  </r>
  <r>
    <x v="2"/>
    <s v="MW21380 - 2YON-01 - AYCA-4MRFUW - 1 Patterson Avenue, Young – 1"/>
    <m/>
    <n v="12059.12"/>
    <m/>
    <m/>
    <m/>
    <m/>
    <m/>
    <m/>
    <m/>
    <m/>
    <m/>
    <m/>
    <m/>
  </r>
  <r>
    <x v="1"/>
    <s v="MW21325 - 2NRL-20 - AYCA-2QFUTJ - Camden Day Hospital - 1"/>
    <m/>
    <n v="2322.6892857142852"/>
    <m/>
    <m/>
    <m/>
    <m/>
    <m/>
    <m/>
    <m/>
    <m/>
    <m/>
    <m/>
    <m/>
  </r>
  <r>
    <x v="3"/>
    <s v="MW21373 - 2WET-65 - AYCA-4O5GBC - 106 - 108 Chifley St - Smithfield"/>
    <m/>
    <n v="5336.9454285714291"/>
    <m/>
    <m/>
    <m/>
    <m/>
    <m/>
    <m/>
    <m/>
    <m/>
    <m/>
    <m/>
    <m/>
  </r>
  <r>
    <x v="6"/>
    <s v="MW20905 - 2NLT-09 - AYCA-47ENGU - 16 WALL – 1"/>
    <m/>
    <n v="5557.33"/>
    <m/>
    <m/>
    <m/>
    <m/>
    <m/>
    <m/>
    <m/>
    <m/>
    <m/>
    <m/>
    <m/>
  </r>
  <r>
    <x v="1"/>
    <s v="MW21392 - 2MIL-20 - AYCA-4NGNW3 - LOT 421 &amp; 422, 10-12 PROGRESS CIRCUIT"/>
    <m/>
    <n v="2044.5"/>
    <m/>
    <m/>
    <m/>
    <m/>
    <m/>
    <m/>
    <m/>
    <m/>
    <m/>
    <m/>
    <m/>
  </r>
  <r>
    <x v="4"/>
    <s v="MW21401 - 2PTH-11 - AYCA-4RYUIS -  Non Standard Builds - Assisi Close Cranebrook"/>
    <m/>
    <n v="900"/>
    <m/>
    <m/>
    <m/>
    <m/>
    <m/>
    <m/>
    <m/>
    <m/>
    <m/>
    <m/>
    <m/>
  </r>
  <r>
    <x v="2"/>
    <s v="MW21400 - 2MTT-02 - AYCA-4JV9PM - Wattle St Colo Vale - 1"/>
    <m/>
    <n v="6328.8649999999998"/>
    <m/>
    <m/>
    <m/>
    <m/>
    <m/>
    <m/>
    <m/>
    <m/>
    <m/>
    <m/>
    <m/>
  </r>
  <r>
    <x v="2"/>
    <s v="MW21398 - 2MSV-03 - AYCA-3MIX48 - Sutherland Park Estate - 1"/>
    <m/>
    <n v="8670.86"/>
    <m/>
    <m/>
    <m/>
    <m/>
    <m/>
    <m/>
    <m/>
    <m/>
    <m/>
    <m/>
    <m/>
  </r>
  <r>
    <x v="2"/>
    <s v="MW21395 - 2BTH-01 - AYCA-4LYVIU - Arndilly - 2"/>
    <m/>
    <n v="4802.3678571428572"/>
    <m/>
    <m/>
    <m/>
    <m/>
    <m/>
    <m/>
    <m/>
    <m/>
    <m/>
    <m/>
    <m/>
  </r>
  <r>
    <x v="10"/>
    <s v="MW21415 - 2WOY-04 - AYCA-357A3D - 243 Blackwall Rd Woy Woy"/>
    <m/>
    <m/>
    <m/>
    <m/>
    <m/>
    <m/>
    <m/>
    <m/>
    <n v="8708.2000000000007"/>
    <m/>
    <m/>
    <m/>
    <m/>
  </r>
  <r>
    <x v="6"/>
    <s v="MW21416 - 2ORG-05 - AYCA-4H25NY - 12 Wakeford – 1"/>
    <m/>
    <n v="8637.2000000000007"/>
    <m/>
    <m/>
    <m/>
    <m/>
    <m/>
    <m/>
    <m/>
    <m/>
    <m/>
    <m/>
    <m/>
  </r>
  <r>
    <x v="2"/>
    <s v="MW20076 - AYCA-4TBHNX - 2SHH-05 - Non Standard Builds - 125 Lake Entrance - SURVEY MWI Pack"/>
    <m/>
    <n v="1698"/>
    <m/>
    <m/>
    <m/>
    <m/>
    <m/>
    <m/>
    <m/>
    <m/>
    <m/>
    <m/>
    <m/>
  </r>
  <r>
    <x v="6"/>
    <s v="MW21438 - 2ORG-01 - AYCA-4J2IIB - Majestic Way - 1"/>
    <m/>
    <n v="5568.32"/>
    <m/>
    <m/>
    <m/>
    <m/>
    <m/>
    <m/>
    <m/>
    <m/>
    <m/>
    <m/>
    <m/>
  </r>
  <r>
    <x v="6"/>
    <s v="MW21311 - 2WAU-21 - AYCA-4N13KQ - 127 Cameron St"/>
    <m/>
    <n v="8488.5"/>
    <m/>
    <m/>
    <m/>
    <m/>
    <m/>
    <m/>
    <m/>
    <m/>
    <m/>
    <m/>
    <m/>
  </r>
  <r>
    <x v="2"/>
    <s v="MW21379 ‐ 2TUM‐20 ‐ AYCA‐4QFUB7 ‐ Non Standard Builds ‐ Emery Place Tumut"/>
    <m/>
    <m/>
    <m/>
    <m/>
    <m/>
    <m/>
    <m/>
    <m/>
    <n v="1606"/>
    <m/>
    <m/>
    <m/>
    <m/>
  </r>
  <r>
    <x v="4"/>
    <s v="MW21516 - AYCA-4TB2X9 - NSB - Wirrinya Pl Grasmere - SURVEY"/>
    <m/>
    <n v="800"/>
    <m/>
    <m/>
    <m/>
    <m/>
    <m/>
    <m/>
    <m/>
    <m/>
    <m/>
    <m/>
    <m/>
  </r>
  <r>
    <x v="6"/>
    <s v="MW21037 - AYCA-32NN4T -2MSV-05 -Blue Gum Rd Estate – 1"/>
    <m/>
    <n v="22553.22"/>
    <m/>
    <m/>
    <m/>
    <m/>
    <m/>
    <m/>
    <m/>
    <m/>
    <m/>
    <m/>
    <m/>
  </r>
  <r>
    <x v="1"/>
    <s v="MW21464 - 2NRN-03 - AYCA-4EAKM1-63 SGR - 1- EXTERNAL"/>
    <m/>
    <n v="4263.5600000000004"/>
    <m/>
    <m/>
    <m/>
    <m/>
    <m/>
    <m/>
    <m/>
    <m/>
    <m/>
    <m/>
    <m/>
  </r>
  <r>
    <x v="6"/>
    <s v="MW21459 - AYCA-4DWSZZ -2OBA-20 -NSB - 81 Albatross Way"/>
    <m/>
    <n v="13975.962500000001"/>
    <m/>
    <m/>
    <m/>
    <m/>
    <m/>
    <m/>
    <m/>
    <m/>
    <m/>
    <m/>
    <m/>
  </r>
  <r>
    <x v="8"/>
    <s v="MW21472 - OOMWI - 2GRK-01 - AYCA-4G5CSP - 20 Stanley Street Wyongah"/>
    <m/>
    <n v="6634.97"/>
    <m/>
    <m/>
    <m/>
    <m/>
    <m/>
    <m/>
    <m/>
    <m/>
    <m/>
    <m/>
    <m/>
  </r>
  <r>
    <x v="8"/>
    <s v="MW21473 - OOMWI - AYCA-3TNJ90-64 James Sea Drive, Green Point"/>
    <m/>
    <n v="5531.99"/>
    <m/>
    <m/>
    <m/>
    <m/>
    <m/>
    <m/>
    <m/>
    <m/>
    <m/>
    <m/>
    <m/>
  </r>
  <r>
    <x v="4"/>
    <s v="MW21488 - OOMWI - 2ROU-03 - AYCA-4877L8 - Non Standard Builds - Windon Avenue"/>
    <m/>
    <n v="2284.9699999999998"/>
    <m/>
    <m/>
    <m/>
    <m/>
    <m/>
    <m/>
    <m/>
    <m/>
    <m/>
    <m/>
    <m/>
  </r>
  <r>
    <x v="0"/>
    <s v="MW21493 - OOMWI - 2PTH-02 - AYCA-3O0SC6 - Hope Gardens - 1"/>
    <m/>
    <n v="741.95"/>
    <m/>
    <m/>
    <m/>
    <m/>
    <m/>
    <m/>
    <m/>
    <m/>
    <m/>
    <m/>
    <m/>
  </r>
  <r>
    <x v="4"/>
    <s v="MW21495 - OOMWI - 2COR-04 - AYCA-4UUWX6 - Non Standard Build - 13 Popes Rd Woonona - SURVEY MWI Pack"/>
    <m/>
    <n v="1350"/>
    <m/>
    <m/>
    <m/>
    <m/>
    <m/>
    <m/>
    <m/>
    <m/>
    <m/>
    <m/>
    <m/>
  </r>
  <r>
    <x v="1"/>
    <s v="MW21507 - OOMWI - 2WAG-05 - AYCA-4Q1LKQ -The Mill Commercial Development - 1"/>
    <m/>
    <n v="3800.34"/>
    <m/>
    <m/>
    <m/>
    <m/>
    <m/>
    <m/>
    <m/>
    <m/>
    <m/>
    <m/>
    <m/>
  </r>
  <r>
    <x v="7"/>
    <s v="MW21271 -OOMWI-2MRS-03-AYCA-45TAFX  - Cooranbong - 1"/>
    <m/>
    <n v="8838.48"/>
    <m/>
    <m/>
    <m/>
    <m/>
    <m/>
    <m/>
    <m/>
    <m/>
    <m/>
    <m/>
    <m/>
  </r>
  <r>
    <x v="1"/>
    <s v="MW21506-AYCA-4TCZPJ-2MIL-20-LOT 421 &amp; 422, PROGRESS CIRCUIT"/>
    <m/>
    <n v="3069.5"/>
    <m/>
    <m/>
    <m/>
    <m/>
    <m/>
    <m/>
    <m/>
    <m/>
    <m/>
    <m/>
    <m/>
  </r>
  <r>
    <x v="0"/>
    <s v="MW21512 - OOMWI - 2NLT-09 - AYCA-4IUR86 -Clarendene - 1 "/>
    <m/>
    <n v="6924.34"/>
    <m/>
    <m/>
    <m/>
    <m/>
    <m/>
    <m/>
    <m/>
    <m/>
    <m/>
    <m/>
    <m/>
  </r>
  <r>
    <x v="3"/>
    <s v="MW21408 - OOMWI - 2ROC-04 - AYCA-4GCT7O - Baxter International Hotel - 1 "/>
    <m/>
    <n v="5871.23"/>
    <m/>
    <m/>
    <m/>
    <m/>
    <m/>
    <m/>
    <m/>
    <m/>
    <m/>
    <m/>
    <m/>
  </r>
  <r>
    <x v="11"/>
    <s v="MWxxxxx Datateks - New Dev MDU 476TI5 Freight Linz  Annexure B - RFQ 7 Mar 2016"/>
    <m/>
    <m/>
    <m/>
    <m/>
    <m/>
    <m/>
    <m/>
    <m/>
    <n v="5195.0600000000004"/>
    <m/>
    <m/>
    <m/>
    <m/>
  </r>
  <r>
    <x v="11"/>
    <s v="MWxxxxx Datateks - New Dev MDU 4JI593-2BYB-21 Banksia Byron Bay  Annexure B - RFQ 7 Mar 2016"/>
    <m/>
    <m/>
    <m/>
    <m/>
    <m/>
    <m/>
    <m/>
    <m/>
    <n v="10085.700000000001"/>
    <m/>
    <m/>
    <m/>
    <m/>
  </r>
  <r>
    <x v="11"/>
    <s v="MW21642- AYCA-48KUSD-2NRN-10 - 79-85 TURNER ROAD, GREGORY HILLS"/>
    <m/>
    <n v="2107.06"/>
    <m/>
    <m/>
    <m/>
    <m/>
    <m/>
    <m/>
    <m/>
    <m/>
    <m/>
    <m/>
    <m/>
  </r>
  <r>
    <x v="11"/>
    <s v="MWxxxxx Datateks - New Dev MDU 4V3WL4-2PTM-Port Macq  Annexure B - RFQ 7 Mar 2016"/>
    <m/>
    <m/>
    <m/>
    <m/>
    <m/>
    <m/>
    <m/>
    <m/>
    <n v="17083.599999999999"/>
    <m/>
    <m/>
    <m/>
    <m/>
  </r>
  <r>
    <x v="7"/>
    <s v="MW21390 - 2KIA - AYCA-4QG9AV - NSB - 33 Shoalhaven St K - Datateks NBN Quote"/>
    <m/>
    <n v="1919"/>
    <m/>
    <m/>
    <m/>
    <m/>
    <m/>
    <m/>
    <m/>
    <m/>
    <m/>
    <m/>
    <m/>
  </r>
  <r>
    <x v="11"/>
    <s v="AYCA-4VVZEF - 2OBA-20 - NSB - Trevally Ave Old Bar - Survey"/>
    <m/>
    <m/>
    <m/>
    <m/>
    <m/>
    <m/>
    <m/>
    <m/>
    <n v="1578"/>
    <m/>
    <m/>
    <m/>
    <m/>
  </r>
  <r>
    <x v="11"/>
    <s v="AYCA-3K4RCM - Marsden Park Tonzat Development – 1 and 2"/>
    <m/>
    <n v="21847.48"/>
    <m/>
    <m/>
    <m/>
    <m/>
    <m/>
    <m/>
    <m/>
    <m/>
    <m/>
    <m/>
    <m/>
  </r>
  <r>
    <x v="11"/>
    <s v="MW21703 - AYCA-41SAXG - 2MIL-04 - Stage 2 Lagana"/>
    <m/>
    <n v="1404.18"/>
    <m/>
    <m/>
    <m/>
    <m/>
    <m/>
    <m/>
    <m/>
    <m/>
    <m/>
    <m/>
    <m/>
  </r>
  <r>
    <x v="2"/>
    <s v="MW21821-2NRN-10-AYCA-52OMAH-18 Bluett Dr, Smeaton Grange"/>
    <m/>
    <n v="7704.13"/>
    <m/>
    <m/>
    <m/>
    <m/>
    <m/>
    <m/>
    <m/>
    <m/>
    <m/>
    <m/>
    <m/>
  </r>
  <r>
    <x v="7"/>
    <s v="2ROU-02-AYCA-4YPSLH - Home Co Rouse Hill – 1 "/>
    <m/>
    <m/>
    <m/>
    <m/>
    <m/>
    <m/>
    <m/>
    <m/>
    <n v="680.36"/>
    <m/>
    <m/>
    <m/>
    <m/>
  </r>
  <r>
    <x v="4"/>
    <s v="MW21946-2COR-04-AYCA-4XKUSR-13 Popes Rd, Woonona"/>
    <m/>
    <n v="9706.1"/>
    <m/>
    <m/>
    <m/>
    <m/>
    <m/>
    <m/>
    <m/>
    <m/>
    <m/>
    <m/>
    <m/>
  </r>
  <r>
    <x v="6"/>
    <s v="AYCA-4GRO21 NSB - 55 Kingston Parade, Heatherbrae,"/>
    <m/>
    <n v="2191.88"/>
    <m/>
    <m/>
    <m/>
    <m/>
    <m/>
    <m/>
    <m/>
    <m/>
    <m/>
    <m/>
    <m/>
  </r>
  <r>
    <x v="6"/>
    <s v="AYCA-4L6PEC- Non Standard Builds - Brook Close Old Bar "/>
    <m/>
    <n v="3519"/>
    <m/>
    <m/>
    <m/>
    <m/>
    <m/>
    <m/>
    <m/>
    <m/>
    <m/>
    <m/>
    <m/>
  </r>
  <r>
    <x v="6"/>
    <s v="51 Alliance Avenue Morisset"/>
    <m/>
    <n v="8001.45"/>
    <m/>
    <m/>
    <m/>
    <m/>
    <m/>
    <m/>
    <m/>
    <m/>
    <m/>
    <m/>
    <m/>
  </r>
  <r>
    <x v="8"/>
    <s v="MW22032-AYCA-4C48KZ-2MDG-01-4 Lewis Street Mudgee"/>
    <m/>
    <n v="6077.33"/>
    <m/>
    <m/>
    <m/>
    <m/>
    <m/>
    <m/>
    <m/>
    <m/>
    <m/>
    <m/>
    <m/>
  </r>
  <r>
    <x v="8"/>
    <s v="MW22035-AYCA-4C4E63-2CWR-01-11 Liverpool Street Cowra"/>
    <m/>
    <n v="8506.73"/>
    <m/>
    <m/>
    <m/>
    <m/>
    <m/>
    <m/>
    <m/>
    <m/>
    <m/>
    <m/>
    <m/>
  </r>
  <r>
    <x v="8"/>
    <s v="MW22034-AYCA-4DZ83F-2NLT-01-6 Callan Avenue Maryland "/>
    <m/>
    <n v="4859.5"/>
    <m/>
    <m/>
    <m/>
    <m/>
    <m/>
    <m/>
    <m/>
    <m/>
    <m/>
    <m/>
    <m/>
  </r>
  <r>
    <x v="8"/>
    <s v="MW22033 -AYCA-4PX9WA- 2YAS-01 - 23 Browne Street Yass"/>
    <m/>
    <n v="2191.88"/>
    <m/>
    <m/>
    <m/>
    <m/>
    <m/>
    <m/>
    <m/>
    <m/>
    <m/>
    <m/>
    <m/>
  </r>
  <r>
    <x v="8"/>
    <s v="MW22098-AYCA-4RWURH-2CES-02-147 Mathieson Street Bellbird Heights "/>
    <m/>
    <n v="5003.75"/>
    <m/>
    <m/>
    <m/>
    <m/>
    <m/>
    <m/>
    <m/>
    <m/>
    <m/>
    <m/>
    <m/>
  </r>
  <r>
    <x v="6"/>
    <s v="MW22100 - 2KTB-02 - AYCA-4QBUIV - Non Standard Builds - Letitia St Katoomb"/>
    <m/>
    <n v="2772.3999999999996"/>
    <m/>
    <m/>
    <m/>
    <m/>
    <m/>
    <m/>
    <m/>
    <m/>
    <m/>
    <m/>
    <m/>
  </r>
  <r>
    <x v="8"/>
    <s v="MW22196 - 2ORG-01 - AYCA-4VVND3 - 258 CLERGATE RD, ORANGE"/>
    <m/>
    <n v="6657.74"/>
    <m/>
    <m/>
    <m/>
    <m/>
    <m/>
    <m/>
    <m/>
    <m/>
    <m/>
    <m/>
    <m/>
  </r>
  <r>
    <x v="2"/>
    <s v="MW22188 - 2BAN-60 - AYCA-4YPJJH - Home Co Chullora - 1"/>
    <m/>
    <n v="789.43"/>
    <m/>
    <m/>
    <m/>
    <m/>
    <m/>
    <m/>
    <m/>
    <m/>
    <m/>
    <m/>
    <m/>
  </r>
  <r>
    <x v="2"/>
    <s v="MW22183 - 2REV-20 - AYCA-55F4KR -Revesby Industrial Site - 1"/>
    <m/>
    <n v="3090.0625"/>
    <m/>
    <m/>
    <m/>
    <m/>
    <m/>
    <m/>
    <m/>
    <m/>
    <m/>
    <m/>
    <m/>
  </r>
  <r>
    <x v="2"/>
    <s v="MW22186 - 2CAS-23 - AYCA-3L48XJ - Mercedes Benz Castle Hill - 1"/>
    <m/>
    <n v="4057.47"/>
    <m/>
    <m/>
    <m/>
    <m/>
    <m/>
    <m/>
    <m/>
    <m/>
    <m/>
    <m/>
    <m/>
  </r>
  <r>
    <x v="2"/>
    <s v="MW22191 - 2MIL-20 - AYCA-4Z4FSB - Mainfreight Logistics - 1"/>
    <m/>
    <n v="41413.659642857143"/>
    <m/>
    <m/>
    <m/>
    <m/>
    <m/>
    <m/>
    <m/>
    <m/>
    <m/>
    <m/>
    <m/>
  </r>
  <r>
    <x v="12"/>
    <s v="MW22208-2KEL-07-AYCA-4PWSOZ-1B Fairway Dr Kellyville"/>
    <m/>
    <n v="7979.71"/>
    <m/>
    <m/>
    <m/>
    <m/>
    <m/>
    <m/>
    <m/>
    <m/>
    <m/>
    <m/>
    <m/>
  </r>
  <r>
    <x v="12"/>
    <s v="MW22239 - 2KTB-01 - AYCA-552R88 - Lot33-36 The Escarpments - 1"/>
    <m/>
    <n v="4434.76"/>
    <m/>
    <m/>
    <m/>
    <m/>
    <m/>
    <m/>
    <m/>
    <m/>
    <m/>
    <m/>
    <m/>
  </r>
  <r>
    <x v="12"/>
    <s v="MW22209-2ORG-02-AYCA-48LNJ7-Cedar St Orange"/>
    <m/>
    <n v="7615.85"/>
    <m/>
    <m/>
    <m/>
    <m/>
    <m/>
    <m/>
    <m/>
    <m/>
    <m/>
    <m/>
    <m/>
  </r>
  <r>
    <x v="1"/>
    <s v="MW22264-2WAG-05-AYCA-4YPT3F-145129 - 145 Hammond Ave East Wagga"/>
    <m/>
    <n v="1065"/>
    <m/>
    <m/>
    <m/>
    <m/>
    <m/>
    <m/>
    <m/>
    <m/>
    <m/>
    <m/>
    <m/>
  </r>
  <r>
    <x v="4"/>
    <s v="MW22288-2MIL-04-AYCA-4R7UP6-40 Government Rd, Hinchinbrook"/>
    <m/>
    <n v="8639.27"/>
    <m/>
    <m/>
    <m/>
    <m/>
    <m/>
    <m/>
    <m/>
    <m/>
    <m/>
    <m/>
    <m/>
  </r>
  <r>
    <x v="8"/>
    <s v="AYCA-4Q0G0C - 20 Scarborough Close Port Macquarie NSW 2444"/>
    <m/>
    <n v="8773.7999999999993"/>
    <m/>
    <m/>
    <m/>
    <m/>
    <m/>
    <m/>
    <m/>
    <m/>
    <m/>
    <m/>
    <m/>
  </r>
  <r>
    <x v="6"/>
    <s v="MW22336 - 2KMS-21 - AYCA-4MJKV1 - Springfields Drive - 1 "/>
    <m/>
    <n v="7769.35"/>
    <m/>
    <m/>
    <m/>
    <m/>
    <m/>
    <m/>
    <m/>
    <m/>
    <m/>
    <m/>
    <m/>
  </r>
  <r>
    <x v="6"/>
    <s v="MW22335 - 2WOY-03 - AYCA-55S741 - Broken Bay – 1"/>
    <m/>
    <n v="4540.0600000000004"/>
    <m/>
    <m/>
    <m/>
    <m/>
    <m/>
    <m/>
    <m/>
    <m/>
    <m/>
    <m/>
    <m/>
  </r>
  <r>
    <x v="4"/>
    <s v="MW22350-9SCU-07-AYCA-4VAQ8P-11 Prevost Pl MacGregor, ACT "/>
    <m/>
    <n v="10564.933999999999"/>
    <m/>
    <m/>
    <m/>
    <m/>
    <m/>
    <m/>
    <m/>
    <m/>
    <m/>
    <m/>
    <m/>
  </r>
  <r>
    <x v="6"/>
    <s v="MW22392-2WEL-01-AYCA-53Y8BE-17 Nicholii St, Montefiores"/>
    <m/>
    <n v="7630.73"/>
    <m/>
    <m/>
    <m/>
    <m/>
    <m/>
    <m/>
    <m/>
    <m/>
    <m/>
    <m/>
    <m/>
  </r>
  <r>
    <x v="8"/>
    <s v="AYCA-501QN5 - 30 Pentonville Parade, Castle Hill"/>
    <n v="2549.4500000000003"/>
    <m/>
    <m/>
    <m/>
    <m/>
    <m/>
    <m/>
    <m/>
    <m/>
    <m/>
    <m/>
    <m/>
    <m/>
  </r>
  <r>
    <x v="12"/>
    <s v="MW22433-2GLB-04-AYCA-4OJUJI-20 Cathcart St Goulburn"/>
    <m/>
    <n v="4404.1400000000003"/>
    <m/>
    <m/>
    <m/>
    <m/>
    <m/>
    <m/>
    <m/>
    <m/>
    <m/>
    <m/>
    <m/>
  </r>
  <r>
    <x v="13"/>
    <s v="MW22455 - 2KEL-08 - AYCA-3LT1P4 - Sub of 123 Arnold Ave, Kellyville - 2"/>
    <n v="7140.73"/>
    <m/>
    <m/>
    <m/>
    <m/>
    <m/>
    <m/>
    <m/>
    <m/>
    <m/>
    <m/>
    <m/>
    <m/>
  </r>
  <r>
    <x v="13"/>
    <s v="MW22483-2CAH-21-AYCA-4IEHVB-Bottlebrush Place, Lakewood"/>
    <n v="6677.56"/>
    <m/>
    <m/>
    <m/>
    <m/>
    <m/>
    <m/>
    <m/>
    <m/>
    <m/>
    <m/>
    <m/>
    <m/>
  </r>
  <r>
    <x v="4"/>
    <s v="MW417R000044-2ABN-03-AYCA-4YZZ1I-149 The Boulevarde, Oak Flats"/>
    <n v="7574.8"/>
    <m/>
    <m/>
    <m/>
    <m/>
    <m/>
    <m/>
    <m/>
    <m/>
    <m/>
    <m/>
    <m/>
    <m/>
  </r>
  <r>
    <x v="8"/>
    <s v="MW22481 - 2KEL-08 - AYCA-4R2N0H - 6,8,9,11 John Hillas Avenue Kellyville "/>
    <n v="3239.95"/>
    <m/>
    <m/>
    <m/>
    <m/>
    <m/>
    <m/>
    <m/>
    <m/>
    <m/>
    <m/>
    <m/>
    <m/>
  </r>
  <r>
    <x v="8"/>
    <s v="MW22493 - 2LTO-20 - AYCA-4VG4KY - 23-25 Chelmsford Place Leeton"/>
    <n v="4293.8739999999998"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s v="AYCA-2IMIS4 - Merewether St  Llewellyn St Merewether"/>
    <n v="4127.45"/>
    <m/>
    <m/>
    <m/>
    <m/>
    <m/>
    <m/>
    <m/>
    <m/>
    <m/>
    <m/>
    <m/>
    <m/>
  </r>
  <r>
    <x v="0"/>
    <s v="AYCA‐403X85 ‐ 55‐57 Bexley Road Campsie – 1"/>
    <n v="6742.66"/>
    <m/>
    <m/>
    <m/>
    <m/>
    <m/>
    <m/>
    <m/>
    <m/>
    <m/>
    <m/>
    <m/>
    <m/>
  </r>
  <r>
    <x v="1"/>
    <s v="AYCA-41AC7Q - Horsley Drive Business Park"/>
    <n v="5142.3900000000003"/>
    <m/>
    <m/>
    <m/>
    <m/>
    <m/>
    <m/>
    <m/>
    <m/>
    <m/>
    <m/>
    <m/>
    <m/>
  </r>
  <r>
    <x v="1"/>
    <s v="AYCA-4118T1 - HORSLEY DRIVE BUSINESS PARK "/>
    <n v="3109.73"/>
    <m/>
    <m/>
    <m/>
    <m/>
    <m/>
    <m/>
    <m/>
    <m/>
    <m/>
    <m/>
    <m/>
    <m/>
  </r>
  <r>
    <x v="2"/>
    <s v="AYCA-2VZLWA - National Ave &amp; Glades Parkway - 1."/>
    <n v="2563.91"/>
    <m/>
    <m/>
    <m/>
    <m/>
    <m/>
    <m/>
    <m/>
    <m/>
    <m/>
    <m/>
    <m/>
    <m/>
  </r>
  <r>
    <x v="2"/>
    <s v="AYCA-47WSFU - 4 Hansons Rd North Nowra"/>
    <n v="2010"/>
    <m/>
    <m/>
    <m/>
    <m/>
    <m/>
    <m/>
    <m/>
    <m/>
    <m/>
    <m/>
    <m/>
    <m/>
  </r>
  <r>
    <x v="3"/>
    <s v="AYCA‐46PUI1 ‐2HBD‐21 ‐ 724 Pittwater Rd Brookvale – 1"/>
    <m/>
    <n v="2139.2800000000002"/>
    <m/>
    <m/>
    <m/>
    <m/>
    <m/>
    <m/>
    <m/>
    <m/>
    <m/>
    <n v="1"/>
    <m/>
  </r>
  <r>
    <x v="4"/>
    <s v="AYCA-45XOFT - 2LIV-04 - Lodges Road – 1"/>
    <n v="12795.53"/>
    <m/>
    <m/>
    <m/>
    <m/>
    <m/>
    <m/>
    <m/>
    <m/>
    <m/>
    <m/>
    <m/>
    <m/>
  </r>
  <r>
    <x v="4"/>
    <s v="AYCA-42RWMG - Hat Hill Road – 1"/>
    <n v="14978.69"/>
    <m/>
    <m/>
    <m/>
    <m/>
    <m/>
    <m/>
    <m/>
    <m/>
    <m/>
    <m/>
    <m/>
    <m/>
  </r>
  <r>
    <x v="4"/>
    <s v="AYCA-3NYZIL - 2 Cathay Pl"/>
    <m/>
    <m/>
    <m/>
    <m/>
    <m/>
    <m/>
    <m/>
    <m/>
    <n v="6899.94"/>
    <m/>
    <m/>
    <m/>
    <m/>
  </r>
  <r>
    <x v="5"/>
    <s v="AYCA-42J4C9 - 54 Tyrone Pl"/>
    <m/>
    <n v="6073.6875"/>
    <m/>
    <m/>
    <m/>
    <m/>
    <m/>
    <m/>
    <m/>
    <m/>
    <m/>
    <m/>
    <n v="1"/>
  </r>
  <r>
    <x v="6"/>
    <s v="AYCA-456RTL -2MRS-03 -Non Standard Builds - Oakleigh Way "/>
    <n v="5672.4624999999996"/>
    <m/>
    <m/>
    <m/>
    <m/>
    <m/>
    <m/>
    <m/>
    <m/>
    <m/>
    <m/>
    <m/>
    <m/>
  </r>
  <r>
    <x v="7"/>
    <s v="AYCA-3UGXHS -282 Newcastle Road"/>
    <m/>
    <m/>
    <m/>
    <m/>
    <m/>
    <m/>
    <m/>
    <m/>
    <n v="3420.28"/>
    <m/>
    <m/>
    <m/>
    <m/>
  </r>
  <r>
    <x v="7"/>
    <s v="AYCA-3137ZW  - Torrance Investments Pty Ltd"/>
    <m/>
    <m/>
    <m/>
    <m/>
    <m/>
    <m/>
    <m/>
    <m/>
    <n v="7963.08"/>
    <m/>
    <m/>
    <m/>
    <m/>
  </r>
  <r>
    <x v="8"/>
    <s v="AYCA-3YVYF5 - 1 Dairy Place Yass."/>
    <m/>
    <m/>
    <m/>
    <m/>
    <m/>
    <m/>
    <m/>
    <m/>
    <n v="35421.440000000002"/>
    <m/>
    <m/>
    <m/>
    <m/>
  </r>
  <r>
    <x v="9"/>
    <s v="AYCA-44LXQI - Tongarra"/>
    <m/>
    <m/>
    <m/>
    <m/>
    <m/>
    <m/>
    <m/>
    <m/>
    <n v="6611.96"/>
    <m/>
    <m/>
    <m/>
    <m/>
  </r>
  <r>
    <x v="7"/>
    <s v="AYCA-3YUT4L - Brundah Road – 1"/>
    <m/>
    <n v="6869.87"/>
    <m/>
    <m/>
    <m/>
    <m/>
    <m/>
    <m/>
    <m/>
    <m/>
    <m/>
    <m/>
    <m/>
  </r>
  <r>
    <x v="7"/>
    <s v="AYCA-4BCVPP -Stage 2 Wattle Rd"/>
    <m/>
    <m/>
    <m/>
    <m/>
    <m/>
    <m/>
    <m/>
    <m/>
    <n v="8146.11"/>
    <m/>
    <m/>
    <m/>
    <m/>
  </r>
  <r>
    <x v="6"/>
    <s v="AYCA-4DWSZZ-  81 Albatross Way - NSB – SURVEY"/>
    <m/>
    <n v="1430"/>
    <m/>
    <m/>
    <m/>
    <m/>
    <m/>
    <m/>
    <m/>
    <m/>
    <m/>
    <m/>
    <m/>
  </r>
  <r>
    <x v="6"/>
    <s v="AYCA-4F1FWW_AYCA-4GRO21 - NSB 13 Vantage 55 Kingston"/>
    <m/>
    <n v="1906.5"/>
    <m/>
    <m/>
    <m/>
    <m/>
    <m/>
    <m/>
    <m/>
    <m/>
    <m/>
    <m/>
    <m/>
  </r>
  <r>
    <x v="6"/>
    <s v="AYCA-4IA7K9 - 9CVI-21 - 22 Condamine St"/>
    <m/>
    <m/>
    <m/>
    <m/>
    <m/>
    <m/>
    <m/>
    <m/>
    <n v="7214.44"/>
    <m/>
    <m/>
    <m/>
    <m/>
  </r>
  <r>
    <x v="4"/>
    <s v="AYCA-4JN54Z (Elderslie - TH5) "/>
    <m/>
    <m/>
    <m/>
    <m/>
    <m/>
    <m/>
    <m/>
    <m/>
    <m/>
    <m/>
    <m/>
    <m/>
    <m/>
  </r>
  <r>
    <x v="6"/>
    <s v="AYCA-3RBG8Z - 20-29 Lake Street – 1"/>
    <m/>
    <m/>
    <m/>
    <m/>
    <m/>
    <m/>
    <m/>
    <m/>
    <n v="4933.1099999999997"/>
    <m/>
    <m/>
    <m/>
    <m/>
  </r>
  <r>
    <x v="1"/>
    <s v="AYCA-49DNJ1 - Nowra BP &amp; McDonalds - 1-  INTERNAL AND EXTERNAL"/>
    <n v="6352.1914285714283"/>
    <m/>
    <m/>
    <m/>
    <m/>
    <m/>
    <m/>
    <m/>
    <n v="0"/>
    <m/>
    <m/>
    <m/>
    <m/>
  </r>
  <r>
    <x v="5"/>
    <s v="AYCA-1Z6XAC -1-9 Florence Street &amp; 19-23 Quinn Street"/>
    <m/>
    <n v="37391.760000000002"/>
    <m/>
    <m/>
    <m/>
    <m/>
    <m/>
    <m/>
    <m/>
    <m/>
    <m/>
    <m/>
    <m/>
  </r>
  <r>
    <x v="4"/>
    <s v="AYCA-4EMSE3_AYCA-4GM40D - 15 Allman_Talana Hill"/>
    <m/>
    <m/>
    <m/>
    <m/>
    <m/>
    <m/>
    <m/>
    <m/>
    <n v="1427.5"/>
    <m/>
    <m/>
    <m/>
    <m/>
  </r>
  <r>
    <x v="4"/>
    <s v="AYCA-45UVAF - Non Standard Builds - 15 Baldi Drive"/>
    <m/>
    <n v="18063.68"/>
    <m/>
    <m/>
    <m/>
    <m/>
    <m/>
    <m/>
    <m/>
    <m/>
    <m/>
    <m/>
    <m/>
  </r>
  <r>
    <x v="7"/>
    <s v="AYCA-29RFVG - Breakfast Point - 7D1 Providence"/>
    <n v="4240.51"/>
    <m/>
    <m/>
    <m/>
    <m/>
    <m/>
    <m/>
    <m/>
    <m/>
    <m/>
    <m/>
    <m/>
    <m/>
  </r>
  <r>
    <x v="9"/>
    <s v="AYCA-4IDMPC- 9 Fitzpatrick St - 1"/>
    <m/>
    <n v="8099.36"/>
    <m/>
    <m/>
    <m/>
    <m/>
    <m/>
    <m/>
    <m/>
    <m/>
    <m/>
    <m/>
    <m/>
  </r>
  <r>
    <x v="4"/>
    <s v="AYCA-47PV52 - Non Standard Builds - 22-24 Barry Road"/>
    <m/>
    <n v="17870.099999999999"/>
    <m/>
    <m/>
    <m/>
    <m/>
    <m/>
    <m/>
    <m/>
    <m/>
    <m/>
    <m/>
    <m/>
  </r>
  <r>
    <x v="10"/>
    <s v="AYCA-49I4SO - 72 Brolgan Road"/>
    <m/>
    <n v="7731.53"/>
    <m/>
    <m/>
    <m/>
    <m/>
    <m/>
    <m/>
    <m/>
    <m/>
    <m/>
    <m/>
    <m/>
  </r>
  <r>
    <x v="10"/>
    <s v="AYCA-48HYBB - 89 Hammond Avenue"/>
    <m/>
    <n v="6447.82"/>
    <m/>
    <m/>
    <m/>
    <m/>
    <m/>
    <m/>
    <m/>
    <m/>
    <m/>
    <m/>
    <m/>
  </r>
  <r>
    <x v="10"/>
    <s v="AYCA-461JCF - 8 Creole Road"/>
    <m/>
    <n v="5449.38"/>
    <m/>
    <m/>
    <m/>
    <m/>
    <m/>
    <m/>
    <m/>
    <m/>
    <m/>
    <m/>
    <m/>
  </r>
  <r>
    <x v="9"/>
    <s v="AYCA-4H1TB6 - Sampson St - 1"/>
    <m/>
    <m/>
    <m/>
    <m/>
    <m/>
    <m/>
    <m/>
    <m/>
    <n v="8264"/>
    <m/>
    <m/>
    <m/>
    <m/>
  </r>
  <r>
    <x v="4"/>
    <s v="AYCA-476RM9 - Non Standard Builds - 87-91 Campbell St"/>
    <m/>
    <n v="8773.94"/>
    <m/>
    <m/>
    <m/>
    <m/>
    <m/>
    <m/>
    <m/>
    <m/>
    <m/>
    <m/>
    <m/>
  </r>
  <r>
    <x v="9"/>
    <s v="AYCA-4K6BDG - Melito Drive - 1"/>
    <m/>
    <n v="8291.4699999999993"/>
    <m/>
    <m/>
    <m/>
    <m/>
    <m/>
    <m/>
    <m/>
    <m/>
    <m/>
    <m/>
    <m/>
  </r>
  <r>
    <x v="2"/>
    <s v="MW20865 - 2NWR-03 - AYCA-2K3SGD - Elian Crescent 1."/>
    <m/>
    <n v="8598.36"/>
    <m/>
    <m/>
    <m/>
    <m/>
    <m/>
    <m/>
    <m/>
    <m/>
    <m/>
    <m/>
    <m/>
  </r>
  <r>
    <x v="9"/>
    <s v="MW21086 - 2ORG-02 - AYCA-4BZJJB - 49 Moulder St - 2"/>
    <m/>
    <m/>
    <m/>
    <m/>
    <m/>
    <m/>
    <m/>
    <m/>
    <n v="7010.18"/>
    <m/>
    <m/>
    <m/>
    <m/>
  </r>
  <r>
    <x v="6"/>
    <s v="MW21041 - 2OBA-20 - AYCA-4L6PEC - NSB - Old Bar Survey"/>
    <m/>
    <n v="1430"/>
    <m/>
    <m/>
    <m/>
    <m/>
    <m/>
    <m/>
    <m/>
    <m/>
    <m/>
    <m/>
    <m/>
  </r>
  <r>
    <x v="9"/>
    <s v="MW21270 - 2BTH-01 - AYCA-47Y3BF - Arndilly"/>
    <m/>
    <n v="6664.39"/>
    <m/>
    <m/>
    <m/>
    <m/>
    <m/>
    <m/>
    <m/>
    <m/>
    <m/>
    <m/>
    <m/>
  </r>
  <r>
    <x v="2"/>
    <s v="MW21249 - AYCA-4F6JI6-2WLG-08-NSB - 72-74 Cliff Road"/>
    <m/>
    <n v="13338.48"/>
    <m/>
    <m/>
    <m/>
    <m/>
    <m/>
    <m/>
    <m/>
    <m/>
    <m/>
    <m/>
    <m/>
  </r>
  <r>
    <x v="2"/>
    <s v="MW21226 - 2MSV-02 - AYCA-3PR30G - 12-16 Watson Road"/>
    <m/>
    <m/>
    <m/>
    <m/>
    <m/>
    <m/>
    <m/>
    <m/>
    <n v="4809.3526571428565"/>
    <m/>
    <m/>
    <m/>
    <m/>
  </r>
  <r>
    <x v="9"/>
    <s v="MW21209 - AYCA-4K7VB2 -2TWH-05 - River Views – 1"/>
    <m/>
    <n v="6516"/>
    <m/>
    <m/>
    <m/>
    <m/>
    <m/>
    <m/>
    <m/>
    <m/>
    <m/>
    <m/>
    <m/>
  </r>
  <r>
    <x v="5"/>
    <s v="MW21266 - OOMWI - 2NRN-03 - AYCA-3MUJP4 - 11 McPherson Rd, Smeaton Grange – 1 "/>
    <n v="10817.41"/>
    <m/>
    <m/>
    <m/>
    <m/>
    <m/>
    <m/>
    <m/>
    <m/>
    <m/>
    <m/>
    <m/>
    <m/>
  </r>
  <r>
    <x v="6"/>
    <s v="MW21032 - AYCA-4L57RB - 2MDG-01 -NSB - Bateman Ave Mudgee"/>
    <m/>
    <n v="1760"/>
    <m/>
    <m/>
    <m/>
    <m/>
    <m/>
    <m/>
    <m/>
    <m/>
    <m/>
    <m/>
    <m/>
  </r>
  <r>
    <x v="8"/>
    <s v="MW21286 - AYCA-4DREB8 - 2PKE-08 - 85 William James Drive Cordeaux Heigh"/>
    <m/>
    <m/>
    <m/>
    <m/>
    <m/>
    <m/>
    <m/>
    <m/>
    <n v="5602.7"/>
    <m/>
    <m/>
    <m/>
    <m/>
  </r>
  <r>
    <x v="10"/>
    <s v="MW21285 - AYCA-496F3H - 2MSV-04 - 8 Bendooley Street Bowral"/>
    <m/>
    <n v="4895.03"/>
    <m/>
    <m/>
    <m/>
    <m/>
    <m/>
    <m/>
    <m/>
    <m/>
    <m/>
    <m/>
    <m/>
  </r>
  <r>
    <x v="10"/>
    <s v="MW21290 - AYCA-49VQSG - 2CAS-23 - 4 Jabiru Place - Castle Hill"/>
    <m/>
    <m/>
    <m/>
    <m/>
    <m/>
    <m/>
    <m/>
    <m/>
    <n v="4356.7700000000004"/>
    <m/>
    <m/>
    <m/>
    <m/>
  </r>
  <r>
    <x v="10"/>
    <s v="MW21287 - AYCA-4BSSM6 - 2WAG-10 - 10 Fisher Place Lloyd"/>
    <m/>
    <n v="4882.83"/>
    <m/>
    <m/>
    <m/>
    <m/>
    <m/>
    <m/>
    <m/>
    <m/>
    <m/>
    <m/>
    <m/>
  </r>
  <r>
    <x v="10"/>
    <s v="MW21288 - AYCA-4BG97M - 2WET-21 - 8 Magnolia Street Greystanes"/>
    <m/>
    <m/>
    <m/>
    <m/>
    <m/>
    <m/>
    <m/>
    <m/>
    <n v="3905.54"/>
    <m/>
    <m/>
    <m/>
    <m/>
  </r>
  <r>
    <x v="10"/>
    <s v="MW21289 - AYCA-45YGSM - 2WAG-05 - 138 Elizabeth Avenue Forest Hill"/>
    <m/>
    <n v="12652.97"/>
    <m/>
    <m/>
    <m/>
    <m/>
    <m/>
    <m/>
    <m/>
    <m/>
    <m/>
    <m/>
    <m/>
  </r>
  <r>
    <x v="9"/>
    <s v="MW21145 - AYCA-4KU6BE -OOMWI - 2WET-20 - Seniors Housing"/>
    <m/>
    <n v="2751.085"/>
    <m/>
    <m/>
    <m/>
    <m/>
    <m/>
    <m/>
    <m/>
    <m/>
    <m/>
    <m/>
    <m/>
  </r>
  <r>
    <x v="6"/>
    <s v="MW21123 - 2TAR -02 - AYCA-4LIG38 - Non Standard Builds Survey"/>
    <m/>
    <n v="1670"/>
    <m/>
    <m/>
    <m/>
    <m/>
    <m/>
    <m/>
    <m/>
    <m/>
    <m/>
    <m/>
    <m/>
  </r>
  <r>
    <x v="10"/>
    <s v="MW21080 - AYCA-2K262F - 2MSV-05 - Rochester Park - 1"/>
    <m/>
    <n v="5689.31"/>
    <m/>
    <m/>
    <m/>
    <m/>
    <m/>
    <m/>
    <m/>
    <m/>
    <m/>
    <m/>
    <m/>
  </r>
  <r>
    <x v="10"/>
    <s v="MW21321 - AYCA-44VVQL - 2FOE-22 - 9,21, 23 Churchill Road Forster"/>
    <m/>
    <m/>
    <m/>
    <m/>
    <m/>
    <m/>
    <m/>
    <m/>
    <n v="8721.4699999999993"/>
    <m/>
    <m/>
    <m/>
    <m/>
  </r>
  <r>
    <x v="10"/>
    <s v="MW21322 - 2SHH-02 - AYCA-4FHB4D - 3 Bellbird Close Barrack Heights"/>
    <m/>
    <n v="5773.02"/>
    <m/>
    <m/>
    <m/>
    <m/>
    <m/>
    <m/>
    <m/>
    <m/>
    <m/>
    <m/>
    <m/>
  </r>
  <r>
    <x v="2"/>
    <s v="MW21380 - 2YON-01 - AYCA-4MRFUW - 1 Patterson Avenue, Young – 1"/>
    <m/>
    <n v="12059.12"/>
    <m/>
    <m/>
    <m/>
    <m/>
    <m/>
    <m/>
    <m/>
    <m/>
    <m/>
    <m/>
    <m/>
  </r>
  <r>
    <x v="1"/>
    <s v="MW21325 - 2NRL-20 - AYCA-2QFUTJ - Camden Day Hospital - 1"/>
    <m/>
    <n v="2322.6892857142852"/>
    <m/>
    <m/>
    <m/>
    <m/>
    <m/>
    <m/>
    <m/>
    <m/>
    <m/>
    <m/>
    <m/>
  </r>
  <r>
    <x v="3"/>
    <s v="MW21373 - 2WET-65 - AYCA-4O5GBC - 106 - 108 Chifley St - Smithfield"/>
    <m/>
    <n v="5336.9454285714291"/>
    <m/>
    <m/>
    <m/>
    <m/>
    <m/>
    <m/>
    <m/>
    <m/>
    <m/>
    <m/>
    <m/>
  </r>
  <r>
    <x v="6"/>
    <s v="MW20905 - 2NLT-09 - AYCA-47ENGU - 16 WALL – 1"/>
    <m/>
    <n v="5557.33"/>
    <m/>
    <m/>
    <m/>
    <m/>
    <m/>
    <m/>
    <m/>
    <m/>
    <m/>
    <m/>
    <m/>
  </r>
  <r>
    <x v="1"/>
    <s v="MW21392 - 2MIL-20 - AYCA-4NGNW3 - LOT 421 &amp; 422, 10-12 PROGRESS CIRCUIT"/>
    <m/>
    <n v="2044.5"/>
    <m/>
    <m/>
    <m/>
    <m/>
    <m/>
    <m/>
    <m/>
    <m/>
    <m/>
    <m/>
    <m/>
  </r>
  <r>
    <x v="4"/>
    <s v="MW21401 - 2PTH-11 - AYCA-4RYUIS -  Non Standard Builds - Assisi Close Cranebrook"/>
    <m/>
    <n v="900"/>
    <m/>
    <m/>
    <m/>
    <m/>
    <m/>
    <m/>
    <m/>
    <m/>
    <m/>
    <m/>
    <m/>
  </r>
  <r>
    <x v="2"/>
    <s v="MW21400 - 2MTT-02 - AYCA-4JV9PM - Wattle St Colo Vale - 1"/>
    <m/>
    <n v="6328.8649999999998"/>
    <m/>
    <m/>
    <m/>
    <m/>
    <m/>
    <m/>
    <m/>
    <m/>
    <m/>
    <m/>
    <m/>
  </r>
  <r>
    <x v="2"/>
    <s v="MW21398 - 2MSV-03 - AYCA-3MIX48 - Sutherland Park Estate - 1"/>
    <m/>
    <n v="8670.86"/>
    <m/>
    <m/>
    <m/>
    <m/>
    <m/>
    <m/>
    <m/>
    <m/>
    <m/>
    <m/>
    <m/>
  </r>
  <r>
    <x v="2"/>
    <s v="MW21395 - 2BTH-01 - AYCA-4LYVIU - Arndilly - 2"/>
    <m/>
    <n v="4802.3678571428572"/>
    <m/>
    <m/>
    <m/>
    <m/>
    <m/>
    <m/>
    <m/>
    <m/>
    <m/>
    <m/>
    <m/>
  </r>
  <r>
    <x v="10"/>
    <s v="MW21415 - 2WOY-04 - AYCA-357A3D - 243 Blackwall Rd Woy Woy"/>
    <m/>
    <m/>
    <m/>
    <m/>
    <m/>
    <m/>
    <m/>
    <m/>
    <n v="8708.2000000000007"/>
    <m/>
    <m/>
    <m/>
    <m/>
  </r>
  <r>
    <x v="6"/>
    <s v="MW21416 - 2ORG-05 - AYCA-4H25NY - 12 Wakeford – 1"/>
    <m/>
    <n v="8637.2000000000007"/>
    <m/>
    <m/>
    <m/>
    <m/>
    <m/>
    <m/>
    <m/>
    <m/>
    <m/>
    <m/>
    <m/>
  </r>
  <r>
    <x v="2"/>
    <s v="MW20076 - AYCA-4TBHNX - 2SHH-05 - Non Standard Builds - 125 Lake Entrance - SURVEY MWI Pack"/>
    <m/>
    <n v="1698"/>
    <m/>
    <m/>
    <m/>
    <m/>
    <m/>
    <m/>
    <m/>
    <m/>
    <m/>
    <m/>
    <m/>
  </r>
  <r>
    <x v="6"/>
    <s v="MW21438 - 2ORG-01 - AYCA-4J2IIB - Majestic Way - 1"/>
    <m/>
    <n v="5568.32"/>
    <m/>
    <m/>
    <m/>
    <m/>
    <m/>
    <m/>
    <m/>
    <m/>
    <m/>
    <m/>
    <m/>
  </r>
  <r>
    <x v="6"/>
    <s v="MW21311 - 2WAU-21 - AYCA-4N13KQ - 127 Cameron St"/>
    <m/>
    <n v="8488.5"/>
    <m/>
    <m/>
    <m/>
    <m/>
    <m/>
    <m/>
    <m/>
    <m/>
    <m/>
    <m/>
    <m/>
  </r>
  <r>
    <x v="2"/>
    <s v="MW21379 ‐ 2TUM‐20 ‐ AYCA‐4QFUB7 ‐ Non Standard Builds ‐ Emery Place Tumut"/>
    <m/>
    <m/>
    <m/>
    <m/>
    <m/>
    <m/>
    <m/>
    <m/>
    <n v="1606"/>
    <m/>
    <m/>
    <m/>
    <m/>
  </r>
  <r>
    <x v="4"/>
    <s v="MW21516 - AYCA-4TB2X9 - NSB - Wirrinya Pl Grasmere - SURVEY"/>
    <m/>
    <n v="800"/>
    <m/>
    <m/>
    <m/>
    <m/>
    <m/>
    <m/>
    <m/>
    <m/>
    <m/>
    <m/>
    <m/>
  </r>
  <r>
    <x v="6"/>
    <s v="MW21037 - AYCA-32NN4T -2MSV-05 -Blue Gum Rd Estate – 1"/>
    <m/>
    <n v="22553.22"/>
    <m/>
    <m/>
    <m/>
    <m/>
    <m/>
    <m/>
    <m/>
    <m/>
    <m/>
    <m/>
    <m/>
  </r>
  <r>
    <x v="1"/>
    <s v="MW21464 - 2NRN-03 - AYCA-4EAKM1-63 SGR - 1- EXTERNAL"/>
    <m/>
    <n v="4263.5600000000004"/>
    <m/>
    <m/>
    <m/>
    <m/>
    <m/>
    <m/>
    <m/>
    <m/>
    <m/>
    <m/>
    <m/>
  </r>
  <r>
    <x v="6"/>
    <s v="MW21459 - AYCA-4DWSZZ -2OBA-20 -NSB - 81 Albatross Way"/>
    <m/>
    <n v="13975.962500000001"/>
    <m/>
    <m/>
    <m/>
    <m/>
    <m/>
    <m/>
    <m/>
    <m/>
    <m/>
    <m/>
    <m/>
  </r>
  <r>
    <x v="8"/>
    <s v="MW21472 - OOMWI - 2GRK-01 - AYCA-4G5CSP - 20 Stanley Street Wyongah"/>
    <m/>
    <n v="6634.97"/>
    <m/>
    <m/>
    <m/>
    <m/>
    <m/>
    <m/>
    <m/>
    <m/>
    <m/>
    <m/>
    <m/>
  </r>
  <r>
    <x v="8"/>
    <s v="MW21473 - OOMWI - AYCA-3TNJ90-64 James Sea Drive, Green Point"/>
    <m/>
    <n v="5531.99"/>
    <m/>
    <m/>
    <m/>
    <m/>
    <m/>
    <m/>
    <m/>
    <m/>
    <m/>
    <m/>
    <m/>
  </r>
  <r>
    <x v="4"/>
    <s v="MW21488 - OOMWI - 2ROU-03 - AYCA-4877L8 - Non Standard Builds - Windon Avenue"/>
    <m/>
    <n v="2284.9699999999998"/>
    <m/>
    <m/>
    <m/>
    <m/>
    <m/>
    <m/>
    <m/>
    <m/>
    <m/>
    <m/>
    <m/>
  </r>
  <r>
    <x v="0"/>
    <s v="MW21493 - OOMWI - 2PTH-02 - AYCA-3O0SC6 - Hope Gardens - 1"/>
    <m/>
    <n v="741.95"/>
    <m/>
    <m/>
    <m/>
    <m/>
    <m/>
    <m/>
    <m/>
    <m/>
    <m/>
    <m/>
    <m/>
  </r>
  <r>
    <x v="4"/>
    <s v="MW21495 - OOMWI - 2COR-04 - AYCA-4UUWX6 - Non Standard Build - 13 Popes Rd Woonona - SURVEY MWI Pack"/>
    <m/>
    <n v="1350"/>
    <m/>
    <m/>
    <m/>
    <m/>
    <m/>
    <m/>
    <m/>
    <m/>
    <m/>
    <m/>
    <m/>
  </r>
  <r>
    <x v="1"/>
    <s v="MW21507 - OOMWI - 2WAG-05 - AYCA-4Q1LKQ -The Mill Commercial Development - 1"/>
    <m/>
    <n v="3800.34"/>
    <m/>
    <m/>
    <m/>
    <m/>
    <m/>
    <m/>
    <m/>
    <m/>
    <m/>
    <m/>
    <m/>
  </r>
  <r>
    <x v="7"/>
    <s v="MW21271 -OOMWI-2MRS-03-AYCA-45TAFX  - Cooranbong - 1"/>
    <m/>
    <n v="8838.48"/>
    <m/>
    <m/>
    <m/>
    <m/>
    <m/>
    <m/>
    <m/>
    <m/>
    <m/>
    <m/>
    <m/>
  </r>
  <r>
    <x v="1"/>
    <s v="MW21506-AYCA-4TCZPJ-2MIL-20-LOT 421 &amp; 422, PROGRESS CIRCUIT"/>
    <m/>
    <n v="3069.5"/>
    <m/>
    <m/>
    <m/>
    <m/>
    <m/>
    <m/>
    <m/>
    <m/>
    <m/>
    <m/>
    <m/>
  </r>
  <r>
    <x v="0"/>
    <s v="MW21512 - OOMWI - 2NLT-09 - AYCA-4IUR86 -Clarendene - 1 "/>
    <m/>
    <n v="6924.34"/>
    <m/>
    <m/>
    <m/>
    <m/>
    <m/>
    <m/>
    <m/>
    <m/>
    <m/>
    <m/>
    <m/>
  </r>
  <r>
    <x v="3"/>
    <s v="MW21408 - OOMWI - 2ROC-04 - AYCA-4GCT7O - Baxter International Hotel - 1 "/>
    <m/>
    <n v="5871.23"/>
    <m/>
    <m/>
    <m/>
    <m/>
    <m/>
    <m/>
    <m/>
    <m/>
    <m/>
    <m/>
    <m/>
  </r>
  <r>
    <x v="11"/>
    <s v="MWxxxxx Datateks - New Dev MDU 476TI5 Freight Linz  Annexure B - RFQ 7 Mar 2016"/>
    <m/>
    <m/>
    <m/>
    <m/>
    <m/>
    <m/>
    <m/>
    <m/>
    <n v="5195.0600000000004"/>
    <m/>
    <m/>
    <m/>
    <m/>
  </r>
  <r>
    <x v="11"/>
    <s v="MWxxxxx Datateks - New Dev MDU 4JI593-2BYB-21 Banksia Byron Bay  Annexure B - RFQ 7 Mar 2016"/>
    <m/>
    <m/>
    <m/>
    <m/>
    <m/>
    <m/>
    <m/>
    <m/>
    <n v="10085.700000000001"/>
    <m/>
    <m/>
    <m/>
    <m/>
  </r>
  <r>
    <x v="11"/>
    <s v="MW21642- AYCA-48KUSD-2NRN-10 - 79-85 TURNER ROAD, GREGORY HILLS"/>
    <m/>
    <n v="2107.06"/>
    <m/>
    <m/>
    <m/>
    <m/>
    <m/>
    <m/>
    <m/>
    <m/>
    <m/>
    <m/>
    <m/>
  </r>
  <r>
    <x v="11"/>
    <s v="MWxxxxx Datateks - New Dev MDU 4V3WL4-2PTM-Port Macq  Annexure B - RFQ 7 Mar 2016"/>
    <m/>
    <m/>
    <m/>
    <m/>
    <m/>
    <m/>
    <m/>
    <m/>
    <n v="17083.599999999999"/>
    <m/>
    <m/>
    <m/>
    <m/>
  </r>
  <r>
    <x v="7"/>
    <s v="MW21390 - 2KIA - AYCA-4QG9AV - NSB - 33 Shoalhaven St K - Datateks NBN Quote"/>
    <m/>
    <n v="1919"/>
    <m/>
    <m/>
    <m/>
    <m/>
    <m/>
    <m/>
    <m/>
    <m/>
    <m/>
    <m/>
    <m/>
  </r>
  <r>
    <x v="11"/>
    <s v="AYCA-4VVZEF - 2OBA-20 - NSB - Trevally Ave Old Bar - Survey"/>
    <m/>
    <m/>
    <m/>
    <m/>
    <m/>
    <m/>
    <m/>
    <m/>
    <n v="1578"/>
    <m/>
    <m/>
    <m/>
    <m/>
  </r>
  <r>
    <x v="11"/>
    <s v="AYCA-3K4RCM - Marsden Park Tonzat Development – 1 and 2"/>
    <m/>
    <n v="21847.48"/>
    <m/>
    <m/>
    <m/>
    <m/>
    <m/>
    <m/>
    <m/>
    <m/>
    <m/>
    <m/>
    <m/>
  </r>
  <r>
    <x v="11"/>
    <s v="MW21703 - AYCA-41SAXG - 2MIL-04 - Stage 2 Lagana"/>
    <m/>
    <n v="1404.18"/>
    <m/>
    <m/>
    <m/>
    <m/>
    <m/>
    <m/>
    <m/>
    <m/>
    <m/>
    <m/>
    <m/>
  </r>
  <r>
    <x v="2"/>
    <s v="MW21821-2NRN-10-AYCA-52OMAH-18 Bluett Dr, Smeaton Grange"/>
    <m/>
    <n v="7704.13"/>
    <m/>
    <m/>
    <m/>
    <m/>
    <m/>
    <m/>
    <m/>
    <m/>
    <m/>
    <m/>
    <m/>
  </r>
  <r>
    <x v="7"/>
    <s v="2ROU-02-AYCA-4YPSLH - Home Co Rouse Hill – 1 "/>
    <m/>
    <m/>
    <m/>
    <m/>
    <m/>
    <m/>
    <m/>
    <m/>
    <n v="680.36"/>
    <m/>
    <m/>
    <m/>
    <m/>
  </r>
  <r>
    <x v="4"/>
    <s v="MW21946-2COR-04-AYCA-4XKUSR-13 Popes Rd, Woonona"/>
    <m/>
    <n v="9706.1"/>
    <m/>
    <m/>
    <m/>
    <m/>
    <m/>
    <m/>
    <m/>
    <m/>
    <m/>
    <m/>
    <m/>
  </r>
  <r>
    <x v="6"/>
    <s v="AYCA-4GRO21 NSB - 55 Kingston Parade, Heatherbrae,"/>
    <m/>
    <n v="2191.88"/>
    <m/>
    <m/>
    <m/>
    <m/>
    <m/>
    <m/>
    <m/>
    <m/>
    <m/>
    <m/>
    <m/>
  </r>
  <r>
    <x v="6"/>
    <s v="AYCA-4L6PEC- Non Standard Builds - Brook Close Old Bar "/>
    <m/>
    <n v="3519"/>
    <m/>
    <m/>
    <m/>
    <m/>
    <m/>
    <m/>
    <m/>
    <m/>
    <m/>
    <m/>
    <m/>
  </r>
  <r>
    <x v="6"/>
    <s v="51 Alliance Avenue Morisset"/>
    <m/>
    <n v="8001.45"/>
    <m/>
    <m/>
    <m/>
    <m/>
    <m/>
    <m/>
    <m/>
    <m/>
    <m/>
    <m/>
    <m/>
  </r>
  <r>
    <x v="8"/>
    <s v="MW22032-AYCA-4C48KZ-2MDG-01-4 Lewis Street Mudgee"/>
    <m/>
    <n v="6077.33"/>
    <m/>
    <m/>
    <m/>
    <m/>
    <m/>
    <m/>
    <m/>
    <m/>
    <m/>
    <m/>
    <m/>
  </r>
  <r>
    <x v="8"/>
    <s v="MW22035-AYCA-4C4E63-2CWR-01-11 Liverpool Street Cowra"/>
    <m/>
    <n v="8506.73"/>
    <m/>
    <m/>
    <m/>
    <m/>
    <m/>
    <m/>
    <m/>
    <m/>
    <m/>
    <m/>
    <m/>
  </r>
  <r>
    <x v="8"/>
    <s v="MW22034-AYCA-4DZ83F-2NLT-01-6 Callan Avenue Maryland "/>
    <m/>
    <n v="4859.5"/>
    <m/>
    <m/>
    <m/>
    <m/>
    <m/>
    <m/>
    <m/>
    <m/>
    <m/>
    <m/>
    <m/>
  </r>
  <r>
    <x v="8"/>
    <s v="MW22033 -AYCA-4PX9WA- 2YAS-01 - 23 Browne Street Yass"/>
    <m/>
    <n v="2191.88"/>
    <m/>
    <m/>
    <m/>
    <m/>
    <m/>
    <m/>
    <m/>
    <m/>
    <m/>
    <m/>
    <m/>
  </r>
  <r>
    <x v="8"/>
    <s v="MW22098-AYCA-4RWURH-2CES-02-147 Mathieson Street Bellbird Heights "/>
    <m/>
    <n v="5003.75"/>
    <m/>
    <m/>
    <m/>
    <m/>
    <m/>
    <m/>
    <m/>
    <m/>
    <m/>
    <m/>
    <m/>
  </r>
  <r>
    <x v="6"/>
    <s v="MW22100 - 2KTB-02 - AYCA-4QBUIV - Non Standard Builds - Letitia St Katoomb"/>
    <m/>
    <n v="2772.3999999999996"/>
    <m/>
    <m/>
    <m/>
    <m/>
    <m/>
    <m/>
    <m/>
    <m/>
    <m/>
    <m/>
    <m/>
  </r>
  <r>
    <x v="8"/>
    <s v="MW22196 - 2ORG-01 - AYCA-4VVND3 - 258 CLERGATE RD, ORANGE"/>
    <m/>
    <n v="6657.74"/>
    <m/>
    <m/>
    <m/>
    <m/>
    <m/>
    <m/>
    <m/>
    <m/>
    <m/>
    <m/>
    <m/>
  </r>
  <r>
    <x v="2"/>
    <s v="MW22188 - 2BAN-60 - AYCA-4YPJJH - Home Co Chullora - 1"/>
    <m/>
    <n v="789.43"/>
    <m/>
    <m/>
    <m/>
    <m/>
    <m/>
    <m/>
    <m/>
    <m/>
    <m/>
    <m/>
    <m/>
  </r>
  <r>
    <x v="2"/>
    <s v="MW22183 - 2REV-20 - AYCA-55F4KR -Revesby Industrial Site - 1"/>
    <m/>
    <n v="3090.0625"/>
    <m/>
    <m/>
    <m/>
    <m/>
    <m/>
    <m/>
    <m/>
    <m/>
    <m/>
    <m/>
    <m/>
  </r>
  <r>
    <x v="2"/>
    <s v="MW22186 - 2CAS-23 - AYCA-3L48XJ - Mercedes Benz Castle Hill - 1"/>
    <m/>
    <n v="4057.47"/>
    <m/>
    <m/>
    <m/>
    <m/>
    <m/>
    <m/>
    <m/>
    <m/>
    <m/>
    <m/>
    <m/>
  </r>
  <r>
    <x v="2"/>
    <s v="MW22191 - 2MIL-20 - AYCA-4Z4FSB - Mainfreight Logistics - 1"/>
    <m/>
    <n v="41413.659642857143"/>
    <m/>
    <m/>
    <m/>
    <m/>
    <m/>
    <m/>
    <m/>
    <m/>
    <m/>
    <m/>
    <m/>
  </r>
  <r>
    <x v="12"/>
    <s v="MW22208-2KEL-07-AYCA-4PWSOZ-1B Fairway Dr Kellyville"/>
    <m/>
    <n v="7979.71"/>
    <m/>
    <m/>
    <m/>
    <m/>
    <m/>
    <m/>
    <m/>
    <m/>
    <m/>
    <m/>
    <m/>
  </r>
  <r>
    <x v="12"/>
    <s v="MW22239 - 2KTB-01 - AYCA-552R88 - Lot33-36 The Escarpments - 1"/>
    <m/>
    <n v="4434.76"/>
    <m/>
    <m/>
    <m/>
    <m/>
    <m/>
    <m/>
    <m/>
    <m/>
    <m/>
    <m/>
    <m/>
  </r>
  <r>
    <x v="12"/>
    <s v="MW22209-2ORG-02-AYCA-48LNJ7-Cedar St Orange"/>
    <m/>
    <n v="7615.85"/>
    <m/>
    <m/>
    <m/>
    <m/>
    <m/>
    <m/>
    <m/>
    <m/>
    <m/>
    <m/>
    <m/>
  </r>
  <r>
    <x v="1"/>
    <s v="MW22264-2WAG-05-AYCA-4YPT3F-145129 - 145 Hammond Ave East Wagga"/>
    <m/>
    <n v="1065"/>
    <m/>
    <m/>
    <m/>
    <m/>
    <m/>
    <m/>
    <m/>
    <m/>
    <m/>
    <m/>
    <m/>
  </r>
  <r>
    <x v="4"/>
    <s v="MW22288-2MIL-04-AYCA-4R7UP6-40 Government Rd, Hinchinbrook"/>
    <m/>
    <n v="8639.27"/>
    <m/>
    <m/>
    <m/>
    <m/>
    <m/>
    <m/>
    <m/>
    <m/>
    <m/>
    <m/>
    <m/>
  </r>
  <r>
    <x v="8"/>
    <s v="AYCA-4Q0G0C - 20 Scarborough Close Port Macquarie NSW 2444"/>
    <m/>
    <n v="8773.7999999999993"/>
    <m/>
    <m/>
    <m/>
    <m/>
    <m/>
    <m/>
    <m/>
    <m/>
    <m/>
    <m/>
    <m/>
  </r>
  <r>
    <x v="6"/>
    <s v="MW22336 - 2KMS-21 - AYCA-4MJKV1 - Springfields Drive - 1 "/>
    <m/>
    <n v="7769.35"/>
    <m/>
    <m/>
    <m/>
    <m/>
    <m/>
    <m/>
    <m/>
    <m/>
    <m/>
    <m/>
    <m/>
  </r>
  <r>
    <x v="6"/>
    <s v="MW22335 - 2WOY-03 - AYCA-55S741 - Broken Bay – 1"/>
    <m/>
    <n v="4540.0600000000004"/>
    <m/>
    <m/>
    <m/>
    <m/>
    <m/>
    <m/>
    <m/>
    <m/>
    <m/>
    <m/>
    <m/>
  </r>
  <r>
    <x v="4"/>
    <s v="MW22350-9SCU-07-AYCA-4VAQ8P-11 Prevost Pl MacGregor, ACT "/>
    <m/>
    <n v="10564.933999999999"/>
    <m/>
    <m/>
    <m/>
    <m/>
    <m/>
    <m/>
    <m/>
    <m/>
    <m/>
    <m/>
    <m/>
  </r>
  <r>
    <x v="6"/>
    <s v="MW22392-2WEL-01-AYCA-53Y8BE-17 Nicholii St, Montefiores"/>
    <m/>
    <n v="7630.73"/>
    <m/>
    <m/>
    <m/>
    <m/>
    <m/>
    <m/>
    <m/>
    <m/>
    <m/>
    <m/>
    <m/>
  </r>
  <r>
    <x v="8"/>
    <s v="AYCA-501QN5 - 30 Pentonville Parade, Castle Hill"/>
    <n v="2549.4500000000003"/>
    <m/>
    <m/>
    <m/>
    <m/>
    <m/>
    <m/>
    <m/>
    <m/>
    <m/>
    <m/>
    <m/>
    <m/>
  </r>
  <r>
    <x v="12"/>
    <s v="MW22433-2GLB-04-AYCA-4OJUJI-20 Cathcart St Goulburn"/>
    <m/>
    <n v="4404.1400000000003"/>
    <m/>
    <m/>
    <m/>
    <m/>
    <m/>
    <m/>
    <m/>
    <m/>
    <m/>
    <m/>
    <m/>
  </r>
  <r>
    <x v="13"/>
    <s v="MW22455 - 2KEL-08 - AYCA-3LT1P4 - Sub of 123 Arnold Ave, Kellyville - 2"/>
    <n v="7140.73"/>
    <m/>
    <m/>
    <m/>
    <m/>
    <m/>
    <m/>
    <m/>
    <m/>
    <m/>
    <m/>
    <m/>
    <m/>
  </r>
  <r>
    <x v="13"/>
    <s v="MW22483-2CAH-21-AYCA-4IEHVB-Bottlebrush Place, Lakewood"/>
    <n v="6677.56"/>
    <m/>
    <m/>
    <m/>
    <m/>
    <m/>
    <m/>
    <m/>
    <m/>
    <m/>
    <m/>
    <m/>
    <m/>
  </r>
  <r>
    <x v="4"/>
    <s v="MW417R000044-2ABN-03-AYCA-4YZZ1I-149 The Boulevarde, Oak Flats"/>
    <n v="7574.8"/>
    <m/>
    <m/>
    <m/>
    <m/>
    <m/>
    <m/>
    <m/>
    <m/>
    <m/>
    <m/>
    <m/>
    <m/>
  </r>
  <r>
    <x v="8"/>
    <s v="MW22481 - 2KEL-08 - AYCA-4R2N0H - 6,8,9,11 John Hillas Avenue Kellyville "/>
    <n v="3239.95"/>
    <m/>
    <m/>
    <m/>
    <m/>
    <m/>
    <m/>
    <m/>
    <m/>
    <m/>
    <m/>
    <m/>
    <m/>
  </r>
  <r>
    <x v="8"/>
    <s v="MW22493 - 2LTO-20 - AYCA-4VG4KY - 23-25 Chelmsford Place Leeton"/>
    <n v="4293.8739999999998"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  <r>
    <x v="13"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958">
  <r>
    <s v="CN"/>
    <s v="NBN Sydney"/>
    <s v="CN-12453"/>
    <s v="Revenue"/>
    <x v="0"/>
    <s v="NBN Minor Works - MW20680 - 2BLK-02/07 - MPS-032 &amp; MPS-010"/>
    <d v="2017-07-01T00:00:00"/>
    <x v="0"/>
    <s v="NBN Co Sydney - 2BLK-02/07 - MPS-032 &amp; MPS-010 "/>
    <n v="-2247.4299999999998"/>
    <m/>
    <m/>
  </r>
  <r>
    <s v="CN"/>
    <s v="NBN Sydney"/>
    <s v="CN-12411"/>
    <s v="Revenue"/>
    <x v="1"/>
    <s v="NBN A417 - MW20531 - AYCA-2TB25H - Glenmore Park 2 "/>
    <d v="2017-07-01T00:00:00"/>
    <x v="0"/>
    <s v="NBN Co Sydney - AYCA-2TB25H - Glenmore Park 2 - 1"/>
    <n v="-0.06"/>
    <m/>
    <m/>
  </r>
  <r>
    <s v="CN"/>
    <s v="NBN Sydney"/>
    <s v="CN-12409"/>
    <s v="Revenue"/>
    <x v="2"/>
    <s v="NBN A401 New Devs - MW20387- AYCA-3HE07T - 37 Bridge Street - 1"/>
    <d v="2017-07-01T00:00:00"/>
    <x v="0"/>
    <s v="NBN Co Sydney - AYCA-3HE07T - 37 Bridge Street - 1 _x000d__x000a_difference from RCTI "/>
    <n v="-2"/>
    <m/>
    <m/>
  </r>
  <r>
    <s v="INV"/>
    <s v="NBN Sydney"/>
    <s v="B VISA E-TOLL July 2017"/>
    <s v="DJC"/>
    <x v="3"/>
    <s v="NBN New Devs - MW20877 - AYCA-4992YE - 2RIV-02 - 34-36 Schofields - North Park  - 9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3"/>
    <s v="NBN New Devs - MW20786 - SOPR MWI - 2LIV-03 - AYCA-47DIBW - Dale Development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3"/>
    <s v="NBN New Devs - MW20644 - AYCA-35B3X9 -  Renocorp Australia Pty Ltd 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4"/>
    <s v="NBN New Devs - MW20441 - AYCA-3KSRGR - Norberta St, The Entrance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4"/>
    <s v="NBN New Devs - MW20729 - COR-04 - AYCA-4D6AY6 - 94 POPES RD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3"/>
    <s v="NBN New Devs - MW20758 - 2BAN-64 - AYCA-3ETV2Y - 21-25 Leonard Street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3"/>
    <s v="NBN New Devs - MW20876 - 2RIV-02 -AYCA-499AY5 - 34-36 Schofields - North Park - 10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4"/>
    <s v="NBN New Devs - MW20585 - AYCA-3KUUY6 - 2WOY-09 - Brittwood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3"/>
    <s v="NBN New Devs - MW20797 - 2RYD-03 - AYCA-1SUDYS – 15 Porter St Ryde - La Pearl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3"/>
    <s v="NBN New Devs - MW20620 - 2EPP-05 - AYCA-3071BP - Macquarie Park Village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5"/>
    <s v="NBN Minor Works - MW20764 - 2BLK-12-07 - Lot 21 Western MTQY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Overhead"/>
    <x v="6"/>
    <s v="Overhead"/>
    <d v="2017-07-31T00:00:00"/>
    <x v="0"/>
    <s v="E-Toll Business Operations Centre - TAG NO 4088301 CHV14B Toyota Hilux SYD"/>
    <n v="157.04"/>
    <m/>
    <m/>
  </r>
  <r>
    <s v="INV"/>
    <s v="NBN Sydney"/>
    <s v="B VISA E-TOLL July 2017"/>
    <s v="Overhead"/>
    <x v="6"/>
    <s v="Overhead"/>
    <d v="2017-07-31T00:00:00"/>
    <x v="0"/>
    <s v="E-Toll Business Operations Centre - PLATE IDENTIFIED - CHV14B"/>
    <n v="4.18"/>
    <m/>
    <m/>
  </r>
  <r>
    <s v="INV"/>
    <s v="NBN Sydney"/>
    <s v="B VISA E-TOLL July 2017"/>
    <s v="DJC"/>
    <x v="3"/>
    <s v="NBN New Devs - MW20686 - AYCA-1RBL6L - The North Village , Kellyville"/>
    <d v="2017-07-31T00:00:00"/>
    <x v="0"/>
    <s v="E-Toll Business Operations Centre - TAG NO 10166430_x000d_ KE BX10GL Izuzu Tipper"/>
    <n v="58.41"/>
    <m/>
    <m/>
  </r>
  <r>
    <s v="INV"/>
    <s v="NBN Sydney"/>
    <s v="B VISA E-TOLL July 2017"/>
    <s v="DJC"/>
    <x v="5"/>
    <s v="NBN Minor Works - MW20764 - 2BLK-12-07 - Lot 21 Western MTQY"/>
    <d v="2017-07-31T00:00:00"/>
    <x v="0"/>
    <s v="E-Toll Business Operations Centre - TAG NO 10166430_x000d_ KE BX10GL Izuzu Tipper"/>
    <n v="58.41"/>
    <m/>
    <m/>
  </r>
  <r>
    <s v="INV"/>
    <s v="AARNet"/>
    <s v="B VISA E-TOLL July 2017"/>
    <s v="DJC"/>
    <x v="7"/>
    <s v="ARRNet - ICQ-315 IPT2073 WSU Parramatta Square Western Lead-in"/>
    <d v="2017-07-31T00:00:00"/>
    <x v="0"/>
    <s v="E-Toll Business Operations Centre - TAG NO 10166430_x000d_ KE BX10GL Izuzu Tipper"/>
    <n v="58.41"/>
    <m/>
    <m/>
  </r>
  <r>
    <s v="INV"/>
    <s v="NBN Sydney"/>
    <s v="B VISA E-TOLL July 2017"/>
    <s v="DJC"/>
    <x v="3"/>
    <s v="NBN New Devs - MW21024 - AYCA-4JN54Z - 2NRN-05 - Elderslie"/>
    <d v="2017-07-31T00:00:00"/>
    <x v="0"/>
    <s v="E-Toll Business Operations Centre - TAG NO 10166430_x000d_ KE BX10GL Izuzu Tipper"/>
    <n v="58.41"/>
    <m/>
    <m/>
  </r>
  <r>
    <s v="INV"/>
    <s v="NBN Sydney"/>
    <s v="B VISA E-TOLL July 2017"/>
    <s v="Overhead"/>
    <x v="6"/>
    <s v="Overhead"/>
    <d v="2017-07-31T00:00:00"/>
    <x v="0"/>
    <s v="E-Toll Business Operations Centre - TAG NO 3829695 _x000d_GC GCC00K F250 Ford"/>
    <n v="7.11"/>
    <m/>
    <m/>
  </r>
  <r>
    <s v="INV"/>
    <s v="NBN Sydney"/>
    <s v="B VISA E-TOLL July 2017"/>
    <s v="DJC"/>
    <x v="3"/>
    <s v="NBN New Devs - MW20877 - AYCA-4992YE - 2RIV-02 - 34-36 Schofields - North Park  - 9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3"/>
    <s v="NBN New Devs - MW20786 - 2LIV-03 - AYCA-47DIBW - Dale Development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3"/>
    <s v="NBN New Devs - MW20644 - AYCA-35B3X9 -  Renocorp Australia Pty Ltd 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4"/>
    <s v="NBN New Devs - MW20441 - AYCA-3KSRGR - Norberta St, The Entrance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4"/>
    <s v="NBN New Devs - MW20729 - COR-04 - AYCA-4D6AY6 - 94 POPES RD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3"/>
    <s v="NBN New Devs - MW20758 - 2BAN-64 - AYCA-3ETV2Y - 21-25 Leonard Street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3"/>
    <s v="NBN New Devs - MW20876 - 2RIV-02 -AYCA-499AY5 - 34-36 Schofields - North Park - 10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4"/>
    <s v="NBN New Devs - MW20585 - AYCA-3KUUY6 - 2WOY-09 - Brittwood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3"/>
    <s v="NBN New Devs - MW20797 - 2RYD-03 - AYCA-1SUDYS – 15 Porter St Ryde - La Pearl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3"/>
    <s v="NBN New Devs - MW20620 - 2EPP-05 - AYCA-3071BP - Macquarie Park Village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5"/>
    <s v="NBN Minor Works - MW20764 - 2BLK-12-07 - Lot 21 Western MTQY"/>
    <d v="2017-07-31T00:00:00"/>
    <x v="0"/>
    <s v="E-Toll Business Operations Centre - TAG NO 3665998 GB BU59MS Toyota Hiace Van "/>
    <n v="9.6199999999999992"/>
    <m/>
    <m/>
  </r>
  <r>
    <s v="INV"/>
    <s v="VPL Sydney"/>
    <s v="B VISA E-TOLL July 2017"/>
    <s v="DJC"/>
    <x v="8"/>
    <s v="VPL - FttB Build 2DAL-23 &amp; 24"/>
    <d v="2017-07-31T00:00:00"/>
    <x v="0"/>
    <s v="E-Toll Business Operations Centre - TAG NO 4088300 SPARE "/>
    <n v="186.14"/>
    <m/>
    <m/>
  </r>
  <r>
    <s v="INV"/>
    <s v="VPL Sydney"/>
    <s v="B VISA E-TOLL July 2017"/>
    <s v="DJC"/>
    <x v="8"/>
    <s v="VPL - FttB Build 2DAL-23 &amp; 24"/>
    <d v="2017-07-31T00:00:00"/>
    <x v="0"/>
    <s v="E-Toll Business Operations Centre - TAG NO 3830879 SPARE"/>
    <n v="89.41"/>
    <m/>
    <m/>
  </r>
  <r>
    <s v="INV"/>
    <s v="NBN Sydney"/>
    <s v="51385216"/>
    <s v="DJC"/>
    <x v="9"/>
    <s v="NBN New Devs - MW21052 - AYCA-3OLAP3 - 2MAI-11 - WA Brown "/>
    <d v="2017-07-15T00:00:00"/>
    <x v="0"/>
    <s v="TNT Australia Pty Ltd - 10/07/17 42797030_x000d__x000a_Murrurundi"/>
    <n v="33.630000000000003"/>
    <m/>
    <m/>
  </r>
  <r>
    <s v="INV"/>
    <s v="NBN Sydney"/>
    <s v="51385216"/>
    <s v="DJC"/>
    <x v="10"/>
    <s v="NBN New Devs - MW20821 - AYCA-45D358 NSB Albuera Close -  BUILD"/>
    <d v="2017-07-15T00:00:00"/>
    <x v="0"/>
    <s v="TNT Australia Pty Ltd - 5/07/17 982000101060_x000d__x000a_Minchinbury/Dubbo"/>
    <n v="63.03"/>
    <m/>
    <m/>
  </r>
  <r>
    <s v="INV"/>
    <s v="NBN Sydney"/>
    <s v="71 A89447"/>
    <s v="Overhead"/>
    <x v="11"/>
    <s v="Overhead"/>
    <d v="2017-07-21T00:00:00"/>
    <x v="0"/>
    <s v="Middy's Data &amp; Electrical - Freight to Minchinbury"/>
    <n v="90"/>
    <m/>
    <m/>
  </r>
  <r>
    <s v="INV"/>
    <s v="NBN Sydney"/>
    <s v="878589"/>
    <s v="Overhead"/>
    <x v="6"/>
    <s v="Overhead"/>
    <d v="2017-07-05T00:00:00"/>
    <x v="0"/>
    <s v="Mitronics - MC.DSA_x000d__x000a_Digital Support Agreement - Chargeable"/>
    <n v="39.950000000000003"/>
    <m/>
    <m/>
  </r>
  <r>
    <s v="INV"/>
    <s v="NBN Sydney"/>
    <s v="878589"/>
    <s v="Overhead"/>
    <x v="6"/>
    <s v="Overhead"/>
    <d v="2017-07-05T00:00:00"/>
    <x v="0"/>
    <s v="Mitronics - MC.COLOUR.PAGE_x000d__x000a_Serial No - A02E041005704_x000d__x000a_Colour Last Read - 215,883 8/06/2017_x000d__x000a_Current Read - 219,102 Prints - 3,219"/>
    <n v="360.53"/>
    <m/>
    <m/>
  </r>
  <r>
    <s v="INV"/>
    <s v="NBN Sydney"/>
    <s v="878589"/>
    <s v="Overhead"/>
    <x v="6"/>
    <s v="Overhead"/>
    <d v="2017-07-05T00:00:00"/>
    <x v="0"/>
    <s v="Mitronics - MC.BLACK.PAGE_x000d__x000a_Serial No - A02E041005704 Black Last Read - 210,907 8/06/2017_x000d__x000a_Current Read - 212,354 Prints - 1,447"/>
    <n v="14.9"/>
    <m/>
    <m/>
  </r>
  <r>
    <s v="INV"/>
    <s v="AARNet"/>
    <s v="PJ10006348"/>
    <s v="DJC"/>
    <x v="12"/>
    <s v="AARNet - ICQ-459 IPT2506 NSW HEALTH AUBURN HOSPITAL  "/>
    <d v="2017-07-21T00:00:00"/>
    <x v="0"/>
    <s v="Ultimate Positioning Group - Data Preparation"/>
    <n v="100"/>
    <m/>
    <m/>
  </r>
  <r>
    <s v="INV"/>
    <s v="AARNet"/>
    <s v="PJ10006348"/>
    <s v="DJC"/>
    <x v="7"/>
    <s v="ARRNet - ICQ-315 IPT2073 WSU Parramatta Square Western Lead-in"/>
    <d v="2017-07-21T00:00:00"/>
    <x v="0"/>
    <s v="Ultimate Positioning Group - 88181-04_x000d__x000a_Trimble Geo 7X handheld with rangefinder (H-Star Floodlight)_x000d__x000a_Hire for the day of 27/07/17"/>
    <n v="250"/>
    <m/>
    <m/>
  </r>
  <r>
    <s v="INV"/>
    <s v="NBN Sydney"/>
    <s v="200I997920"/>
    <s v="DJC"/>
    <x v="10"/>
    <s v="NBN New Devs - MW20729 - COR-04 - AYCA-4D6AY6 - 94 POPES RD"/>
    <d v="2017-07-31T00:00:00"/>
    <x v="0"/>
    <s v="Boom Logistics - Fuel Levy"/>
    <n v="35.28"/>
    <m/>
    <m/>
  </r>
  <r>
    <s v="INV"/>
    <s v="NBN Sydney"/>
    <s v="200I997920"/>
    <s v="DJC"/>
    <x v="10"/>
    <s v="NBN New Devs - MW20729 - COR-04 - AYCA-4D6AY6 - 94 POPES RD"/>
    <d v="2017-07-31T00:00:00"/>
    <x v="0"/>
    <s v="Boom Logistics - Hire of 18m Industrial Travel Tower and Operator"/>
    <n v="564.72"/>
    <m/>
    <m/>
  </r>
  <r>
    <s v="INV"/>
    <s v="NBN Sydney"/>
    <s v="7173/01534596"/>
    <s v="Overhead"/>
    <x v="11"/>
    <s v="Overhead Materials"/>
    <d v="2017-07-01T00:00:00"/>
    <x v="0"/>
    <s v="Bunnings Warehouse - Marker Sharpie Med White Paint Marker"/>
    <n v="5.14"/>
    <m/>
    <m/>
  </r>
  <r>
    <s v="INV"/>
    <s v="NBN Sydney"/>
    <s v="7173/01534596"/>
    <s v="Overhead"/>
    <x v="11"/>
    <s v="Overhead Materials"/>
    <d v="2017-07-01T00:00:00"/>
    <x v="0"/>
    <s v="Bunnings Warehouse - Holesaw HSS Sutton 16mm Viper H114 "/>
    <n v="14.77"/>
    <m/>
    <m/>
  </r>
  <r>
    <s v="INV"/>
    <s v="NBN Sydney"/>
    <s v="7173/01534596"/>
    <s v="Overhead"/>
    <x v="11"/>
    <s v="Overhead Materials"/>
    <d v="2017-07-01T00:00:00"/>
    <x v="0"/>
    <s v="Bunnings Warehouse - Holesaw Arbor Viper Sutton 14-30mm "/>
    <n v="18.12"/>
    <m/>
    <m/>
  </r>
  <r>
    <s v="INV"/>
    <s v="NBN Sydney"/>
    <s v="015-74350-7016"/>
    <s v="Overhead"/>
    <x v="11"/>
    <s v="Overhead Materials"/>
    <d v="2017-07-03T00:00:00"/>
    <x v="0"/>
    <s v="Bunnings Warehouse - Screws Timber Type 17 HP BHD 8-15x32 pk100 1-241-9202-6"/>
    <n v="9.84"/>
    <m/>
    <m/>
  </r>
  <r>
    <s v="INV"/>
    <s v="NBN Sydney"/>
    <s v="015-74350-7016"/>
    <s v="Overhead"/>
    <x v="11"/>
    <s v="Overhead Materials"/>
    <d v="2017-07-03T00:00:00"/>
    <x v="0"/>
    <s v="Bunnings Warehouse - Rivets Steel 100pk Zenith 42 1/8 Diax1/8 Grip ARS0070"/>
    <n v="6.95"/>
    <m/>
    <m/>
  </r>
  <r>
    <s v="INV"/>
    <s v="NBN Sydney"/>
    <s v="422851-760"/>
    <s v="Overhead"/>
    <x v="11"/>
    <s v="Overhead Materials"/>
    <d v="2017-07-03T00:00:00"/>
    <x v="0"/>
    <s v="TLE Electrical - NBN CETs - For Type 3 jobs_x000d__x000a_CLIL&amp; Neutral Link 100A 500V 7 Hole F/Wiring P/Mount Black"/>
    <n v="60.13"/>
    <m/>
    <m/>
  </r>
  <r>
    <s v="INV"/>
    <s v="NBN Sydney"/>
    <s v="015-74350-7016"/>
    <s v="Overhead"/>
    <x v="11"/>
    <s v="Overhead Materials"/>
    <d v="2017-07-03T00:00:00"/>
    <x v="0"/>
    <s v="Bunnings Warehouse - Plugs Wall Green Ramset 7x35mm Bag50 WPG735/B50"/>
    <n v="2.91"/>
    <m/>
    <m/>
  </r>
  <r>
    <s v="INV"/>
    <s v="AARNet"/>
    <s v="11233"/>
    <s v="DJC"/>
    <x v="7"/>
    <s v="ARRNet - ICQ-315 IPT2073 WSU Parramatta Square Western Lead-in"/>
    <d v="2017-07-10T00:00:00"/>
    <x v="0"/>
    <s v="City of Parramatta - Pitt St Parking_x000d__x000a_Meter No: PIT01-0A_x000d__x000a_Mo 10 Jul 2017"/>
    <n v="1.82"/>
    <m/>
    <m/>
  </r>
  <r>
    <s v="INV"/>
    <s v="AARNet"/>
    <s v="11256"/>
    <s v="DJC"/>
    <x v="7"/>
    <s v="ARRNet - ICQ-315 IPT2073 WSU Parramatta Square Western Lead-in"/>
    <d v="2017-07-11T00:00:00"/>
    <x v="0"/>
    <s v="City of Parramatta - Pitt St Parking_x000d__x000a_Meter No: PIT01-0A_x000d__x000a_Tu 11 Jul 2017"/>
    <n v="2.73"/>
    <m/>
    <m/>
  </r>
  <r>
    <s v="INV"/>
    <s v="AARNet"/>
    <s v="11250"/>
    <s v="DJC"/>
    <x v="7"/>
    <s v="ARRNet - ICQ-315 IPT2073 WSU Parramatta Square Western Lead-in"/>
    <d v="2017-07-11T00:00:00"/>
    <x v="0"/>
    <s v="City of Parramatta - Pitt St Parking_x000d__x000a_Meter No: PIT01-0A_x000d__x000a_Tu 11 Jul 2017"/>
    <n v="3.64"/>
    <m/>
    <m/>
  </r>
  <r>
    <s v="INV"/>
    <s v="NBN Sydney"/>
    <s v="395320"/>
    <s v="Overhead"/>
    <x v="11"/>
    <s v="Overhead Materials"/>
    <d v="2017-07-13T00:00:00"/>
    <x v="0"/>
    <s v="Steel Supplies - Fuel Surcharge"/>
    <n v="2"/>
    <m/>
    <m/>
  </r>
  <r>
    <s v="INV"/>
    <s v="NBN Sydney"/>
    <s v="423557-760"/>
    <s v="Overhead"/>
    <x v="11"/>
    <s v="Overhead Materials"/>
    <d v="2017-07-17T00:00:00"/>
    <x v="0"/>
    <s v="TLE Electrical - PDL51M/B_x000d__x000a_Surface Socket Rear Connect 10A 250V White"/>
    <n v="44.36"/>
    <m/>
    <m/>
  </r>
  <r>
    <s v="INV"/>
    <s v="NBN Sydney"/>
    <s v="423557-760"/>
    <s v="Overhead"/>
    <x v="11"/>
    <s v="Overhead Materials"/>
    <d v="2017-07-17T00:00:00"/>
    <x v="0"/>
    <s v="TLE Electrical - SALS9041TCWH_x000d__x000a_D/Light Rnd Fixed Drv c/o 92mm 10W LED 3K/42K/57K White Dimm"/>
    <n v="233.3"/>
    <m/>
    <m/>
  </r>
  <r>
    <s v="INV"/>
    <s v="NBN Sydney"/>
    <s v="015-52475-7173"/>
    <s v="Overhead"/>
    <x v="11"/>
    <s v="Overhead Materials"/>
    <d v="2017-07-18T00:00:00"/>
    <x v="0"/>
    <s v="Bunnings Warehouse - Blade Diamond Standard 115x22mm 8040115"/>
    <n v="24.07"/>
    <m/>
    <m/>
  </r>
  <r>
    <s v="INV"/>
    <s v="NBN Sydney"/>
    <s v="22075"/>
    <s v="Overhead"/>
    <x v="11"/>
    <s v="Overhead Materials"/>
    <d v="2017-07-19T00:00:00"/>
    <x v="0"/>
    <s v="TANDEM - ISG Management Pty Ltd - 26900102_x000d__x000a_Tie, Cable Self-Locking UV Res 300x3"/>
    <n v="5.13"/>
    <m/>
    <m/>
  </r>
  <r>
    <s v="INV"/>
    <s v="NBN Sydney"/>
    <s v="22075"/>
    <s v="Overhead"/>
    <x v="11"/>
    <s v="Overhead Materials"/>
    <d v="2017-07-19T00:00:00"/>
    <x v="0"/>
    <s v="TANDEM - ISG Management Pty Ltd - 26900092_x000d__x000a_Tie, Cable Self-Locking UV Res 2.5x100"/>
    <n v="3.45"/>
    <m/>
    <m/>
  </r>
  <r>
    <s v="INV"/>
    <s v="NBN Sydney"/>
    <s v="71 A89447"/>
    <s v="Overhead"/>
    <x v="11"/>
    <s v="Overhead Materials"/>
    <d v="2017-07-21T00:00:00"/>
    <x v="0"/>
    <s v="Middy's Data &amp; Electrical - Concrete Telstra P4 Pit Cover"/>
    <n v="30"/>
    <m/>
    <m/>
  </r>
  <r>
    <s v="INV"/>
    <s v="NBN Sydney"/>
    <s v="22176"/>
    <s v="Overhead"/>
    <x v="11"/>
    <s v="Overhead Materials"/>
    <d v="2017-07-24T00:00:00"/>
    <x v="0"/>
    <s v="TANDEM - ISG Management Pty Ltd - 7300229_x000d__x000a_Gas Cylinder, CO2 Tdux Inflation "/>
    <n v="22.89"/>
    <m/>
    <m/>
  </r>
  <r>
    <s v="INV"/>
    <s v="NBN Sydney"/>
    <s v="22176"/>
    <s v="Overhead"/>
    <x v="11"/>
    <s v="Overhead Materials"/>
    <d v="2017-07-24T00:00:00"/>
    <x v="0"/>
    <s v="TANDEM - ISG Management Pty Ltd - 7300194_x000d__x000a_Duct Sealing System, Wrap around Tdux60"/>
    <n v="261.62"/>
    <m/>
    <m/>
  </r>
  <r>
    <s v="INV"/>
    <s v="NBN Sydney"/>
    <s v="22176"/>
    <s v="Overhead"/>
    <x v="11"/>
    <s v="Overhead Materials"/>
    <d v="2017-07-24T00:00:00"/>
    <x v="0"/>
    <s v="TANDEM - ISG Management Pty Ltd - 7300196_x000d__x000a_Duct Sealing System, Wrap around Tdux 100"/>
    <n v="289.27"/>
    <m/>
    <m/>
  </r>
  <r>
    <s v="INV"/>
    <s v="NBN Sydney"/>
    <s v="7016/01589625"/>
    <s v="Overhead"/>
    <x v="11"/>
    <s v="Overhead Materials"/>
    <d v="2017-07-25T00:00:00"/>
    <x v="0"/>
    <s v="Bunnings Warehouse - Light work LED Arlec 20W 1400LM Recharge"/>
    <n v="103.47"/>
    <m/>
    <m/>
  </r>
  <r>
    <s v="INV"/>
    <s v="NBN Sydney"/>
    <s v="7016/01589625"/>
    <s v="Overhead"/>
    <x v="11"/>
    <s v="Overhead Materials"/>
    <d v="2017-07-25T00:00:00"/>
    <x v="0"/>
    <s v="Bunnings Warehouse - Light Work LED 2x20W Tripod"/>
    <n v="101.91"/>
    <m/>
    <m/>
  </r>
  <r>
    <s v="INV"/>
    <s v="NBN Sydney"/>
    <s v="71 A89514"/>
    <s v="Overhead"/>
    <x v="11"/>
    <s v="Overhead Materials"/>
    <d v="2017-07-25T00:00:00"/>
    <x v="0"/>
    <s v="Middy's Data &amp; Electrical - FXC FPA25-FPA25B_x000d__x000a_Coupler M25 FPA/L/H25B IP66"/>
    <n v="135"/>
    <m/>
    <m/>
  </r>
  <r>
    <s v="INV"/>
    <s v="NBN Sydney"/>
    <s v="71 A89514"/>
    <s v="Overhead"/>
    <x v="11"/>
    <s v="Overhead Materials"/>
    <d v="2017-07-25T00:00:00"/>
    <x v="0"/>
    <s v="Middy's Data &amp; Electrical - FXC FPAS25B-50M_x000d__x000a_Conduit Flexible Nylon 25mm"/>
    <n v="250"/>
    <m/>
    <m/>
  </r>
  <r>
    <s v="INV"/>
    <s v="NBN Sydney"/>
    <s v="71 A89514"/>
    <s v="Overhead"/>
    <x v="11"/>
    <s v="Overhead Materials"/>
    <d v="2017-07-25T00:00:00"/>
    <x v="0"/>
    <s v="Middy's Data &amp; Electrical - T&amp;B HF025-B50_x000d__x000a_Conduit Hiflex 25mm Black 50m Roll"/>
    <n v="155.5"/>
    <m/>
    <m/>
  </r>
  <r>
    <s v="INV"/>
    <s v="NBN Sydney"/>
    <s v="71 A89540"/>
    <s v="Overhead"/>
    <x v="11"/>
    <s v="Overhead Materials"/>
    <d v="2017-07-26T00:00:00"/>
    <x v="0"/>
    <s v="Middy's Data &amp; Electrical - BVC 124045_x000d__x000a_Pit P8 Plastic Telstra 99/162"/>
    <n v="325"/>
    <m/>
    <m/>
  </r>
  <r>
    <s v="INV"/>
    <s v="NBN Sydney"/>
    <s v="A2"/>
    <s v="Overhead"/>
    <x v="11"/>
    <s v="Overhead Materials"/>
    <d v="2017-07-27T00:00:00"/>
    <x v="0"/>
    <s v="City Centre Car Park - Parramatta - In: 27/07/17 10:49_x000d__x000a_Out: 27/07/17 13:17"/>
    <n v="9.09"/>
    <m/>
    <m/>
  </r>
  <r>
    <s v="INV"/>
    <s v="NBN Sydney"/>
    <s v="71 A89563"/>
    <s v="Overhead"/>
    <x v="11"/>
    <s v="Overhead Materials"/>
    <d v="2017-07-27T00:00:00"/>
    <x v="0"/>
    <s v="Middy's Data &amp; Electrical - RAY TDUX-60-A788_x000d__x000a_Inflatable Sealing Sys 40-60mm MOQ10"/>
    <n v="209.45"/>
    <m/>
    <m/>
  </r>
  <r>
    <s v="INV"/>
    <s v="VPL Sydney"/>
    <s v="0003"/>
    <s v="DJC"/>
    <x v="8"/>
    <s v="VPL - FttB Re Design 2DAL-26"/>
    <d v="2017-07-02T00:00:00"/>
    <x v="0"/>
    <s v="Rainer James Barrozo - 2DAL-26-00-MPS-007"/>
    <n v="90"/>
    <m/>
    <m/>
  </r>
  <r>
    <s v="INV"/>
    <s v="NBN Sydney"/>
    <s v="INV-1112"/>
    <s v="DJC"/>
    <x v="10"/>
    <s v="NBN New Devs - MW20441 - AYCA-3KSRGR - Norberta St, The Entrance"/>
    <d v="2017-07-03T00:00:00"/>
    <x v="0"/>
    <s v="Complete Onsite Group - Traffic Control - AYCA-3KSRGR _x000d__x000a_Norberta St The Entrance 20/06/17 07:00-15:30 (8.5hrs) x 2 including travel"/>
    <n v="856"/>
    <m/>
    <m/>
  </r>
  <r>
    <s v="INV"/>
    <s v="NBN Sydney"/>
    <s v="INV-0121"/>
    <s v="Overhead"/>
    <x v="6"/>
    <s v="Overhead"/>
    <d v="2017-07-10T00:00:00"/>
    <x v="0"/>
    <s v="Warriewood Consultancy - Datateks Day Rate"/>
    <n v="11570.76"/>
    <m/>
    <m/>
  </r>
  <r>
    <s v="INV"/>
    <s v="NBN Sydney"/>
    <s v="17/1055"/>
    <s v="DJC"/>
    <x v="10"/>
    <s v="NBN New Devs - MW20436 - AYCA-3B8YY0 - Warrana Place"/>
    <d v="2017-07-12T00:00:00"/>
    <x v="0"/>
    <s v="KSJDA Pty Ltd - NBN MWA _x000d__x000a_MW20436-AYCA-3B8YY0 - Warrana Place, Taree"/>
    <n v="4740.05"/>
    <m/>
    <m/>
  </r>
  <r>
    <s v="INV"/>
    <s v="NBN Sydney"/>
    <s v="01803528"/>
    <s v="DJC"/>
    <x v="10"/>
    <s v="NBN New Devs - MW20436 - AYCA-3B8YY0 - Warrana Place"/>
    <d v="2017-07-14T00:00:00"/>
    <x v="0"/>
    <s v="5SMITHS - NBN MWA20436 - AYCA-3B8YY0 - Warrana Place_x000d__x000a_Splicing, Testing, Instal and Test NTU"/>
    <n v="5402.66"/>
    <m/>
    <m/>
  </r>
  <r>
    <s v="INV"/>
    <s v="AARNet"/>
    <s v="01803532"/>
    <s v="DJC"/>
    <x v="12"/>
    <s v="AARNet - ICQ-459 IPT2506 NSW HEALTH AUBURN HOSPITAL  "/>
    <d v="2017-07-17T00:00:00"/>
    <x v="0"/>
    <s v="5SMITHS - AARNet Auburn Hospital_x000d__x000a_Prepare 48SMOF Cable, Splice &amp; Terminate Fibres, Testing"/>
    <n v="3870.83"/>
    <m/>
    <m/>
  </r>
  <r>
    <s v="INV"/>
    <s v="NBN Sydney"/>
    <s v="INV-0122"/>
    <s v="Overhead"/>
    <x v="6"/>
    <s v="Overhead"/>
    <d v="2017-07-24T00:00:00"/>
    <x v="0"/>
    <s v="Warriewood Consultancy - Datateks Day Rate"/>
    <n v="9642.2999999999993"/>
    <m/>
    <m/>
  </r>
  <r>
    <s v="INV"/>
    <s v="NBN Sydney"/>
    <s v="INV-1179"/>
    <s v="DJC"/>
    <x v="10"/>
    <s v="NBN New Devs - MW20585 - AYCA-3KUUY6 - 2WOY-09 - Brittwood"/>
    <d v="2017-07-25T00:00:00"/>
    <x v="0"/>
    <s v="Complete Onsite Group - Traffic Control Plans"/>
    <n v="240"/>
    <m/>
    <m/>
  </r>
  <r>
    <s v="INV"/>
    <s v="NBN Sydney"/>
    <s v="INV-1179"/>
    <s v="DJC"/>
    <x v="10"/>
    <s v="NBN New Devs - MW20585 - AYCA-3KUUY6 - 2WOY-09 - Brittwood"/>
    <d v="2017-07-25T00:00:00"/>
    <x v="0"/>
    <s v="Complete Onsite Group - Traffic Control Works"/>
    <n v="2334.39"/>
    <m/>
    <m/>
  </r>
  <r>
    <s v="INV"/>
    <s v="AARNet"/>
    <s v="00000532"/>
    <s v="DJC"/>
    <x v="7"/>
    <s v="ARRNet - ICQ-315 IPT2073 WSU Parramatta Square Western Lead-in"/>
    <d v="2017-07-27T00:00:00"/>
    <x v="0"/>
    <s v="Qubicon Group - Night works completed 25th and 26th July 17 as per agreement"/>
    <n v="7000"/>
    <m/>
    <m/>
  </r>
  <r>
    <s v="INV"/>
    <s v="AARNet"/>
    <s v="INV-1207"/>
    <s v="DJC"/>
    <x v="7"/>
    <s v="ARRNet - ICQ-315 IPT2073 WSU Parramatta Square Western Lead-in"/>
    <d v="2017-07-30T00:00:00"/>
    <x v="0"/>
    <s v="Complete Onsite Group - Traffic Control Works"/>
    <n v="581"/>
    <m/>
    <m/>
  </r>
  <r>
    <s v="PE"/>
    <s v="NBN Sydney"/>
    <s v="Payroll Expense Journal - PD-522"/>
    <s v="DJC"/>
    <x v="13"/>
    <s v="NBN New Devs - MW20613 - AYCA-3CGK8N - Tulkaba View – 1"/>
    <d v="2017-07-03T00:00:00"/>
    <x v="0"/>
    <s v="Tool Allowance Earnings, Greg &amp; Karsten "/>
    <n v="55.95"/>
    <m/>
    <m/>
  </r>
  <r>
    <s v="PE"/>
    <s v="NBN Sydney"/>
    <s v="Payroll Expense Journal - PD-557"/>
    <s v="DJC"/>
    <x v="3"/>
    <s v="NBN New Devs - MW20649 - 2RCH-03 - AYCA-2MLHJO - Macquarie Street Subdivision - South Windsor"/>
    <d v="2017-07-10T00:00:00"/>
    <x v="0"/>
    <s v="Tool Allowance Earnings, Greg &amp; Karsten "/>
    <n v="55.95"/>
    <m/>
    <m/>
  </r>
  <r>
    <s v="PE"/>
    <s v="NBN Sydney"/>
    <s v="Payroll Expense Journal - PD-559"/>
    <s v="DJC"/>
    <x v="5"/>
    <s v="NBN Minor Works - MW20764 - 2BLK-12-07 - Lot 21 Western MTQY"/>
    <d v="2017-07-17T00:00:00"/>
    <x v="0"/>
    <s v="Tool Allowance Earnings, Greg &amp; Karsten "/>
    <n v="55.95"/>
    <m/>
    <m/>
  </r>
  <r>
    <s v="PE"/>
    <s v="NBN Sydney"/>
    <s v="Payroll Expense Journal - PD-566"/>
    <s v="DJC"/>
    <x v="13"/>
    <s v="NBN New Devs - MW20441 - AYCA-3KSRGR - Norberta St, The Entrance"/>
    <d v="2017-07-24T00:00:00"/>
    <x v="0"/>
    <s v="Tool Allowance Earnings, Greg &amp; Karsten "/>
    <n v="55.95"/>
    <m/>
    <m/>
  </r>
  <r>
    <s v="PE"/>
    <s v="AARNet"/>
    <s v="Payroll Expense Journal - PD-569"/>
    <s v="DJC"/>
    <x v="14"/>
    <s v="ARRNet - ICQ-315 IPT2073 WSU Parramatta Square Western Lead-in"/>
    <d v="2017-07-31T00:00:00"/>
    <x v="0"/>
    <s v="Tool Allowance Earnings, Greg &amp; Karsten "/>
    <n v="59.64"/>
    <m/>
    <m/>
  </r>
  <r>
    <s v="PE"/>
    <s v="NBN Sydney"/>
    <s v="Payroll Expense Journal - PD-569"/>
    <s v="Overhead"/>
    <x v="6"/>
    <s v="Overhead"/>
    <d v="2017-07-31T00:00:00"/>
    <x v="0"/>
    <s v="Tool Allowance GC"/>
    <n v="47.24"/>
    <m/>
    <m/>
  </r>
  <r>
    <s v="PE"/>
    <s v="NBN Sydney"/>
    <s v="Payroll Expense Journal - PD-522"/>
    <s v="Overhead"/>
    <x v="6"/>
    <s v="Overhead"/>
    <d v="2017-07-03T00:00:00"/>
    <x v="0"/>
    <s v="Tool Allowance Earnings, Brendan"/>
    <n v="18.649999999999999"/>
    <m/>
    <m/>
  </r>
  <r>
    <s v="PE"/>
    <s v="NBN Sydney"/>
    <s v="Payroll Expense Journal - PD-557"/>
    <s v="Overhead"/>
    <x v="6"/>
    <s v="Overhead"/>
    <d v="2017-07-10T00:00:00"/>
    <x v="0"/>
    <s v="Tool Allowance Earnings, Brendan"/>
    <n v="18.649999999999999"/>
    <m/>
    <m/>
  </r>
  <r>
    <s v="PE"/>
    <s v="NBN Sydney"/>
    <s v="Payroll Expense Journal - PD-559"/>
    <s v="Overhead"/>
    <x v="6"/>
    <s v="Overhead"/>
    <d v="2017-07-17T00:00:00"/>
    <x v="0"/>
    <s v="Tool Allowance Earnings, Brendan"/>
    <n v="18.649999999999999"/>
    <m/>
    <m/>
  </r>
  <r>
    <s v="PE"/>
    <s v="NBN Sydney"/>
    <s v="Payroll Expense Journal - PD-566"/>
    <s v="Overhead"/>
    <x v="6"/>
    <s v="Overhead"/>
    <d v="2017-07-24T00:00:00"/>
    <x v="0"/>
    <s v="Tool Allowance Earnings, Brendan"/>
    <n v="18.649999999999999"/>
    <m/>
    <m/>
  </r>
  <r>
    <s v="PE"/>
    <s v="NBN Sydney"/>
    <s v="Payroll Expense Journal - PD-569"/>
    <s v="Overhead"/>
    <x v="6"/>
    <s v="Overhead"/>
    <d v="2017-07-31T00:00:00"/>
    <x v="0"/>
    <s v="Tool Allowance Earnings, Brendan"/>
    <n v="19.88"/>
    <m/>
    <m/>
  </r>
  <r>
    <s v="PE"/>
    <s v="NBN Sydney"/>
    <s v="Payroll Expense Journal - PD-522"/>
    <s v=" "/>
    <x v="15"/>
    <s v="Greg &amp; Karsten"/>
    <d v="2017-07-03T00:00:00"/>
    <x v="0"/>
    <s v="TA Reimbursements"/>
    <n v="299.74"/>
    <m/>
    <m/>
  </r>
  <r>
    <s v="PE"/>
    <s v="NBN Sydney"/>
    <s v="Payroll Expense Journal - PD-557"/>
    <m/>
    <x v="15"/>
    <s v="Greg &amp; Karsten"/>
    <d v="2017-07-10T00:00:00"/>
    <x v="0"/>
    <s v="TA Reimbursements"/>
    <n v="59.04"/>
    <m/>
    <m/>
  </r>
  <r>
    <s v="PE"/>
    <s v="NBN Sydney"/>
    <s v="Payroll Expense Journal - PD-566"/>
    <m/>
    <x v="15"/>
    <s v="Greg &amp; Karsten"/>
    <d v="2017-07-24T00:00:00"/>
    <x v="0"/>
    <s v="TA Reimbursements"/>
    <n v="89.22"/>
    <m/>
    <m/>
  </r>
  <r>
    <s v="PE"/>
    <s v="NBN Sydney"/>
    <s v="Payroll Expense Journal - PD-569"/>
    <m/>
    <x v="15"/>
    <s v="Greg &amp; Karsten"/>
    <d v="2017-07-31T00:00:00"/>
    <x v="0"/>
    <s v="TA Reimbursements"/>
    <n v="60.76"/>
    <m/>
    <m/>
  </r>
  <r>
    <s v="PE"/>
    <s v="NBN Sydney"/>
    <s v="Payroll Expense Journal - PD-569"/>
    <s v="Overhead"/>
    <x v="6"/>
    <s v="Overhead Gilbert TA in Sydney $185 a Day = 19.8 days in the month in Sydney"/>
    <d v="2017-07-31T00:00:00"/>
    <x v="0"/>
    <s v="TA Reimbursements - GC"/>
    <n v="3669.25"/>
    <m/>
    <m/>
  </r>
  <r>
    <s v="PE"/>
    <s v="NBN Sydney"/>
    <s v="Payroll Expense Journal - PD-566"/>
    <s v="Overhead"/>
    <x v="6"/>
    <s v="Overhead"/>
    <d v="2017-07-24T00:00:00"/>
    <x v="0"/>
    <s v="Reimbursements"/>
    <n v="29.74"/>
    <m/>
    <m/>
  </r>
  <r>
    <s v="PE"/>
    <s v="NBN Sydney"/>
    <s v="Payroll Expense Journal - PD-569"/>
    <s v="Overhead"/>
    <x v="6"/>
    <s v="Overhead"/>
    <d v="2017-07-31T00:00:00"/>
    <x v="0"/>
    <s v="Reimbursements"/>
    <n v="0.32"/>
    <m/>
    <m/>
  </r>
  <r>
    <s v="PE"/>
    <s v="NBN Sydney"/>
    <s v="Payroll Expense Journal - PD-522"/>
    <s v="Overhead"/>
    <x v="6"/>
    <s v="Overhead"/>
    <d v="2017-07-03T00:00:00"/>
    <x v="0"/>
    <s v="Earnings"/>
    <n v="1707.8204999999998"/>
    <m/>
    <m/>
  </r>
  <r>
    <s v="PE"/>
    <s v="NBN Sydney"/>
    <s v="Payroll Expense Journal - PD-522"/>
    <s v="DJC"/>
    <x v="13"/>
    <s v="NBN New Devs - MW20613 - AYCA-3CGK8N - Tulkaba View – 1"/>
    <d v="2017-07-03T00:00:00"/>
    <x v="0"/>
    <s v="Earnings Kasrten &amp; Ash"/>
    <n v="209"/>
    <m/>
    <m/>
  </r>
  <r>
    <s v="PE"/>
    <s v="NBN Sydney"/>
    <s v="Payroll Expense Journal - PD-522"/>
    <s v="DJC"/>
    <x v="5"/>
    <s v="NBN Minor Works - MW20718 - 2LJT-04-07-08 Unit 2, 234 The Entrance Road"/>
    <d v="2017-07-03T00:00:00"/>
    <x v="0"/>
    <s v="Earnings Kasrten &amp; Ash"/>
    <n v="507"/>
    <m/>
    <m/>
  </r>
  <r>
    <s v="PE"/>
    <s v="NBN Sydney"/>
    <s v="Payroll Expense Journal - PD-522"/>
    <s v="DJC"/>
    <x v="5"/>
    <s v="NBN Minor Works - MW20764 - 2BLK-12-07 - Lot 21 Western MTQY"/>
    <d v="2017-07-03T00:00:00"/>
    <x v="0"/>
    <s v="Earnings Kasrten &amp; Ash"/>
    <n v="1198.82"/>
    <m/>
    <m/>
  </r>
  <r>
    <s v="PE"/>
    <s v="NBN Sydney"/>
    <s v="Payroll Expense Journal - PD-522"/>
    <s v="DJC"/>
    <x v="3"/>
    <s v="NBN New Devs - MW20649 - 2RCH-03 - AYCA-2MLHJO - Macquarie Street Subdivision - South Windsor"/>
    <d v="2017-07-03T00:00:00"/>
    <x v="0"/>
    <s v="Earning Greg &amp; Brendan"/>
    <n v="524.00075000000004"/>
    <m/>
    <m/>
  </r>
  <r>
    <s v="PE"/>
    <s v="NBN Sydney"/>
    <s v="Payroll Expense Journal - PD-522"/>
    <s v="DJC"/>
    <x v="13"/>
    <s v="NBN New Devs - MW20613 - AYCA-3CGK8N - Tulkaba View – 1"/>
    <d v="2017-07-03T00:00:00"/>
    <x v="0"/>
    <s v="Earning Greg &amp; Brendan"/>
    <n v="602.01575000000003"/>
    <m/>
    <m/>
  </r>
  <r>
    <s v="PE"/>
    <s v="NBN Sydney"/>
    <s v="Payroll Expense Journal - PD-522"/>
    <s v="DJC"/>
    <x v="13"/>
    <s v="NBN New Devs - MW20720 - AYCA-4BHWVV - Argyle Community Housing"/>
    <d v="2017-07-03T00:00:00"/>
    <x v="0"/>
    <s v="Earning Greg &amp; Brendan"/>
    <n v="780.15000000000009"/>
    <m/>
    <m/>
  </r>
  <r>
    <s v="PE"/>
    <s v="NBN Sydney"/>
    <s v="Payroll Expense Journal - PD-522"/>
    <s v="DJC"/>
    <x v="5"/>
    <s v="NBN Minor Works - MW20718 - 2LJT-04-07-08 Unit 2, 234 The Entrance Road"/>
    <d v="2017-07-03T00:00:00"/>
    <x v="0"/>
    <s v="Earning Greg &amp; Brendan"/>
    <n v="644.92399999999998"/>
    <m/>
    <m/>
  </r>
  <r>
    <s v="PE"/>
    <s v="NBN Sydney"/>
    <s v="Payroll Expense Journal - PD-522"/>
    <s v="DJC"/>
    <x v="5"/>
    <s v="NBN Minor Works - MW20764 - 2BLK-12-07 - Lot 21 Western MTQY"/>
    <d v="2017-07-03T00:00:00"/>
    <x v="0"/>
    <s v="Earning Greg &amp; Brendan"/>
    <n v="878.96900000000005"/>
    <m/>
    <m/>
  </r>
  <r>
    <s v="PE"/>
    <s v="NBN Sydney"/>
    <s v="Payroll Expense Journal - PD-557"/>
    <s v="Overhead"/>
    <x v="6"/>
    <s v="Overhead"/>
    <d v="2017-07-10T00:00:00"/>
    <x v="0"/>
    <s v="Earnings"/>
    <n v="1404.75875"/>
    <m/>
    <m/>
  </r>
  <r>
    <s v="PE"/>
    <s v="NBN Sydney"/>
    <s v="Payroll Expense Journal - PD-557"/>
    <s v="DJC"/>
    <x v="5"/>
    <s v="NBN Minor Works - MW20764 - 2BLK-12-07 - Lot 21 Western MTQY"/>
    <d v="2017-07-10T00:00:00"/>
    <x v="0"/>
    <s v="Earnings Kasrten &amp; Ash"/>
    <n v="1435.07"/>
    <m/>
    <m/>
  </r>
  <r>
    <s v="PE"/>
    <s v="NBN Sydney"/>
    <s v="Payroll Expense Journal - PD-557"/>
    <s v="DJC"/>
    <x v="3"/>
    <s v="NBN New Devs - MW20686 - AYCA-1RBL6L - The North Village , Kellyville"/>
    <d v="2017-07-10T00:00:00"/>
    <x v="0"/>
    <s v="Earnings Kasrten &amp; Ash"/>
    <n v="2057.46"/>
    <m/>
    <m/>
  </r>
  <r>
    <s v="PE"/>
    <s v="NBN Sydney"/>
    <s v="Payroll Expense Journal - PD-557"/>
    <s v="DJC"/>
    <x v="3"/>
    <s v="NBN New Devs -  MW20877 - AYCA-4992YE - 2RIV-02 - 34-36 Schofields - North Park  - 9"/>
    <d v="2017-07-10T00:00:00"/>
    <x v="0"/>
    <s v="Earning Greg &amp; Brendan"/>
    <n v="833.46024999999997"/>
    <m/>
    <m/>
  </r>
  <r>
    <s v="PE"/>
    <s v="NBN Sydney"/>
    <s v="Payroll Expense Journal - PD-557"/>
    <s v="DJC"/>
    <x v="3"/>
    <s v="NBN New Devs - MW20817 - 2LIV-12_2QUA_02_2PTH-02 - Glenfield_Margo_Jamison"/>
    <d v="2017-07-10T00:00:00"/>
    <x v="0"/>
    <s v="Earning Greg &amp; Brendan"/>
    <n v="406.97825"/>
    <m/>
    <m/>
  </r>
  <r>
    <s v="PE"/>
    <s v="NBN Sydney"/>
    <s v="Payroll Expense Journal - PD-557"/>
    <s v="DJC"/>
    <x v="3"/>
    <s v="NBN New Devs - MW20898 - 2MIL-01 - AYCA-45L86C  -NSB - Zulu Road – Build"/>
    <d v="2017-07-10T00:00:00"/>
    <x v="0"/>
    <s v="Earning Greg &amp; Brendan"/>
    <n v="465.48950000000002"/>
    <m/>
    <m/>
  </r>
  <r>
    <s v="PE"/>
    <s v="NBN Sydney"/>
    <s v="Payroll Expense Journal - PD-557"/>
    <s v="DJC"/>
    <x v="3"/>
    <s v="NBN New Devs - MW20786 - 2LIV-03 - AYCA-47DIBW - Dale Development"/>
    <d v="2017-07-10T00:00:00"/>
    <x v="0"/>
    <s v="Earning Greg &amp; Brendan"/>
    <n v="484.99324999999999"/>
    <m/>
    <m/>
  </r>
  <r>
    <s v="PE"/>
    <s v="NBN Sydney"/>
    <s v="Payroll Expense Journal - PD-559"/>
    <s v="Overhead"/>
    <x v="6"/>
    <s v="Overhead"/>
    <d v="2017-07-17T00:00:00"/>
    <x v="0"/>
    <s v="Earnings"/>
    <n v="2175.5592500000002"/>
    <m/>
    <m/>
  </r>
  <r>
    <s v="PE"/>
    <s v="NBN Sydney"/>
    <s v="Payroll Expense Journal - PD-559"/>
    <s v="DJC"/>
    <x v="5"/>
    <s v="NBN Minor Works - MW20764 - 2BLK-12-07 - Lot 21 Western MTQY"/>
    <d v="2017-07-17T00:00:00"/>
    <x v="0"/>
    <s v="Earnings Kasrten &amp; Ash"/>
    <n v="718.79"/>
    <m/>
    <m/>
  </r>
  <r>
    <s v="PE"/>
    <s v="NBN Sydney"/>
    <s v="Payroll Expense Journal - PD-559"/>
    <s v="DJC"/>
    <x v="3"/>
    <s v="NBN New Devs - MW20644 - AYCA-35B3X9 -  Renocorp Australia Pty Ltd "/>
    <d v="2017-07-17T00:00:00"/>
    <x v="0"/>
    <s v="Earnings Kasrten &amp; Ash"/>
    <n v="179"/>
    <m/>
    <m/>
  </r>
  <r>
    <s v="PE"/>
    <s v="NBN Sydney"/>
    <s v="Payroll Expense Journal - PD-559"/>
    <s v="DJC"/>
    <x v="13"/>
    <s v="NBN New Devs - MW20441 - AYCA-3KSRGR - Norberta St, The Entrance"/>
    <d v="2017-07-17T00:00:00"/>
    <x v="0"/>
    <s v="Earnings Kasrten &amp; Ash"/>
    <n v="164"/>
    <m/>
    <m/>
  </r>
  <r>
    <s v="PE"/>
    <s v="NBN Sydney"/>
    <s v="Payroll Expense Journal - PD-559"/>
    <s v="DJC"/>
    <x v="13"/>
    <s v="NBN New Devs - MW20729 - COR-04 - AYCA-4D6AY6 - 94 POPES RD"/>
    <d v="2017-07-17T00:00:00"/>
    <x v="0"/>
    <s v="Earnings Kasrten &amp; Ash"/>
    <n v="268"/>
    <m/>
    <m/>
  </r>
  <r>
    <s v="PE"/>
    <s v="NBN Sydney"/>
    <s v="Payroll Expense Journal - PD-559"/>
    <s v="DJC"/>
    <x v="3"/>
    <s v="NBN New Devs - MW20758 - 2BAN-64 - AYCA-3ETV2Y - 21-25 Leonard Street"/>
    <d v="2017-07-17T00:00:00"/>
    <x v="0"/>
    <s v="Earnings Kasrten &amp; Ash"/>
    <n v="209"/>
    <m/>
    <m/>
  </r>
  <r>
    <s v="PE"/>
    <s v="NBN Sydney"/>
    <s v="Payroll Expense Journal - PD-559"/>
    <s v="DJC"/>
    <x v="3"/>
    <s v="NBN New Devs - MW20644 - AYCA-35B3X9 -  Renocorp Australia Pty Ltd "/>
    <d v="2017-07-17T00:00:00"/>
    <x v="0"/>
    <s v="Earning Greg &amp; Brendan"/>
    <n v="1181.92725"/>
    <m/>
    <m/>
  </r>
  <r>
    <s v="PE"/>
    <s v="NBN Sydney"/>
    <s v="Payroll Expense Journal - PD-559"/>
    <s v="DJC"/>
    <x v="13"/>
    <s v="NBN New Devs - MW20441 - AYCA-3KSRGR - Norberta St, The Entrance"/>
    <d v="2017-07-17T00:00:00"/>
    <x v="0"/>
    <s v="Earning Greg &amp; Brendan"/>
    <n v="1061.0040000000001"/>
    <m/>
    <m/>
  </r>
  <r>
    <s v="PE"/>
    <s v="NBN Sydney"/>
    <s v="Payroll Expense Journal - PD-559"/>
    <s v="DJC"/>
    <x v="13"/>
    <s v="NBN New Devs - MW20729 - COR-04 - AYCA-4D6AY6 - 94 POPES RD"/>
    <d v="2017-07-17T00:00:00"/>
    <x v="0"/>
    <s v="Earning Greg &amp; Brendan"/>
    <n v="465.48950000000002"/>
    <m/>
    <m/>
  </r>
  <r>
    <s v="PE"/>
    <s v="NBN Sydney"/>
    <s v="Payroll Expense Journal - PD-559"/>
    <s v="DJC"/>
    <x v="3"/>
    <s v="NBN New Devs - MW20758 - 2BAN-64 - AYCA-3ETV2Y - 21-25 Leonard Street"/>
    <d v="2017-07-17T00:00:00"/>
    <x v="0"/>
    <s v="Earning Greg &amp; Brendan"/>
    <n v="465.49"/>
    <m/>
    <m/>
  </r>
  <r>
    <s v="PE"/>
    <s v="NBN Sydney"/>
    <s v="Payroll Expense Journal - PD-566"/>
    <s v="Overhead"/>
    <x v="6"/>
    <s v="Overhead"/>
    <d v="2017-07-24T00:00:00"/>
    <x v="0"/>
    <s v="Earnings"/>
    <n v="2175.4824999999996"/>
    <m/>
    <m/>
  </r>
  <r>
    <s v="PE"/>
    <s v="NBN Sydney"/>
    <s v="Payroll Expense Journal - PD-566"/>
    <s v="DJC"/>
    <x v="5"/>
    <s v="NBN Minor Works - MW20764 - 2BLK-12-07 - Lot 21 Western MTQY"/>
    <d v="2017-07-24T00:00:00"/>
    <x v="0"/>
    <s v="Earnings Kasrten &amp; Ash"/>
    <n v="1351.49"/>
    <m/>
    <m/>
  </r>
  <r>
    <s v="PE"/>
    <s v="NBN Sydney"/>
    <s v="Payroll Expense Journal - PD-566"/>
    <s v="DJC"/>
    <x v="3"/>
    <s v="NBN New Devs - MW20758 - 2BAN-64 - AYCA-3ETV2Y - 21-25 Leonard Street"/>
    <d v="2017-07-24T00:00:00"/>
    <x v="0"/>
    <s v="Earnings Kasrten &amp; Ash"/>
    <n v="343"/>
    <m/>
    <m/>
  </r>
  <r>
    <s v="PE"/>
    <s v="NBN Sydney"/>
    <s v="Payroll Expense Journal - PD-566"/>
    <s v="DJC"/>
    <x v="3"/>
    <s v="New Devs - MW21024 - AYCA-4JN54Z - 2NRN-05 - Elderslie"/>
    <d v="2017-07-24T00:00:00"/>
    <x v="0"/>
    <s v="Earnings Kasrten &amp; Ash"/>
    <n v="152"/>
    <m/>
    <m/>
  </r>
  <r>
    <s v="PE"/>
    <s v="NBN Sydney"/>
    <s v="Payroll Expense Journal - PD-566"/>
    <s v="DJC"/>
    <x v="3"/>
    <s v="NBN New Devs - MW20758 - 2BAN-64 - AYCA-3ETV2Y - 21-25 Leonard Street"/>
    <d v="2017-07-24T00:00:00"/>
    <x v="0"/>
    <s v="Earning Greg &amp; Brendan"/>
    <n v="930.97900000000004"/>
    <m/>
    <m/>
  </r>
  <r>
    <s v="PE"/>
    <s v="NBN Sydney"/>
    <s v="Payroll Expense Journal - PD-566"/>
    <s v="DJC"/>
    <x v="3"/>
    <s v="NBN New Devs - MW20876 - 2RIV-02 -AYCA-499AY5 - 34-36 Schofields - North Park - 10"/>
    <d v="2017-07-24T00:00:00"/>
    <x v="0"/>
    <s v="Earning Greg &amp; Brendan"/>
    <n v="621.51949999999999"/>
    <m/>
    <m/>
  </r>
  <r>
    <s v="PE"/>
    <s v="NBN Sydney"/>
    <s v="Payroll Expense Journal - PD-566"/>
    <s v="DJC"/>
    <x v="13"/>
    <s v="NBN New Devs - MW20585 - AYCA-3KUUY6 - 2WOY-09 - Brittwood"/>
    <d v="2017-07-24T00:00:00"/>
    <x v="0"/>
    <s v="Earning Greg &amp; Brendan"/>
    <n v="621.51949999999999"/>
    <m/>
    <m/>
  </r>
  <r>
    <s v="PE"/>
    <s v="NBN Sydney"/>
    <s v="Payroll Expense Journal - PD-566"/>
    <s v="DJC"/>
    <x v="3"/>
    <s v="NBN new Devs - MW20882 - 2BLK-07 - AYCA-468EU5 - 299 Flushcombe - 1"/>
    <d v="2017-07-24T00:00:00"/>
    <x v="0"/>
    <s v="Earning Greg &amp; Brendan"/>
    <n v="465.48950000000002"/>
    <m/>
    <m/>
  </r>
  <r>
    <s v="PE"/>
    <s v="NBN Sydney"/>
    <s v="Payroll Expense Journal - PD-569"/>
    <s v="Overhead"/>
    <x v="6"/>
    <s v="Overhead"/>
    <d v="2017-07-31T00:00:00"/>
    <x v="0"/>
    <s v="Earnings"/>
    <n v="2363.1750499999989"/>
    <m/>
    <m/>
  </r>
  <r>
    <s v="PE"/>
    <s v="NBN Sydney"/>
    <s v="Payroll Expense Journal - PD-569"/>
    <s v="DJC"/>
    <x v="5"/>
    <s v="NBN Minor Works - MW20764 - 2BLK-12-07 - Lot 21 Western MTQY"/>
    <d v="2017-07-31T00:00:00"/>
    <x v="0"/>
    <s v="Earnings Kasrten &amp; Ash"/>
    <n v="1094.3399999999999"/>
    <m/>
    <m/>
  </r>
  <r>
    <s v="PE"/>
    <s v="AARNet"/>
    <s v="Payroll Expense Journal - PD-569"/>
    <s v="DJC"/>
    <x v="14"/>
    <s v="ARRNet - ICQ-315 IPT2073 WSU Parramatta Square Western Lead-in"/>
    <d v="2017-07-31T00:00:00"/>
    <x v="0"/>
    <s v="Earnings Kasrten &amp; Ash"/>
    <n v="2262.63"/>
    <m/>
    <m/>
  </r>
  <r>
    <s v="PE"/>
    <s v="NBN Sydney"/>
    <s v="Payroll Expense Journal - PD-569"/>
    <s v="DJC"/>
    <x v="3"/>
    <s v="NBN New Devs - MW20797 - 2RYD-03 - AYCA-1SUDYS – 15 Porter St Ryde - La Pearl"/>
    <d v="2017-07-31T00:00:00"/>
    <x v="0"/>
    <s v="Earning Greg &amp; Brendan"/>
    <n v="504.49700000000001"/>
    <m/>
    <m/>
  </r>
  <r>
    <s v="PE"/>
    <s v="NBN Sydney"/>
    <s v="Payroll Expense Journal - PD-569"/>
    <s v="DJC"/>
    <x v="3"/>
    <s v="NBN New Devs - MW20620 - 2EPP-05 - AYCA-3071BP - Macquarie Park Village"/>
    <d v="2017-07-31T00:00:00"/>
    <x v="0"/>
    <s v="Earning Greg &amp; Brendan"/>
    <n v="1965.71795"/>
    <m/>
    <m/>
  </r>
  <r>
    <s v="PE"/>
    <s v="NBN Sydney"/>
    <s v="Payroll Expense Journal - PD-569"/>
    <s v="Overhead"/>
    <x v="6"/>
    <s v="Overhead"/>
    <d v="2017-07-31T00:00:00"/>
    <x v="0"/>
    <s v="Earnings GC"/>
    <n v="4136.92"/>
    <m/>
    <m/>
  </r>
  <r>
    <s v="PE"/>
    <s v="NBN Sydney"/>
    <s v="Payroll Expense Journal - PD-522"/>
    <s v="Overhead"/>
    <x v="6"/>
    <s v="Overhead"/>
    <d v="2017-07-03T00:00:00"/>
    <x v="0"/>
    <s v="Earnings Brendan"/>
    <n v="1041.9000000000001"/>
    <m/>
    <m/>
  </r>
  <r>
    <s v="PE"/>
    <s v="NBN Sydney"/>
    <s v="Payroll Expense Journal - PD-557"/>
    <s v="Overhead"/>
    <x v="6"/>
    <s v="Overhead"/>
    <d v="2017-07-10T00:00:00"/>
    <x v="0"/>
    <s v="Earnings Brendan"/>
    <n v="830.21"/>
    <m/>
    <m/>
  </r>
  <r>
    <s v="PE"/>
    <s v="NBN Sydney"/>
    <s v="Payroll Expense Journal - PD-559"/>
    <s v="Overhead"/>
    <x v="6"/>
    <s v="Overhead"/>
    <d v="2017-07-17T00:00:00"/>
    <x v="0"/>
    <s v="Earnings Brendan"/>
    <n v="1236.81"/>
    <m/>
    <m/>
  </r>
  <r>
    <s v="PE"/>
    <s v="NBN Sydney"/>
    <s v="Payroll Expense Journal - PD-566"/>
    <s v="Overhead"/>
    <x v="6"/>
    <s v="Overhead"/>
    <d v="2017-07-24T00:00:00"/>
    <x v="0"/>
    <s v="Earnings Brendan"/>
    <n v="1052.51"/>
    <m/>
    <m/>
  </r>
  <r>
    <s v="PE"/>
    <s v="NBN Sydney"/>
    <s v="Payroll Expense Journal - PD-569"/>
    <s v="Overhead"/>
    <x v="6"/>
    <s v="Overhead"/>
    <d v="2017-07-31T00:00:00"/>
    <x v="0"/>
    <s v="Earnings Brendan"/>
    <n v="1029.71"/>
    <m/>
    <m/>
  </r>
  <r>
    <s v="PE"/>
    <s v="NBN Sydney"/>
    <s v="Payroll Expense Journal - PD-522"/>
    <s v="Overhead"/>
    <x v="6"/>
    <s v="Overhead"/>
    <d v="2017-07-03T00:00:00"/>
    <x v="0"/>
    <s v="Superannuation Expense Sonya"/>
    <n v="92.44"/>
    <m/>
    <m/>
  </r>
  <r>
    <s v="PE"/>
    <s v="NBN Sydney"/>
    <s v="Payroll Expense Journal - PD-557"/>
    <s v="Overhead"/>
    <x v="6"/>
    <s v="Overhead"/>
    <d v="2017-07-10T00:00:00"/>
    <x v="0"/>
    <s v="Superannuation Expense Sonya"/>
    <n v="92.44"/>
    <m/>
    <m/>
  </r>
  <r>
    <s v="PE"/>
    <s v="NBN Sydney"/>
    <s v="Payroll Expense Journal - PD-559"/>
    <s v="Overhead"/>
    <x v="6"/>
    <s v="Overhead"/>
    <d v="2017-07-17T00:00:00"/>
    <x v="0"/>
    <s v="Superannuation Expense Sonya"/>
    <n v="92.44"/>
    <m/>
    <m/>
  </r>
  <r>
    <s v="PE"/>
    <s v="NBN Sydney"/>
    <s v="Payroll Expense Journal - PD-566"/>
    <s v="Overhead"/>
    <x v="6"/>
    <s v="Overhead"/>
    <d v="2017-07-24T00:00:00"/>
    <x v="0"/>
    <s v="Superannuation Expense Sonya"/>
    <n v="92.44"/>
    <m/>
    <m/>
  </r>
  <r>
    <s v="PE"/>
    <s v="NBN Sydney"/>
    <s v="Payroll Expense Journal - PD-569"/>
    <s v="Overhead"/>
    <x v="6"/>
    <s v="Overhead"/>
    <d v="2017-07-31T00:00:00"/>
    <x v="0"/>
    <s v="Superannuation Expense Sonya"/>
    <n v="92.44"/>
    <m/>
    <m/>
  </r>
  <r>
    <s v="PE"/>
    <s v="NBN Sydney"/>
    <s v="Super AA"/>
    <s v="Overhead"/>
    <x v="6"/>
    <s v="Overhead"/>
    <d v="2017-07-31T00:00:00"/>
    <x v="0"/>
    <s v="Superannuation Expense AA "/>
    <n v="69.38"/>
    <m/>
    <m/>
  </r>
  <r>
    <s v="PE"/>
    <s v="NBN Sydney"/>
    <s v="Super  RM"/>
    <s v="Overhead"/>
    <x v="6"/>
    <s v="Overhead"/>
    <d v="2017-07-31T00:00:00"/>
    <x v="0"/>
    <s v="Superannuation Expense RM"/>
    <n v="116.47"/>
    <m/>
    <m/>
  </r>
  <r>
    <s v="PE"/>
    <s v="NBN Sydney"/>
    <s v="Payroll Expense Journal - PD-522"/>
    <s v="Overhead"/>
    <x v="6"/>
    <s v="Overhead"/>
    <d v="2017-07-03T00:00:00"/>
    <x v="0"/>
    <s v="Superannuation Expense"/>
    <n v="185.84575999999993"/>
    <m/>
    <m/>
  </r>
  <r>
    <s v="PE"/>
    <s v="NBN Sydney"/>
    <s v="Payroll Expense Journal - PD-522"/>
    <s v="DJC"/>
    <x v="13"/>
    <s v="NBN New Devs - MW20613 - AYCA-3CGK8N - Tulkaba View – 1"/>
    <d v="2017-07-03T00:00:00"/>
    <x v="0"/>
    <s v="Superannuation Expense"/>
    <n v="14.44"/>
    <m/>
    <m/>
  </r>
  <r>
    <s v="PE"/>
    <s v="NBN Sydney"/>
    <s v="Payroll Expense Journal - PD-522"/>
    <s v="DJC"/>
    <x v="5"/>
    <s v="NBN Minor Works - MW20718 - 2LJT-04-07-08 Unit 2, 234 The Entrance Road"/>
    <d v="2017-07-03T00:00:00"/>
    <x v="0"/>
    <s v="Superannuation Expense"/>
    <n v="28.88"/>
    <m/>
    <m/>
  </r>
  <r>
    <s v="PE"/>
    <s v="NBN Sydney"/>
    <s v="Payroll Expense Journal - PD-522"/>
    <s v="DJC"/>
    <x v="5"/>
    <s v="NBN Minor Works - MW20764 - 2BLK-12-07 - Lot 21 Western MTQY"/>
    <d v="2017-07-03T00:00:00"/>
    <x v="0"/>
    <s v="Superannuation Expense"/>
    <n v="80.459679999999992"/>
    <m/>
    <m/>
  </r>
  <r>
    <s v="PE"/>
    <s v="NBN Sydney"/>
    <s v="Payroll Expense Journal - PD-522"/>
    <s v="DJC"/>
    <x v="3"/>
    <s v="NBN New Devs - MW20649 - 2RCH-03 - AYCA-2MLHJO - Macquarie Street Subdivision - South Windsor"/>
    <d v="2017-07-03T00:00:00"/>
    <x v="0"/>
    <s v="Superannuation Expense"/>
    <n v="80.459679999999992"/>
    <m/>
    <m/>
  </r>
  <r>
    <s v="PE"/>
    <s v="NBN Sydney"/>
    <s v="Payroll Expense Journal - PD-522"/>
    <s v="DJC"/>
    <x v="13"/>
    <s v="NBN New Devs - MW20613 - AYCA-3CGK8N - Tulkaba View – 1"/>
    <d v="2017-07-03T00:00:00"/>
    <x v="0"/>
    <s v="Superannuation Expense"/>
    <n v="37.551220000000001"/>
    <m/>
    <m/>
  </r>
  <r>
    <s v="PE"/>
    <s v="NBN Sydney"/>
    <s v="Payroll Expense Journal - PD-522"/>
    <s v="DJC"/>
    <x v="13"/>
    <s v="NBN New Devs - MW20720 - AYCA-4BHWVV - Argyle Community Housing"/>
    <d v="2017-07-03T00:00:00"/>
    <x v="0"/>
    <s v="Superannuation Expense"/>
    <n v="37.551220000000001"/>
    <m/>
    <m/>
  </r>
  <r>
    <s v="PE"/>
    <s v="NBN Sydney"/>
    <s v="Payroll Expense Journal - PD-522"/>
    <s v="DJC"/>
    <x v="5"/>
    <s v="NBN Minor Works - MW20718 - 2LJT-04-07-08 Unit 2, 234 The Entrance Road"/>
    <d v="2017-07-03T00:00:00"/>
    <x v="0"/>
    <s v="Superannuation Expense"/>
    <n v="37.551220000000001"/>
    <m/>
    <m/>
  </r>
  <r>
    <s v="PE"/>
    <s v="NBN Sydney"/>
    <s v="Payroll Expense Journal - PD-522"/>
    <s v="DJC"/>
    <x v="5"/>
    <s v="NBN Minor Works - MW20764 - 2BLK-12-07 - Lot 21 Western MTQY"/>
    <d v="2017-07-03T00:00:00"/>
    <x v="0"/>
    <s v="Superannuation Expense"/>
    <n v="37.551220000000001"/>
    <m/>
    <m/>
  </r>
  <r>
    <s v="PE"/>
    <s v="NBN Sydney"/>
    <s v="Payroll Expense Journal - PD-557"/>
    <s v="Overhead"/>
    <x v="6"/>
    <s v="Overhead"/>
    <d v="2017-07-10T00:00:00"/>
    <x v="0"/>
    <s v="Superannuation Expense"/>
    <n v="151.33470000000005"/>
    <m/>
    <m/>
  </r>
  <r>
    <s v="PE"/>
    <s v="NBN Sydney"/>
    <s v="Payroll Expense Journal - PD-557"/>
    <s v="DJC"/>
    <x v="5"/>
    <s v="NBN Minor Works - MW20764 - 2BLK-12-07 - Lot 21 Western MTQY"/>
    <d v="2017-07-10T00:00:00"/>
    <x v="0"/>
    <s v="Superannuation Expense"/>
    <n v="80.459679999999992"/>
    <m/>
    <m/>
  </r>
  <r>
    <s v="PE"/>
    <s v="NBN Sydney"/>
    <s v="Payroll Expense Journal - PD-557"/>
    <s v="DJC"/>
    <x v="3"/>
    <s v="NBN New Devs - MW20686 - AYCA-1RBL6L - The North Village , Kellyville"/>
    <d v="2017-07-10T00:00:00"/>
    <x v="0"/>
    <s v="Superannuation Expense"/>
    <n v="120.68951999999999"/>
    <m/>
    <m/>
  </r>
  <r>
    <s v="PE"/>
    <s v="NBN Sydney"/>
    <s v="Payroll Expense Journal - PD-557"/>
    <s v="DJC"/>
    <x v="3"/>
    <s v="NBN New Devs -  MW20877 - AYCA-4992YE - 2RIV-02 - 34-36 Schofields - North Park  - 9"/>
    <d v="2017-07-10T00:00:00"/>
    <x v="0"/>
    <s v="Superannuation Expense"/>
    <n v="75.102440000000001"/>
    <m/>
    <m/>
  </r>
  <r>
    <s v="PE"/>
    <s v="NBN Sydney"/>
    <s v="Payroll Expense Journal - PD-557"/>
    <s v="DJC"/>
    <x v="3"/>
    <s v="NBN New Devs - MW20817 - 2LIV-12_2QUA_02_2PTH-02 - Glenfield_Margo_Jamison"/>
    <d v="2017-07-10T00:00:00"/>
    <x v="0"/>
    <s v="Superannuation Expense"/>
    <n v="37.551220000000001"/>
    <m/>
    <m/>
  </r>
  <r>
    <s v="PE"/>
    <s v="NBN Sydney"/>
    <s v="Payroll Expense Journal - PD-557"/>
    <s v="DJC"/>
    <x v="3"/>
    <s v="NBN New Devs - MW20898 - 2MIL-01 - AYCA-45L86C  -NSB - Zulu Road – Build"/>
    <d v="2017-07-10T00:00:00"/>
    <x v="0"/>
    <s v="Superannuation Expense"/>
    <n v="37.551220000000001"/>
    <m/>
    <m/>
  </r>
  <r>
    <s v="PE"/>
    <s v="NBN Sydney"/>
    <s v="Payroll Expense Journal - PD-557"/>
    <s v="DJC"/>
    <x v="3"/>
    <s v="NBN New Devs - MW20786 - 2LIV-03 - AYCA-47DIBW - Dale Development"/>
    <d v="2017-07-10T00:00:00"/>
    <x v="0"/>
    <s v="Superannuation Expense"/>
    <n v="37.551220000000001"/>
    <m/>
    <m/>
  </r>
  <r>
    <s v="PE"/>
    <s v="NBN Sydney"/>
    <s v="Payroll Expense Journal - PD-559"/>
    <s v="Overhead"/>
    <x v="6"/>
    <s v="Overhead"/>
    <d v="2017-07-17T00:00:00"/>
    <x v="0"/>
    <s v="Superannuation Expense"/>
    <n v="250.21406000000007"/>
    <m/>
    <m/>
  </r>
  <r>
    <s v="PE"/>
    <s v="NBN Sydney"/>
    <s v="Payroll Expense Journal - PD-559"/>
    <s v="DJC"/>
    <x v="5"/>
    <s v="NBN Minor Works - MW20764 - 2BLK-12-07 - Lot 21 Western MTQY"/>
    <d v="2017-07-17T00:00:00"/>
    <x v="0"/>
    <s v="Superannuation Expense"/>
    <n v="40.229839999999996"/>
    <m/>
    <m/>
  </r>
  <r>
    <s v="PE"/>
    <s v="NBN Sydney"/>
    <s v="Payroll Expense Journal - PD-559"/>
    <s v="DJC"/>
    <x v="3"/>
    <s v="NBN New Devs - MW20644 - AYCA-35B3X9 -  Renocorp Australia Pty Ltd "/>
    <d v="2017-07-17T00:00:00"/>
    <x v="0"/>
    <s v="Superannuation Expense"/>
    <n v="14.44"/>
    <m/>
    <m/>
  </r>
  <r>
    <s v="PE"/>
    <s v="NBN Sydney"/>
    <s v="Payroll Expense Journal - PD-559"/>
    <s v="DJC"/>
    <x v="13"/>
    <s v="NBN New Devs - MW20441 - AYCA-3KSRGR - Norberta St, The Entrance"/>
    <d v="2017-07-17T00:00:00"/>
    <x v="0"/>
    <s v="Superannuation Expense"/>
    <n v="14.44"/>
    <m/>
    <m/>
  </r>
  <r>
    <s v="PE"/>
    <s v="NBN Sydney"/>
    <s v="Payroll Expense Journal - PD-559"/>
    <s v="DJC"/>
    <x v="13"/>
    <s v="NBN New Devs - MW20729 - COR-04 - AYCA-4D6AY6 - 94 POPES RD"/>
    <d v="2017-07-17T00:00:00"/>
    <x v="0"/>
    <s v="Superannuation Expense"/>
    <n v="14.44"/>
    <m/>
    <m/>
  </r>
  <r>
    <s v="PE"/>
    <s v="NBN Sydney"/>
    <s v="Payroll Expense Journal - PD-559"/>
    <s v="DJC"/>
    <x v="3"/>
    <s v="NBN New Devs - MW20758 - 2BAN-64 - AYCA-3ETV2Y - 21-25 Leonard Street"/>
    <d v="2017-07-17T00:00:00"/>
    <x v="0"/>
    <s v="Superannuation Expense"/>
    <n v="14.44"/>
    <m/>
    <m/>
  </r>
  <r>
    <s v="PE"/>
    <s v="NBN Sydney"/>
    <s v="Payroll Expense Journal - PD-559"/>
    <s v="DJC"/>
    <x v="3"/>
    <s v="NBN New Devs - MW20644 - AYCA-35B3X9 -  Renocorp Australia Pty Ltd "/>
    <d v="2017-07-17T00:00:00"/>
    <x v="0"/>
    <s v="Superannuation Expense"/>
    <n v="75.102440000000001"/>
    <m/>
    <m/>
  </r>
  <r>
    <s v="PE"/>
    <s v="NBN Sydney"/>
    <s v="Payroll Expense Journal - PD-559"/>
    <s v="DJC"/>
    <x v="13"/>
    <s v="NBN New Devs - MW20441 - AYCA-3KSRGR - Norberta St, The Entrance"/>
    <d v="2017-07-17T00:00:00"/>
    <x v="0"/>
    <s v="Superannuation Expense"/>
    <n v="37.551220000000001"/>
    <m/>
    <m/>
  </r>
  <r>
    <s v="PE"/>
    <s v="NBN Sydney"/>
    <s v="Payroll Expense Journal - PD-559"/>
    <s v="DJC"/>
    <x v="13"/>
    <s v="NBN New Devs - MW20729 - COR-04 - AYCA-4D6AY6 - 94 POPES RD"/>
    <d v="2017-07-17T00:00:00"/>
    <x v="0"/>
    <s v="Superannuation Expense"/>
    <n v="37.551220000000001"/>
    <m/>
    <m/>
  </r>
  <r>
    <s v="PE"/>
    <s v="NBN Sydney"/>
    <s v="Payroll Expense Journal - PD-559"/>
    <s v="DJC"/>
    <x v="3"/>
    <s v="NBN New Devs - MW20758 - 2BAN-64 - AYCA-3ETV2Y - 21-25 Leonard Street"/>
    <d v="2017-07-17T00:00:00"/>
    <x v="0"/>
    <s v="Superannuation Expense"/>
    <n v="37.551220000000001"/>
    <m/>
    <m/>
  </r>
  <r>
    <s v="PE"/>
    <s v="NBN Sydney"/>
    <s v="Payroll Expense Journal - PD-566"/>
    <s v="Overhead"/>
    <x v="6"/>
    <s v="Overhead"/>
    <d v="2017-07-24T00:00:00"/>
    <x v="0"/>
    <s v="Superannuation Expense"/>
    <n v="228.70422000000002"/>
    <m/>
    <m/>
  </r>
  <r>
    <s v="PE"/>
    <s v="NBN Sydney"/>
    <s v="Payroll Expense Journal - PD-566"/>
    <s v="DJC"/>
    <x v="5"/>
    <s v="NBN Minor Works - MW20764 - 2BLK-12-07 - Lot 21 Western MTQY"/>
    <d v="2017-07-24T00:00:00"/>
    <x v="0"/>
    <s v="Superannuation Expense"/>
    <n v="80.459679999999992"/>
    <m/>
    <m/>
  </r>
  <r>
    <s v="PE"/>
    <s v="NBN Sydney"/>
    <s v="Payroll Expense Journal - PD-566"/>
    <s v="DJC"/>
    <x v="3"/>
    <s v="NBN New Devs - MW20758 - 2BAN-64 - AYCA-3ETV2Y - 21-25 Leonard Street"/>
    <d v="2017-07-24T00:00:00"/>
    <x v="0"/>
    <s v="Superannuation Expense"/>
    <n v="28.88"/>
    <m/>
    <m/>
  </r>
  <r>
    <s v="PE"/>
    <s v="NBN Sydney"/>
    <s v="Payroll Expense Journal - PD-566"/>
    <s v="DJC"/>
    <x v="3"/>
    <s v="New Devs - MW21024 - AYCA-4JN54Z - 2NRN-05 - Elderslie"/>
    <d v="2017-07-24T00:00:00"/>
    <x v="0"/>
    <s v="Superannuation Expense"/>
    <n v="14.44"/>
    <m/>
    <m/>
  </r>
  <r>
    <s v="PE"/>
    <s v="NBN Sydney"/>
    <s v="Payroll Expense Journal - PD-566"/>
    <s v="DJC"/>
    <x v="3"/>
    <s v="NBN New Devs - MW20758 - 2BAN-64 - AYCA-3ETV2Y - 21-25 Leonard Street"/>
    <d v="2017-07-24T00:00:00"/>
    <x v="0"/>
    <s v="Superannuation Expense"/>
    <n v="75.102440000000001"/>
    <m/>
    <m/>
  </r>
  <r>
    <s v="PE"/>
    <s v="NBN Sydney"/>
    <s v="Payroll Expense Journal - PD-566"/>
    <s v="DJC"/>
    <x v="3"/>
    <s v="NBN New Devs - MW20876 - 2RIV-02 -AYCA-499AY5 - 34-36 Schofields - North Park - 10"/>
    <d v="2017-07-24T00:00:00"/>
    <x v="0"/>
    <s v="Superannuation Expense"/>
    <n v="37.551220000000001"/>
    <m/>
    <m/>
  </r>
  <r>
    <s v="PE"/>
    <s v="NBN Sydney"/>
    <s v="Payroll Expense Journal - PD-566"/>
    <s v="DJC"/>
    <x v="13"/>
    <s v="NBN New Devs - MW20585 - AYCA-3KUUY6 - 2WOY-09 - Brittwood"/>
    <d v="2017-07-24T00:00:00"/>
    <x v="0"/>
    <s v="Superannuation Expense"/>
    <n v="37.551220000000001"/>
    <m/>
    <m/>
  </r>
  <r>
    <s v="PE"/>
    <s v="NBN Sydney"/>
    <s v="Payroll Expense Journal - PD-566"/>
    <s v="DJC"/>
    <x v="3"/>
    <s v="NBN new Devs - MW20882 - 2BLK-07 - AYCA-468EU5 - 299 Flushcombe - 1"/>
    <d v="2017-07-24T00:00:00"/>
    <x v="0"/>
    <s v="Superannuation Expense"/>
    <n v="37.551220000000001"/>
    <m/>
    <m/>
  </r>
  <r>
    <s v="PE"/>
    <s v="NBN Sydney"/>
    <s v="Payroll Expense Journal - PD-569"/>
    <s v="Overhead"/>
    <x v="6"/>
    <s v="Overhead"/>
    <d v="2017-07-31T00:00:00"/>
    <x v="0"/>
    <s v="Superannuation Expense"/>
    <n v="232.13390000000004"/>
    <m/>
    <m/>
  </r>
  <r>
    <s v="PE"/>
    <s v="NBN Sydney"/>
    <s v="Payroll Expense Journal - PD-569"/>
    <s v="DJC"/>
    <x v="5"/>
    <s v="NBN Minor Works - MW20764 - 2BLK-12-07 - Lot 21 Western MTQY"/>
    <d v="2017-07-31T00:00:00"/>
    <x v="0"/>
    <s v="Superannuation Expense"/>
    <n v="80.459999999999994"/>
    <m/>
    <m/>
  </r>
  <r>
    <s v="PE"/>
    <s v="AARNet"/>
    <s v="Payroll Expense Journal - PD-569"/>
    <s v="DJC"/>
    <x v="14"/>
    <s v="ARRNet - ICQ-315 IPT2073 WSU Parramatta Square Western Lead-in"/>
    <d v="2017-07-31T00:00:00"/>
    <x v="0"/>
    <s v="Superannuation Expense"/>
    <n v="40.229999999999997"/>
    <m/>
    <m/>
  </r>
  <r>
    <s v="PE"/>
    <s v="NBN Sydney"/>
    <s v="Payroll Expense Journal - PD-569"/>
    <s v="DJC"/>
    <x v="3"/>
    <s v="NBN New Devs - MW20797 - 2RYD-03 - AYCA-1SUDYS – 15 Porter St Ryde - La Pearl"/>
    <d v="2017-07-31T00:00:00"/>
    <x v="0"/>
    <s v="Superannuation Expense"/>
    <n v="37.551220000000001"/>
    <m/>
    <m/>
  </r>
  <r>
    <s v="PE"/>
    <s v="NBN Sydney"/>
    <s v="Payroll Expense Journal - PD-569"/>
    <s v="DJC"/>
    <x v="3"/>
    <s v="NBN New Devs - MW20620 - 2EPP-05 - AYCA-3071BP - Macquarie Park Village"/>
    <d v="2017-07-31T00:00:00"/>
    <x v="0"/>
    <s v="Superannuation Expense"/>
    <n v="150.20488"/>
    <m/>
    <m/>
  </r>
  <r>
    <s v="PE"/>
    <s v="NBN Sydney"/>
    <s v="Payroll Expense Journal - PD-569"/>
    <s v="Overhead"/>
    <x v="6"/>
    <s v="Overhead"/>
    <d v="2017-07-31T00:00:00"/>
    <x v="0"/>
    <s v="Superannuation Expense GC"/>
    <n v="397.49"/>
    <m/>
    <m/>
  </r>
  <r>
    <s v="PE"/>
    <s v="NBN Sydney"/>
    <s v="Payroll Expense Journal - PD-522"/>
    <s v="Overhead"/>
    <x v="6"/>
    <s v="Overhead"/>
    <d v="2017-07-03T00:00:00"/>
    <x v="0"/>
    <s v="Superannuation Expense Brendan"/>
    <n v="67.599999999999994"/>
    <m/>
    <m/>
  </r>
  <r>
    <s v="PE"/>
    <s v="NBN Sydney"/>
    <s v="Payroll Expense Journal - PD-557"/>
    <s v="Overhead"/>
    <x v="6"/>
    <s v="Overhead"/>
    <d v="2017-07-10T00:00:00"/>
    <x v="0"/>
    <s v="Superannuation Expense Brendan"/>
    <n v="75.09"/>
    <m/>
    <m/>
  </r>
  <r>
    <s v="PE"/>
    <s v="NBN Sydney"/>
    <s v="Payroll Expense Journal - PD-559"/>
    <s v="Overhead"/>
    <x v="6"/>
    <s v="Overhead"/>
    <d v="2017-07-17T00:00:00"/>
    <x v="0"/>
    <s v="Superannuation Expense Brendan"/>
    <n v="75.09"/>
    <m/>
    <m/>
  </r>
  <r>
    <s v="PE"/>
    <s v="NBN Sydney"/>
    <s v="Payroll Expense Journal - PD-566"/>
    <s v="Overhead"/>
    <x v="6"/>
    <s v="Overhead"/>
    <d v="2017-07-24T00:00:00"/>
    <x v="0"/>
    <s v="Superannuation Expense Brendan"/>
    <n v="75.09"/>
    <m/>
    <m/>
  </r>
  <r>
    <s v="PE"/>
    <s v="NBN Sydney"/>
    <s v="Payroll Expense Journal - PD-569"/>
    <s v="Overhead"/>
    <x v="6"/>
    <s v="Overhead"/>
    <d v="2017-07-31T00:00:00"/>
    <x v="0"/>
    <s v="Superannuation Expense Brendan"/>
    <n v="75.209999999999994"/>
    <m/>
    <m/>
  </r>
  <r>
    <s v="PE"/>
    <s v="NBN Sydney"/>
    <s v="Payroll Expense Journal - PD-522"/>
    <s v="Overhead"/>
    <x v="6"/>
    <s v="Overhead"/>
    <d v="2017-07-03T00:00:00"/>
    <x v="0"/>
    <s v="Earnings Telephone Sonya"/>
    <n v="23.08"/>
    <m/>
    <m/>
  </r>
  <r>
    <s v="PE"/>
    <s v="NBN Sydney"/>
    <s v="Payroll Expense Journal - PD-557"/>
    <s v="Overhead"/>
    <x v="6"/>
    <s v="Overhead"/>
    <d v="2017-07-10T00:00:00"/>
    <x v="0"/>
    <s v="Earnings Telephone Sonya"/>
    <n v="23.08"/>
    <m/>
    <m/>
  </r>
  <r>
    <s v="PE"/>
    <s v="NBN Sydney"/>
    <s v="Payroll Expense Journal - PD-559"/>
    <s v="Overhead"/>
    <x v="6"/>
    <s v="Overhead"/>
    <d v="2017-07-17T00:00:00"/>
    <x v="0"/>
    <s v="Earnings Telephone Sonya"/>
    <n v="23.08"/>
    <m/>
    <m/>
  </r>
  <r>
    <s v="PE"/>
    <s v="NBN Sydney"/>
    <s v="Payroll Expense Journal - PD-566"/>
    <s v="Overhead"/>
    <x v="6"/>
    <s v="Overhead"/>
    <d v="2017-07-24T00:00:00"/>
    <x v="0"/>
    <s v="Earnings Telephone Sonya"/>
    <n v="23.08"/>
    <m/>
    <m/>
  </r>
  <r>
    <s v="PE"/>
    <s v="NBN Sydney"/>
    <s v="Payroll Expense Journal - PD-569"/>
    <s v="Overhead"/>
    <x v="6"/>
    <s v="Overhead"/>
    <d v="2017-07-31T00:00:00"/>
    <x v="0"/>
    <s v="Earnings Telephone Sonya"/>
    <n v="23.08"/>
    <m/>
    <m/>
  </r>
  <r>
    <s v="PE"/>
    <s v="NBN Sydney"/>
    <s v="Telephone"/>
    <s v="Overhead"/>
    <x v="6"/>
    <s v="Overhead"/>
    <d v="2017-07-31T00:00:00"/>
    <x v="0"/>
    <s v="Telephone AA &amp; RM"/>
    <n v="25"/>
    <m/>
    <m/>
  </r>
  <r>
    <s v="PE"/>
    <s v="NBN Sydney"/>
    <s v="Payroll Expense Journal - PD-522"/>
    <s v="Overhead"/>
    <x v="6"/>
    <s v="Overhead"/>
    <d v="2017-07-03T00:00:00"/>
    <x v="0"/>
    <s v="Earnings Wages Sonya"/>
    <n v="960.5"/>
    <m/>
    <m/>
  </r>
  <r>
    <s v="PE"/>
    <s v="NBN Sydney"/>
    <s v="Payroll Expense Journal - PD-557"/>
    <s v="Overhead"/>
    <x v="6"/>
    <s v="Overhead"/>
    <d v="2017-07-10T00:00:00"/>
    <x v="0"/>
    <s v="Earnings Wages Sonya"/>
    <n v="995"/>
    <m/>
    <m/>
  </r>
  <r>
    <s v="PE"/>
    <s v="NBN Sydney"/>
    <s v="Payroll Expense Journal - PD-559"/>
    <s v="Overhead"/>
    <x v="6"/>
    <s v="Overhead"/>
    <d v="2017-07-17T00:00:00"/>
    <x v="0"/>
    <s v="Earnings Wages Sonya"/>
    <n v="1133.1199999999999"/>
    <m/>
    <m/>
  </r>
  <r>
    <s v="PE"/>
    <s v="NBN Sydney"/>
    <s v="Payroll Expense Journal - PD-566"/>
    <s v="Overhead"/>
    <x v="6"/>
    <s v="Overhead"/>
    <d v="2017-07-24T00:00:00"/>
    <x v="0"/>
    <s v="Earnings Wages Sonya"/>
    <n v="994.84"/>
    <m/>
    <m/>
  </r>
  <r>
    <s v="PE"/>
    <s v="NBN Sydney"/>
    <s v="Payroll Expense Journal - PD-569"/>
    <s v="Overhead"/>
    <x v="6"/>
    <s v="Overhead"/>
    <d v="2017-07-31T00:00:00"/>
    <x v="0"/>
    <s v="Earnings Wages Sonya"/>
    <n v="950"/>
    <m/>
    <m/>
  </r>
  <r>
    <s v="PE"/>
    <s v="NBN Sydney"/>
    <s v="Wages AA"/>
    <s v="Overhead"/>
    <x v="6"/>
    <s v="Overhead"/>
    <d v="2017-07-31T00:00:00"/>
    <x v="0"/>
    <s v="Wages AA"/>
    <n v="768.13"/>
    <m/>
    <m/>
  </r>
  <r>
    <s v="PE"/>
    <s v="NBN Sydney"/>
    <s v="Wages RM"/>
    <s v="Overhead"/>
    <x v="6"/>
    <s v="Overhead"/>
    <d v="2017-07-31T00:00:00"/>
    <x v="0"/>
    <s v="Wages RM"/>
    <n v="2027.25"/>
    <m/>
    <m/>
  </r>
  <r>
    <s v="PAY"/>
    <s v="NBN Sydney"/>
    <s v="E-toll top July 2017"/>
    <s v="Overhead"/>
    <x v="6"/>
    <s v="Overhead"/>
    <d v="2017-07-05T00:00:00"/>
    <x v="0"/>
    <s v="E-Toll Business Operations Centre - Surcharge on Top- up account per transaction"/>
    <n v="1.6"/>
    <m/>
    <m/>
  </r>
  <r>
    <s v="PAY"/>
    <s v="NBN Sydney"/>
    <s v="Etoll July 2017"/>
    <s v="Overhead"/>
    <x v="6"/>
    <s v="Overhead"/>
    <d v="2017-07-11T00:00:00"/>
    <x v="0"/>
    <s v="E-Toll Business Operations Centre - Surcharge on Top- up account per transaction"/>
    <n v="1.6"/>
    <m/>
    <m/>
  </r>
  <r>
    <s v="INV"/>
    <s v="NBN Sydney"/>
    <s v="51385216"/>
    <s v="Overhead"/>
    <x v="6"/>
    <s v="Overhead"/>
    <d v="2017-07-15T00:00:00"/>
    <x v="0"/>
    <s v="TNT Australia Pty Ltd - Account service fee"/>
    <n v="9.5"/>
    <m/>
    <m/>
  </r>
  <r>
    <s v="PAY"/>
    <s v="NBN Sydney"/>
    <s v="Etoll - July 2017"/>
    <s v="Overhead"/>
    <x v="6"/>
    <s v="Overhead"/>
    <d v="2017-07-27T00:00:00"/>
    <x v="0"/>
    <s v="E-Toll Business Operations Centre - Surcharge on Top- up account per transaction"/>
    <n v="1.6"/>
    <m/>
    <m/>
  </r>
  <r>
    <s v="PAY"/>
    <s v="NBN Sydney"/>
    <s v="NBN CO Bank Guarantees"/>
    <s v="Overhead"/>
    <x v="6"/>
    <s v="Overhead"/>
    <d v="2017-07-14T00:00:00"/>
    <x v="0"/>
    <s v="National Australia Bank - Bank Guarantees"/>
    <n v="125"/>
    <m/>
    <m/>
  </r>
  <r>
    <s v="PAY"/>
    <s v="NBN Sydney"/>
    <s v="NBN CO Bank Guarantees"/>
    <s v="Overhead"/>
    <x v="6"/>
    <s v="Overhead"/>
    <d v="2017-07-14T00:00:00"/>
    <x v="0"/>
    <s v="National Australia Bank - Bank Guarantees"/>
    <n v="125"/>
    <m/>
    <m/>
  </r>
  <r>
    <s v="PAY"/>
    <s v="NBN Sydney"/>
    <s v="NBN CO Bank Guarantees"/>
    <s v="Overhead"/>
    <x v="6"/>
    <s v="Overhead"/>
    <d v="2017-07-14T00:00:00"/>
    <x v="0"/>
    <s v="National Australia Bank - Bank Guarantees"/>
    <n v="125"/>
    <m/>
    <m/>
  </r>
  <r>
    <s v="PAY"/>
    <s v="NBN Sydney"/>
    <s v="NBN CO Bank Guarantees"/>
    <s v="Overhead"/>
    <x v="6"/>
    <s v="Overhead"/>
    <d v="2017-07-14T00:00:00"/>
    <x v="0"/>
    <s v="National Australia Bank - Bank Guarantees"/>
    <n v="125"/>
    <m/>
    <m/>
  </r>
  <r>
    <s v="INV"/>
    <s v="NBN Sydney"/>
    <s v="001176"/>
    <s v="Overhead"/>
    <x v="6"/>
    <s v="Overhead"/>
    <d v="2017-07-06T00:00:00"/>
    <x v="0"/>
    <s v="Woolworths Limited - Twinings Tea Bags English Brkfst 50pk"/>
    <n v="5"/>
    <m/>
    <m/>
  </r>
  <r>
    <s v="INV"/>
    <s v="NBN Sydney"/>
    <s v="001176"/>
    <s v="Overhead"/>
    <x v="6"/>
    <s v="Overhead"/>
    <d v="2017-07-06T00:00:00"/>
    <x v="0"/>
    <s v="Woolworths Limited - Moccona F/D Coffee Clasc Drk Rst 400G"/>
    <n v="14"/>
    <m/>
    <m/>
  </r>
  <r>
    <s v="INV"/>
    <s v="NBN Sydney"/>
    <s v="001176"/>
    <s v="Overhead"/>
    <x v="6"/>
    <s v="Overhead"/>
    <d v="2017-07-06T00:00:00"/>
    <x v="0"/>
    <s v="Woolworths Limited - CSR Sugar White 1kg"/>
    <n v="2"/>
    <m/>
    <m/>
  </r>
  <r>
    <s v="INV"/>
    <s v="NBN Sydney"/>
    <s v="9093236001910598"/>
    <s v="Overhead"/>
    <x v="6"/>
    <s v="Overhead"/>
    <d v="2017-07-27T00:00:00"/>
    <x v="0"/>
    <s v="Officeworks Superstores - Ctn Reflex Cpy Ppr 80gsm A4"/>
    <n v="22.68"/>
    <m/>
    <m/>
  </r>
  <r>
    <s v="INV"/>
    <s v="NBN Sydney"/>
    <s v="02/39492"/>
    <s v="Overhead"/>
    <x v="6"/>
    <s v="Overhead"/>
    <d v="2017-07-05T00:00:00"/>
    <x v="0"/>
    <s v="Australia Post - EP Small Satchel_x000d__x000a_Tracking no: 606 35321290 094"/>
    <n v="9.86"/>
    <m/>
    <m/>
  </r>
  <r>
    <s v="INV"/>
    <s v="NBN Sydney"/>
    <s v="812412804"/>
    <s v="Overhead"/>
    <x v="6"/>
    <s v="Overhead"/>
    <d v="2017-07-01T00:00:00"/>
    <x v="0"/>
    <s v="Optus - Acct Number: 8106 5990 7001 41_x000d__x000a_0413257544 on Wireless Broadband 200GB"/>
    <n v="74.72"/>
    <m/>
    <m/>
  </r>
  <r>
    <s v="INV"/>
    <s v="NBN Sydney"/>
    <s v="817612441"/>
    <s v="Overhead"/>
    <x v="6"/>
    <s v="Overhead"/>
    <d v="2017-07-16T00:00:00"/>
    <x v="0"/>
    <s v="Optus - Service Charges_x000d__x000a_0413257544 on Home Wireless 200GB"/>
    <n v="74.72"/>
    <m/>
    <m/>
  </r>
  <r>
    <s v="INV"/>
    <s v="NBN Sydney"/>
    <s v="817612441"/>
    <s v="Overhead"/>
    <x v="6"/>
    <s v="Overhead"/>
    <d v="2017-07-16T00:00:00"/>
    <x v="0"/>
    <s v="Optus - Account Charges"/>
    <n v="13.64"/>
    <m/>
    <m/>
  </r>
  <r>
    <s v="INV"/>
    <s v="NBN Sydney"/>
    <s v="P 459 486 251-3"/>
    <s v="Overhead"/>
    <x v="6"/>
    <s v="Overhead"/>
    <d v="2017-07-21T00:00:00"/>
    <x v="0"/>
    <s v="Telstra Acc # 898 8808 200 - Sydney"/>
    <n v="136.36000000000001"/>
    <m/>
    <m/>
  </r>
  <r>
    <s v="INV"/>
    <s v="NBN Sydney"/>
    <s v="7016/00188253"/>
    <s v="Overhead"/>
    <x v="6"/>
    <s v="Overhead"/>
    <d v="2017-07-04T00:00:00"/>
    <x v="0"/>
    <s v="Bunnings Warehouse - Batteries AA Duracell 30pk"/>
    <n v="17.71"/>
    <m/>
    <m/>
  </r>
  <r>
    <s v="INV"/>
    <s v="NBN Sydney"/>
    <s v="7016/00188253"/>
    <s v="Overhead"/>
    <x v="6"/>
    <s v="Overhead"/>
    <d v="2017-07-04T00:00:00"/>
    <x v="0"/>
    <s v="Bunnings Warehouse - Duracell Coppertop C8 8 Pack"/>
    <n v="15.05"/>
    <m/>
    <m/>
  </r>
  <r>
    <s v="INV"/>
    <s v="NBN Sydney"/>
    <s v="31319809"/>
    <s v="Overhead"/>
    <x v="6"/>
    <s v="Overhead"/>
    <d v="2017-07-04T00:00:00"/>
    <x v="0"/>
    <s v="Sunlite Mitre 10 - Dust Pan &amp; Brush Set Green"/>
    <n v="7.26"/>
    <m/>
    <m/>
  </r>
  <r>
    <s v="INV"/>
    <s v="NBN Sydney"/>
    <s v="3091157"/>
    <s v="Overhead"/>
    <x v="11"/>
    <s v="Overhead Materials"/>
    <d v="2017-07-12T00:00:00"/>
    <x v="0"/>
    <s v="The Australian Reinforcing Company - Bulk Bags 90x90x90 _x000d__x000a_Length: 0.900_x000d__x000a_Width: 0.900"/>
    <n v="54.9"/>
    <m/>
    <m/>
  </r>
  <r>
    <s v="INV"/>
    <s v="NBN Sydney"/>
    <s v="3091157"/>
    <s v="Overhead"/>
    <x v="11"/>
    <s v="Overhead Materials"/>
    <d v="2017-07-12T00:00:00"/>
    <x v="0"/>
    <s v="The Australian Reinforcing Company - Bulk Bags 60x60x60 _x000d__x000a_Length: 0.600_x000d__x000a_Width: 0.600"/>
    <n v="36"/>
    <m/>
    <m/>
  </r>
  <r>
    <s v="INV"/>
    <s v="NBN Sydney"/>
    <s v="395320"/>
    <s v="Overhead"/>
    <x v="6"/>
    <s v="Overhead, Civils Truck Pipe Tray"/>
    <d v="2017-07-13T00:00:00"/>
    <x v="0"/>
    <s v="Steel Supplies - 2400.x3000.x.WG224"/>
    <n v="156"/>
    <m/>
    <m/>
  </r>
  <r>
    <s v="INV"/>
    <s v="NBN Sydney"/>
    <s v="395320"/>
    <s v="Overhead"/>
    <x v="6"/>
    <s v="Overhead, Civils Truck Pipe Tray"/>
    <d v="2017-07-13T00:00:00"/>
    <x v="0"/>
    <s v="Steel Supplies - 40 x 40 x 2.0 RHS ***Gal***x 8.0mtr"/>
    <n v="136.80000000000001"/>
    <m/>
    <m/>
  </r>
  <r>
    <s v="INV"/>
    <s v="NBN Sydney"/>
    <s v="7016/00109537"/>
    <s v="Overhead"/>
    <x v="6"/>
    <s v="Overhead"/>
    <d v="2017-07-19T00:00:00"/>
    <x v="0"/>
    <s v="Bunnings Warehouse - Vacuum Accessory Vax 5pk Vac Bags 30400"/>
    <n v="23.64"/>
    <m/>
    <m/>
  </r>
  <r>
    <s v="INV"/>
    <s v="NBN Sydney"/>
    <s v="11914991"/>
    <s v="Overhead"/>
    <x v="6"/>
    <s v="Overhead"/>
    <d v="2017-07-31T00:00:00"/>
    <x v="0"/>
    <s v="Cleanaway - 25/07/17_x000d__x000a_1 x Bin Not Out 1.5m Bin"/>
    <n v="93.9"/>
    <m/>
    <m/>
  </r>
  <r>
    <s v="INV"/>
    <s v="NBN Sydney"/>
    <s v="11914991"/>
    <s v="Overhead"/>
    <x v="6"/>
    <s v="Overhead"/>
    <d v="2017-07-31T00:00:00"/>
    <x v="0"/>
    <s v="Cleanaway - 28/07/17_x000d__x000a_1 x Clear 1.5m Bin"/>
    <n v="93.9"/>
    <m/>
    <m/>
  </r>
  <r>
    <s v="INV"/>
    <s v="NBN Sydney"/>
    <s v="11914991"/>
    <s v="Overhead"/>
    <x v="6"/>
    <s v="Overhead"/>
    <d v="2017-07-31T00:00:00"/>
    <x v="0"/>
    <s v="Cleanaway - 31/07/17_x000d__x000a_1 x Environmental Fee"/>
    <n v="13.7"/>
    <m/>
    <m/>
  </r>
  <r>
    <s v="INV"/>
    <s v="NBN Sydney"/>
    <s v="11914991"/>
    <s v="Overhead"/>
    <x v="6"/>
    <s v="Overhead"/>
    <d v="2017-07-31T00:00:00"/>
    <x v="0"/>
    <s v="Cleanaway - 6/07/17_x000d__x000a_1 x Clear 1.5m Recycle Bin"/>
    <n v="13"/>
    <m/>
    <m/>
  </r>
  <r>
    <s v="INV"/>
    <s v="NBN Sydney"/>
    <s v="11914991"/>
    <s v="Overhead"/>
    <x v="6"/>
    <s v="Overhead"/>
    <d v="2017-07-31T00:00:00"/>
    <x v="0"/>
    <s v="Cleanaway - 11/07/17_x000d__x000a_1 x Clear 1.5m Bin"/>
    <n v="93.9"/>
    <m/>
    <m/>
  </r>
  <r>
    <s v="INV"/>
    <s v="NBN Sydney"/>
    <s v="11914991"/>
    <s v="Overhead"/>
    <x v="6"/>
    <s v="Overhead"/>
    <d v="2017-07-31T00:00:00"/>
    <x v="0"/>
    <s v="Cleanaway - 20/07/17_x000d__x000a_1 x Clear 1.5m Recycle Bin"/>
    <n v="13"/>
    <m/>
    <m/>
  </r>
  <r>
    <s v="INV"/>
    <s v="NBN Sydney"/>
    <s v="0010"/>
    <s v="Overhead"/>
    <x v="6"/>
    <s v="Overhead"/>
    <d v="2017-07-03T00:00:00"/>
    <x v="0"/>
    <s v="GILCIN - Rent 19/07/2017 - 18/08/2017_x000d__x000a_Unit 26, 10 John Hines Ave, Minchinbury NSW"/>
    <n v="4416.66"/>
    <m/>
    <m/>
  </r>
  <r>
    <s v="INV"/>
    <s v="NBN Sydney"/>
    <s v="00085406"/>
    <s v="Overhead"/>
    <x v="6"/>
    <s v="Overhead"/>
    <d v="2017-07-13T00:00:00"/>
    <x v="0"/>
    <s v="Tranquil Natural Spring Water - 15litre spring water bottles, delivered on 12/07/17"/>
    <n v="10.5"/>
    <m/>
    <m/>
  </r>
  <r>
    <s v="INV"/>
    <s v="NBN Sydney"/>
    <s v="2530105"/>
    <s v="Overhead"/>
    <x v="6"/>
    <s v="Overhead"/>
    <d v="2017-07-06T00:00:00"/>
    <x v="0"/>
    <s v="Eureka Operations - Coles Express - Diesel 106.66L @ $1.369   GC"/>
    <n v="132.75"/>
    <m/>
    <m/>
  </r>
  <r>
    <s v="INV"/>
    <s v="NBN Sydney"/>
    <s v="2444346"/>
    <s v="Overhead"/>
    <x v="6"/>
    <s v="Overhead"/>
    <d v="2017-07-19T00:00:00"/>
    <x v="0"/>
    <s v="7 Eleven Minchinbury - Diesel 160.30L @ $1.239  GC"/>
    <n v="180.55"/>
    <m/>
    <m/>
  </r>
  <r>
    <s v="INV"/>
    <s v="VPL Sydney"/>
    <s v="00485752"/>
    <s v="DJC"/>
    <x v="8"/>
    <s v="VPL - FttB Build 2DAL-23 &amp; 24"/>
    <d v="2017-07-03T00:00:00"/>
    <x v="0"/>
    <s v="United Wagga Wagga - Diesel 55.13L @ $1.229   Alex C"/>
    <n v="61.59"/>
    <m/>
    <m/>
  </r>
  <r>
    <s v="INV"/>
    <s v="NBN Sydney"/>
    <s v="197387"/>
    <s v="DJC"/>
    <x v="13"/>
    <s v="NBN New Devs - MW20613 - AYCA-3CGK8N - Tulkaba View – 1"/>
    <d v="2017-07-04T00:00:00"/>
    <x v="0"/>
    <s v="BP Smeaton Grange - ULP 45.83L @ $1.349 GB"/>
    <n v="56.2"/>
    <m/>
    <m/>
  </r>
  <r>
    <s v="INV"/>
    <s v="NBN Sydney"/>
    <s v="5357/34 04"/>
    <s v="DJC"/>
    <x v="5"/>
    <s v="NBN Minor Works - MW20764 - 2BLK-12-07 - Lot 21 Western MTQY"/>
    <d v="2017-07-08T00:00:00"/>
    <x v="0"/>
    <s v="Metro Haberfield - Premium ULP 50.36L @ $1.299 GB"/>
    <n v="59.46"/>
    <m/>
    <m/>
  </r>
  <r>
    <s v="INV"/>
    <s v="NBN Sydney"/>
    <s v="3202080"/>
    <s v="DJC"/>
    <x v="13"/>
    <s v="NBN New Devs - MW20441 - AYCA-3KSRGR - Norberta St, The Entrance"/>
    <d v="2017-07-12T00:00:00"/>
    <x v="0"/>
    <s v="7 Eleven The Entrance - ULP 46.78L @ $1.179  GB"/>
    <n v="50.15"/>
    <m/>
    <m/>
  </r>
  <r>
    <s v="INV"/>
    <s v="NBN Sydney"/>
    <s v="1706376"/>
    <s v="DJC"/>
    <x v="13"/>
    <s v="NBN New Devs - MW20729 - COR-04 - AYCA-4D6AY6 - 94 POPES RD"/>
    <d v="2017-07-17T00:00:00"/>
    <x v="0"/>
    <s v="7 Eleven Croydon Park - Premium ULP 49.24L @ $1.379  GB"/>
    <n v="61.74"/>
    <m/>
    <m/>
  </r>
  <r>
    <s v="INV"/>
    <s v="NBN Sydney"/>
    <s v="001/2521"/>
    <s v="DJC"/>
    <x v="13"/>
    <s v="NBN New Devs - MW20585 - AYCA-3KUUY6 - 2WOY-09 - Brittwood"/>
    <d v="2017-07-19T00:00:00"/>
    <x v="0"/>
    <s v="Woolworths Petrol - Vortex ULP 39.16L @ $1.199  GB"/>
    <n v="42.68"/>
    <m/>
    <m/>
  </r>
  <r>
    <s v="INV"/>
    <s v="NBN Sydney"/>
    <s v="1611928"/>
    <s v="DJC"/>
    <x v="3"/>
    <s v="NBN New Devs - MW20758 - 2BAN-64 - AYCA-3ETV2Y - 21-25 Leonard Street"/>
    <d v="2017-07-25T00:00:00"/>
    <x v="0"/>
    <s v="7 Eleven Drummoyne - E10 ULP 52.24L @ $1.177  GB"/>
    <n v="55.9"/>
    <m/>
    <m/>
  </r>
  <r>
    <s v="INV"/>
    <s v="NBN Sydney"/>
    <s v="352610"/>
    <s v="DJC"/>
    <x v="3"/>
    <s v="NBN New Devs - MW20797 - 2RYD-03 - AYCA-1SUDYS – 15 Porter St Ryde - La Pearl"/>
    <d v="2017-07-28T00:00:00"/>
    <x v="0"/>
    <s v="BP Smeaton Grange - ULP 47.81L @ $1.369  GB"/>
    <n v="59.51"/>
    <m/>
    <m/>
  </r>
  <r>
    <s v="INV"/>
    <s v="NBN Sydney"/>
    <s v="00025985"/>
    <s v="Overhead"/>
    <x v="16"/>
    <s v="Vehicles"/>
    <d v="2017-07-01T00:00:00"/>
    <x v="0"/>
    <s v="Transport Repair Services Pty Ltd - Enviro"/>
    <n v="12"/>
    <m/>
    <m/>
  </r>
  <r>
    <s v="INV"/>
    <s v="NBN Sydney"/>
    <s v="00025985"/>
    <s v="Overhead"/>
    <x v="16"/>
    <s v="Vehicles"/>
    <d v="2017-07-01T00:00:00"/>
    <x v="0"/>
    <s v="Transport Repair Services Pty Ltd - Labour"/>
    <n v="255"/>
    <m/>
    <m/>
  </r>
  <r>
    <s v="INV"/>
    <s v="NBN Sydney"/>
    <s v="00025985"/>
    <s v="Overhead"/>
    <x v="16"/>
    <s v="Vehicles"/>
    <d v="2017-07-01T00:00:00"/>
    <x v="0"/>
    <s v="Transport Repair Services Pty Ltd - Fuel Filter"/>
    <n v="18"/>
    <m/>
    <m/>
  </r>
  <r>
    <s v="INV"/>
    <s v="NBN Sydney"/>
    <s v="00025985"/>
    <s v="Overhead"/>
    <x v="16"/>
    <s v="Vehicles"/>
    <d v="2017-07-01T00:00:00"/>
    <x v="0"/>
    <s v="Transport Repair Services Pty Ltd - Air Element"/>
    <n v="56"/>
    <m/>
    <m/>
  </r>
  <r>
    <s v="INV"/>
    <s v="NBN Sydney"/>
    <s v="00025985"/>
    <s v="Overhead"/>
    <x v="16"/>
    <s v="Vehicles"/>
    <d v="2017-07-01T00:00:00"/>
    <x v="0"/>
    <s v="Transport Repair Services Pty Ltd - Oil Filter"/>
    <n v="34"/>
    <m/>
    <m/>
  </r>
  <r>
    <s v="INV"/>
    <s v="NBN Sydney"/>
    <s v="170704 16:59"/>
    <s v="DJC"/>
    <x v="5"/>
    <s v="NBN Minor Works - MW20718 - 2LJT-04-07-08 Unit 2, 234 The Entrance Road"/>
    <d v="2017-07-04T00:00:00"/>
    <x v="0"/>
    <s v="BP Connect Kellyville - Diesel 84.03L @ $1.309"/>
    <n v="100"/>
    <m/>
    <m/>
  </r>
  <r>
    <s v="INV"/>
    <s v="NBN Sydney"/>
    <s v="894640"/>
    <s v="DJC"/>
    <x v="5"/>
    <s v="NBN Minor Works - MW20764 - 2BLK-12-07 - Lot 21 Western MTQY"/>
    <d v="2017-07-06T00:00:00"/>
    <x v="0"/>
    <s v="BP Chipping Norton - Diesel 76.38L @ $1.139"/>
    <n v="79.09"/>
    <m/>
    <m/>
  </r>
  <r>
    <s v="INV"/>
    <s v="VPL Sydney"/>
    <s v="20666"/>
    <s v="DJC"/>
    <x v="8"/>
    <s v="VPL - FttB Re Design 2DAL-26"/>
    <d v="2017-07-14T00:00:00"/>
    <x v="0"/>
    <s v="Caltex Yass - Diesel 90.60L @ $1.243"/>
    <n v="102.38"/>
    <m/>
    <m/>
  </r>
  <r>
    <s v="INV"/>
    <s v="VPL Sydney"/>
    <s v="9625/33 01"/>
    <s v="DJC"/>
    <x v="8"/>
    <s v="VPL - FttB Re Design 2DAL-26"/>
    <d v="2017-07-18T00:00:00"/>
    <x v="0"/>
    <s v="Metro Petroleum Boorowa - Diesel 83.51L @ $1.199"/>
    <n v="91.03"/>
    <m/>
    <m/>
  </r>
  <r>
    <s v="INV"/>
    <s v="NBN Sydney"/>
    <s v="7016/00109534"/>
    <s v="Overhead"/>
    <x v="16"/>
    <s v="Vehicles"/>
    <d v="2017-07-19T00:00:00"/>
    <x v="0"/>
    <s v="Bunnings Warehouse - Washer Mudguard ZP Zenith snpk 3/8 pk10 EBP1010"/>
    <n v="6.42"/>
    <m/>
    <m/>
  </r>
  <r>
    <s v="INV"/>
    <s v="NBN Sydney"/>
    <s v="7016/00109534"/>
    <s v="Overhead"/>
    <x v="16"/>
    <s v="Vehicles"/>
    <d v="2017-07-19T00:00:00"/>
    <x v="0"/>
    <s v="Bunnings Warehouse - Washer Square Galv Romak M10 50x50x3 each FST083"/>
    <n v="5.56"/>
    <m/>
    <m/>
  </r>
  <r>
    <s v="INV"/>
    <s v="NBN Sydney"/>
    <s v="7016/00109534"/>
    <s v="Overhead"/>
    <x v="16"/>
    <s v="Vehicles"/>
    <d v="2017-07-19T00:00:00"/>
    <x v="0"/>
    <s v="Bunnings Warehouse - Wipes Cleaning Mr Clean 200pk Handy Wipes Roll PB276"/>
    <n v="9.5"/>
    <m/>
    <m/>
  </r>
  <r>
    <s v="INV"/>
    <s v="NBN Sydney"/>
    <s v="7016/00109534"/>
    <s v="Overhead"/>
    <x v="16"/>
    <s v="Vehicles"/>
    <d v="2017-07-19T00:00:00"/>
    <x v="0"/>
    <s v="Bunnings Warehouse - Washer Spring ZP Zenith SNPK 3/8 pk30 EBN1010"/>
    <n v="3.37"/>
    <m/>
    <m/>
  </r>
  <r>
    <s v="INV"/>
    <s v="NBN Sydney"/>
    <s v="7016/00109534"/>
    <s v="Overhead"/>
    <x v="16"/>
    <s v="Vehicles"/>
    <d v="2017-07-19T00:00:00"/>
    <x v="0"/>
    <s v="Bunnings Warehouse - Wahers Hi Tensile 3/8 - 10mm pk30"/>
    <n v="3.58"/>
    <m/>
    <m/>
  </r>
  <r>
    <s v="INV"/>
    <s v="NBN Sydney"/>
    <s v="7016/00109534"/>
    <s v="Overhead"/>
    <x v="16"/>
    <s v="Vehicles"/>
    <d v="2017-07-19T00:00:00"/>
    <x v="0"/>
    <s v="Bunnings Warehouse - Bolts &amp; Nuts HX Hi Tensile 10x35mm YZ GD8.8 pk4"/>
    <n v="16.84"/>
    <m/>
    <m/>
  </r>
  <r>
    <s v="INV"/>
    <s v="NBN Sydney"/>
    <s v="410302"/>
    <s v="DJC"/>
    <x v="5"/>
    <s v="NBN Minor Works - MW20764 - 2BLK-12-07 - Lot 21 Western MTQY"/>
    <d v="2017-07-24T00:00:00"/>
    <x v="0"/>
    <s v="BP Connect Minchinbury - Diesel 96.08L @ $1.249"/>
    <n v="109.09"/>
    <m/>
    <m/>
  </r>
  <r>
    <s v="INV"/>
    <s v="NBN Sydney"/>
    <s v="3713242369-0"/>
    <s v="Overhead"/>
    <x v="16"/>
    <s v="Vehicles"/>
    <d v="2017-07-25T00:00:00"/>
    <x v="0"/>
    <s v="Allianz - MCIS Levies "/>
    <n v="88.7"/>
    <m/>
    <m/>
  </r>
  <r>
    <s v="INV"/>
    <s v="NBN Sydney"/>
    <s v="3713242369-0"/>
    <s v="Overhead"/>
    <x v="16"/>
    <s v="Vehicles"/>
    <d v="2017-07-25T00:00:00"/>
    <x v="0"/>
    <s v="Allianz - Premium"/>
    <n v="394.77"/>
    <m/>
    <m/>
  </r>
  <r>
    <s v="INV"/>
    <s v="NBN Sydney"/>
    <s v="1577/34 02"/>
    <s v="Overhead"/>
    <x v="6"/>
    <s v="Overhead"/>
    <d v="2017-07-07T00:00:00"/>
    <x v="0"/>
    <s v="Speedway Liverpool - Diesel 47.60L @ $1.099"/>
    <n v="47.55"/>
    <m/>
    <m/>
  </r>
  <r>
    <s v="INV"/>
    <s v="NBN Sydney"/>
    <s v="48973"/>
    <s v="Overhead"/>
    <x v="6"/>
    <s v="Overhead"/>
    <d v="2017-07-18T00:00:00"/>
    <x v="0"/>
    <s v="Caltex Coolongolook - Vortex Diesel 59.22L @ $1.269"/>
    <n v="68.319999999999993"/>
    <m/>
    <m/>
  </r>
  <r>
    <s v="INV"/>
    <s v="NBN Sydney"/>
    <s v="2450160"/>
    <s v="Overhead"/>
    <x v="6"/>
    <s v="Overhead"/>
    <d v="2017-07-24T00:00:00"/>
    <x v="0"/>
    <s v="7 Eleven Minchinbury - Diesel 64.37L @ $1.239"/>
    <n v="72.5"/>
    <m/>
    <m/>
  </r>
  <r>
    <s v="INV"/>
    <s v="NBN Sydney"/>
    <s v="0155/01 05"/>
    <s v="Overhead"/>
    <x v="6"/>
    <s v="Overhead"/>
    <d v="2017-07-31T00:00:00"/>
    <x v="0"/>
    <s v="BP Mays Hill - Diesel 58.64L @ $1.279"/>
    <n v="68.180000000000007"/>
    <m/>
    <m/>
  </r>
  <r>
    <s v="INV"/>
    <s v="VPL Sydney"/>
    <s v="16616"/>
    <s v="DJC"/>
    <x v="8"/>
    <s v="VPL - FttB Build 2DAL-23 &amp; 24"/>
    <d v="2017-07-07T00:00:00"/>
    <x v="0"/>
    <s v="Caltex Yass - LPG 53.93L @ $0.749, Falcon Wagon"/>
    <n v="36.729999999999997"/>
    <m/>
    <m/>
  </r>
  <r>
    <s v="INV"/>
    <s v="VPL Sydney"/>
    <s v="4078222"/>
    <s v="DJC"/>
    <x v="8"/>
    <s v="VPL - FttB Build 2DAL-23 &amp; 24"/>
    <d v="2017-07-07T00:00:00"/>
    <x v="0"/>
    <s v="7 Eleven Kings Park - LPG 61.10L @ $0.649, Falcon Wagon"/>
    <n v="36.049999999999997"/>
    <m/>
    <m/>
  </r>
  <r>
    <s v="INV"/>
    <s v="NBN Sydney"/>
    <s v="002/6558"/>
    <s v="DJC"/>
    <x v="3"/>
    <s v="NBN New Devs - MW20786 - 2LIV-03 - AYCA-47DIBW - Dale Development"/>
    <d v="2017-07-10T00:00:00"/>
    <x v="0"/>
    <s v="Woolworths Petrol - Diesel 46.98L @ $1.215, Brendan"/>
    <n v="51.89"/>
    <m/>
    <m/>
  </r>
  <r>
    <s v="INV"/>
    <s v="NBN Sydney"/>
    <s v="23730825"/>
    <s v="DJC"/>
    <x v="13"/>
    <s v="NBN New Devs - MW20441 - AYCA-3KSRGR - Norberta St, The Entrance"/>
    <d v="2017-07-13T00:00:00"/>
    <x v="0"/>
    <s v="7 Eleven Minchinbury - Diesel 47.03L @ $1.249,  Brendan"/>
    <n v="53.4"/>
    <m/>
    <m/>
  </r>
  <r>
    <s v="INV"/>
    <s v="NBN Sydney"/>
    <s v="2442791"/>
    <s v="DJC"/>
    <x v="3"/>
    <s v="NBN New Devs - MW20644 - AYCA-35B3X9 -  Renocorp Australia Pty Ltd "/>
    <d v="2017-07-18T00:00:00"/>
    <x v="0"/>
    <s v="7 Eleven Minchinbury - Diesel 50.49L @ $1.249,  Brendan"/>
    <n v="57.33"/>
    <m/>
    <m/>
  </r>
  <r>
    <s v="INV"/>
    <s v="NBN Sydney"/>
    <s v="1206106"/>
    <s v="DJC"/>
    <x v="13"/>
    <s v="NBN New Devs - MW20585 - AYCA-3KUUY6 - 2WOY-09 - Brittwood"/>
    <d v="2017-07-21T00:00:00"/>
    <x v="0"/>
    <s v="7 Eleven Eastern Creek - Diesel 53.58L @ $1.239,  Brendan"/>
    <n v="60.35"/>
    <m/>
    <m/>
  </r>
  <r>
    <s v="INV"/>
    <s v="NBN Sydney"/>
    <s v="46"/>
    <s v="Overhead"/>
    <x v="16"/>
    <s v="Vehicles"/>
    <d v="2017-07-26T00:00:00"/>
    <x v="0"/>
    <s v="Autobarn Campbelltown - RB1650B Cross Bar 1650mm Black Commercial"/>
    <n v="183.64"/>
    <m/>
    <m/>
  </r>
  <r>
    <s v="INV"/>
    <s v="NBN Sydney"/>
    <s v="46"/>
    <s v="Overhead"/>
    <x v="16"/>
    <s v="Vehicles"/>
    <d v="2017-07-26T00:00:00"/>
    <x v="0"/>
    <s v="Autobarn Campbelltown - RL210S10 Leg Bracket 210mm Strap no 10"/>
    <n v="218.18"/>
    <m/>
    <m/>
  </r>
  <r>
    <s v="INV"/>
    <s v="NBN Sydney"/>
    <s v="1472873"/>
    <s v="DJC"/>
    <x v="3"/>
    <s v="New Devs - MW21024 - AYCA-4JN54Z - 2NRN-05 - Elderslie"/>
    <d v="2017-07-27T00:00:00"/>
    <x v="0"/>
    <s v="Eureka Operations - Coles Express - Diesel 55.12L @ $1.339"/>
    <n v="67.09"/>
    <m/>
    <m/>
  </r>
  <r>
    <s v="MJ"/>
    <s v="NBN Sydney"/>
    <s v="#35959"/>
    <s v="DJC"/>
    <x v="3"/>
    <s v="NBN New Devs - MW20649 - 2RCH-03 - AYCA-2MLHJO - Macquarie Street Subdivision - South Windsor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13"/>
    <s v="NBN New Devs - MW20613 - AYCA-3CGK8N - Tulkaba View – 1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13"/>
    <s v="NBN New Devs - MW20720 - AYCA-4BHWVV - Argyle Community Housing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5"/>
    <s v="NBN Minor Works - MW20718 - 2LJT-04-07-08 Unit 2, 234 The Entrance Road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5"/>
    <s v="NBN Minor Works - MW20764 - 2BLK-12-07 - Lot 21 Western MTQY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 MW20877 - AYCA-4992YE - 2RIV-02 - 34-36 Schofields - North Park  - 9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817 - 2LIV-12_2QUA_02_2PTH-02 - Glenfield_Margo_Jamison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898 - 2MIL-01 - AYCA-45L86C  -NSB - Zulu Road – Build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786 - 2LIV-03 - AYCA-47DIBW - Dale Development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644 - AYCA-35B3X9 -  Renocorp Australia Pty Ltd 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13"/>
    <s v="NBN New Devs - MW20441 - AYCA-3KSRGR - Norberta St, The Entrance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13"/>
    <s v="NBN New Devs - MW20729 - COR-04 - AYCA-4D6AY6 - 94 POPES RD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758 - 2BAN-64 - AYCA-3ETV2Y - 21-25 Leonard Street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758 - 2BAN-64 - AYCA-3ETV2Y - 21-25 Leonard Street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876 - 2RIV-02 -AYCA-499AY5 - 34-36 Schofields - North Park - 10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13"/>
    <s v="NBN New Devs - MW20585 - AYCA-3KUUY6 - 2WOY-09 - Brittwood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882 - 2BLK-07 - AYCA-468EU5 - 299 Flushcombe - 1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797 - 2RYD-03 - AYCA-1SUDYS – 15 Porter St Ryde - La Pearl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620 - 2EPP-05 - AYCA-3071BP - Macquarie Park Village"/>
    <d v="2017-07-01T00:00:00"/>
    <x v="0"/>
    <s v="SYDNEY VEHICLE  AND TEST EQUIPMENT RENTAL - TEST EQUIPMENT MONTHLY RENTAL"/>
    <n v="47.473684210526315"/>
    <m/>
    <m/>
  </r>
  <r>
    <s v="MJ"/>
    <s v="NBN Sydney"/>
    <s v="#35959"/>
    <s v="Overhead"/>
    <x v="6"/>
    <s v="Overhead"/>
    <d v="2017-07-01T00:00:00"/>
    <x v="0"/>
    <s v="SYDNEY VEHICLE  AND TEST EQUIPMENT RENTAL - Forklift"/>
    <n v="487"/>
    <m/>
    <m/>
  </r>
  <r>
    <s v="MJ"/>
    <s v="NBN Sydney"/>
    <s v="#35959"/>
    <s v="Overhead"/>
    <x v="6"/>
    <s v="Overhead"/>
    <d v="2017-07-01T00:00:00"/>
    <x v="0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833"/>
    <m/>
    <m/>
  </r>
  <r>
    <s v="MJ"/>
    <s v="NBN Sydney"/>
    <s v="#35959"/>
    <s v="DJC"/>
    <x v="3"/>
    <s v="NBN New Devs - MW20649 - 2RCH-03 - AYCA-2MLHJO - Macquarie Street Subdivision - South Windsor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13"/>
    <s v="NBN New Devs - MW20613 - AYCA-3CGK8N - Tulkaba View – 1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13"/>
    <s v="NBN New Devs - MW20720 - AYCA-4BHWVV - Argyle Community Housing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5"/>
    <s v="NBN Minor Works - MW20718 - 2LJT-04-07-08 Unit 2, 234 The Entrance Road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5"/>
    <s v="NBN Minor Works - MW20764 - 2BLK-12-07 - Lot 21 Western MTQY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 MW20877 - AYCA-4992YE - 2RIV-02 - 34-36 Schofields - North Park  - 9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817 - 2LIV-12_2QUA_02_2PTH-02 - Glenfield_Margo_Jamison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898 - 2MIL-01 - AYCA-45L86C  -NSB - Zulu Road – Build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786 - 2LIV-03 - AYCA-47DIBW - Dale Development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644 - AYCA-35B3X9 -  Renocorp Australia Pty Ltd 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13"/>
    <s v="NBN New Devs - MW20441 - AYCA-3KSRGR - Norberta St, The Entrance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13"/>
    <s v="NBN New Devs - MW20729 - COR-04 - AYCA-4D6AY6 - 94 POPES RD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758 - 2BAN-64 - AYCA-3ETV2Y - 21-25 Leonard Street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758 - 2BAN-64 - AYCA-3ETV2Y - 21-25 Leonard Street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876 - 2RIV-02 -AYCA-499AY5 - 34-36 Schofields - North Park - 10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13"/>
    <s v="NBN New Devs - MW20585 - AYCA-3KUUY6 - 2WOY-09 - Brittwood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882 - 2BLK-07 - AYCA-468EU5 - 299 Flushcombe - 1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797 - 2RYD-03 - AYCA-1SUDYS – 15 Porter St Ryde - La Pearl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620 - 2EPP-05 - AYCA-3071BP - Macquarie Park Village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649 - 2RCH-03 - AYCA-2MLHJO - Macquarie Street Subdivision - South Windsor"/>
    <d v="2017-07-01T00:00:00"/>
    <x v="0"/>
    <s v="SYDNEY VEHICLE  AND TEST EQUIPMENT RENTAL - DMJ74G,  Brendan"/>
    <n v="43.842105263157897"/>
    <m/>
    <m/>
  </r>
  <r>
    <s v="MJ"/>
    <s v="NBN Sydney"/>
    <s v="#35959"/>
    <s v="DJC"/>
    <x v="13"/>
    <s v="NBN New Devs - MW20613 - AYCA-3CGK8N - Tulkaba View – 1"/>
    <d v="2017-07-01T00:00:00"/>
    <x v="0"/>
    <s v="SYDNEY VEHICLE  AND TEST EQUIPMENT RENTAL - DMJ74G,  Brendan"/>
    <n v="43.842105263157897"/>
    <m/>
    <m/>
  </r>
  <r>
    <s v="MJ"/>
    <s v="NBN Sydney"/>
    <s v="#35959"/>
    <s v="DJC"/>
    <x v="13"/>
    <s v="NBN New Devs - MW20720 - AYCA-4BHWVV - Argyle Community Housing"/>
    <d v="2017-07-01T00:00:00"/>
    <x v="0"/>
    <s v="SYDNEY VEHICLE  AND TEST EQUIPMENT RENTAL - DMJ74G,  Brendan"/>
    <n v="43.842105263157897"/>
    <m/>
    <m/>
  </r>
  <r>
    <s v="MJ"/>
    <s v="NBN Sydney"/>
    <s v="#35959"/>
    <s v="DJC"/>
    <x v="5"/>
    <s v="NBN Minor Works - MW20718 - 2LJT-04-07-08 Unit 2, 234 The Entrance Road"/>
    <d v="2017-07-01T00:00:00"/>
    <x v="0"/>
    <s v="SYDNEY VEHICLE  AND TEST EQUIPMENT RENTAL - DMJ74G,  Brendan"/>
    <n v="43.842105263157897"/>
    <m/>
    <m/>
  </r>
  <r>
    <s v="MJ"/>
    <s v="NBN Sydney"/>
    <s v="#35959"/>
    <s v="DJC"/>
    <x v="5"/>
    <s v="NBN Minor Works - MW20764 - 2BLK-12-07 - Lot 21 Western MTQY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 MW20877 - AYCA-4992YE - 2RIV-02 - 34-36 Schofields - North Park  - 9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817 - 2LIV-12_2QUA_02_2PTH-02 - Glenfield_Margo_Jamison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898 - 2MIL-01 - AYCA-45L86C  -NSB - Zulu Road – Build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786 - 2LIV-03 - AYCA-47DIBW - Dale Development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644 - AYCA-35B3X9 -  Renocorp Australia Pty Ltd "/>
    <d v="2017-07-01T00:00:00"/>
    <x v="0"/>
    <s v="SYDNEY VEHICLE  AND TEST EQUIPMENT RENTAL - DMJ74G,  Brendan"/>
    <n v="43.842105263157897"/>
    <m/>
    <m/>
  </r>
  <r>
    <s v="MJ"/>
    <s v="NBN Sydney"/>
    <s v="#35959"/>
    <s v="DJC"/>
    <x v="13"/>
    <s v="NBN New Devs - MW20441 - AYCA-3KSRGR - Norberta St, The Entrance"/>
    <d v="2017-07-01T00:00:00"/>
    <x v="0"/>
    <s v="SYDNEY VEHICLE  AND TEST EQUIPMENT RENTAL - DMJ74G,  Brendan"/>
    <n v="43.842105263157897"/>
    <m/>
    <m/>
  </r>
  <r>
    <s v="MJ"/>
    <s v="NBN Sydney"/>
    <s v="#35959"/>
    <s v="DJC"/>
    <x v="13"/>
    <s v="NBN New Devs - MW20729 - COR-04 - AYCA-4D6AY6 - 94 POPES RD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758 - 2BAN-64 - AYCA-3ETV2Y - 21-25 Leonard Street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758 - 2BAN-64 - AYCA-3ETV2Y - 21-25 Leonard Street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876 - 2RIV-02 -AYCA-499AY5 - 34-36 Schofields - North Park - 10"/>
    <d v="2017-07-01T00:00:00"/>
    <x v="0"/>
    <s v="SYDNEY VEHICLE  AND TEST EQUIPMENT RENTAL - DMJ74G,  Brendan"/>
    <n v="43.842105263157897"/>
    <m/>
    <m/>
  </r>
  <r>
    <s v="MJ"/>
    <s v="NBN Sydney"/>
    <s v="#35959"/>
    <s v="DJC"/>
    <x v="13"/>
    <s v="NBN New Devs - MW20585 - AYCA-3KUUY6 - 2WOY-09 - Brittwood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882 - 2BLK-07 - AYCA-468EU5 - 299 Flushcombe - 1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797 - 2RYD-03 - AYCA-1SUDYS – 15 Porter St Ryde - La Pearl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620 - 2EPP-05 - AYCA-3071BP - Macquarie Park Village"/>
    <d v="2017-07-01T00:00:00"/>
    <x v="0"/>
    <s v="SYDNEY VEHICLE  AND TEST EQUIPMENT RENTAL - DMJ74G,  Brendan"/>
    <n v="43.842105263157897"/>
    <m/>
    <m/>
  </r>
  <r>
    <s v="INV"/>
    <s v="NBN Sydney"/>
    <s v="88990-7-2017"/>
    <s v="Overhead"/>
    <x v="6"/>
    <s v="Overhead"/>
    <d v="2017-07-31T00:00:00"/>
    <x v="0"/>
    <s v="Supagas - 4 x Monthly Rental of LPG 15kg Cylinder"/>
    <n v="20"/>
    <m/>
    <m/>
  </r>
  <r>
    <s v="INV"/>
    <s v="NBN Sydney"/>
    <s v="88990-7-2017"/>
    <s v="Overhead"/>
    <x v="6"/>
    <s v="Overhead"/>
    <d v="2017-07-31T00:00:00"/>
    <x v="0"/>
    <s v="Supagas - 2 x LPG 15kg cylinder"/>
    <n v="66.180000000000007"/>
    <m/>
    <m/>
  </r>
  <r>
    <s v="CN"/>
    <s v="NBN Sydney"/>
    <s v="CN-12520"/>
    <s v="Revenue"/>
    <x v="17"/>
    <s v="MW20554 - AYCA-2DO5HN - MNJG 145 Princes Hwy Dapto"/>
    <d v="2017-08-01T00:00:00"/>
    <x v="1"/>
    <s v="NBN Co Sydney - MW20554 - AYCA-2DO5HN - MNJG 145 Princes Hwy Dapto - 1"/>
    <m/>
    <m/>
    <m/>
  </r>
  <r>
    <s v="INV"/>
    <s v="NBN Sydney"/>
    <s v="INV-12360a"/>
    <s v="Revenue"/>
    <x v="17"/>
    <s v="MW20679 - 2LJT-02 - MPS-012 - 3 Corella "/>
    <d v="2017-08-01T00:00:00"/>
    <x v="1"/>
    <s v="NBN Co Sydney - MW20679 - OOMWI - 2LJT-02 - MPS-012 - 3 Corella "/>
    <m/>
    <m/>
    <n v="1359.32"/>
  </r>
  <r>
    <s v="CN"/>
    <s v="NBN Sydney"/>
    <s v="CN-12509"/>
    <s v="Revenue"/>
    <x v="0"/>
    <s v="NBN Co Sydney -  MW20187 - 2CBT-01-14_10 &amp; 2CBT-04-14 "/>
    <d v="2017-08-01T00:00:00"/>
    <x v="1"/>
    <s v="NBN Co Sydney -  MW20187 - 2CBT-01-14_10 &amp; 2CBT-04-14_x000a_incorrect adjustment amount "/>
    <n v="-13228.89"/>
    <m/>
    <m/>
  </r>
  <r>
    <s v="CN"/>
    <s v="NBN Sydney"/>
    <s v="CN-12500"/>
    <s v="Revenue"/>
    <x v="2"/>
    <s v="MW20679 - 2LJT-02 - MPS-012 - 3 Corella "/>
    <d v="2017-08-01T00:00:00"/>
    <x v="1"/>
    <s v="NBN Co Sydney - MW20679 - OOMWI - 2LJT-02 - MPS-012 - 3 Corella "/>
    <n v="-6239.62"/>
    <m/>
    <m/>
  </r>
  <r>
    <s v="INV"/>
    <s v="NBN Sydney"/>
    <s v="INV-12168a"/>
    <s v="Revenue"/>
    <x v="17"/>
    <s v=" MW20500 - AYCA-1ET803 - PEEL RIVER ESTATE"/>
    <d v="2017-08-01T00:00:00"/>
    <x v="1"/>
    <s v="NBN Co Sydney - MW20500 - AYCA-1ET803 - PEEL RIVER ESTATE – 1_MT_LFN"/>
    <m/>
    <m/>
    <n v="0.01"/>
  </r>
  <r>
    <s v="INV"/>
    <s v="NBN Sydney"/>
    <s v="INV-12163b"/>
    <s v="Revenue"/>
    <x v="18"/>
    <s v="MW20417 - AYCA-2XQPKW - Australian Int'l Academy Kellyville "/>
    <d v="2017-08-17T00:00:00"/>
    <x v="1"/>
    <s v="NBN Co Sydney - MW20417 - AYCA-2XQPKW - Australian Int'l Academy Kellyville - 3 "/>
    <m/>
    <m/>
    <n v="1618.67"/>
  </r>
  <r>
    <s v="INV"/>
    <s v="NBN Sydney"/>
    <s v="INV-12496"/>
    <s v="Revenue"/>
    <x v="17"/>
    <s v="MW20720 - AYCA-4BHWVV - Argyle Community Housing "/>
    <d v="2017-08-17T00:00:00"/>
    <x v="1"/>
    <s v="NBN Co Sydney - MW20720 - AYCA-4BHWVV - Argyle Community Housing - 1 "/>
    <m/>
    <m/>
    <n v="3135.04"/>
  </r>
  <r>
    <s v="INV"/>
    <s v="NBN Sydney"/>
    <s v="INV-12498"/>
    <s v="Revenue"/>
    <x v="17"/>
    <s v="MW20613 - AYCA-3CGK8N - Tulkaba View "/>
    <d v="2017-08-17T00:00:00"/>
    <x v="1"/>
    <s v="NBN Co Sydney - MW20613 - AYCA-3CGK8N - Tulkaba View – 1"/>
    <m/>
    <m/>
    <n v="3471.5"/>
  </r>
  <r>
    <s v="INV"/>
    <s v="NBN Sydney"/>
    <s v="INV-12499a"/>
    <s v="Revenue"/>
    <x v="18"/>
    <s v="MW20876 - 2RIV-02 AYCA - 499AY5 - 34-36 Schofields - North Park - 10"/>
    <d v="2017-08-24T00:00:00"/>
    <x v="1"/>
    <s v="NBN Co Sydney - MW20876 - SOPR MWI - 2RIV-02 AYCA - 499AY5 - 34-36 Schofields - North Park - 10 external "/>
    <m/>
    <m/>
    <n v="957.28"/>
  </r>
  <r>
    <s v="INV"/>
    <s v="NBN Sydney"/>
    <s v="DR210180520.0"/>
    <s v="Overhead"/>
    <x v="6"/>
    <s v="Overhead"/>
    <d v="2017-08-14T00:00:00"/>
    <x v="1"/>
    <s v="SUEZ Recycling &amp; Recovery Pty Ltd - Asbestos Disposal_x000d__x000a_Time in: 14/08/17 9:13am_x000d__x000a_Time out: 14/08/17 9:27_x000d__x000a_0.80t @ $350/t"/>
    <n v="280"/>
    <m/>
    <m/>
  </r>
  <r>
    <s v="INV"/>
    <s v="NBN Sydney"/>
    <s v="496549"/>
    <s v="Overhead"/>
    <x v="6"/>
    <s v="Overhead"/>
    <d v="2017-08-15T00:00:00"/>
    <x v="1"/>
    <s v="Wagga Wagga Council - Waste Depot - Asbestos Disposal @ $7.8125 per bag (NBN Dubbo AYCA-35AM2J)"/>
    <n v="7.1"/>
    <m/>
    <m/>
  </r>
  <r>
    <s v="INV"/>
    <s v="NBN Sydney"/>
    <s v="B VISA E-TOLL August 2017"/>
    <m/>
    <x v="15"/>
    <m/>
    <d v="2017-08-31T00:00:00"/>
    <x v="1"/>
    <s v="E-Toll Business Operations Centre - TAG NO 10166430_x000d_ KE BX10GL Izuzu Tipper SYD"/>
    <n v="265.74"/>
    <m/>
    <m/>
  </r>
  <r>
    <s v="INV"/>
    <s v="NBN Sydney"/>
    <s v="B VISA E-TOLL August 2017"/>
    <m/>
    <x v="15"/>
    <m/>
    <d v="2017-08-31T00:00:00"/>
    <x v="1"/>
    <s v="E-Toll Business Operations Centre - TAG NO 10166426_x000d_ DMJ74G Toyota Hiace SYD"/>
    <n v="276.64999999999998"/>
    <m/>
    <m/>
  </r>
  <r>
    <s v="INV"/>
    <s v="NBN Sydney"/>
    <s v="B VISA E-TOLL August 2017"/>
    <s v="Overhead"/>
    <x v="6"/>
    <s v="Overhead"/>
    <d v="2017-08-31T00:00:00"/>
    <x v="1"/>
    <s v="E-Toll Business Operations Centre - Video Fee "/>
    <n v="4.7300000000000004"/>
    <m/>
    <m/>
  </r>
  <r>
    <s v="INV"/>
    <s v="NBN Sydney"/>
    <s v="B VISA E-TOLL August 2017"/>
    <m/>
    <x v="15"/>
    <m/>
    <d v="2017-08-31T00:00:00"/>
    <x v="1"/>
    <s v="E-Toll Business Operations Centre - PLATE IDENTIFIED - BX04GL "/>
    <n v="40.71"/>
    <m/>
    <m/>
  </r>
  <r>
    <s v="INV"/>
    <s v="NBN Sydney"/>
    <s v="B VISA E-TOLL August 2017"/>
    <s v="Overhead"/>
    <x v="6"/>
    <s v="Overhead"/>
    <d v="2017-08-31T00:00:00"/>
    <x v="1"/>
    <s v="E-Toll Business Operations Centre - TAG NO 4088301 _x000d_ CHV14B Toyota Hilux SYD"/>
    <n v="202.83"/>
    <m/>
    <m/>
  </r>
  <r>
    <s v="INV"/>
    <s v="NBN Sydney"/>
    <s v="B VISA E-TOLL August 2017"/>
    <m/>
    <x v="15"/>
    <m/>
    <d v="2017-08-31T00:00:00"/>
    <x v="1"/>
    <s v="E-Toll Business Operations Centre - TAG NO 3665998 GB BU59MS Toyota Hiace Van"/>
    <n v="135.47999999999999"/>
    <m/>
    <m/>
  </r>
  <r>
    <s v="INV"/>
    <s v="NBN Sydney"/>
    <s v="B VISA E-TOLL August 2017"/>
    <s v="Overhead"/>
    <x v="6"/>
    <s v="Overhead"/>
    <d v="2017-08-31T00:00:00"/>
    <x v="1"/>
    <s v="E-Toll Business Operations Centre - TAG NO 3166280 _x000d_ GC BE38NA Toyota cruiser Gilbert"/>
    <n v="44.54"/>
    <m/>
    <m/>
  </r>
  <r>
    <s v="INV"/>
    <s v="NBN Sydney"/>
    <s v="B VISA E-TOLL August 2017"/>
    <s v="Overhead"/>
    <x v="6"/>
    <s v="Overhead"/>
    <d v="2017-08-31T00:00:00"/>
    <x v="1"/>
    <s v="E-Toll Business Operations Centre - TAG NO 3829695 _x000d_ GC GCC00K F250 Ford"/>
    <n v="7.14"/>
    <m/>
    <m/>
  </r>
  <r>
    <s v="INV"/>
    <s v="NBN Sydney"/>
    <s v="B VISA E-TOLL August 2017"/>
    <s v="Overhead"/>
    <x v="6"/>
    <s v="Overhead"/>
    <d v="2017-08-31T00:00:00"/>
    <x v="1"/>
    <s v="E-Toll Business Operations Centre - TAG NO 3665999 _x000d_Gilbert Commodore_x000a_GC 63C00K Holden Commodore"/>
    <n v="29.08"/>
    <m/>
    <m/>
  </r>
  <r>
    <s v="INV"/>
    <s v="NBN Sydney"/>
    <s v="51603379"/>
    <s v="DJC"/>
    <x v="10"/>
    <s v="MW20436 - AYCA-3B8YY0 - Warrana Place – 2"/>
    <d v="2017-08-19T00:00:00"/>
    <x v="1"/>
    <s v="TNT Australia Pty Ltd - 14/08/17_x000d__x000a_Con note no: 806938646_x000d__x000a_Destination: Mayfield"/>
    <n v="29.69"/>
    <m/>
    <m/>
  </r>
  <r>
    <s v="INV"/>
    <s v="NBN Sydney"/>
    <s v="18533963"/>
    <s v="DJC"/>
    <x v="14"/>
    <s v="ARRNet - ICQ-315 IPT2073 WSU Parramatta Square Western Lead-in"/>
    <d v="2017-08-01T00:00:00"/>
    <x v="1"/>
    <s v="Kennards Hire - 37833_x000d__x000a_Trailer - Furniture (L92820)_x000d__x000a_From 26/07/17 to 1/08/17"/>
    <n v="136.36000000000001"/>
    <m/>
    <m/>
  </r>
  <r>
    <s v="INV"/>
    <s v="NBN Sydney"/>
    <s v="18533963"/>
    <s v="DJC"/>
    <x v="14"/>
    <s v="ARRNet - ICQ-315 IPT2073 WSU Parramatta Square Western Lead-in"/>
    <d v="2017-08-01T00:00:00"/>
    <x v="1"/>
    <s v="Kennards Hire - 370764_x000d__x000a_Scaffold - Alum 3.5m Double Width_x000d__x000a_From 26/07/17 to 1/08/17"/>
    <n v="563.64"/>
    <m/>
    <m/>
  </r>
  <r>
    <s v="INV"/>
    <s v="NBN Sydney"/>
    <s v="882355"/>
    <s v="Overhead"/>
    <x v="6"/>
    <s v="Overhead"/>
    <d v="2017-08-07T00:00:00"/>
    <x v="1"/>
    <s v="Mitronics - MC.DSA_x000d__x000a_Digital Support Agreement - Chargeable"/>
    <n v="39.950000000000003"/>
    <m/>
    <m/>
  </r>
  <r>
    <s v="INV"/>
    <s v="NBN Sydney"/>
    <s v="882355"/>
    <s v="Overhead"/>
    <x v="6"/>
    <s v="Overhead"/>
    <d v="2017-08-07T00:00:00"/>
    <x v="1"/>
    <s v="Mitronics - MC.COLOUR.PAGE_x000d__x000a_Serial No - A02E041005704_x000d__x000a_Colour Last Read - 219,102 8/07/2017_x000d__x000a_Current Read - 220,630 Prints - 1,528"/>
    <n v="171.13"/>
    <m/>
    <m/>
  </r>
  <r>
    <s v="INV"/>
    <s v="NBN Sydney"/>
    <s v="882355"/>
    <s v="Overhead"/>
    <x v="6"/>
    <s v="Overhead"/>
    <d v="2017-08-07T00:00:00"/>
    <x v="1"/>
    <s v="Mitronics - MC.BLACK.PAGE_x000d__x000a_Serial No - A02E041005704 Black Last Read - 212,354 8/07/2017_x000d__x000a_Current Read - 212,632 Prints - 278"/>
    <n v="2.86"/>
    <m/>
    <m/>
  </r>
  <r>
    <s v="INV"/>
    <s v="NBN Sydney"/>
    <m/>
    <m/>
    <x v="15"/>
    <m/>
    <m/>
    <x v="2"/>
    <m/>
    <m/>
    <m/>
    <m/>
  </r>
  <r>
    <s v="INV"/>
    <s v="NBN Sydney"/>
    <s v="020-23154-7214"/>
    <s v="DJC"/>
    <x v="19"/>
    <s v="VPL - FttB Re Design 2DAL-26"/>
    <d v="2017-08-08T00:00:00"/>
    <x v="1"/>
    <s v="Bunnings Warehouse - Sealant Construct Polyurethane 310ml 2HP Crt Gry Sikaflex Pro"/>
    <n v="14.91"/>
    <m/>
    <m/>
  </r>
  <r>
    <s v="INV"/>
    <s v="NBN Sydney"/>
    <s v="9517382"/>
    <s v="DJC"/>
    <x v="20"/>
    <s v="MW20764 - 2BLK-12-07 - Lot 21 Western MTQY/2 Rudders/Unit 40 - 15 Valediction"/>
    <d v="2017-08-14T00:00:00"/>
    <x v="1"/>
    <s v="ALTUS Traffic - NBN Network Shortfall_x000d__x000a_Supply of traffic controllers at Job# 610495534-0803 2BLK-07-16-Brabham_x000d__x000a_Great Western Highway, Eastern Creek"/>
    <n v="1396"/>
    <m/>
    <m/>
  </r>
  <r>
    <s v="INV"/>
    <s v="NBN Sydney"/>
    <s v="9517404"/>
    <s v="DJC"/>
    <x v="14"/>
    <s v="ARRNet - ICQ-315 IPT2073 WSU Parramatta Square Western Lead-in"/>
    <d v="2017-08-14T00:00:00"/>
    <x v="1"/>
    <s v="ALTUS Traffic - AARNet-759635-03082_x000d__x000a_Supply of Traffic Controllers at Macquarie St, Parramatta._x000d__x000a_Job No: 610494886-0803"/>
    <n v="752.23"/>
    <m/>
    <m/>
  </r>
  <r>
    <s v="INV"/>
    <s v="NBN Sydney"/>
    <s v="013-92075-7086"/>
    <s v="DJC"/>
    <x v="19"/>
    <s v="VPL - FttB Re Design 2DAL-26"/>
    <d v="2017-08-22T00:00:00"/>
    <x v="1"/>
    <s v="Bunnings Warehouse - Selleys Armour Flex 465g White 100353"/>
    <n v="45.68"/>
    <m/>
    <m/>
  </r>
  <r>
    <s v="INV"/>
    <s v="NBN Sydney"/>
    <s v="013-92075-7086"/>
    <s v="DJC"/>
    <x v="19"/>
    <s v="VPL - FttB Re Design 2DAL-26"/>
    <d v="2017-08-22T00:00:00"/>
    <x v="1"/>
    <s v="Bunnings Warehouse - Conduit Fit Trade pk50 Deta 25mm Metal Half Saddle2686BT"/>
    <n v="18.73"/>
    <m/>
    <m/>
  </r>
  <r>
    <s v="INV"/>
    <s v="NBN Sydney"/>
    <s v="013-92075-7086"/>
    <s v="DJC"/>
    <x v="19"/>
    <s v="VPL - FttB Re Design 2DAL-26"/>
    <d v="2017-08-22T00:00:00"/>
    <x v="1"/>
    <s v="Bunnings Warehouse - Trowel Plasterer Trojan 19mm Sml TJ10030"/>
    <n v="12.71"/>
    <m/>
    <m/>
  </r>
  <r>
    <s v="INV"/>
    <s v="NBN Sydney"/>
    <s v="71 A89887"/>
    <s v="DJC"/>
    <x v="15"/>
    <m/>
    <d v="2017-08-23T00:00:00"/>
    <x v="1"/>
    <s v="Middy's Data &amp; Electrical - OME 25DTF_x000d__x000a_Duct Tape Flame Retard 0 13x48mmx30m Silver"/>
    <n v="13.75"/>
    <m/>
    <m/>
  </r>
  <r>
    <s v="INV"/>
    <s v="NBN Sydney"/>
    <s v="71 A89887"/>
    <s v="DJC"/>
    <x v="15"/>
    <m/>
    <d v="2017-08-23T00:00:00"/>
    <x v="1"/>
    <s v="Middy's Data &amp; Electrical - RIP 25WH_x000d__x000a_Tape PVC 19mm x 20m Roll White"/>
    <n v="10.7"/>
    <m/>
    <m/>
  </r>
  <r>
    <s v="INV"/>
    <s v="NBN Sydney"/>
    <s v="71 A89887"/>
    <s v="DJC"/>
    <x v="15"/>
    <m/>
    <d v="2017-08-23T00:00:00"/>
    <x v="1"/>
    <s v="Middy's Data &amp; Electrical - RIP 25BK_x000d__x000a_Tape PVC 19mm x 20m Roll Black"/>
    <n v="1.07"/>
    <m/>
    <m/>
  </r>
  <r>
    <s v="INV"/>
    <s v="NBN Sydney"/>
    <s v="00050946"/>
    <s v="DJC"/>
    <x v="15"/>
    <m/>
    <d v="2017-08-23T00:00:00"/>
    <x v="1"/>
    <s v="Silverdale Sand &amp; Soil Pty Ltd - Delivery"/>
    <n v="11"/>
    <m/>
    <m/>
  </r>
  <r>
    <s v="INV"/>
    <s v="NBN Sydney"/>
    <s v="00050946"/>
    <s v="DJC"/>
    <x v="15"/>
    <m/>
    <d v="2017-08-23T00:00:00"/>
    <x v="1"/>
    <s v="Silverdale Sand &amp; Soil Pty Ltd - 20mm Crushed Asphalt"/>
    <n v="32.729999999999997"/>
    <m/>
    <m/>
  </r>
  <r>
    <s v="INV"/>
    <s v="NBN Sydney"/>
    <s v="71 A89887"/>
    <s v="DJC"/>
    <x v="15"/>
    <m/>
    <d v="2017-08-23T00:00:00"/>
    <x v="1"/>
    <s v="Middy's Data &amp; Electrical - REP SB-S36701_x000d__x000a_Sharpie Retractable Marker Fine Point Bk"/>
    <n v="4.1900000000000004"/>
    <m/>
    <m/>
  </r>
  <r>
    <s v="INV"/>
    <s v="NBN Sydney"/>
    <s v="71 A89887"/>
    <s v="DJC"/>
    <x v="15"/>
    <m/>
    <d v="2017-08-23T00:00:00"/>
    <x v="1"/>
    <s v="Middy's Data &amp; Electrical - RAY 4-1191891-1_x000d__x000a_TDux-35 Inflatable Seal Sys MOQ25 258512"/>
    <n v="430"/>
    <m/>
    <m/>
  </r>
  <r>
    <s v="INV"/>
    <s v="NBN Sydney"/>
    <s v="22587"/>
    <s v="DJC"/>
    <x v="15"/>
    <m/>
    <d v="2017-08-23T00:00:00"/>
    <x v="1"/>
    <s v="TANDEM - ISG Management Pty Ltd - 43300011_x000d__x000a_Tape, PVC Adhesive 19mm Wide Black Roll"/>
    <n v="20"/>
    <m/>
    <m/>
  </r>
  <r>
    <s v="INV"/>
    <s v="NBN Sydney"/>
    <s v="22587"/>
    <s v="DJC"/>
    <x v="15"/>
    <m/>
    <d v="2017-08-23T00:00:00"/>
    <x v="1"/>
    <s v="TANDEM - ISG Management Pty Ltd - 4300038_x000d__x000a_Tape, Adh Duct Sealing PVC 50mmx30m Silver"/>
    <n v="53"/>
    <m/>
    <m/>
  </r>
  <r>
    <s v="INV"/>
    <s v="NBN Sydney"/>
    <s v="22587"/>
    <s v="DJC"/>
    <x v="15"/>
    <m/>
    <d v="2017-08-23T00:00:00"/>
    <x v="1"/>
    <s v="TANDEM - ISG Management Pty Ltd - 64202001_x000d__x000a_Screw, SD Type 17 SS Hex 14-10GX35mm"/>
    <n v="170.79"/>
    <m/>
    <m/>
  </r>
  <r>
    <s v="INV"/>
    <s v="NBN Sydney"/>
    <s v="71 A89887"/>
    <s v="DJC"/>
    <x v="15"/>
    <m/>
    <d v="2017-08-23T00:00:00"/>
    <x v="1"/>
    <s v="Middy's Data &amp; Electrical - AMP G35J_x000d__x000a_Wall Plugs in jar green 35mmx12g (pk 100)"/>
    <n v="8.3000000000000007"/>
    <m/>
    <m/>
  </r>
  <r>
    <s v="INV"/>
    <s v="NBN Sydney"/>
    <s v="22587"/>
    <s v="DJC"/>
    <x v="15"/>
    <m/>
    <d v="2017-08-23T00:00:00"/>
    <x v="1"/>
    <s v="TANDEM - ISG Management Pty Ltd - 26900092_x000d__x000a_Tie, Cable Self-Locking UV Res 2.5x100"/>
    <n v="10.35"/>
    <m/>
    <m/>
  </r>
  <r>
    <s v="INV"/>
    <s v="NBN Sydney"/>
    <s v="22587"/>
    <s v="DJC"/>
    <x v="15"/>
    <m/>
    <d v="2017-08-23T00:00:00"/>
    <x v="1"/>
    <s v="TANDEM - ISG Management Pty Ltd - 43300263_x000d__x000a_Tape, PVC Adhesive 18mm x 20m Red Roll"/>
    <n v="10.199999999999999"/>
    <m/>
    <m/>
  </r>
  <r>
    <s v="INV"/>
    <s v="NBN Sydney"/>
    <s v="739598-280"/>
    <s v="DJC"/>
    <x v="15"/>
    <m/>
    <d v="2017-08-30T00:00:00"/>
    <x v="1"/>
    <s v="TLE Electrical - APPMC25GR_x000d__x000a_Flex Conduit Elect M/Duty 25mm 10mPVC Grey"/>
    <n v="40.49"/>
    <m/>
    <m/>
  </r>
  <r>
    <s v="INV"/>
    <s v="NBN Sydney"/>
    <s v="739598-280"/>
    <s v="DJC"/>
    <x v="15"/>
    <m/>
    <d v="2017-08-30T00:00:00"/>
    <x v="1"/>
    <s v="TLE Electrical - APPJC20WH_x000d__x000a_Coupling Plain-Plain 20mm PVC White"/>
    <n v="13.27"/>
    <m/>
    <m/>
  </r>
  <r>
    <s v="INV"/>
    <s v="NBN Sydney"/>
    <s v="739634-280"/>
    <s v="DJC"/>
    <x v="15"/>
    <m/>
    <d v="2017-08-30T00:00:00"/>
    <x v="1"/>
    <s v="TLE Electrical - REEGSA6854C_x000d__x000a_Roof and Plumbing Sealant Clear 300g Cartridge"/>
    <n v="11.89"/>
    <m/>
    <m/>
  </r>
  <r>
    <s v="INV"/>
    <s v="NBN Sydney"/>
    <s v="739634-280"/>
    <s v="DJC"/>
    <x v="15"/>
    <m/>
    <d v="2017-08-30T00:00:00"/>
    <x v="1"/>
    <s v="TLE Electrical - CLI180/25_x000d__x000a_Half Saddle Metal 25mm ZP Steel"/>
    <n v="19.13"/>
    <m/>
    <m/>
  </r>
  <r>
    <s v="INV"/>
    <s v="NBN Sydney"/>
    <s v="739634-280"/>
    <s v="DJC"/>
    <x v="15"/>
    <m/>
    <d v="2017-08-30T00:00:00"/>
    <x v="1"/>
    <s v="TLE Electrical - CLI180A25_x000d__x000a_Half Saddle Metal 6.5mm Fixing 25mm ZP steel"/>
    <n v="20.25"/>
    <m/>
    <m/>
  </r>
  <r>
    <m/>
    <m/>
    <m/>
    <m/>
    <x v="15"/>
    <m/>
    <s v="Total"/>
    <x v="2"/>
    <m/>
    <m/>
    <m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Travel &amp; Entertainment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31T00:00:00"/>
    <x v="4"/>
    <s v="Eddie Road Lunch Shop - Lunch supplied for Staff meeting"/>
    <s v="534398"/>
    <n v="32.729999999999997"/>
    <m/>
  </r>
  <r>
    <m/>
    <m/>
    <m/>
    <m/>
    <x v="15"/>
    <m/>
    <s v="Total"/>
    <x v="2"/>
    <m/>
    <m/>
    <n v="32.729999999999997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32.729999999999997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Subcontractors - Sydney 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4"/>
    <s v="Schokman Pty Limited - NBN MWA - Various Jobs 020817"/>
    <s v="2290"/>
    <n v="42561.19"/>
    <m/>
  </r>
  <r>
    <m/>
    <m/>
    <m/>
    <m/>
    <x v="15"/>
    <m/>
    <d v="2017-08-01T00:00:00"/>
    <x v="4"/>
    <s v="ALTUS Traffic - Supply of Traffic Controllers at Corner of Civil Place and Macquarie St, Parramatta 25/07/17 &amp; 26/07/17"/>
    <s v="9516894"/>
    <n v="2234.2199999999998"/>
    <m/>
  </r>
  <r>
    <m/>
    <m/>
    <m/>
    <m/>
    <x v="15"/>
    <m/>
    <d v="2017-08-06T00:00:00"/>
    <x v="4"/>
    <s v="Warriewood Consultancy - Datateks Day Rate"/>
    <s v="INV-0126"/>
    <n v="9642.2999999999993"/>
    <m/>
  </r>
  <r>
    <m/>
    <m/>
    <m/>
    <m/>
    <x v="15"/>
    <m/>
    <d v="2017-08-09T00:00:00"/>
    <x v="4"/>
    <s v="Schokman Pty Limited - NBN MWA AYCA-4D6AY6_x000d__x000a_Non Standard Build - 94 Popes Rd"/>
    <s v="2293"/>
    <n v="10667.8"/>
    <m/>
  </r>
  <r>
    <m/>
    <m/>
    <m/>
    <m/>
    <x v="15"/>
    <m/>
    <d v="2017-08-09T00:00:00"/>
    <x v="4"/>
    <s v="Schokman Pty Limited - NBN MWA AYCA-4615YX_x000d__x000a_878 Pacific Hwy, Lisarow"/>
    <s v="2294"/>
    <n v="4792.9399999999996"/>
    <m/>
  </r>
  <r>
    <m/>
    <m/>
    <m/>
    <m/>
    <x v="15"/>
    <m/>
    <d v="2017-08-09T00:00:00"/>
    <x v="4"/>
    <s v="Schokman Pty Limited - NBN MWA AYCA-482KZM _x000d__x000a_35 Georges River Rd, Croydon Park"/>
    <s v="2295"/>
    <n v="3891.77"/>
    <m/>
  </r>
  <r>
    <m/>
    <m/>
    <m/>
    <m/>
    <x v="15"/>
    <m/>
    <d v="2017-08-19T00:00:00"/>
    <x v="4"/>
    <s v="O.S Cable Services Pty Ltd - AARNet Parramatta Job 7/08/17"/>
    <s v="00025"/>
    <n v="2000"/>
    <m/>
  </r>
  <r>
    <m/>
    <m/>
    <m/>
    <m/>
    <x v="15"/>
    <m/>
    <d v="2017-08-19T00:00:00"/>
    <x v="4"/>
    <s v="O.S Cable Services Pty Ltd - AARNet Parramatta Job 3/08/17"/>
    <s v="00025"/>
    <n v="1500"/>
    <m/>
  </r>
  <r>
    <m/>
    <m/>
    <m/>
    <m/>
    <x v="15"/>
    <m/>
    <d v="2017-08-20T00:00:00"/>
    <x v="4"/>
    <s v="Warriewood Consultancy - Datateks Day Rate"/>
    <s v="INV-0127"/>
    <n v="9642.2999999999993"/>
    <m/>
  </r>
  <r>
    <m/>
    <m/>
    <m/>
    <m/>
    <x v="15"/>
    <m/>
    <d v="2017-08-23T00:00:00"/>
    <x v="4"/>
    <s v="Schokman Pty Limited - NBN MWA20491 - AYCA-3W8T05-2PAR-60 Amos St"/>
    <s v="2312"/>
    <n v="615.6"/>
    <m/>
  </r>
  <r>
    <m/>
    <m/>
    <m/>
    <m/>
    <x v="15"/>
    <m/>
    <d v="2017-08-27T00:00:00"/>
    <x v="4"/>
    <s v="ALTUS Traffic - AYCA-2568YW-25-29 Harbour St - Traffic Control 22/08/17 Docket 610945858 06:30-16:00 x 2_x000d__x000a_"/>
    <s v="9518845"/>
    <n v="957.49"/>
    <m/>
  </r>
  <r>
    <m/>
    <m/>
    <m/>
    <m/>
    <x v="15"/>
    <m/>
    <d v="2017-08-27T00:00:00"/>
    <x v="4"/>
    <s v="ALTUS Traffic - AYCA-2568YW-25-29 Harbour St - Traffic Control 21/08/17 Docket 610945253 06:30-16:00 x 2 incl ROL and TCP_x000d__x000a_"/>
    <s v="9518845"/>
    <n v="1192.49"/>
    <m/>
  </r>
  <r>
    <m/>
    <m/>
    <m/>
    <m/>
    <x v="15"/>
    <m/>
    <d v="2017-08-28T00:00:00"/>
    <x v="4"/>
    <s v="5SMITHS - NBN MWA _x000d__x000a_MW20367-2NRN-03-AYCA-3H6ZBG_x000d__x000a_61 Smeaton Grange Rd"/>
    <s v="01803569"/>
    <n v="1574.16"/>
    <m/>
  </r>
  <r>
    <m/>
    <m/>
    <m/>
    <m/>
    <x v="15"/>
    <m/>
    <s v="Total"/>
    <x v="2"/>
    <m/>
    <m/>
    <n v="91272.260000000038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91272.26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Allow Tools Transactions - Tech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Earnings"/>
    <s v="Payroll Expense Journal - PD-570"/>
    <n v="57.18"/>
    <m/>
  </r>
  <r>
    <m/>
    <m/>
    <m/>
    <m/>
    <x v="15"/>
    <m/>
    <d v="2017-08-14T00:00:00"/>
    <x v="5"/>
    <s v="Earnings"/>
    <s v="Payroll Expense Journal - PD-574"/>
    <n v="76.239999999999995"/>
    <m/>
  </r>
  <r>
    <m/>
    <m/>
    <m/>
    <m/>
    <x v="15"/>
    <m/>
    <d v="2017-08-21T00:00:00"/>
    <x v="5"/>
    <s v="Earnings"/>
    <s v="Payroll Expense Journal - PD-579"/>
    <n v="76.239999999999995"/>
    <m/>
  </r>
  <r>
    <m/>
    <m/>
    <m/>
    <m/>
    <x v="15"/>
    <m/>
    <d v="2017-08-28T00:00:00"/>
    <x v="5"/>
    <s v="Earnings"/>
    <s v="Payroll Expense Journal - PD-583"/>
    <n v="76.239999999999995"/>
    <m/>
  </r>
  <r>
    <m/>
    <m/>
    <m/>
    <m/>
    <x v="15"/>
    <m/>
    <m/>
    <x v="2"/>
    <s v="GC"/>
    <s v="Tools"/>
    <n v="38.119999999999997"/>
    <m/>
  </r>
  <r>
    <m/>
    <m/>
    <m/>
    <m/>
    <x v="15"/>
    <m/>
    <m/>
    <x v="6"/>
    <s v="DW,BA,ENW - NBN ACT"/>
    <s v="Tools"/>
    <n v="33.78"/>
    <m/>
  </r>
  <r>
    <m/>
    <m/>
    <m/>
    <m/>
    <x v="15"/>
    <m/>
    <m/>
    <x v="7"/>
    <s v="DH,DW - NBN ACT"/>
    <s v="Tools"/>
    <n v="22.88"/>
    <m/>
  </r>
  <r>
    <m/>
    <m/>
    <m/>
    <m/>
    <x v="15"/>
    <m/>
    <s v="Total"/>
    <x v="2"/>
    <m/>
    <m/>
    <n v="380.67999999999995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380.68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Allow Tools A/T  Transactions - Tech/Trainee 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Earnings"/>
    <s v="Payroll Expense Journal - PD-570"/>
    <n v="19.059999999999999"/>
    <m/>
  </r>
  <r>
    <m/>
    <m/>
    <m/>
    <m/>
    <x v="15"/>
    <m/>
    <m/>
    <x v="7"/>
    <s v="MR - NBN ACT"/>
    <s v="Tools"/>
    <n v="11.44"/>
    <m/>
  </r>
  <r>
    <m/>
    <m/>
    <m/>
    <m/>
    <x v="15"/>
    <m/>
    <s v="Total"/>
    <x v="2"/>
    <m/>
    <m/>
    <n v="30.5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30.5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Allow Travel/OT Transactions  - Tech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Reimbursements"/>
    <s v="Payroll Expense Journal - PD-570"/>
    <n v="60.12"/>
    <m/>
  </r>
  <r>
    <m/>
    <m/>
    <m/>
    <m/>
    <x v="15"/>
    <m/>
    <d v="2017-08-14T00:00:00"/>
    <x v="5"/>
    <s v="Reimbursements"/>
    <s v="Payroll Expense Journal - PD-574"/>
    <n v="30.06"/>
    <m/>
  </r>
  <r>
    <m/>
    <m/>
    <m/>
    <m/>
    <x v="15"/>
    <m/>
    <d v="2017-08-28T00:00:00"/>
    <x v="5"/>
    <s v="Reimbursements"/>
    <s v="Payroll Expense Journal - PD-583"/>
    <n v="30.06"/>
    <m/>
  </r>
  <r>
    <m/>
    <m/>
    <m/>
    <m/>
    <x v="15"/>
    <m/>
    <m/>
    <x v="2"/>
    <s v="Reimbursements - GC"/>
    <s v="OTTA"/>
    <n v="3669.25"/>
    <m/>
  </r>
  <r>
    <m/>
    <m/>
    <m/>
    <m/>
    <x v="15"/>
    <m/>
    <m/>
    <x v="6"/>
    <s v="DW,BA,ENW - NBN ACT "/>
    <s v="OTTA"/>
    <n v="1575"/>
    <m/>
  </r>
  <r>
    <m/>
    <m/>
    <m/>
    <m/>
    <x v="15"/>
    <m/>
    <m/>
    <x v="7"/>
    <s v="DH,DW - NBN ACT"/>
    <s v="OTTA"/>
    <n v="1095.0899999999999"/>
    <m/>
  </r>
  <r>
    <m/>
    <m/>
    <m/>
    <m/>
    <x v="15"/>
    <m/>
    <m/>
    <x v="2"/>
    <s v="WR"/>
    <s v="OTTA"/>
    <n v="909.85"/>
    <m/>
  </r>
  <r>
    <m/>
    <m/>
    <m/>
    <m/>
    <x v="15"/>
    <m/>
    <m/>
    <x v="2"/>
    <s v="CC"/>
    <s v="OTTA"/>
    <n v="365.03"/>
    <m/>
  </r>
  <r>
    <m/>
    <m/>
    <m/>
    <m/>
    <x v="15"/>
    <m/>
    <s v="Total"/>
    <x v="2"/>
    <m/>
    <m/>
    <n v="7734.46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7734.46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Direct Wages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Earnings"/>
    <s v="Payroll Expense Journal - PD-570"/>
    <n v="7747.95"/>
    <m/>
  </r>
  <r>
    <m/>
    <m/>
    <m/>
    <m/>
    <x v="15"/>
    <m/>
    <d v="2017-08-14T00:00:00"/>
    <x v="5"/>
    <s v="Earnings"/>
    <s v="Payroll Expense Journal - PD-574"/>
    <n v="9752.4500000000007"/>
    <m/>
  </r>
  <r>
    <m/>
    <m/>
    <m/>
    <m/>
    <x v="15"/>
    <m/>
    <d v="2017-08-21T00:00:00"/>
    <x v="5"/>
    <s v="Earnings"/>
    <s v="Payroll Expense Journal - PD-579"/>
    <n v="7905.53"/>
    <m/>
  </r>
  <r>
    <m/>
    <m/>
    <m/>
    <m/>
    <x v="15"/>
    <m/>
    <d v="2017-08-28T00:00:00"/>
    <x v="5"/>
    <s v="Earnings"/>
    <s v="Payroll Expense Journal - PD-583"/>
    <n v="8397.52"/>
    <m/>
  </r>
  <r>
    <m/>
    <m/>
    <m/>
    <m/>
    <x v="15"/>
    <m/>
    <m/>
    <x v="2"/>
    <s v="GC"/>
    <s v="Wages"/>
    <n v="4136.92"/>
    <m/>
  </r>
  <r>
    <m/>
    <m/>
    <m/>
    <m/>
    <x v="15"/>
    <m/>
    <m/>
    <x v="6"/>
    <s v="DW,BA,ENW - NBN ACT "/>
    <s v="Wages"/>
    <n v="2417.77"/>
    <m/>
  </r>
  <r>
    <m/>
    <m/>
    <m/>
    <m/>
    <x v="15"/>
    <m/>
    <m/>
    <x v="7"/>
    <s v="DH,DW - NBN ACT"/>
    <s v="Wages"/>
    <n v="1827.8"/>
    <m/>
  </r>
  <r>
    <m/>
    <m/>
    <m/>
    <m/>
    <x v="15"/>
    <m/>
    <s v="Total"/>
    <x v="2"/>
    <m/>
    <m/>
    <n v="42185.939999999995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42185.94"/>
    <m/>
  </r>
  <r>
    <m/>
    <m/>
    <m/>
    <m/>
    <x v="15"/>
    <m/>
    <m/>
    <x v="2"/>
    <m/>
    <m/>
    <m/>
    <m/>
  </r>
  <r>
    <m/>
    <m/>
    <m/>
    <m/>
    <x v="15"/>
    <m/>
    <s v="Direct Wages A/T Transactions- Tech/Trainee 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Earnings"/>
    <s v="Payroll Expense Journal - PD-570"/>
    <n v="916.19"/>
    <m/>
  </r>
  <r>
    <m/>
    <m/>
    <m/>
    <m/>
    <x v="15"/>
    <m/>
    <m/>
    <x v="2"/>
    <s v="MR -NBN ACT"/>
    <s v="Wages"/>
    <n v="753.15"/>
    <m/>
  </r>
  <r>
    <m/>
    <m/>
    <m/>
    <m/>
    <x v="15"/>
    <m/>
    <s v="Total"/>
    <x v="2"/>
    <m/>
    <m/>
    <n v="1669.3400000000001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669.34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Payroll Tax Expense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4T00:00:00"/>
    <x v="4"/>
    <s v="NSW Office of State Revenue - NSW OSR Payroll Tax July 2017 - Sydney 28%"/>
    <s v="NSW OSR Payroll Tax July 2017"/>
    <n v="1824.22"/>
    <m/>
  </r>
  <r>
    <m/>
    <m/>
    <m/>
    <m/>
    <x v="15"/>
    <m/>
    <s v="Total"/>
    <x v="2"/>
    <m/>
    <m/>
    <n v="1824.22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824.22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Superannuation Transactions - Admin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Superannuation Expense"/>
    <s v="Payroll Expense Journal - PD-570"/>
    <n v="92.44"/>
    <m/>
  </r>
  <r>
    <m/>
    <m/>
    <m/>
    <m/>
    <x v="15"/>
    <m/>
    <d v="2017-08-14T00:00:00"/>
    <x v="5"/>
    <s v="Superannuation Expense"/>
    <s v="Payroll Expense Journal - PD-574"/>
    <n v="92.44"/>
    <m/>
  </r>
  <r>
    <m/>
    <m/>
    <m/>
    <m/>
    <x v="15"/>
    <m/>
    <d v="2017-08-21T00:00:00"/>
    <x v="5"/>
    <s v="Superannuation Expense"/>
    <s v="Payroll Expense Journal - PD-579"/>
    <n v="92.44"/>
    <m/>
  </r>
  <r>
    <m/>
    <m/>
    <m/>
    <m/>
    <x v="15"/>
    <m/>
    <d v="2017-08-28T00:00:00"/>
    <x v="5"/>
    <s v="Superannuation Expense"/>
    <s v="Payroll Expense Journal - PD-583"/>
    <n v="92.44"/>
    <m/>
  </r>
  <r>
    <m/>
    <m/>
    <m/>
    <m/>
    <x v="15"/>
    <m/>
    <m/>
    <x v="2"/>
    <s v="AA "/>
    <s v="Super"/>
    <n v="55.99"/>
    <m/>
  </r>
  <r>
    <m/>
    <m/>
    <m/>
    <m/>
    <x v="15"/>
    <m/>
    <m/>
    <x v="2"/>
    <s v="RM"/>
    <s v="Super"/>
    <n v="133.16999999999999"/>
    <m/>
  </r>
  <r>
    <m/>
    <m/>
    <m/>
    <m/>
    <x v="15"/>
    <m/>
    <m/>
    <x v="2"/>
    <s v="CC"/>
    <s v="Super"/>
    <n v="58.46"/>
    <m/>
  </r>
  <r>
    <m/>
    <m/>
    <m/>
    <m/>
    <x v="15"/>
    <m/>
    <s v="Total"/>
    <x v="2"/>
    <m/>
    <m/>
    <n v="617.38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617.38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Superannuation (5-3002) Transactions  - Tech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Superannuation Expense"/>
    <s v="Payroll Expense Journal - PD-570"/>
    <n v="547.49"/>
    <m/>
  </r>
  <r>
    <m/>
    <m/>
    <m/>
    <m/>
    <x v="15"/>
    <m/>
    <d v="2017-08-14T00:00:00"/>
    <x v="5"/>
    <s v="Superannuation Expense"/>
    <s v="Payroll Expense Journal - PD-574"/>
    <n v="544.63"/>
    <m/>
  </r>
  <r>
    <m/>
    <m/>
    <m/>
    <m/>
    <x v="15"/>
    <m/>
    <d v="2017-08-21T00:00:00"/>
    <x v="5"/>
    <s v="Superannuation Expense"/>
    <s v="Payroll Expense Journal - PD-579"/>
    <n v="547.94000000000005"/>
    <m/>
  </r>
  <r>
    <m/>
    <m/>
    <m/>
    <m/>
    <x v="15"/>
    <m/>
    <d v="2017-08-28T00:00:00"/>
    <x v="5"/>
    <s v="Superannuation Expense"/>
    <s v="Payroll Expense Journal - PD-583"/>
    <n v="553.65"/>
    <m/>
  </r>
  <r>
    <m/>
    <m/>
    <m/>
    <m/>
    <x v="15"/>
    <m/>
    <m/>
    <x v="2"/>
    <s v="GC"/>
    <m/>
    <n v="315.74"/>
    <m/>
  </r>
  <r>
    <m/>
    <m/>
    <m/>
    <m/>
    <x v="15"/>
    <m/>
    <m/>
    <x v="6"/>
    <s v="DW,BA,ENW - NBN ACT "/>
    <m/>
    <n v="220.76"/>
    <m/>
  </r>
  <r>
    <m/>
    <m/>
    <m/>
    <m/>
    <x v="15"/>
    <m/>
    <m/>
    <x v="7"/>
    <s v="DH,DW,MR-NBN ACT"/>
    <m/>
    <n v="201.52"/>
    <m/>
  </r>
  <r>
    <m/>
    <m/>
    <m/>
    <m/>
    <x v="15"/>
    <m/>
    <s v="Total"/>
    <x v="2"/>
    <m/>
    <m/>
    <n v="2931.73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2931.73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Telephone Allowance Transactions- ADMIN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Earnings"/>
    <s v="Payroll Expense Journal - PD-570"/>
    <n v="23.08"/>
    <m/>
  </r>
  <r>
    <m/>
    <m/>
    <m/>
    <m/>
    <x v="15"/>
    <m/>
    <d v="2017-08-14T00:00:00"/>
    <x v="5"/>
    <s v="Earnings"/>
    <s v="Payroll Expense Journal - PD-574"/>
    <n v="23.08"/>
    <m/>
  </r>
  <r>
    <m/>
    <m/>
    <m/>
    <m/>
    <x v="15"/>
    <m/>
    <d v="2017-08-21T00:00:00"/>
    <x v="5"/>
    <s v="Earnings"/>
    <s v="Payroll Expense Journal - PD-579"/>
    <n v="23.08"/>
    <m/>
  </r>
  <r>
    <m/>
    <m/>
    <m/>
    <m/>
    <x v="15"/>
    <m/>
    <d v="2017-08-28T00:00:00"/>
    <x v="5"/>
    <s v="Earnings"/>
    <s v="Payroll Expense Journal - PD-583"/>
    <n v="23.08"/>
    <m/>
  </r>
  <r>
    <m/>
    <m/>
    <m/>
    <m/>
    <x v="15"/>
    <m/>
    <m/>
    <x v="2"/>
    <s v="AA &amp; RM"/>
    <s v="Tele"/>
    <n v="20"/>
    <m/>
  </r>
  <r>
    <m/>
    <m/>
    <m/>
    <m/>
    <x v="15"/>
    <m/>
    <s v="Total"/>
    <x v="2"/>
    <m/>
    <m/>
    <n v="112.32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12.32"/>
    <m/>
  </r>
  <r>
    <m/>
    <m/>
    <m/>
    <m/>
    <x v="15"/>
    <m/>
    <m/>
    <x v="2"/>
    <m/>
    <m/>
    <m/>
    <m/>
  </r>
  <r>
    <m/>
    <m/>
    <m/>
    <m/>
    <x v="15"/>
    <m/>
    <s v="Wages &amp; Salaries Transactions- ADMIN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Earnings"/>
    <s v="Payroll Expense Journal - PD-570"/>
    <n v="950"/>
    <m/>
  </r>
  <r>
    <m/>
    <m/>
    <m/>
    <m/>
    <x v="15"/>
    <m/>
    <d v="2017-08-14T00:00:00"/>
    <x v="5"/>
    <s v="Earnings"/>
    <s v="Payroll Expense Journal - PD-574"/>
    <n v="991.25"/>
    <m/>
  </r>
  <r>
    <m/>
    <m/>
    <m/>
    <m/>
    <x v="15"/>
    <m/>
    <d v="2017-08-21T00:00:00"/>
    <x v="5"/>
    <s v="Earnings"/>
    <s v="Payroll Expense Journal - PD-579"/>
    <n v="1062.51"/>
    <m/>
  </r>
  <r>
    <m/>
    <m/>
    <m/>
    <m/>
    <x v="15"/>
    <m/>
    <d v="2017-08-21T00:00:00"/>
    <x v="5"/>
    <s v="Earnings"/>
    <s v="Payroll Expense Journal - PD-579"/>
    <m/>
    <n v="0.01"/>
  </r>
  <r>
    <m/>
    <m/>
    <m/>
    <m/>
    <x v="15"/>
    <m/>
    <d v="2017-08-28T00:00:00"/>
    <x v="5"/>
    <s v="Earnings"/>
    <s v="Payroll Expense Journal - PD-583"/>
    <n v="950"/>
    <m/>
  </r>
  <r>
    <m/>
    <m/>
    <m/>
    <m/>
    <x v="15"/>
    <m/>
    <m/>
    <x v="2"/>
    <s v="AA"/>
    <m/>
    <n v="618.82000000000005"/>
    <m/>
  </r>
  <r>
    <m/>
    <m/>
    <m/>
    <m/>
    <x v="15"/>
    <m/>
    <m/>
    <x v="2"/>
    <s v="RM"/>
    <m/>
    <n v="1619.37"/>
    <m/>
  </r>
  <r>
    <m/>
    <m/>
    <m/>
    <m/>
    <x v="15"/>
    <m/>
    <m/>
    <x v="2"/>
    <s v="CC"/>
    <m/>
    <n v="615.38"/>
    <m/>
  </r>
  <r>
    <m/>
    <m/>
    <m/>
    <m/>
    <x v="15"/>
    <m/>
    <s v="Total"/>
    <x v="2"/>
    <m/>
    <m/>
    <n v="6807.33"/>
    <n v="0.01"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6807.32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Account Fees - Companies Transactions - ETOLL FEES &amp; TNT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10T00:00:00"/>
    <x v="8"/>
    <s v="E-Toll Business Operations Centre - Surcharge on Top- up account per transaction"/>
    <s v="Etoll - August 2017"/>
    <n v="1.6"/>
    <m/>
  </r>
  <r>
    <m/>
    <m/>
    <m/>
    <m/>
    <x v="15"/>
    <m/>
    <d v="2017-08-19T00:00:00"/>
    <x v="4"/>
    <s v="TNT Australia Pty Ltd - Account Service Fee"/>
    <s v="51603379"/>
    <n v="9.5"/>
    <m/>
  </r>
  <r>
    <m/>
    <m/>
    <m/>
    <m/>
    <x v="15"/>
    <m/>
    <d v="2017-08-24T00:00:00"/>
    <x v="8"/>
    <s v="E-Toll Business Operations Centre - Surcharge on Top- up account per transaction"/>
    <s v="E-toll August 2017"/>
    <n v="1.6"/>
    <m/>
  </r>
  <r>
    <m/>
    <m/>
    <m/>
    <m/>
    <x v="15"/>
    <m/>
    <d v="2017-08-31T00:00:00"/>
    <x v="8"/>
    <s v="E-Toll Business Operations Centre - Surcharge on Top- up account per transaction"/>
    <s v="Etoll top up August 2017"/>
    <n v="1.6"/>
    <m/>
  </r>
  <r>
    <m/>
    <m/>
    <m/>
    <m/>
    <x v="15"/>
    <m/>
    <s v="Total"/>
    <x v="2"/>
    <m/>
    <m/>
    <n v="14.299999999999999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4.3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Accounting Fees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4"/>
    <s v="Easdowns Business Specialists - Monthly Instalment per 2018 Service Agreement"/>
    <s v="122257"/>
    <n v="508.64"/>
    <m/>
  </r>
  <r>
    <m/>
    <m/>
    <m/>
    <m/>
    <x v="15"/>
    <m/>
    <s v="Total"/>
    <x v="2"/>
    <m/>
    <m/>
    <n v="508.64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508.64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Legal Fees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3T00:00:00"/>
    <x v="4"/>
    <s v="Wade Ryan Contracting - HSEQ Services for Month of July 2017_x000d__x000a_"/>
    <s v="294"/>
    <n v="533.33000000000004"/>
    <m/>
  </r>
  <r>
    <m/>
    <m/>
    <m/>
    <m/>
    <x v="15"/>
    <m/>
    <s v="Total"/>
    <x v="2"/>
    <m/>
    <m/>
    <n v="533.33000000000004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533.33000000000004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Office Supplies -  Sydne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4T00:00:00"/>
    <x v="4"/>
    <s v="Officeworks Superstores - Canon PG645 Ink Black"/>
    <s v="9094236001678412"/>
    <n v="24.9"/>
    <m/>
  </r>
  <r>
    <m/>
    <m/>
    <m/>
    <m/>
    <x v="15"/>
    <m/>
    <d v="2017-08-28T00:00:00"/>
    <x v="4"/>
    <s v="Officeworks Superstores - Reflex Ultra A4 Peper White 500 sheet 5 pack"/>
    <s v="155514254"/>
    <n v="22.68"/>
    <m/>
  </r>
  <r>
    <m/>
    <m/>
    <m/>
    <m/>
    <x v="15"/>
    <m/>
    <d v="2017-08-28T00:00:00"/>
    <x v="4"/>
    <s v="Officeworks Superstores - Scott Roll Towel 18cm x 140m 8 pack"/>
    <s v="155514254"/>
    <n v="32.67"/>
    <m/>
  </r>
  <r>
    <m/>
    <m/>
    <m/>
    <m/>
    <x v="15"/>
    <m/>
    <s v="Total"/>
    <x v="2"/>
    <m/>
    <m/>
    <n v="80.25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80.25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Telephone / Internet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16T00:00:00"/>
    <x v="4"/>
    <s v="Optus - Acct Number: 8106 5990 7001 41_x000d__x000a_0413257544 on Wireless Broadband 200GB"/>
    <s v="822699744"/>
    <n v="74.72"/>
    <m/>
  </r>
  <r>
    <m/>
    <m/>
    <m/>
    <m/>
    <x v="15"/>
    <m/>
    <d v="2017-08-21T00:00:00"/>
    <x v="4"/>
    <s v="Telstra Acc # 898 8808 200 - Sydney"/>
    <s v="P 247 924 641-4"/>
    <n v="136.36000000000001"/>
    <m/>
  </r>
  <r>
    <m/>
    <m/>
    <m/>
    <m/>
    <x v="15"/>
    <m/>
    <s v="Total"/>
    <x v="2"/>
    <m/>
    <m/>
    <n v="211.08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211.08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Tools &amp; Equipment - Sydne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10T00:00:00"/>
    <x v="4"/>
    <s v="C.R. Kennedy &amp; Company Pty Ltd - LG753466_x000d__x000a_Digicat 200 Main PCB Serviced and repaired"/>
    <s v="1184616"/>
    <n v="650"/>
    <m/>
  </r>
  <r>
    <m/>
    <m/>
    <m/>
    <m/>
    <x v="15"/>
    <m/>
    <s v="Total"/>
    <x v="2"/>
    <m/>
    <m/>
    <n v="650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650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Office/Wrkshp Main - Sydne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31T00:00:00"/>
    <x v="4"/>
    <s v="Cleanaway - 22/08/17_x000d__x000a_1 x Clear 1.5m Bin"/>
    <s v="11924980"/>
    <n v="93.9"/>
    <m/>
  </r>
  <r>
    <m/>
    <m/>
    <m/>
    <m/>
    <x v="15"/>
    <m/>
    <d v="2017-08-31T00:00:00"/>
    <x v="4"/>
    <s v="Cleanaway - 31/08/17_x000d__x000a_1 x Bin not out 1.5m Recycle"/>
    <s v="11924980"/>
    <n v="13"/>
    <m/>
  </r>
  <r>
    <m/>
    <m/>
    <m/>
    <m/>
    <x v="15"/>
    <m/>
    <d v="2017-08-31T00:00:00"/>
    <x v="4"/>
    <s v="Cleanaway - 1 x Environmental Fee"/>
    <s v="11924980"/>
    <n v="10.1"/>
    <m/>
  </r>
  <r>
    <m/>
    <m/>
    <m/>
    <m/>
    <x v="15"/>
    <m/>
    <d v="2017-08-31T00:00:00"/>
    <x v="4"/>
    <s v="Cleanaway - 3/08/17_x000d__x000a_1 x Clear 1.5m Recycle Bin"/>
    <s v="11924980"/>
    <n v="13"/>
    <m/>
  </r>
  <r>
    <m/>
    <m/>
    <m/>
    <m/>
    <x v="15"/>
    <m/>
    <d v="2017-08-31T00:00:00"/>
    <x v="4"/>
    <s v="Cleanaway - 8/08/17_x000d__x000a_1 x Clear 1.5m Bin"/>
    <s v="11924980"/>
    <n v="93.9"/>
    <m/>
  </r>
  <r>
    <m/>
    <m/>
    <m/>
    <m/>
    <x v="15"/>
    <m/>
    <d v="2017-08-31T00:00:00"/>
    <x v="4"/>
    <s v="Cleanaway - 17/08/17_x000d__x000a_1 x Clear 1.5m Recycle Bin"/>
    <s v="11924980"/>
    <n v="13"/>
    <m/>
  </r>
  <r>
    <m/>
    <m/>
    <m/>
    <m/>
    <x v="15"/>
    <m/>
    <s v="Total"/>
    <x v="2"/>
    <m/>
    <m/>
    <n v="236.9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236.9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Rates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28T00:00:00"/>
    <x v="4"/>
    <s v="Sydney Water - Wastewater (sewerage) Service"/>
    <s v="5663 689"/>
    <n v="215.41"/>
    <m/>
  </r>
  <r>
    <m/>
    <m/>
    <m/>
    <m/>
    <x v="15"/>
    <m/>
    <s v="Total"/>
    <x v="2"/>
    <m/>
    <m/>
    <n v="215.41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215.41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Rent  - Sydne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4"/>
    <s v="GILCIN - Rent 19/08/2017 - 18/09/2017_x000d__x000a_Unit 26, 10 John Hines Ave, Minchinbury NSW"/>
    <s v="0012"/>
    <n v="4416.66"/>
    <m/>
  </r>
  <r>
    <m/>
    <m/>
    <m/>
    <m/>
    <x v="15"/>
    <m/>
    <s v="Total"/>
    <x v="2"/>
    <m/>
    <m/>
    <n v="4416.66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4416.66"/>
    <m/>
  </r>
  <r>
    <m/>
    <m/>
    <m/>
    <m/>
    <x v="15"/>
    <m/>
    <m/>
    <x v="2"/>
    <m/>
    <m/>
    <m/>
    <m/>
  </r>
  <r>
    <m/>
    <m/>
    <m/>
    <m/>
    <x v="15"/>
    <m/>
    <s v="Water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4"/>
    <s v="Sydney Water - Metered Standpipe permit fee 1/07/17 - 30/06/17"/>
    <s v="5521 624"/>
    <n v="143.76"/>
    <m/>
  </r>
  <r>
    <m/>
    <m/>
    <m/>
    <m/>
    <x v="15"/>
    <m/>
    <d v="2017-08-28T00:00:00"/>
    <x v="4"/>
    <s v="Sydney Water - Water"/>
    <s v="5663 689"/>
    <n v="10.08"/>
    <m/>
  </r>
  <r>
    <m/>
    <m/>
    <m/>
    <m/>
    <x v="15"/>
    <m/>
    <d v="2017-08-28T00:00:00"/>
    <x v="4"/>
    <s v="Sydney Water - Water Service"/>
    <s v="5663 689"/>
    <n v="35.94"/>
    <m/>
  </r>
  <r>
    <m/>
    <m/>
    <m/>
    <m/>
    <x v="15"/>
    <m/>
    <s v="Total"/>
    <x v="2"/>
    <m/>
    <m/>
    <n v="189.78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89.78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63C00K 2013 Holden SS - Gilbert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22T00:00:00"/>
    <x v="4"/>
    <s v="Eureka Operations - Coles Express - E10 ULP 64.05L @ $1.249"/>
    <s v="2668538"/>
    <n v="72.73"/>
    <m/>
  </r>
  <r>
    <m/>
    <m/>
    <m/>
    <m/>
    <x v="15"/>
    <m/>
    <d v="2017-08-23T00:00:00"/>
    <x v="4"/>
    <s v="7 Eleven Pheasants Nest Nth - E10 ULP 55.90L @ $1.279"/>
    <s v="4659141"/>
    <n v="65"/>
    <m/>
  </r>
  <r>
    <m/>
    <m/>
    <m/>
    <m/>
    <x v="15"/>
    <m/>
    <s v="Total"/>
    <x v="2"/>
    <m/>
    <m/>
    <n v="137.73000000000002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37.72999999999999"/>
    <m/>
  </r>
  <r>
    <m/>
    <m/>
    <m/>
    <m/>
    <x v="15"/>
    <m/>
    <m/>
    <x v="2"/>
    <m/>
    <m/>
    <m/>
    <m/>
  </r>
  <r>
    <m/>
    <m/>
    <m/>
    <m/>
    <x v="15"/>
    <m/>
    <s v="BE38NA 2010 Toyota Land Cruiser -  Gilbert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30T00:00:00"/>
    <x v="4"/>
    <s v="Eureka Operations - Coles Express - Diesel 158.96L @ $1.369"/>
    <s v="1479439"/>
    <n v="197.84"/>
    <m/>
  </r>
  <r>
    <m/>
    <m/>
    <m/>
    <m/>
    <x v="15"/>
    <m/>
    <s v="Total"/>
    <x v="2"/>
    <m/>
    <m/>
    <n v="197.84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97.84"/>
    <m/>
  </r>
  <r>
    <m/>
    <m/>
    <m/>
    <m/>
    <x v="15"/>
    <m/>
    <m/>
    <x v="2"/>
    <m/>
    <m/>
    <m/>
    <m/>
  </r>
  <r>
    <m/>
    <m/>
    <m/>
    <m/>
    <x v="15"/>
    <m/>
    <s v="BU59MS 2013 Hiace Van - Sydney GB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4"/>
    <s v="Caltex Heathcote - Vortex ULP 44.99L @ $1.334"/>
    <s v="76512"/>
    <n v="54.56"/>
    <m/>
  </r>
  <r>
    <m/>
    <m/>
    <m/>
    <m/>
    <x v="15"/>
    <m/>
    <d v="2017-08-04T00:00:00"/>
    <x v="4"/>
    <s v="7 Eleven Minchinbury - ULP 51.06L @ $1.184"/>
    <s v="2464205"/>
    <n v="54.95"/>
    <m/>
  </r>
  <r>
    <m/>
    <m/>
    <m/>
    <m/>
    <x v="15"/>
    <m/>
    <d v="2017-08-09T00:00:00"/>
    <x v="4"/>
    <s v="7 Eleven Burwood - Premium ULP 46.12L @ $1.509"/>
    <s v="2818387"/>
    <n v="63.27"/>
    <m/>
  </r>
  <r>
    <m/>
    <m/>
    <m/>
    <m/>
    <x v="15"/>
    <m/>
    <d v="2017-08-14T00:00:00"/>
    <x v="4"/>
    <s v="7 Eleven Croydon Park - Premium ULP 46.51L @ $1.419"/>
    <s v="1741874"/>
    <n v="59.99"/>
    <m/>
  </r>
  <r>
    <m/>
    <m/>
    <m/>
    <m/>
    <x v="15"/>
    <m/>
    <d v="2017-08-17T00:00:00"/>
    <x v="4"/>
    <s v="7 Eleven Windsor - Premium ULP 48.16L @ $1.413"/>
    <s v="1962031"/>
    <n v="61.86"/>
    <m/>
  </r>
  <r>
    <m/>
    <m/>
    <m/>
    <m/>
    <x v="15"/>
    <m/>
    <d v="2017-08-22T00:00:00"/>
    <x v="4"/>
    <s v="AP Punchbowl - E10 ULP 36.52L @ $1.098"/>
    <s v="2463188"/>
    <n v="36.450000000000003"/>
    <m/>
  </r>
  <r>
    <m/>
    <m/>
    <m/>
    <m/>
    <x v="15"/>
    <m/>
    <d v="2017-08-25T00:00:00"/>
    <x v="4"/>
    <s v="Caltex Lakemba - Vortex ULP 49.67L  @ $1.319"/>
    <s v="21030"/>
    <n v="59.55"/>
    <m/>
  </r>
  <r>
    <m/>
    <m/>
    <m/>
    <m/>
    <x v="15"/>
    <m/>
    <d v="2017-08-30T00:00:00"/>
    <x v="4"/>
    <s v="Ultra Tune St Marys - Air Filter"/>
    <s v="313566"/>
    <n v="31.82"/>
    <m/>
  </r>
  <r>
    <m/>
    <m/>
    <m/>
    <m/>
    <x v="15"/>
    <m/>
    <d v="2017-08-30T00:00:00"/>
    <x v="4"/>
    <s v="Ultra Tune St Marys - ECU Test/Scan"/>
    <s v="313566"/>
    <n v="0.91"/>
    <m/>
  </r>
  <r>
    <m/>
    <m/>
    <m/>
    <m/>
    <x v="15"/>
    <m/>
    <d v="2017-08-30T00:00:00"/>
    <x v="4"/>
    <s v="Ultra Tune St Marys - Environmental Levy"/>
    <s v="313566"/>
    <n v="9"/>
    <m/>
  </r>
  <r>
    <m/>
    <m/>
    <m/>
    <m/>
    <x v="15"/>
    <m/>
    <d v="2017-08-30T00:00:00"/>
    <x v="4"/>
    <s v="Ultra Tune St Marys - Labour"/>
    <s v="313566"/>
    <n v="153"/>
    <m/>
  </r>
  <r>
    <m/>
    <m/>
    <m/>
    <m/>
    <x v="15"/>
    <m/>
    <d v="2017-08-30T00:00:00"/>
    <x v="4"/>
    <s v="Ultra Tune St Marys - Oil Filter"/>
    <s v="313566"/>
    <n v="10.71"/>
    <m/>
  </r>
  <r>
    <m/>
    <m/>
    <m/>
    <m/>
    <x v="15"/>
    <m/>
    <d v="2017-08-30T00:00:00"/>
    <x v="4"/>
    <s v="Ultra Tune St Marys - FMX Magnatec professional 10W/30"/>
    <s v="313566"/>
    <n v="74.650000000000006"/>
    <m/>
  </r>
  <r>
    <m/>
    <m/>
    <m/>
    <m/>
    <x v="15"/>
    <m/>
    <d v="2017-08-30T00:00:00"/>
    <x v="4"/>
    <s v="Ultra Tune St Marys - Workshop Consumables"/>
    <s v="313566"/>
    <n v="9"/>
    <m/>
  </r>
  <r>
    <m/>
    <m/>
    <m/>
    <m/>
    <x v="15"/>
    <m/>
    <d v="2017-08-30T00:00:00"/>
    <x v="4"/>
    <s v="Ultra Tune St Marys - Sump Plug Washer"/>
    <s v="313566"/>
    <n v="1.82"/>
    <m/>
  </r>
  <r>
    <m/>
    <m/>
    <m/>
    <m/>
    <x v="15"/>
    <m/>
    <s v="Total"/>
    <x v="2"/>
    <m/>
    <m/>
    <n v="681.54000000000008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681.54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BX10GL Sydney Tipper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4"/>
    <s v="Transport Repair Services Pty Ltd - Rego ticket"/>
    <s v="00026011"/>
    <n v="60"/>
    <m/>
  </r>
  <r>
    <m/>
    <m/>
    <m/>
    <m/>
    <x v="15"/>
    <m/>
    <d v="2017-08-01T00:00:00"/>
    <x v="4"/>
    <s v="BP Davis Road - Diesel 84.87L @ $1.280"/>
    <s v="01-726784"/>
    <n v="98.77"/>
    <m/>
  </r>
  <r>
    <m/>
    <m/>
    <m/>
    <m/>
    <x v="15"/>
    <m/>
    <d v="2017-08-07T00:00:00"/>
    <x v="4"/>
    <s v="BP Marsden Park - Ultimate Diesel 88.96L @ $1.259"/>
    <s v="410302"/>
    <n v="101.82"/>
    <m/>
  </r>
  <r>
    <m/>
    <m/>
    <m/>
    <m/>
    <x v="15"/>
    <m/>
    <d v="2017-08-11T00:00:00"/>
    <x v="4"/>
    <s v="BP Werrington - Ultimate Diesel 87.41L @ $1.239"/>
    <s v="170811 07:03"/>
    <n v="98.45"/>
    <m/>
  </r>
  <r>
    <m/>
    <m/>
    <m/>
    <m/>
    <x v="15"/>
    <m/>
    <d v="2017-08-16T00:00:00"/>
    <x v="4"/>
    <s v="BP Leppington - Diesel 95.81L @ $1.169"/>
    <s v="704087"/>
    <n v="101.82"/>
    <m/>
  </r>
  <r>
    <m/>
    <m/>
    <m/>
    <m/>
    <x v="15"/>
    <m/>
    <d v="2017-08-21T00:00:00"/>
    <x v="4"/>
    <s v="BP Wollongong - Ultimate Diesel 74.75L @ $1.299"/>
    <s v="864942"/>
    <n v="88.27"/>
    <m/>
  </r>
  <r>
    <m/>
    <m/>
    <m/>
    <m/>
    <x v="15"/>
    <m/>
    <d v="2017-08-25T00:00:00"/>
    <x v="4"/>
    <s v="BP Connect Minchinbury - Diesel 76.08L @ $1.249"/>
    <s v="495316"/>
    <n v="86.38"/>
    <m/>
  </r>
  <r>
    <m/>
    <m/>
    <m/>
    <m/>
    <x v="15"/>
    <m/>
    <d v="2017-08-31T00:00:00"/>
    <x v="4"/>
    <s v="BP Davis Road - Ultimate Diesel 91.34L @ $1.259 "/>
    <s v="01-747014"/>
    <n v="104.55"/>
    <m/>
  </r>
  <r>
    <m/>
    <m/>
    <m/>
    <m/>
    <x v="15"/>
    <m/>
    <s v="Total"/>
    <x v="2"/>
    <m/>
    <m/>
    <n v="740.06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740.06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CGCOOK 2012 Toyota Rav 4  - Cind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17T00:00:00"/>
    <x v="4"/>
    <s v="Caltex Yass - E10 ULP 53.73L @ $1.247"/>
    <s v="63576"/>
    <n v="60.91"/>
    <m/>
  </r>
  <r>
    <m/>
    <m/>
    <m/>
    <m/>
    <x v="15"/>
    <m/>
    <s v="Total"/>
    <x v="2"/>
    <m/>
    <m/>
    <n v="60.91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60.91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CHV14B 2013 Toyota Hilux - Sydney PJ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16T00:00:00"/>
    <x v="4"/>
    <s v="7 Eleven Eastern Creek - Diesel 53.18L @ $1.2194"/>
    <s v="1230678"/>
    <n v="58.95"/>
    <m/>
  </r>
  <r>
    <m/>
    <m/>
    <m/>
    <m/>
    <x v="15"/>
    <m/>
    <d v="2017-08-23T00:00:00"/>
    <x v="4"/>
    <s v="Eureka Operations - Coles Express - Diesel 60.05L @ $1.299"/>
    <s v="1644331"/>
    <n v="70.91"/>
    <m/>
  </r>
  <r>
    <m/>
    <m/>
    <m/>
    <m/>
    <x v="15"/>
    <m/>
    <d v="2017-08-29T00:00:00"/>
    <x v="4"/>
    <s v="Caltex Eastern Creek - Vortex Diesel 35.12L @ $1.259"/>
    <s v="42117"/>
    <n v="40.200000000000003"/>
    <m/>
  </r>
  <r>
    <m/>
    <m/>
    <m/>
    <m/>
    <x v="15"/>
    <m/>
    <s v="Total"/>
    <x v="2"/>
    <m/>
    <m/>
    <n v="170.06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70.06"/>
    <m/>
  </r>
  <r>
    <m/>
    <m/>
    <m/>
    <m/>
    <x v="15"/>
    <m/>
    <m/>
    <x v="2"/>
    <m/>
    <m/>
    <m/>
    <m/>
  </r>
  <r>
    <m/>
    <m/>
    <m/>
    <m/>
    <x v="15"/>
    <m/>
    <s v="CYY40G 2015 Toyota Hilux - Dylan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8T00:00:00"/>
    <x v="4"/>
    <s v="Caltex Queanbeyan - Vortex Diesel 64.51L @ $1.219"/>
    <s v="51997"/>
    <n v="71.489999999999995"/>
    <m/>
  </r>
  <r>
    <m/>
    <m/>
    <m/>
    <m/>
    <x v="15"/>
    <m/>
    <d v="2017-08-17T00:00:00"/>
    <x v="4"/>
    <s v="Caltex Mitchell - Vortex Diesel 63.78L @ $1.319"/>
    <s v="48406"/>
    <n v="76.48"/>
    <m/>
  </r>
  <r>
    <m/>
    <m/>
    <m/>
    <m/>
    <x v="15"/>
    <m/>
    <s v="Total"/>
    <x v="2"/>
    <m/>
    <m/>
    <n v="147.97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47.97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DMJ74G 2017 Hiace Van - Sydne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4"/>
    <s v="Woolworths Petrol - Vortex Diesel 54.48L @ $1.199"/>
    <s v="001/9458"/>
    <n v="59.38"/>
    <m/>
  </r>
  <r>
    <m/>
    <m/>
    <m/>
    <m/>
    <x v="15"/>
    <m/>
    <d v="2017-08-08T00:00:00"/>
    <x v="4"/>
    <s v="BP Smeaton Grange - Ultimate Diesel 52.92L @ $1.199"/>
    <s v="212797"/>
    <n v="57.68"/>
    <m/>
  </r>
  <r>
    <m/>
    <m/>
    <m/>
    <m/>
    <x v="15"/>
    <m/>
    <d v="2017-08-15T00:00:00"/>
    <x v="4"/>
    <s v="Eureka Operations - Coles Express - Diesel 55.59L @ $1.299"/>
    <s v="1923789"/>
    <n v="65.650000000000006"/>
    <m/>
  </r>
  <r>
    <m/>
    <m/>
    <m/>
    <m/>
    <x v="15"/>
    <m/>
    <d v="2017-08-22T00:00:00"/>
    <x v="4"/>
    <s v="7 Eleven Blair Athol - Diesel 57.05L @ $1.279"/>
    <s v="3555924"/>
    <n v="66.33"/>
    <m/>
  </r>
  <r>
    <m/>
    <m/>
    <m/>
    <m/>
    <x v="15"/>
    <m/>
    <d v="2017-08-29T00:00:00"/>
    <x v="4"/>
    <s v="Eureka Operations - Coles Express - Diesel 56.80L  @ $1.299 "/>
    <s v="1940213"/>
    <n v="67.069999999999993"/>
    <m/>
  </r>
  <r>
    <m/>
    <m/>
    <m/>
    <m/>
    <x v="15"/>
    <m/>
    <s v="Total"/>
    <x v="2"/>
    <m/>
    <m/>
    <n v="316.11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316.11"/>
    <m/>
  </r>
  <r>
    <m/>
    <m/>
    <m/>
    <m/>
    <x v="15"/>
    <m/>
    <m/>
    <x v="2"/>
    <m/>
    <m/>
    <m/>
    <m/>
  </r>
  <r>
    <m/>
    <m/>
    <m/>
    <m/>
    <x v="15"/>
    <m/>
    <s v="Equipment &amp; Vehicle expense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9"/>
    <s v="SYDNEY VEHICLE  AND TEST EQUIPMENT RENTAL - TEST EQUIPMENT MONTHLY RENTAL"/>
    <s v="#35959"/>
    <n v="902"/>
    <m/>
  </r>
  <r>
    <m/>
    <m/>
    <m/>
    <m/>
    <x v="15"/>
    <m/>
    <d v="2017-08-01T00:00:00"/>
    <x v="9"/>
    <s v="SYDNEY VEHICLE  AND TEST EQUIPMENT RENTAL - Forklift"/>
    <s v="#35959"/>
    <n v="487"/>
    <m/>
  </r>
  <r>
    <m/>
    <m/>
    <m/>
    <m/>
    <x v="15"/>
    <m/>
    <d v="2017-08-01T00:00:00"/>
    <x v="9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s v="#35959"/>
    <n v="833"/>
    <m/>
  </r>
  <r>
    <m/>
    <m/>
    <m/>
    <m/>
    <x v="15"/>
    <m/>
    <d v="2017-08-01T00:00:00"/>
    <x v="9"/>
    <s v="SYDNEY VEHICLE  AND TEST EQUIPMENT RENTAL - BU59MS -HIACE RENTAL - "/>
    <s v="#35959"/>
    <n v="833"/>
    <m/>
  </r>
  <r>
    <m/>
    <m/>
    <m/>
    <m/>
    <x v="15"/>
    <m/>
    <d v="2017-08-01T00:00:00"/>
    <x v="9"/>
    <s v="SYDNEY VEHICLE  AND TEST EQUIPMENT RENTAL - DMJ74G"/>
    <s v="#35959"/>
    <n v="833"/>
    <m/>
  </r>
  <r>
    <m/>
    <m/>
    <m/>
    <m/>
    <x v="15"/>
    <m/>
    <s v="Total"/>
    <x v="2"/>
    <m/>
    <m/>
    <n v="3888"/>
    <m/>
  </r>
  <r>
    <m/>
    <m/>
    <m/>
    <m/>
    <x v="15"/>
    <m/>
    <m/>
    <x v="2"/>
    <m/>
    <m/>
    <m/>
    <m/>
  </r>
  <r>
    <m/>
    <m/>
    <m/>
    <m/>
    <x v="15"/>
    <m/>
    <d v="2017-06-30T00:00:00"/>
    <x v="2"/>
    <s v="Balance"/>
    <m/>
    <n v="3888"/>
    <m/>
  </r>
  <r>
    <m/>
    <m/>
    <m/>
    <m/>
    <x v="15"/>
    <m/>
    <m/>
    <x v="2"/>
    <m/>
    <m/>
    <m/>
    <m/>
  </r>
  <r>
    <m/>
    <m/>
    <m/>
    <m/>
    <x v="15"/>
    <m/>
    <s v="Forklift  - Sydne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31T00:00:00"/>
    <x v="4"/>
    <s v="Supagas - 2 x Monthly Rental of LPG 15kg Cylinder"/>
    <s v="88990-8-2017"/>
    <n v="10"/>
    <m/>
  </r>
  <r>
    <m/>
    <m/>
    <m/>
    <m/>
    <x v="15"/>
    <m/>
    <d v="2017-08-31T00:00:00"/>
    <x v="4"/>
    <s v="Supagas - 1 x LPG 15kg Cylinder"/>
    <s v="88990-8-2017"/>
    <n v="34.090000000000003"/>
    <m/>
  </r>
  <r>
    <m/>
    <m/>
    <m/>
    <m/>
    <x v="15"/>
    <m/>
    <s v="Total"/>
    <x v="2"/>
    <m/>
    <m/>
    <n v="44.09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44.09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Generators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4"/>
    <s v="BP Marsden Park - ULP 18.38L @ $1.469"/>
    <s v="410302"/>
    <n v="24.55"/>
    <m/>
  </r>
  <r>
    <m/>
    <m/>
    <m/>
    <m/>
    <x v="15"/>
    <m/>
    <s v="Total"/>
    <x v="2"/>
    <m/>
    <m/>
    <n v="24.55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24.55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Trailers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3T00:00:00"/>
    <x v="4"/>
    <s v="Ontime Mechanical Services - TB38YH_x000d__x000a_Pink Slip_x000d__x000a_Reflectors_x000d__x000a_Brake Adjustment"/>
    <s v="0301071"/>
    <n v="90.91"/>
    <m/>
  </r>
  <r>
    <m/>
    <m/>
    <m/>
    <m/>
    <x v="15"/>
    <m/>
    <s v="Total"/>
    <x v="2"/>
    <m/>
    <m/>
    <n v="90.91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90.91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94">
  <r>
    <s v="Greg Baylis"/>
    <d v="2018-06-01T00:00:00"/>
    <x v="0"/>
    <d v="1899-12-30T05:30:00"/>
    <d v="1899-12-30T15:00:00"/>
    <n v="0.5"/>
    <n v="9"/>
    <n v="7.5"/>
    <n v="1.5"/>
    <m/>
    <n v="309.46499999999997"/>
    <n v="22.614749999999997"/>
    <n v="5.98"/>
    <m/>
    <n v="15.34"/>
    <n v="41.65"/>
    <n v="20"/>
    <n v="45.1"/>
    <n v="3.6619999999999999"/>
    <n v="4.6159999999999997"/>
    <n v="468.42774999999995"/>
  </r>
  <r>
    <s v="Greg Baylis"/>
    <d v="2018-06-04T00:00:00"/>
    <x v="1"/>
    <d v="1899-12-30T07:00:00"/>
    <d v="1899-12-30T15:00:00"/>
    <n v="0.5"/>
    <n v="7.5"/>
    <n v="7.5"/>
    <m/>
    <m/>
    <n v="238.04999999999998"/>
    <n v="22.614749999999997"/>
    <n v="3.49"/>
    <m/>
    <m/>
    <n v="41.65"/>
    <n v="21"/>
    <n v="45.1"/>
    <n v="3.6619999999999999"/>
    <n v="4.6159999999999997"/>
    <n v="380.18274999999994"/>
  </r>
  <r>
    <s v="Greg Baylis"/>
    <d v="2018-06-05T00:00:00"/>
    <x v="2"/>
    <d v="1899-12-30T07:00:00"/>
    <d v="1899-12-30T15:00:00"/>
    <n v="0.5"/>
    <n v="7.5"/>
    <n v="7.5"/>
    <m/>
    <m/>
    <n v="238.04999999999998"/>
    <n v="22.614749999999997"/>
    <n v="3.49"/>
    <m/>
    <m/>
    <n v="41.65"/>
    <n v="21"/>
    <n v="45.1"/>
    <n v="3.6619999999999999"/>
    <n v="4.6159999999999997"/>
    <n v="380.18274999999994"/>
  </r>
  <r>
    <s v="Greg Baylis"/>
    <d v="2018-06-06T00:00:00"/>
    <x v="2"/>
    <d v="1899-12-30T07:00:00"/>
    <d v="1899-12-30T15:15:00"/>
    <n v="0.5"/>
    <n v="7.7499999999999982"/>
    <n v="7.5"/>
    <n v="0.25"/>
    <m/>
    <n v="249.95249999999999"/>
    <n v="22.614749999999997"/>
    <n v="3.49"/>
    <m/>
    <m/>
    <n v="41.65"/>
    <n v="21"/>
    <n v="45.1"/>
    <n v="3.6619999999999999"/>
    <n v="4.6159999999999997"/>
    <n v="392.08524999999997"/>
  </r>
  <r>
    <s v="Greg Baylis"/>
    <d v="2018-06-07T00:00:00"/>
    <x v="2"/>
    <d v="1899-12-30T07:00:00"/>
    <d v="1899-12-30T16:15:00"/>
    <n v="0.5"/>
    <n v="8.7499999999999929"/>
    <n v="7.5"/>
    <n v="1.25"/>
    <m/>
    <n v="297.5625"/>
    <n v="22.614749999999997"/>
    <n v="3.49"/>
    <m/>
    <m/>
    <n v="41.65"/>
    <n v="21"/>
    <n v="45.1"/>
    <n v="3.6619999999999999"/>
    <n v="4.6159999999999997"/>
    <n v="439.69524999999999"/>
  </r>
  <r>
    <s v="Greg Baylis"/>
    <d v="2018-06-08T00:00:00"/>
    <x v="0"/>
    <d v="1899-12-30T06:00:00"/>
    <d v="1899-12-30T15:45:00"/>
    <n v="0.5"/>
    <n v="9.25"/>
    <n v="7.5"/>
    <n v="1.75"/>
    <m/>
    <n v="321.36749999999995"/>
    <n v="22.614749999999997"/>
    <n v="5.98"/>
    <m/>
    <n v="15.34"/>
    <n v="41.65"/>
    <n v="20"/>
    <n v="45.1"/>
    <n v="3.6619999999999999"/>
    <n v="4.6159999999999997"/>
    <n v="480.33024999999992"/>
  </r>
  <r>
    <s v="Greg Baylis"/>
    <d v="2018-06-11T00:00:00"/>
    <x v="3"/>
    <d v="1899-12-30T07:00:00"/>
    <d v="1899-12-30T15:00:00"/>
    <n v="0.5"/>
    <n v="7.5"/>
    <n v="7.5"/>
    <m/>
    <m/>
    <n v="238.04999999999998"/>
    <n v="22.614749999999997"/>
    <m/>
    <m/>
    <m/>
    <n v="41.65"/>
    <m/>
    <n v="45.1"/>
    <n v="3.6619999999999999"/>
    <n v="4.6159999999999997"/>
    <n v="355.69274999999993"/>
  </r>
  <r>
    <s v="Greg Baylis"/>
    <d v="2018-06-12T00:00:00"/>
    <x v="0"/>
    <d v="1899-12-30T06:00:00"/>
    <d v="1899-12-30T15:45:00"/>
    <n v="0.5"/>
    <n v="9.25"/>
    <n v="7.5"/>
    <n v="1.75"/>
    <m/>
    <n v="321.36749999999995"/>
    <n v="22.614749999999997"/>
    <n v="5.98"/>
    <m/>
    <n v="15.34"/>
    <n v="41.65"/>
    <n v="20"/>
    <n v="45.1"/>
    <n v="3.6619999999999999"/>
    <n v="4.6159999999999997"/>
    <n v="480.33024999999992"/>
  </r>
  <r>
    <s v="Greg Baylis"/>
    <d v="2018-06-13T00:00:00"/>
    <x v="4"/>
    <d v="1899-12-30T07:00:00"/>
    <d v="1899-12-30T15:15:00"/>
    <n v="0.5"/>
    <n v="7.7499999999999982"/>
    <n v="7.5"/>
    <n v="0.25"/>
    <m/>
    <n v="249.95249999999999"/>
    <n v="22.614749999999997"/>
    <n v="3.49"/>
    <m/>
    <m/>
    <n v="41.65"/>
    <n v="21"/>
    <n v="45.1"/>
    <n v="3.6619999999999999"/>
    <n v="4.6159999999999997"/>
    <n v="392.08524999999997"/>
  </r>
  <r>
    <s v="Greg Baylis"/>
    <d v="2018-06-14T00:00:00"/>
    <x v="4"/>
    <d v="1899-12-30T07:00:00"/>
    <d v="1899-12-30T15:00:00"/>
    <n v="0.5"/>
    <n v="7.5"/>
    <n v="7.5"/>
    <m/>
    <m/>
    <n v="238.04999999999998"/>
    <n v="22.614749999999997"/>
    <n v="3.49"/>
    <m/>
    <m/>
    <n v="41.65"/>
    <n v="21"/>
    <n v="45.1"/>
    <n v="3.6619999999999999"/>
    <n v="4.6159999999999997"/>
    <n v="380.18274999999994"/>
  </r>
  <r>
    <s v="Greg Baylis"/>
    <d v="2018-06-15T00:00:00"/>
    <x v="4"/>
    <d v="1899-12-30T07:00:00"/>
    <d v="1899-12-30T15:30:00"/>
    <n v="0.5"/>
    <n v="8"/>
    <n v="7.5"/>
    <n v="0.5"/>
    <m/>
    <n v="261.85499999999996"/>
    <n v="22.614749999999997"/>
    <n v="3.49"/>
    <m/>
    <m/>
    <n v="41.65"/>
    <n v="21"/>
    <n v="45.1"/>
    <n v="3.6619999999999999"/>
    <n v="4.6159999999999997"/>
    <n v="403.98774999999995"/>
  </r>
  <r>
    <s v="Greg Baylis"/>
    <d v="2018-06-18T00:00:00"/>
    <x v="4"/>
    <d v="1899-12-30T07:00:00"/>
    <d v="1899-12-30T16:30:00"/>
    <n v="0.5"/>
    <n v="9"/>
    <n v="7.5"/>
    <n v="1.5"/>
    <m/>
    <n v="309.46499999999997"/>
    <n v="22.614749999999997"/>
    <n v="3.49"/>
    <m/>
    <m/>
    <n v="41.65"/>
    <n v="21"/>
    <n v="45.1"/>
    <n v="3.6619999999999999"/>
    <n v="4.6159999999999997"/>
    <n v="451.59774999999996"/>
  </r>
  <r>
    <s v="Greg Baylis"/>
    <d v="2018-06-19T00:00:00"/>
    <x v="5"/>
    <d v="1899-12-30T07:00:00"/>
    <d v="1899-12-30T16:30:00"/>
    <n v="0.5"/>
    <n v="9"/>
    <n v="7.5"/>
    <n v="1.5"/>
    <m/>
    <n v="309.46499999999997"/>
    <n v="22.614749999999997"/>
    <n v="3.49"/>
    <m/>
    <m/>
    <n v="41.65"/>
    <n v="21"/>
    <n v="45.1"/>
    <n v="3.6619999999999999"/>
    <n v="4.6159999999999997"/>
    <n v="451.59774999999996"/>
  </r>
  <r>
    <s v="Greg Baylis"/>
    <d v="2018-06-20T00:00:00"/>
    <x v="5"/>
    <d v="1899-12-30T07:00:00"/>
    <d v="1899-12-30T16:30:00"/>
    <n v="0.5"/>
    <n v="9"/>
    <n v="7.5"/>
    <n v="1.5"/>
    <m/>
    <n v="309.46499999999997"/>
    <n v="22.614749999999997"/>
    <n v="3.49"/>
    <m/>
    <m/>
    <n v="41.65"/>
    <n v="21"/>
    <n v="45.1"/>
    <n v="3.6619999999999999"/>
    <n v="4.6159999999999997"/>
    <n v="451.59774999999996"/>
  </r>
  <r>
    <s v="Greg Baylis"/>
    <d v="2018-06-21T00:00:00"/>
    <x v="6"/>
    <d v="1899-12-30T07:00:00"/>
    <d v="1899-12-30T16:30:00"/>
    <n v="0.5"/>
    <n v="9"/>
    <n v="7.5"/>
    <n v="1.5"/>
    <m/>
    <n v="309.46499999999997"/>
    <n v="22.614749999999997"/>
    <n v="3.49"/>
    <m/>
    <m/>
    <n v="41.65"/>
    <n v="21"/>
    <n v="45.1"/>
    <n v="3.6619999999999999"/>
    <n v="4.6159999999999997"/>
    <n v="451.59774999999996"/>
  </r>
  <r>
    <s v="Greg Baylis"/>
    <d v="2018-06-22T00:00:00"/>
    <x v="7"/>
    <d v="1899-12-30T07:00:00"/>
    <d v="1899-12-30T17:15:00"/>
    <n v="0.5"/>
    <n v="9.75"/>
    <n v="7.5"/>
    <n v="2.25"/>
    <m/>
    <n v="345.17250000000001"/>
    <n v="22.614749999999997"/>
    <n v="3.49"/>
    <m/>
    <m/>
    <n v="41.65"/>
    <n v="21"/>
    <n v="45.1"/>
    <n v="3.6619999999999999"/>
    <n v="4.6159999999999997"/>
    <n v="487.30525"/>
  </r>
  <r>
    <s v="Greg Baylis"/>
    <d v="2018-06-25T00:00:00"/>
    <x v="8"/>
    <d v="1899-12-30T07:00:00"/>
    <d v="1899-12-30T16:30:00"/>
    <n v="0.5"/>
    <n v="9"/>
    <n v="7.5"/>
    <n v="2.5"/>
    <m/>
    <n v="357.07499999999999"/>
    <n v="22.614749999999997"/>
    <n v="5.98"/>
    <m/>
    <n v="15.34"/>
    <n v="41.65"/>
    <n v="20"/>
    <n v="45.1"/>
    <n v="3.6619999999999999"/>
    <n v="4.6159999999999997"/>
    <n v="516.03774999999996"/>
  </r>
  <r>
    <s v="Greg Baylis"/>
    <d v="2018-06-26T00:00:00"/>
    <x v="8"/>
    <d v="1899-12-30T07:00:00"/>
    <d v="1899-12-30T17:15:00"/>
    <n v="0.5"/>
    <n v="9.75"/>
    <n v="7.5"/>
    <n v="3"/>
    <n v="0.25"/>
    <n v="396.75"/>
    <n v="22.614749999999997"/>
    <n v="5.98"/>
    <m/>
    <n v="15.34"/>
    <n v="41.65"/>
    <n v="20"/>
    <n v="45.1"/>
    <n v="3.6619999999999999"/>
    <n v="4.6159999999999997"/>
    <n v="555.71275000000003"/>
  </r>
  <r>
    <s v="Greg Baylis"/>
    <d v="2018-06-27T00:00:00"/>
    <x v="8"/>
    <d v="1899-12-30T05:30:00"/>
    <d v="1899-12-30T16:15:00"/>
    <n v="0.5"/>
    <n v="10.249999999999993"/>
    <n v="7.5"/>
    <n v="3"/>
    <n v="0.75"/>
    <n v="428.49"/>
    <n v="22.614749999999997"/>
    <n v="5.98"/>
    <m/>
    <n v="15.34"/>
    <n v="41.65"/>
    <n v="20"/>
    <n v="45.1"/>
    <n v="3.6619999999999999"/>
    <n v="4.6159999999999997"/>
    <n v="587.45275000000004"/>
  </r>
  <r>
    <s v="Greg Baylis"/>
    <d v="2018-06-28T00:00:00"/>
    <x v="8"/>
    <d v="1899-12-30T05:15:00"/>
    <d v="1899-12-30T16:15:00"/>
    <n v="0.5"/>
    <n v="10.499999999999993"/>
    <n v="7.5"/>
    <n v="3"/>
    <n v="1.1499999999999999"/>
    <n v="453.88200000000001"/>
    <n v="22.614749999999997"/>
    <n v="5.98"/>
    <m/>
    <n v="15.34"/>
    <n v="41.65"/>
    <n v="20"/>
    <n v="45.1"/>
    <n v="3.6619999999999999"/>
    <n v="4.6159999999999997"/>
    <n v="612.84475000000009"/>
  </r>
  <r>
    <s v="Greg Baylis"/>
    <d v="2018-06-29T00:00:00"/>
    <x v="8"/>
    <d v="1899-12-30T05:45:00"/>
    <d v="1899-12-30T16:00:00"/>
    <n v="0.5"/>
    <n v="9.7499999999999982"/>
    <n v="7.5"/>
    <n v="2.25"/>
    <m/>
    <n v="345.17250000000001"/>
    <n v="22.614749999999997"/>
    <n v="5.98"/>
    <m/>
    <n v="15.34"/>
    <n v="41.65"/>
    <n v="20"/>
    <n v="45.1"/>
    <n v="3.6619999999999999"/>
    <n v="4.6159999999999997"/>
    <n v="504.13524999999998"/>
  </r>
  <r>
    <s v="Greg Baylis"/>
    <d v="2018-05-01T00:00:00"/>
    <x v="9"/>
    <d v="1899-12-30T07:00:00"/>
    <d v="1899-12-30T15:15:00"/>
    <n v="0.5"/>
    <n v="7.7499999999999982"/>
    <n v="7.5"/>
    <n v="0.25"/>
    <m/>
    <n v="249.95249999999999"/>
    <n v="22.614749999999997"/>
    <n v="3.49"/>
    <m/>
    <m/>
    <n v="41.65"/>
    <n v="21"/>
    <n v="45.1"/>
    <n v="3.6619999999999999"/>
    <n v="4.6159999999999997"/>
    <n v="392.08524999999997"/>
  </r>
  <r>
    <s v="Greg Baylis"/>
    <d v="2018-05-02T00:00:00"/>
    <x v="9"/>
    <d v="1899-12-30T07:00:00"/>
    <d v="1899-12-30T15:00:00"/>
    <n v="0.5"/>
    <n v="7.5"/>
    <n v="7.5"/>
    <m/>
    <m/>
    <n v="238.04999999999998"/>
    <n v="22.614749999999997"/>
    <n v="3.49"/>
    <m/>
    <m/>
    <n v="41.65"/>
    <n v="21"/>
    <n v="45.1"/>
    <n v="3.6619999999999999"/>
    <n v="4.6159999999999997"/>
    <n v="380.18274999999994"/>
  </r>
  <r>
    <s v="Greg Baylis"/>
    <d v="2018-05-03T00:00:00"/>
    <x v="10"/>
    <d v="1899-12-30T07:00:00"/>
    <d v="1899-12-30T15:00:00"/>
    <n v="0.5"/>
    <n v="7.5"/>
    <n v="7.5"/>
    <m/>
    <m/>
    <n v="238.04999999999998"/>
    <n v="22.614749999999997"/>
    <n v="3.49"/>
    <m/>
    <m/>
    <n v="41.65"/>
    <n v="21"/>
    <n v="45.1"/>
    <n v="3.6619999999999999"/>
    <n v="4.6159999999999997"/>
    <n v="380.18274999999994"/>
  </r>
  <r>
    <s v="Greg Baylis"/>
    <d v="2018-05-04T00:00:00"/>
    <x v="11"/>
    <d v="1899-12-30T07:00:00"/>
    <d v="1899-12-30T15:00:00"/>
    <n v="0.5"/>
    <n v="7.5"/>
    <n v="7.5"/>
    <m/>
    <m/>
    <n v="238.04999999999998"/>
    <n v="22.614749999999997"/>
    <n v="3.49"/>
    <m/>
    <m/>
    <n v="41.65"/>
    <n v="21"/>
    <n v="45.1"/>
    <n v="3.6619999999999999"/>
    <n v="4.6159999999999997"/>
    <n v="380.18274999999994"/>
  </r>
  <r>
    <s v="Greg Baylis"/>
    <d v="2018-05-07T00:00:00"/>
    <x v="9"/>
    <d v="1899-12-30T07:00:00"/>
    <d v="1899-12-30T15:15:00"/>
    <n v="0.5"/>
    <n v="7.7499999999999982"/>
    <n v="7.5"/>
    <n v="0.25"/>
    <m/>
    <n v="249.95249999999999"/>
    <n v="22.614749999999997"/>
    <n v="3.49"/>
    <m/>
    <m/>
    <n v="41.65"/>
    <n v="21"/>
    <n v="45.1"/>
    <n v="3.6619999999999999"/>
    <n v="4.6159999999999997"/>
    <n v="392.08524999999997"/>
  </r>
  <r>
    <s v="Greg Baylis"/>
    <d v="2018-05-08T00:00:00"/>
    <x v="9"/>
    <d v="1899-12-30T07:00:00"/>
    <d v="1899-12-30T15:15:00"/>
    <n v="0.5"/>
    <n v="7.7499999999999982"/>
    <n v="7.5"/>
    <n v="0.25"/>
    <m/>
    <n v="249.95249999999999"/>
    <n v="22.614749999999997"/>
    <n v="3.49"/>
    <m/>
    <m/>
    <n v="41.65"/>
    <n v="21"/>
    <n v="45.1"/>
    <n v="3.6619999999999999"/>
    <n v="4.6159999999999997"/>
    <n v="392.08524999999997"/>
  </r>
  <r>
    <s v="Greg Baylis"/>
    <d v="2018-05-09T00:00:00"/>
    <x v="9"/>
    <d v="1899-12-30T07:00:00"/>
    <d v="1899-12-30T15:15:00"/>
    <n v="0.5"/>
    <n v="7.7499999999999982"/>
    <n v="7.5"/>
    <n v="0.25"/>
    <m/>
    <n v="249.95249999999999"/>
    <n v="22.614749999999997"/>
    <n v="3.49"/>
    <m/>
    <m/>
    <n v="41.65"/>
    <n v="21"/>
    <n v="45.1"/>
    <n v="3.6619999999999999"/>
    <n v="4.6159999999999997"/>
    <n v="392.08524999999997"/>
  </r>
  <r>
    <s v="Greg Baylis"/>
    <d v="2018-05-10T00:00:00"/>
    <x v="9"/>
    <d v="1899-12-30T07:00:00"/>
    <d v="1899-12-30T15:00:00"/>
    <n v="0.5"/>
    <n v="7.5"/>
    <n v="7.5"/>
    <m/>
    <m/>
    <n v="238.04999999999998"/>
    <n v="22.614749999999997"/>
    <n v="3.49"/>
    <m/>
    <m/>
    <n v="41.65"/>
    <n v="21"/>
    <n v="45.1"/>
    <n v="3.6619999999999999"/>
    <n v="4.6159999999999997"/>
    <n v="380.18274999999994"/>
  </r>
  <r>
    <s v="Greg Baylis"/>
    <d v="2018-05-11T00:00:00"/>
    <x v="9"/>
    <d v="1899-12-30T07:00:00"/>
    <d v="1899-12-30T15:00:00"/>
    <n v="0.5"/>
    <n v="7.5"/>
    <n v="7.5"/>
    <m/>
    <m/>
    <n v="238.04999999999998"/>
    <n v="22.614749999999997"/>
    <n v="3.49"/>
    <m/>
    <m/>
    <n v="41.65"/>
    <n v="21"/>
    <n v="45.1"/>
    <n v="3.6619999999999999"/>
    <n v="4.6159999999999997"/>
    <n v="380.18274999999994"/>
  </r>
  <r>
    <s v="Greg Baylis"/>
    <d v="2018-05-14T00:00:00"/>
    <x v="9"/>
    <d v="1899-12-30T07:00:00"/>
    <d v="1899-12-30T15:00:00"/>
    <n v="0.5"/>
    <n v="7.5"/>
    <n v="7.5"/>
    <m/>
    <m/>
    <n v="238.04999999999998"/>
    <n v="22.614749999999997"/>
    <n v="3.49"/>
    <m/>
    <m/>
    <n v="41.65"/>
    <n v="21"/>
    <n v="45.1"/>
    <n v="3.6619999999999999"/>
    <n v="4.6159999999999997"/>
    <n v="380.18274999999994"/>
  </r>
  <r>
    <s v="Greg Baylis"/>
    <d v="2018-05-15T00:00:00"/>
    <x v="9"/>
    <d v="1899-12-30T07:00:00"/>
    <d v="1899-12-30T15:15:00"/>
    <n v="0.5"/>
    <n v="7.7499999999999982"/>
    <n v="7.5"/>
    <n v="0.25"/>
    <m/>
    <n v="249.95249999999999"/>
    <n v="22.614749999999997"/>
    <n v="3.49"/>
    <m/>
    <m/>
    <n v="41.65"/>
    <n v="21"/>
    <n v="45.1"/>
    <n v="3.6619999999999999"/>
    <n v="4.6159999999999997"/>
    <n v="392.08524999999997"/>
  </r>
  <r>
    <s v="Greg Baylis"/>
    <d v="2018-05-16T00:00:00"/>
    <x v="9"/>
    <d v="1899-12-30T07:00:00"/>
    <d v="1899-12-30T15:00:00"/>
    <n v="0.5"/>
    <n v="7.5"/>
    <n v="7.5"/>
    <m/>
    <m/>
    <n v="238.04999999999998"/>
    <n v="22.614749999999997"/>
    <n v="3.49"/>
    <m/>
    <m/>
    <n v="41.65"/>
    <n v="21"/>
    <n v="45.1"/>
    <n v="3.6619999999999999"/>
    <n v="4.6159999999999997"/>
    <n v="380.18274999999994"/>
  </r>
  <r>
    <s v="Greg Baylis"/>
    <d v="2018-05-17T00:00:00"/>
    <x v="12"/>
    <d v="1899-12-30T07:00:00"/>
    <d v="1899-12-30T15:15:00"/>
    <n v="0.5"/>
    <n v="7.7499999999999982"/>
    <n v="7.5"/>
    <n v="0.25"/>
    <m/>
    <n v="249.95249999999999"/>
    <n v="22.614749999999997"/>
    <n v="3.49"/>
    <m/>
    <m/>
    <n v="41.65"/>
    <n v="21"/>
    <n v="45.1"/>
    <n v="3.6619999999999999"/>
    <n v="4.6159999999999997"/>
    <n v="392.08524999999997"/>
  </r>
  <r>
    <s v="Greg Baylis"/>
    <d v="2018-05-18T00:00:00"/>
    <x v="12"/>
    <d v="1899-12-30T07:00:00"/>
    <d v="1899-12-30T16:00:00"/>
    <n v="0.5"/>
    <n v="8.4999999999999982"/>
    <n v="7.5"/>
    <n v="1"/>
    <m/>
    <n v="285.65999999999997"/>
    <n v="22.614749999999997"/>
    <n v="3.49"/>
    <m/>
    <m/>
    <n v="41.65"/>
    <n v="21"/>
    <n v="45.1"/>
    <n v="3.6619999999999999"/>
    <n v="4.6159999999999997"/>
    <n v="427.79274999999996"/>
  </r>
  <r>
    <s v="Greg Baylis"/>
    <d v="2018-05-21T00:00:00"/>
    <x v="12"/>
    <d v="1899-12-30T07:00:00"/>
    <d v="1899-12-30T15:00:00"/>
    <n v="0.5"/>
    <n v="7.5"/>
    <n v="7.5"/>
    <m/>
    <m/>
    <n v="238.04999999999998"/>
    <n v="22.614749999999997"/>
    <n v="3.49"/>
    <m/>
    <m/>
    <n v="41.65"/>
    <n v="21"/>
    <n v="45.1"/>
    <n v="3.6619999999999999"/>
    <n v="4.6159999999999997"/>
    <n v="380.18274999999994"/>
  </r>
  <r>
    <s v="Greg Baylis"/>
    <d v="2018-05-22T00:00:00"/>
    <x v="13"/>
    <d v="1899-12-30T07:00:00"/>
    <d v="1899-12-30T15:00:00"/>
    <n v="0.5"/>
    <n v="7.5"/>
    <n v="7.5"/>
    <m/>
    <m/>
    <n v="238.04999999999998"/>
    <n v="22.614749999999997"/>
    <n v="3.49"/>
    <m/>
    <m/>
    <n v="41.65"/>
    <n v="21"/>
    <n v="45.1"/>
    <n v="3.6619999999999999"/>
    <n v="4.6159999999999997"/>
    <n v="380.18274999999994"/>
  </r>
  <r>
    <s v="Greg Baylis"/>
    <d v="2018-05-23T00:00:00"/>
    <x v="14"/>
    <d v="1899-12-30T07:00:00"/>
    <d v="1899-12-30T17:00:00"/>
    <n v="0.5"/>
    <n v="9.5"/>
    <n v="7.5"/>
    <n v="2"/>
    <m/>
    <n v="333.27"/>
    <n v="22.614749999999997"/>
    <n v="5.98"/>
    <m/>
    <n v="15.34"/>
    <n v="41.65"/>
    <n v="20"/>
    <n v="45.1"/>
    <n v="3.6619999999999999"/>
    <n v="4.6159999999999997"/>
    <n v="492.23274999999995"/>
  </r>
  <r>
    <s v="Greg Baylis"/>
    <d v="2018-05-24T00:00:00"/>
    <x v="14"/>
    <d v="1899-12-30T07:00:00"/>
    <d v="1899-12-30T17:00:00"/>
    <n v="0.5"/>
    <n v="9.5"/>
    <n v="7.5"/>
    <n v="2"/>
    <m/>
    <n v="333.27"/>
    <n v="22.614749999999997"/>
    <n v="5.98"/>
    <m/>
    <n v="15.34"/>
    <n v="41.65"/>
    <n v="20"/>
    <n v="45.1"/>
    <n v="3.6619999999999999"/>
    <n v="4.6159999999999997"/>
    <n v="492.23274999999995"/>
  </r>
  <r>
    <s v="Greg Baylis"/>
    <d v="2018-05-25T00:00:00"/>
    <x v="14"/>
    <d v="1899-12-30T07:00:00"/>
    <d v="1899-12-30T17:00:00"/>
    <n v="0.5"/>
    <n v="9.5"/>
    <n v="7.5"/>
    <n v="2"/>
    <m/>
    <n v="333.27"/>
    <n v="22.614749999999997"/>
    <n v="5.98"/>
    <m/>
    <n v="15.34"/>
    <n v="41.65"/>
    <n v="20"/>
    <n v="45.1"/>
    <n v="3.6619999999999999"/>
    <n v="4.6159999999999997"/>
    <n v="492.23274999999995"/>
  </r>
  <r>
    <s v="Greg Baylis"/>
    <d v="2018-05-28T00:00:00"/>
    <x v="14"/>
    <d v="1899-12-30T06:00:00"/>
    <d v="1899-12-30T18:30:00"/>
    <n v="0.5"/>
    <n v="12"/>
    <n v="7.5"/>
    <n v="3"/>
    <n v="1.5"/>
    <n v="476.1"/>
    <n v="22.614749999999997"/>
    <n v="5.98"/>
    <m/>
    <n v="15.34"/>
    <n v="41.65"/>
    <n v="20"/>
    <n v="45.1"/>
    <n v="3.6619999999999999"/>
    <n v="4.6159999999999997"/>
    <n v="635.06275000000005"/>
  </r>
  <r>
    <s v="Greg Baylis"/>
    <d v="2018-05-29T00:00:00"/>
    <x v="14"/>
    <d v="1899-12-30T06:00:00"/>
    <d v="1899-12-30T19:30:00"/>
    <n v="0.5"/>
    <n v="13"/>
    <n v="7.5"/>
    <n v="3"/>
    <n v="2.5"/>
    <n v="539.57999999999993"/>
    <n v="22.614749999999997"/>
    <n v="5.98"/>
    <m/>
    <n v="15.34"/>
    <n v="41.65"/>
    <n v="20"/>
    <n v="45.1"/>
    <n v="3.6619999999999999"/>
    <n v="4.6159999999999997"/>
    <n v="698.54274999999996"/>
  </r>
  <r>
    <s v="Greg Baylis"/>
    <d v="2018-05-30T00:00:00"/>
    <x v="14"/>
    <d v="1899-12-30T05:30:00"/>
    <d v="1899-12-30T16:45:00"/>
    <n v="0.5"/>
    <n v="10.75"/>
    <n v="7.5"/>
    <n v="3"/>
    <n v="0.25"/>
    <n v="396.75"/>
    <n v="22.614749999999997"/>
    <n v="5.98"/>
    <m/>
    <n v="15.34"/>
    <n v="41.65"/>
    <n v="20"/>
    <n v="45.1"/>
    <n v="3.6619999999999999"/>
    <n v="4.6159999999999997"/>
    <n v="555.71275000000003"/>
  </r>
  <r>
    <s v="Greg Baylis"/>
    <d v="2018-05-31T00:00:00"/>
    <x v="14"/>
    <d v="1899-12-30T06:00:00"/>
    <d v="1899-12-30T17:00:00"/>
    <n v="0.5"/>
    <n v="10.5"/>
    <n v="7.5"/>
    <n v="3"/>
    <m/>
    <n v="380.88"/>
    <n v="22.614749999999997"/>
    <n v="5.98"/>
    <m/>
    <n v="15.34"/>
    <n v="41.65"/>
    <n v="20"/>
    <n v="45.1"/>
    <n v="3.6619999999999999"/>
    <n v="4.6159999999999997"/>
    <n v="539.84275000000002"/>
  </r>
  <r>
    <s v="Greg Baylis"/>
    <d v="2018-05-22T00:00:00"/>
    <x v="13"/>
    <d v="1899-12-30T07:00:00"/>
    <d v="1899-12-30T15:00:00"/>
    <n v="0.5"/>
    <n v="7.5"/>
    <n v="7.5"/>
    <m/>
    <m/>
    <n v="238.04999999999998"/>
    <n v="22.614749999999997"/>
    <n v="5.98"/>
    <m/>
    <n v="15.34"/>
    <n v="41.65"/>
    <n v="20"/>
    <n v="45.1"/>
    <n v="3.6619999999999999"/>
    <n v="4.6159999999999997"/>
    <n v="397.01274999999993"/>
  </r>
  <r>
    <s v="Kartsen Ewerlin"/>
    <d v="2018-05-22T00:00:00"/>
    <x v="15"/>
    <m/>
    <m/>
    <m/>
    <m/>
    <m/>
    <m/>
    <m/>
    <m/>
    <m/>
    <m/>
    <m/>
    <m/>
    <m/>
    <m/>
    <m/>
    <m/>
    <m/>
    <m/>
  </r>
  <r>
    <s v="Brendna Couper"/>
    <d v="2018-05-22T00:00:00"/>
    <x v="15"/>
    <m/>
    <m/>
    <m/>
    <m/>
    <m/>
    <m/>
    <m/>
    <m/>
    <m/>
    <m/>
    <m/>
    <m/>
    <m/>
    <m/>
    <m/>
    <m/>
    <m/>
    <m/>
  </r>
  <r>
    <s v="Phil Ives"/>
    <d v="2018-05-22T00:00:00"/>
    <x v="15"/>
    <m/>
    <m/>
    <m/>
    <m/>
    <m/>
    <m/>
    <m/>
    <m/>
    <m/>
    <m/>
    <m/>
    <m/>
    <m/>
    <m/>
    <m/>
    <m/>
    <m/>
    <m/>
  </r>
  <r>
    <s v="Ashish Chukma"/>
    <d v="2018-05-22T00:00:00"/>
    <x v="15"/>
    <m/>
    <m/>
    <m/>
    <m/>
    <m/>
    <m/>
    <m/>
    <m/>
    <m/>
    <m/>
    <m/>
    <m/>
    <m/>
    <m/>
    <m/>
    <m/>
    <m/>
    <m/>
  </r>
  <r>
    <s v="Chris Brown"/>
    <d v="2018-05-22T00:00:00"/>
    <x v="15"/>
    <m/>
    <m/>
    <m/>
    <m/>
    <m/>
    <m/>
    <m/>
    <m/>
    <m/>
    <m/>
    <m/>
    <m/>
    <m/>
    <m/>
    <m/>
    <m/>
    <m/>
    <m/>
  </r>
  <r>
    <s v="Alex Jones"/>
    <d v="2018-05-22T00:00:00"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s v="Greg Baylis"/>
    <d v="2018-05-23T00:00:00"/>
    <x v="0"/>
    <d v="1899-12-30T07:00:00"/>
    <d v="1899-12-30T17:00:00"/>
    <n v="0.5"/>
    <n v="9.5"/>
    <n v="7.6"/>
    <n v="1.9"/>
    <m/>
    <n v="331.68299999999999"/>
    <n v="22.91628"/>
    <m/>
    <n v="15.03"/>
    <m/>
    <n v="41.65"/>
    <n v="20"/>
    <n v="45.1"/>
    <n v="3.6619999999999999"/>
    <n v="4.6159999999999997"/>
    <n v="484.65727999999996"/>
  </r>
  <r>
    <s v="Greg Baylis"/>
    <d v="2018-05-24T00:00:00"/>
    <x v="0"/>
    <d v="1899-12-30T07:00:00"/>
    <m/>
    <m/>
    <n v="-7"/>
    <m/>
    <m/>
    <m/>
    <n v="0"/>
    <n v="0"/>
    <m/>
    <n v="15.03"/>
    <m/>
    <n v="41.65"/>
    <n v="20"/>
    <n v="45.1"/>
    <n v="3.6619999999999999"/>
    <n v="4.6159999999999997"/>
    <n v="130.05799999999999"/>
  </r>
  <r>
    <m/>
    <m/>
    <x v="15"/>
    <m/>
    <m/>
    <m/>
    <m/>
    <m/>
    <m/>
    <m/>
    <m/>
    <m/>
    <m/>
    <m/>
    <m/>
    <m/>
    <m/>
    <m/>
    <m/>
    <m/>
    <m/>
  </r>
  <r>
    <s v="Chris Brown"/>
    <d v="2018-05-23T00:00:00"/>
    <x v="15"/>
    <d v="1899-12-30T07:00:00"/>
    <d v="1899-12-30T15:45:00"/>
    <n v="0.5"/>
    <n v="8.25"/>
    <n v="7.6"/>
    <n v="0.65000000000000036"/>
    <m/>
    <n v="171.5"/>
    <n v="14.44"/>
    <n v="9.15"/>
    <m/>
    <m/>
    <m/>
    <m/>
    <m/>
    <m/>
    <m/>
    <n v="195.09"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  <r>
    <m/>
    <m/>
    <x v="15"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12">
  <r>
    <x v="0"/>
    <s v="Inv 9507818"/>
    <d v="2017-05-07T00:00:00"/>
    <x v="0"/>
    <s v="AARNet"/>
    <s v="AARNet"/>
    <s v="ICQ-315 IPT2073 WSU Parramatta Square Western Lead-in"/>
    <s v="AARNet"/>
    <n v="975.97"/>
  </r>
  <r>
    <x v="0"/>
    <s v="Inv 9507819"/>
    <d v="2017-05-07T00:00:00"/>
    <x v="0"/>
    <s v="AARNet"/>
    <s v="AARNet"/>
    <s v="ICQ-315 IPT2073 WSU Parramatta Square Western Lead-in"/>
    <s v="AARNet"/>
    <n v="1776.88"/>
  </r>
  <r>
    <x v="0"/>
    <s v="Inv 9507859"/>
    <d v="2017-05-07T00:00:00"/>
    <x v="0"/>
    <s v="AARNet"/>
    <s v="AARNet"/>
    <s v="ICQ-315 IPT2073 WSU Parramatta Square Western Lead-in"/>
    <s v="AARNet"/>
    <n v="1195.95"/>
  </r>
  <r>
    <x v="0"/>
    <s v="Inv 9512031"/>
    <d v="2017-06-11T00:00:00"/>
    <x v="1"/>
    <s v="AARNet"/>
    <s v="AARNet"/>
    <s v="ICQ-459 IPT2506 NSW HEALTH AUBURN HOSPITAL  "/>
    <s v="AARNet"/>
    <n v="614.04"/>
  </r>
  <r>
    <x v="1"/>
    <s v="Inv 1100"/>
    <d v="2017-06-21T00:00:00"/>
    <x v="1"/>
    <s v="AARNet"/>
    <s v="AARNet"/>
    <s v="ICQ-459 IPT2506 NSW HEALTH AUBURN HOSPITAL  "/>
    <s v="AARNet"/>
    <n v="559.78"/>
  </r>
  <r>
    <x v="1"/>
    <s v="Inv 1078"/>
    <d v="2017-06-15T00:00:00"/>
    <x v="1"/>
    <s v="AARNet"/>
    <s v="AARNet"/>
    <s v="ICQ-459 IPT2506 NSW HEALTH AUBURN HOSPITAL  "/>
    <s v="AARNet"/>
    <n v="3056.15"/>
  </r>
  <r>
    <x v="2"/>
    <s v="Inv 9506687"/>
    <d v="2017-04-30T00:00:00"/>
    <x v="1"/>
    <s v="NBN Co"/>
    <s v="NBN Minor Works"/>
    <s v="MW20680 - 2BLK-02/07 - MPS-032 &amp; MPS-010"/>
    <s v="NBN Minor Works"/>
    <n v="1501.72"/>
  </r>
  <r>
    <x v="2"/>
    <s v="Inv 1803487"/>
    <d v="2017-06-11T00:00:00"/>
    <x v="1"/>
    <s v="NBN Co"/>
    <s v="NBN Greenfields"/>
    <s v="MW20532 - 2WYO-01 - AYCA-47OSBM - Pacific Business Centre"/>
    <s v="NBN Greenfields"/>
    <n v="549.22"/>
  </r>
  <r>
    <x v="0"/>
    <s v="Inv 9513752"/>
    <d v="2017-06-30T00:00:00"/>
    <x v="1"/>
    <s v="NBN Co"/>
    <s v="NBN Greenfields"/>
    <s v="MW20554 - AYCA-2DO5HN - MNJG 145 Princes Hwy Dapto - 1"/>
    <s v="NBN Greenfields"/>
    <n v="235"/>
  </r>
  <r>
    <x v="3"/>
    <s v="Inv 16233"/>
    <d v="2017-06-19T00:00:00"/>
    <x v="1"/>
    <s v="AARNet"/>
    <s v="AARNet"/>
    <s v="ICQ-459 IPT2506 NSW HEALTH AUBURN HOSPITAL  "/>
    <s v="AARNet"/>
    <n v="77.27"/>
  </r>
  <r>
    <x v="4"/>
    <s v="Inv 003"/>
    <d v="2017-07-02T00:00:00"/>
    <x v="2"/>
    <s v="Visionstream "/>
    <s v="FTTB Survey and Design"/>
    <s v="2DAL-24 MPS-008"/>
    <s v="Visionstream "/>
    <n v="90"/>
  </r>
  <r>
    <x v="5"/>
    <s v="Inv 987582.99 374012"/>
    <d v="2017-06-28T00:00:00"/>
    <x v="1"/>
    <s v="NBN Co"/>
    <s v="NBN Minor Works"/>
    <s v="MW20104 2GOS-06 LNDN Koala"/>
    <s v="NBN Minor Works"/>
    <n v="1925.79"/>
  </r>
  <r>
    <x v="0"/>
    <s v="Inv 9508561"/>
    <d v="2017-05-14T00:00:00"/>
    <x v="0"/>
    <s v="AARNet"/>
    <s v="AARNet"/>
    <s v="ICQ-315 IPT2073 WSU Parramatta Square Western Lead-in"/>
    <s v="AARNet"/>
    <n v="609.58000000000004"/>
  </r>
  <r>
    <x v="0"/>
    <s v="Inv 9513611"/>
    <d v="2017-06-25T00:00:00"/>
    <x v="1"/>
    <s v="NBN Co"/>
    <s v="NBN A417"/>
    <s v="MW20615 - AYCA-3ZMQUE - Grove Family Trust – 1"/>
    <s v="NBN Greenfields"/>
    <n v="235"/>
  </r>
  <r>
    <x v="0"/>
    <s v="Inv 9513612"/>
    <d v="2017-06-25T00:00:00"/>
    <x v="1"/>
    <s v="NBN Co"/>
    <s v="NBN Greenfields"/>
    <s v="MW20698 - AYCA-1SQ3K5 - 189 Macquarie Street"/>
    <s v="NBN Greenfields"/>
    <n v="235"/>
  </r>
  <r>
    <x v="0"/>
    <s v="Inv 9513613"/>
    <d v="2017-06-25T00:00:00"/>
    <x v="1"/>
    <s v="NBN Co"/>
    <s v="NBN Greenfields"/>
    <s v="MW20767 - AYCA-1PM9JB - 2GRA-64 - Merrylands Rd"/>
    <s v="NBN Greenfields"/>
    <n v="235"/>
  </r>
  <r>
    <x v="0"/>
    <s v="Inv 9513614"/>
    <d v="2017-06-25T00:00:00"/>
    <x v="1"/>
    <s v="NBN Co"/>
    <s v="NBN Greenfields"/>
    <s v="MW20648-2KEL-03 -AYCA-3BH4IQ - Lot A, 8 Merriville Road - 1"/>
    <s v="NBN Greenfields"/>
    <n v="235"/>
  </r>
  <r>
    <x v="6"/>
    <s v="Inv 17"/>
    <d v="2017-07-09T00:00:00"/>
    <x v="2"/>
    <s v="NBN Co"/>
    <s v="NBN Greenfields"/>
    <s v="MW20436 - AYCA-3B8YY0 - Warrana Place – 2"/>
    <s v="NBN Greenfields"/>
    <n v="4740.05"/>
  </r>
  <r>
    <x v="7"/>
    <s v="Inv 532"/>
    <d v="2017-07-27T00:00:00"/>
    <x v="2"/>
    <s v="AARNet"/>
    <s v="AARNet"/>
    <s v="ICQ-315 IPT2073 WSU Parramatta Square Western Lead-in"/>
    <s v="AARNet"/>
    <n v="7000"/>
  </r>
  <r>
    <x v="2"/>
    <s v="Inv 1803532"/>
    <d v="2017-07-17T00:00:00"/>
    <x v="2"/>
    <s v="AARNet"/>
    <s v="AARNet"/>
    <s v="ICQ-459 IPT2506 NSW HEALTH AUBURN HOSPITAL  "/>
    <s v="AARNet"/>
    <n v="3870.83"/>
  </r>
  <r>
    <x v="2"/>
    <s v="Inv 1803528"/>
    <d v="2017-07-14T00:00:00"/>
    <x v="2"/>
    <s v="NBN Co"/>
    <s v="NBN Greenfields"/>
    <s v="MW20436 - AYCA-3B8YY0 - Warrana Place – 2"/>
    <s v="NBN Greenfields"/>
    <n v="5402.66"/>
  </r>
  <r>
    <x v="1"/>
    <s v="Inv 1207"/>
    <d v="2017-07-30T00:00:00"/>
    <x v="2"/>
    <s v="AARNet"/>
    <s v="AARNet"/>
    <s v="ICQ-315 IPT2073 WSU Parramatta Square Western Lead-in"/>
    <s v="AARNet"/>
    <n v="581"/>
  </r>
  <r>
    <x v="8"/>
    <s v="Inv 2293"/>
    <d v="2017-08-08T00:00:00"/>
    <x v="3"/>
    <s v="NBN Co"/>
    <s v="NBN Greenfields"/>
    <s v="MW20729 - COR-04 - AYCA-4D6AY6 - 94 POPES RD"/>
    <s v="NBN Greenfields"/>
    <n v="10667.8"/>
  </r>
  <r>
    <x v="8"/>
    <s v="Inv 2294"/>
    <d v="2017-08-09T00:00:00"/>
    <x v="3"/>
    <s v="NBN Co"/>
    <s v="NBN Greenfields"/>
    <s v="MW20604 - AYCA-46I5YX - 878 Pacific Hwy, Lisarow"/>
    <s v="NBN Greenfields"/>
    <n v="4792.9399999999996"/>
  </r>
  <r>
    <x v="8"/>
    <s v="Inv 2295"/>
    <d v="2017-08-09T00:00:00"/>
    <x v="3"/>
    <s v="NBN Co"/>
    <s v="NBN Greenfields"/>
    <s v="MW20927 - 2ASH-61 - AYCA-482KZM - Lionsgate Projects – 1"/>
    <s v="NBN Greenfields"/>
    <n v="4280.95"/>
  </r>
  <r>
    <x v="0"/>
    <s v="Inv 9517404"/>
    <d v="2017-08-06T00:00:00"/>
    <x v="3"/>
    <s v="AARNet"/>
    <s v="AARNet"/>
    <s v="ICQ-315 IPT2073 WSU Parramatta Square Western Lead-in"/>
    <s v="AARNet"/>
    <n v="752.23"/>
  </r>
  <r>
    <x v="0"/>
    <s v="Inv 951738"/>
    <d v="2017-08-06T00:00:00"/>
    <x v="3"/>
    <s v="NBN Co"/>
    <s v="NBN Minor Works"/>
    <s v="MW20764 - 2BLK-12-07 - Lot 21 Western MTQY/2 Rudders/Unit 40 - 15 Valediction"/>
    <s v="NBN Minor Works"/>
    <n v="1396"/>
  </r>
  <r>
    <x v="0"/>
    <s v="Inv 9516894"/>
    <d v="2017-07-30T00:00:00"/>
    <x v="2"/>
    <s v="AARNet"/>
    <s v="AARNet"/>
    <s v="ICQ-315 IPT2073 WSU Parramatta Square Western Lead-in"/>
    <s v="AARNet"/>
    <n v="2234.21"/>
  </r>
  <r>
    <x v="2"/>
    <s v="Inv 1803569"/>
    <d v="2017-08-07T00:00:00"/>
    <x v="3"/>
    <s v="NBN Co"/>
    <s v="NBN Greenfields"/>
    <s v="MW20367 - AYCA-3H6ZBG - 2NRN-03 - 61 Smeaton Grange Rd,"/>
    <s v="NBN Greenfields"/>
    <n v="1574.16"/>
  </r>
  <r>
    <x v="9"/>
    <s v="Inv 0203"/>
    <d v="2017-09-05T00:00:00"/>
    <x v="4"/>
    <s v="NBN Co"/>
    <s v="NBN Greenfields"/>
    <s v="MW21223 - AYCA-2568YW - 25 29 Harbour St"/>
    <s v="NBN Greenfields"/>
    <n v="150"/>
  </r>
  <r>
    <x v="2"/>
    <s v="Inv 1803572"/>
    <d v="2017-08-07T00:00:00"/>
    <x v="3"/>
    <s v="NBN Co"/>
    <s v="NBN Greenfields"/>
    <s v="MW20385 - AYCA-38OMCL - 6 Hepher Rd, Campbelltown"/>
    <s v="NBN Greenfields"/>
    <n v="1702.74"/>
  </r>
  <r>
    <x v="0"/>
    <s v="inv 9518845"/>
    <d v="2017-08-27T00:00:00"/>
    <x v="3"/>
    <s v="NBN Co"/>
    <s v="NBN Greenfields"/>
    <s v="MW21223 - AYCA-2568YW - 25 29 Harbour St"/>
    <s v="NBN Greenfields"/>
    <n v="2149.98"/>
  </r>
  <r>
    <x v="8"/>
    <s v="Inv 2324"/>
    <d v="2017-09-07T00:00:00"/>
    <x v="4"/>
    <s v="NBN Co"/>
    <s v="NBN Greenfields"/>
    <s v="MW20875 - ACYA-3W8TJD - 31-33 Irelands Road Blacktown "/>
    <s v="NBN Greenfields"/>
    <n v="2573.9699999999998"/>
  </r>
  <r>
    <x v="8"/>
    <s v="Inv 2339"/>
    <d v="2017-09-08T00:00:00"/>
    <x v="4"/>
    <s v="NBN Co"/>
    <s v="NBN Greenfields"/>
    <s v="MW20806 - 2EPS-61 -AYCA-42J4C9– 54 Tyrone Place, Erskine Park - Loscam"/>
    <s v="NBN Greenfields"/>
    <n v="6233.7"/>
  </r>
  <r>
    <x v="8"/>
    <s v="Inv 2338"/>
    <d v="2017-09-08T00:00:00"/>
    <x v="4"/>
    <s v="NBN Co"/>
    <s v="NBN Greenfields"/>
    <s v="MW21095 - AYCA-4K6BDG - Melito Drive Externals"/>
    <s v="NBN Greenfields"/>
    <n v="4155.96"/>
  </r>
  <r>
    <x v="8"/>
    <s v="Inv 2337"/>
    <d v="2017-09-08T00:00:00"/>
    <x v="4"/>
    <s v="NBN Co"/>
    <s v="NBN Greenfields"/>
    <s v="MW21062 - AYCA-4IDMPC- 2REV-20 - 9 Fitzpatrick St - 1"/>
    <s v="NBN Greenfields"/>
    <n v="1725.57"/>
  </r>
  <r>
    <x v="8"/>
    <s v="Inv 2336"/>
    <d v="2017-09-08T00:00:00"/>
    <x v="4"/>
    <s v="NBN Co"/>
    <s v="NBN Greenfields"/>
    <s v="MW20585 - AYCA-3KUUY6 - 2WOY-09 - Brittwood "/>
    <s v="NBN Greenfields"/>
    <n v="8914.77"/>
  </r>
  <r>
    <x v="8"/>
    <s v="Inv 2309"/>
    <d v="2017-08-23T00:00:00"/>
    <x v="3"/>
    <s v="Visionstream "/>
    <s v="FTTB Build "/>
    <s v="2DAL-23 MPS-004"/>
    <s v="Visionstream "/>
    <n v="1736.5"/>
  </r>
  <r>
    <x v="8"/>
    <s v="Inv 2310"/>
    <d v="2017-08-23T00:00:00"/>
    <x v="3"/>
    <s v="Visionstream "/>
    <s v="FTTB Build "/>
    <s v="2DAL-23 MPS-003"/>
    <s v="Visionstream "/>
    <n v="2300"/>
  </r>
  <r>
    <x v="10"/>
    <s v="Inv 27"/>
    <d v="2017-08-25T00:00:00"/>
    <x v="3"/>
    <s v="NBN Co"/>
    <s v="NBN Minor Works"/>
    <s v="MW20495 - 2CBT-09 - MPS-01 - FTTN-FTTB Construction "/>
    <s v="NBN Minor Works"/>
    <n v="3479.84"/>
  </r>
  <r>
    <x v="10"/>
    <s v="Inv 26"/>
    <d v="2017-08-25T00:00:00"/>
    <x v="3"/>
    <s v="NBN Co"/>
    <s v="NBN Greenfields"/>
    <s v="MW21092 - AYCA-1NGPGW - 2BRG-03Gledswood"/>
    <s v="NBN Greenfields"/>
    <n v="5539.7"/>
  </r>
  <r>
    <x v="11"/>
    <s v="INV 4045A"/>
    <d v="2017-09-07T00:00:00"/>
    <x v="4"/>
    <s v="NBN Co"/>
    <s v="NBN Minor Works"/>
    <s v="MW20764 - 2BLK-12-07 - Lot 21 Western MTQY/2 Rudders/Unit 40 - 15 Valediction"/>
    <s v="NBN Minor Works"/>
    <n v="6331.58"/>
  </r>
  <r>
    <x v="8"/>
    <s v="Inv 2341"/>
    <d v="2017-09-13T00:00:00"/>
    <x v="4"/>
    <s v="NBN Co"/>
    <s v="NBN Greenfields"/>
    <s v="MW20941 - AYCA-2KQ04J -2KEL-01 - 112 Hambledon"/>
    <s v="NBN Greenfields"/>
    <n v="1039.3"/>
  </r>
  <r>
    <x v="8"/>
    <s v="Inv 2340"/>
    <d v="2017-09-13T00:00:00"/>
    <x v="4"/>
    <s v="NBN Co"/>
    <s v="NBN Greenfields"/>
    <s v="MW20628 - AYCA-32PR0X - 2ROU-03 - 21 Hezlett Rd Kellyville 1"/>
    <s v="NBN Greenfields"/>
    <n v="3682.66"/>
  </r>
  <r>
    <x v="6"/>
    <s v="Inv 17/1108"/>
    <d v="2017-09-22T00:00:00"/>
    <x v="4"/>
    <s v="NBN Co"/>
    <s v="NBN Greenfields"/>
    <s v="MW21209 - AYCA-4K7VB2 -2TWH-05 - River Views – 1"/>
    <s v="NBN Greenfields"/>
    <n v="1265"/>
  </r>
  <r>
    <x v="8"/>
    <s v="Inv 2366"/>
    <d v="2017-10-06T00:00:00"/>
    <x v="5"/>
    <s v="NBN Co"/>
    <s v="NBN Greenfields"/>
    <s v="MW20966 - 2BLK-11 - AYCA-3W8LJB - 42-44 Norfolk St"/>
    <s v="NBN Greenfields"/>
    <n v="5913.37"/>
  </r>
  <r>
    <x v="8"/>
    <s v="Inv 2367"/>
    <d v="2017-10-06T00:00:00"/>
    <x v="5"/>
    <s v="NBN Co"/>
    <s v="NBN Greenfields"/>
    <s v="MW20844 - 2TAH-02 - AYCA-3YUT4L - Brundah Road - 1"/>
    <s v="NBN Greenfields"/>
    <n v="4307.25"/>
  </r>
  <r>
    <x v="8"/>
    <s v="Inv 2365"/>
    <d v="2017-10-06T00:00:00"/>
    <x v="5"/>
    <s v="NBN Co"/>
    <s v="NBN Greenfields"/>
    <s v="MW20817 - 2LIV-12 - 2QUA – 02- 2PTH-02 - Glenfield_Margo_Jamison"/>
    <s v="NBN Greenfields"/>
    <n v="1257.96"/>
  </r>
  <r>
    <x v="8"/>
    <s v="Inv 2364"/>
    <d v="2017-10-06T00:00:00"/>
    <x v="5"/>
    <s v="NBN Co"/>
    <s v="NBN Greenfields"/>
    <s v="MW20798 - AYCA-2LT5GF - Castlereagh Street - 1"/>
    <s v="NBN Greenfields"/>
    <n v="3046.8"/>
  </r>
  <r>
    <x v="8"/>
    <s v="Inv 2363"/>
    <d v="2017-10-06T00:00:00"/>
    <x v="5"/>
    <s v="NBN Co"/>
    <s v="NBN Greenfields"/>
    <s v="MW20318 - AYCA-35AM2J - NENSW0608 - Yarrandale Road"/>
    <s v="NBN Greenfields"/>
    <n v="2317"/>
  </r>
  <r>
    <x v="12"/>
    <s v="PO 0308"/>
    <d v="2017-10-06T00:00:00"/>
    <x v="6"/>
    <s v="NBN Co"/>
    <s v="NBN Greenfields"/>
    <s v="MW21085 - 2ROU-02 - AYCA-47PV52 - Non Standard Builds - 22-24 Barry Road "/>
    <s v="NBN Greenfields"/>
    <n v="4410.54"/>
  </r>
  <r>
    <x v="0"/>
    <s v="Inv 9517888"/>
    <d v="2017-08-13T00:00:00"/>
    <x v="3"/>
    <s v="AARNet"/>
    <s v="AARNet"/>
    <s v="ICQ-315 IPT2073 WSU Parramatta Square Western Lead-in"/>
    <s v="AARNet"/>
    <n v="1230.26"/>
  </r>
  <r>
    <x v="13"/>
    <s v="Inv 0224"/>
    <d v="2017-10-09T00:00:00"/>
    <x v="5"/>
    <s v="Visionstream "/>
    <s v="FTTB Build "/>
    <s v="2DAL-24 MPS-008"/>
    <s v="Visionstream "/>
    <n v="1610"/>
  </r>
  <r>
    <x v="14"/>
    <s v="Inv 10251"/>
    <d v="2017-08-31T00:00:00"/>
    <x v="3"/>
    <s v="NBN Co"/>
    <s v="NBN Greenfields"/>
    <s v="MW21223 - AYCA-2568YW - 25 29 Harbour St"/>
    <s v="NBN Greenfields"/>
    <n v="8825.86"/>
  </r>
  <r>
    <x v="8"/>
    <s v="Inv 2383"/>
    <d v="2017-10-20T00:00:00"/>
    <x v="5"/>
    <s v="NBN Co"/>
    <s v="NBN Greenfields"/>
    <s v="MW20939 - AYCA-2Y4BYB -2PEN-64 - 344 GWH Wentworthville – 1- EXTERNAL"/>
    <s v="NBN Greenfields"/>
    <n v="1975.17"/>
  </r>
  <r>
    <x v="8"/>
    <s v="Inv 2382"/>
    <d v="2017-10-20T00:00:00"/>
    <x v="5"/>
    <s v="NBN Co"/>
    <s v="NBN Greenfields"/>
    <s v="MW21250 - AYCA-4BEC9X-2LIV-68-The Birdwood"/>
    <s v="NBN Greenfields"/>
    <n v="4549.53"/>
  </r>
  <r>
    <x v="8"/>
    <s v="Inv 2381"/>
    <d v="2017-10-20T00:00:00"/>
    <x v="5"/>
    <s v="NBN Co"/>
    <s v="NBN Greenfields"/>
    <s v="MW21015 - AYCA-1Z6XAC -1-9 Florence Street &amp; 19-23 Quinn Street "/>
    <s v="NBN Greenfields"/>
    <n v="20850.84"/>
  </r>
  <r>
    <x v="8"/>
    <s v="Inv 2378"/>
    <d v="2017-10-20T00:00:00"/>
    <x v="5"/>
    <s v="NBN Co"/>
    <s v="NBN Greenfields"/>
    <s v="MW21015 - AYCA-1Z6XAC -1-9 Florence Street &amp; 19-23 Quinn Street "/>
    <s v="NBN Greenfields"/>
    <n v="1000"/>
  </r>
  <r>
    <x v="8"/>
    <s v="Inv 2379"/>
    <d v="2017-10-20T00:00:00"/>
    <x v="5"/>
    <s v="NBN Co"/>
    <s v="NBN Greenfields"/>
    <s v="MW20844 - 2TAH-02 - AYCA-3YUT4L - Brundah Road - 1"/>
    <s v="NBN Greenfields"/>
    <n v="1810.66"/>
  </r>
  <r>
    <x v="8"/>
    <s v="Inv 2380"/>
    <d v="2017-10-20T00:00:00"/>
    <x v="5"/>
    <s v="NBN Co"/>
    <s v="NBN Minor Works"/>
    <s v="MW20812 - 2WLG-01 - 2LIV-04 - Crown, Kembla, Macquarie, George"/>
    <s v="NBN Minor Works"/>
    <n v="550"/>
  </r>
  <r>
    <x v="8"/>
    <s v="Inv 2320"/>
    <d v="2017-09-05T00:00:00"/>
    <x v="4"/>
    <s v="NBN Co"/>
    <s v="NBN Greenfields"/>
    <s v="MW20585 - AYCA-3KUUY6 - 2WOY-09 - Brittwood "/>
    <s v="NBN Greenfields"/>
    <n v="1000"/>
  </r>
  <r>
    <x v="4"/>
    <s v="Inv 0004"/>
    <d v="2017-10-24T00:00:00"/>
    <x v="5"/>
    <s v="AARNet"/>
    <s v="AARNet"/>
    <s v="ICQ-459 IPT2506 NSW HEALTH AUBURN HOSPITAL  "/>
    <s v="AARNet"/>
    <n v="450"/>
  </r>
  <r>
    <x v="2"/>
    <s v="Inv 1803621"/>
    <d v="2017-10-16T00:00:00"/>
    <x v="5"/>
    <s v="NBN Co"/>
    <s v="NBN Greenfields"/>
    <s v="MW20821 - AYCA-45D358 NSB Albuera Close -  BUILD"/>
    <s v="NBN Greenfields"/>
    <n v="6043.99"/>
  </r>
  <r>
    <x v="2"/>
    <s v="Inv 1803622"/>
    <d v="2017-10-16T00:00:00"/>
    <x v="5"/>
    <s v="NBN Co"/>
    <s v="NBN Greenfields"/>
    <s v="MW21052 - 2MAI-11 - AYCA-3OLAP3-WA Brown INTERNAL"/>
    <s v="NBN Greenfields"/>
    <n v="6294.34"/>
  </r>
  <r>
    <x v="2"/>
    <s v="Inv 1803629"/>
    <d v="2017-10-16T00:00:00"/>
    <x v="5"/>
    <s v="NBN Co"/>
    <s v="NBN Greenfields"/>
    <s v="MW20939 - AYCA-2Y4BYB -2PEN-64 - 344 GWH Wentworthville – 1- EXTERNAL"/>
    <s v="NBN Greenfields"/>
    <n v="763.84"/>
  </r>
  <r>
    <x v="2"/>
    <s v="Inv 1803630"/>
    <d v="2017-10-16T00:00:00"/>
    <x v="5"/>
    <s v="NBN Co"/>
    <s v="NBN Greenfields"/>
    <s v="MW21015 - AYCA-1Z6XAC -1-9 Florence Street &amp; 19-23 Quinn Street "/>
    <s v="NBN Greenfields"/>
    <n v="5914.06"/>
  </r>
  <r>
    <x v="10"/>
    <s v="Inv 25"/>
    <d v="2017-08-19T00:00:00"/>
    <x v="3"/>
    <s v="AARNet"/>
    <s v="AARNet"/>
    <s v="ICQ-315 IPT2073 WSU Parramatta Square Western Lead-in"/>
    <s v="AARNet"/>
    <n v="3500"/>
  </r>
  <r>
    <x v="6"/>
    <s v="Inv 17/1153"/>
    <d v="2017-11-16T00:00:00"/>
    <x v="7"/>
    <s v="NBN Co"/>
    <s v="NBN Greenfields"/>
    <s v="MW21209 - AYCA-4K7VB2 -2TWH-05 - River Views – 1"/>
    <s v="NBN Greenfields"/>
    <n v="748"/>
  </r>
  <r>
    <x v="2"/>
    <s v="Inv 1803661"/>
    <d v="2017-11-24T00:00:00"/>
    <x v="7"/>
    <s v="NBN Co"/>
    <s v="NBN A417"/>
    <s v="MW21478-AYCA-4PIZ8V  -2MYF-02 - The Furnace - 1 – EXTERNAL    "/>
    <s v="NBN New Devs"/>
    <n v="1746.62"/>
  </r>
  <r>
    <x v="8"/>
    <s v="Inv 2415"/>
    <d v="2017-11-27T00:00:00"/>
    <x v="7"/>
    <s v="NBN Co"/>
    <s v="NBN A417"/>
    <s v="MW21104 - AYCA-3UHHF8-2LIV-12-25 Glenfield Road "/>
    <s v="NBN New Devs"/>
    <n v="2227.08"/>
  </r>
  <r>
    <x v="8"/>
    <s v="Inv 2416"/>
    <d v="2017-11-27T00:00:00"/>
    <x v="7"/>
    <s v="NBN Co"/>
    <s v="NBN A401"/>
    <s v="MW20812 - 2WLG-01 - 2LIV-04 - Crown, Kembla, Macquarie, George"/>
    <s v="NBN Brownfields"/>
    <n v="7533.95"/>
  </r>
  <r>
    <x v="8"/>
    <s v="Inv 2417"/>
    <d v="2017-11-27T00:00:00"/>
    <x v="7"/>
    <s v="NBN Co"/>
    <s v="NBN A417"/>
    <s v="MW21471 - AYCA-2T1HEY -2KIL-63 - RIDGE CENTRE - 1-E XTERNAL "/>
    <s v="NBN New Devs"/>
    <n v="2357.52"/>
  </r>
  <r>
    <x v="8"/>
    <s v="Inv 2418"/>
    <d v="2017-11-27T00:00:00"/>
    <x v="7"/>
    <s v="NBN Co"/>
    <s v="NBN A401"/>
    <s v="MW21512 - AYCA-4IUR86 - 2NLT-09 - Clarendene - 1"/>
    <s v="NBN New Devs"/>
    <n v="3416.8"/>
  </r>
  <r>
    <x v="8"/>
    <s v="Inv 2419"/>
    <d v="2017-11-27T00:00:00"/>
    <x v="7"/>
    <s v="NBN Co"/>
    <s v="NBN A401"/>
    <s v="MW21285 - AYCA-496F3H - 2MSV-04 - 8 Bendooley Street Bowral"/>
    <s v="NBN New Devs"/>
    <n v="7890.75"/>
  </r>
  <r>
    <x v="8"/>
    <s v="Inv 2420"/>
    <d v="2017-11-27T00:00:00"/>
    <x v="7"/>
    <s v="NBN Co"/>
    <s v="NBN A417"/>
    <s v="MW21483 - AYCA-2Y1KQS - Charles Banks – 1- EXTERNAL"/>
    <s v="NBN New Devs"/>
    <n v="5541.28"/>
  </r>
  <r>
    <x v="8"/>
    <s v="Inv 2422"/>
    <d v="2017-11-27T00:00:00"/>
    <x v="7"/>
    <s v="NBN Co"/>
    <s v="NBN A417"/>
    <s v="MW20692 - AYCA-2HTGPP - Scalabrini Village Residential"/>
    <s v="NBN New Devs"/>
    <n v="7738.49"/>
  </r>
  <r>
    <x v="8"/>
    <s v="Inv 2423"/>
    <d v="2017-11-27T00:00:00"/>
    <x v="7"/>
    <s v="NBN Co"/>
    <s v="NBN A417"/>
    <s v="MW21425 - AYCA-2IQYU1 - 2LIV-04 - Macquaire St Development – 1-EXTERNAL"/>
    <s v="NBN New Devs"/>
    <n v="2365.75"/>
  </r>
  <r>
    <x v="8"/>
    <s v="Inv 2431"/>
    <d v="2017-11-29T00:00:00"/>
    <x v="7"/>
    <s v="NBN Co"/>
    <s v="NBN A417"/>
    <s v="MW21452 - AYCA-4FFBGM - 2PIT-01 - The Oaks Development"/>
    <s v="NBN New Devs"/>
    <n v="6437.11"/>
  </r>
  <r>
    <x v="14"/>
    <s v="Inv 10255"/>
    <d v="2017-10-17T00:00:00"/>
    <x v="5"/>
    <s v="NBN Co"/>
    <s v="NBN A401"/>
    <s v="MW20865 - AYCA-2K3SGD - 2NWR-03 - Elian Crescent 1."/>
    <s v="NBN New Devs"/>
    <n v="1480"/>
  </r>
  <r>
    <x v="14"/>
    <s v="Inv 10258"/>
    <d v="2017-11-30T00:00:00"/>
    <x v="7"/>
    <s v="NBN Co"/>
    <s v="NBN A401"/>
    <s v="MW21322 - AYCA-4FHB4D - 2SHH-02 - 3 Bellbird Close Barrack Heights"/>
    <s v="NBN New Devs"/>
    <n v="3289.75"/>
  </r>
  <r>
    <x v="14"/>
    <s v="Inv 10259"/>
    <d v="2017-11-30T00:00:00"/>
    <x v="7"/>
    <s v="NBN Co"/>
    <s v="NBN A401"/>
    <s v="MW21006 - AYCA-49DNJ1 - Nowra BP &amp; McDonalds - 1-  INTERNAL AND EXTERNAL"/>
    <s v="NBN New Devs"/>
    <n v="1080"/>
  </r>
  <r>
    <x v="8"/>
    <s v="Inv 2451"/>
    <d v="2017-12-01T00:00:00"/>
    <x v="8"/>
    <s v="NBN Co"/>
    <s v="NBN A417"/>
    <s v="MW21244 - AYCA-4J7JTW - 2LIV-03 - Passefield St"/>
    <s v="NBN New Devs"/>
    <n v="3120.05"/>
  </r>
  <r>
    <x v="15"/>
    <s v="Inv 114"/>
    <d v="2017-11-30T00:00:00"/>
    <x v="7"/>
    <s v="NBN Co"/>
    <s v="NBN A417"/>
    <s v="MW21426 - AYCA-3QAOV2 - 2PTH-05 - Meyer Timber NSW"/>
    <s v="NBN New Devs"/>
    <n v="1331.8"/>
  </r>
  <r>
    <x v="15"/>
    <s v="Inv 114"/>
    <d v="2017-11-30T00:00:00"/>
    <x v="7"/>
    <s v="NBN Co"/>
    <s v="NBN A417"/>
    <s v="MW21293 - AYCA-4GNO0E - 2LIV-63 - Coopers Paddock - 1-  INTERNAL "/>
    <s v="NBN New Devs"/>
    <n v="1387.2727272727273"/>
  </r>
  <r>
    <x v="15"/>
    <s v="Inv 114"/>
    <d v="2017-11-30T00:00:00"/>
    <x v="7"/>
    <s v="NBN Co"/>
    <s v="NBN A417"/>
    <s v="MW21205 - AYCA-3349N6 - 2RIV-02 - The Maples - 2             "/>
    <s v="NBN New Devs"/>
    <n v="637.19090909090903"/>
  </r>
  <r>
    <x v="15"/>
    <s v="Inv 114"/>
    <d v="2017-11-30T00:00:00"/>
    <x v="7"/>
    <s v="NBN Co"/>
    <s v="NBN A417"/>
    <s v="MW21458 - AYCA-4DZEDU-2LID-07-Auburn Vista - 1 - EXTERNAL"/>
    <s v="NBN New Devs"/>
    <n v="127.27272727272728"/>
  </r>
  <r>
    <x v="15"/>
    <s v="Inv 114"/>
    <d v="2017-11-30T00:00:00"/>
    <x v="7"/>
    <s v="NBN Co"/>
    <s v="NBN A401"/>
    <s v="MW20764 - 2BLK-12-07 - Lot 21 Western MTQY/2 Rudders/Unit 40 - 15 Valediction"/>
    <s v="NBN Brownfields"/>
    <n v="890.90909090909088"/>
  </r>
  <r>
    <x v="15"/>
    <s v="Inv 114"/>
    <d v="2017-11-30T00:00:00"/>
    <x v="7"/>
    <s v="NBN Co"/>
    <s v="NBN A417"/>
    <s v="MW21281 - AYCA-3K4RCM - Marsden Park Tonzat Development - 2"/>
    <s v="NBN New Devs"/>
    <n v="1145.4545454545455"/>
  </r>
  <r>
    <x v="15"/>
    <s v="Inv 114"/>
    <d v="2017-11-30T00:00:00"/>
    <x v="7"/>
    <s v="NBN Co"/>
    <s v="NBN A401"/>
    <s v="MW20154 - 2WLG-01 &amp; 02 "/>
    <s v="NBN Brownfields"/>
    <n v="254.54545454545456"/>
  </r>
  <r>
    <x v="15"/>
    <s v="Inv 114"/>
    <d v="2017-11-30T00:00:00"/>
    <x v="7"/>
    <s v="NBN Co"/>
    <s v="NBN A417"/>
    <s v="MW21381 - AYCA-4B5X29 - 2LIV-03 - 209-213 Memorial Ave - 1- EXTERNAL"/>
    <s v="NBN New Devs"/>
    <n v="804.09090909090912"/>
  </r>
  <r>
    <x v="16"/>
    <s v="Inv 67449"/>
    <d v="2017-11-27T00:00:00"/>
    <x v="7"/>
    <s v="AARNet"/>
    <s v="AARNet"/>
    <s v="ICQ-459 IPT2506 NSW HEALTH AUBURN HOSPITAL  "/>
    <s v="AARNet"/>
    <n v="5039.5"/>
  </r>
  <r>
    <x v="6"/>
    <s v="Inv 17/1166"/>
    <d v="2017-12-05T00:00:00"/>
    <x v="8"/>
    <s v="NBN Co"/>
    <s v="NBN A401"/>
    <s v="MW21311 - AYCA-4N13KQ - 2WAU-21 - 127 Cameron St"/>
    <s v="NBN New Devs"/>
    <n v="6106.05"/>
  </r>
  <r>
    <x v="6"/>
    <s v="Inv 17/1167"/>
    <d v="2017-12-05T00:00:00"/>
    <x v="8"/>
    <s v="NBN Co"/>
    <s v="NBN A401"/>
    <s v="MW21484 - AYCA-2CO7SU - 2ARM-04 - Brown - 1"/>
    <s v="NBN New Devs"/>
    <n v="3247.52"/>
  </r>
  <r>
    <x v="2"/>
    <s v="Inv 1803673"/>
    <d v="2017-12-04T00:00:00"/>
    <x v="8"/>
    <s v="NBN Co"/>
    <s v="NBN A417"/>
    <s v="MW21104 - AYCA-3UHHF8-2LIV-12-25 Glenfield Road "/>
    <s v="NBN New Devs"/>
    <n v="9051.32"/>
  </r>
  <r>
    <x v="2"/>
    <s v="Inv 1803724"/>
    <d v="2018-01-08T00:00:00"/>
    <x v="9"/>
    <s v="NBN Co"/>
    <s v="NBN A417"/>
    <s v="MW20648-2KEL-03 -AYCA-3BH4IQ - Lot A, 8 Merriville Road - 1"/>
    <s v="NBN New Devs"/>
    <n v="700.3"/>
  </r>
  <r>
    <x v="6"/>
    <s v="Inv 18/1175"/>
    <d v="2018-01-12T00:00:00"/>
    <x v="9"/>
    <s v="NBN Co"/>
    <s v="NBN A417"/>
    <s v="MW20843 - AYCA-4EIN5M - 2KCL-02 - 171 Casuarina Way Pty Ltd - 1- EXTERNAL"/>
    <s v="NBN New Devs"/>
    <n v="1934.64"/>
  </r>
  <r>
    <x v="8"/>
    <s v="Inv 2451"/>
    <d v="2017-12-01T00:00:00"/>
    <x v="8"/>
    <s v="NBN Co"/>
    <s v="NBN A417"/>
    <s v="MW21244 - AYCA-4J7JTW - 2LIV-03 - Passefield St"/>
    <s v="NBN New Devs"/>
    <n v="1175.6500000000001"/>
  </r>
  <r>
    <x v="8"/>
    <s v="Inv 2452"/>
    <d v="2017-12-01T00:00:00"/>
    <x v="8"/>
    <s v="NBN Co"/>
    <s v="NBN A417"/>
    <s v="MW21471 - AYCA-2T1HEY -2KIL-63 - RIDGE CENTRE - 1-E XTERNAL "/>
    <s v="NBN New Devs"/>
    <n v="656.68"/>
  </r>
  <r>
    <x v="8"/>
    <s v="Inv 2460"/>
    <d v="2017-12-18T00:00:00"/>
    <x v="8"/>
    <s v="NBN Co"/>
    <s v="NBN A417"/>
    <s v="MW21386 - 2PTH-05 - AYCA-3BBYF2 - 40-50 Union Rd, Penrith"/>
    <s v="NBN New Devs"/>
    <n v="1126.02"/>
  </r>
  <r>
    <x v="8"/>
    <s v="Inv 2468"/>
    <d v="2017-12-22T00:00:00"/>
    <x v="8"/>
    <s v="NBN Co"/>
    <s v="NBN A401"/>
    <s v="MW20777 - AYCA-46PUI1 -2HBD-21 - 724 Pittwater Rd Brookvale / Lakeview"/>
    <s v="NBN New Devs"/>
    <n v="1612.32"/>
  </r>
  <r>
    <x v="8"/>
    <s v="Inv 2469"/>
    <d v="2017-12-22T00:00:00"/>
    <x v="8"/>
    <s v="NBN Co"/>
    <s v="NBN A417"/>
    <s v="MW21505-AYCA-2AS459-2LID-05 -22-26 Ann Street Lidcombe"/>
    <s v="NBN New Devs"/>
    <n v="3596.99"/>
  </r>
  <r>
    <x v="8"/>
    <s v="Inv 2470"/>
    <d v="2017-12-22T00:00:00"/>
    <x v="8"/>
    <s v="NBN Co"/>
    <s v="NBN A417"/>
    <s v="MW21540-2LIV-02- AYCA-3DOI9R 166/176-178 Terminus ST ,Liverpool "/>
    <s v="NBN New Devs"/>
    <n v="1325"/>
  </r>
  <r>
    <x v="8"/>
    <s v="Inv 2471"/>
    <d v="2017-12-22T00:00:00"/>
    <x v="8"/>
    <s v="NBN Co"/>
    <s v="NBN A417"/>
    <s v="MW21384 - 2PEN-65  - AYCA-4LWMQ0 - 271 Dunmore Street - 1- EXTERNAL"/>
    <s v="NBN New Devs"/>
    <n v="3121.35"/>
  </r>
  <r>
    <x v="8"/>
    <s v="Inv 2472"/>
    <d v="2017-12-22T00:00:00"/>
    <x v="8"/>
    <s v="NBN Co"/>
    <s v="NBN A417"/>
    <s v="MW21026 - 2HOR-62 - AYCA-3TQB8K - MOUNT COLAH GARDENS - 2 - EXTERNAL"/>
    <s v="NBN New Devs"/>
    <n v="1793.75"/>
  </r>
  <r>
    <x v="8"/>
    <s v="Inv 2473"/>
    <d v="2017-12-22T00:00:00"/>
    <x v="8"/>
    <s v="NBN Co"/>
    <s v="NBN A417"/>
    <s v="MW21505-AYCA-2AS459-2LID-05 -22-26 Ann Street Lidcombe"/>
    <s v="NBN New Devs"/>
    <n v="5715.64"/>
  </r>
  <r>
    <x v="8"/>
    <s v="Inv 2474"/>
    <d v="2017-12-22T00:00:00"/>
    <x v="8"/>
    <s v="NBN Co"/>
    <s v="NBN A417"/>
    <s v="MW21120 - 2EDG-62 - AYCA-4GJD8J - 10 COURT ROAD - External"/>
    <s v="NBN New Devs"/>
    <n v="1523.39"/>
  </r>
  <r>
    <x v="8"/>
    <s v="Inv 2475"/>
    <d v="2017-12-22T00:00:00"/>
    <x v="8"/>
    <s v="NBN Co"/>
    <s v="NBN A417"/>
    <s v="MW21026 - 2HOR-62 - AYCA-3TQB8K - MOUNT COLAH GARDENS - 2 - EXTERNAL"/>
    <s v="NBN New Devs"/>
    <n v="1126.02"/>
  </r>
  <r>
    <x v="8"/>
    <s v="Inv 2467"/>
    <d v="2017-12-22T00:00:00"/>
    <x v="8"/>
    <s v="NBN Co"/>
    <s v="NBN A417"/>
    <s v="MW21386 - 2PTH-05 - AYCA-3BBYF2 - 40-50 Union Rd, Penrith"/>
    <s v="NBN New Devs"/>
    <n v="1495.75"/>
  </r>
  <r>
    <x v="2"/>
    <s v="Inv 1803726"/>
    <d v="2018-01-11T00:00:00"/>
    <x v="9"/>
    <s v="NBN Co"/>
    <s v="NBN A417"/>
    <s v="MW20686 - AYCA-1RBL6L - The North Village , Kellyville - 1"/>
    <s v="NBN New Devs"/>
    <n v="2486.86"/>
  </r>
  <r>
    <x v="2"/>
    <s v="Inv 1803727"/>
    <d v="2017-01-08T00:00:00"/>
    <x v="10"/>
    <s v="NBN Co"/>
    <s v="NBN A401"/>
    <s v="MW21072 - 2PKS-20 - AYCA-49I4SO - 72 Brolgan Road "/>
    <s v="NBN New Devs"/>
    <n v="2570.91"/>
  </r>
  <r>
    <x v="17"/>
    <s v="Inv 1038"/>
    <d v="2018-01-22T00:00:00"/>
    <x v="9"/>
    <s v="NBN Co"/>
    <s v="NBN A417"/>
    <s v="MW21373 - AYCA-4O5GBC -  2WET-65 - 106 Chifley Street - Smithfield"/>
    <s v="NBN New Devs"/>
    <n v="3516.25"/>
  </r>
  <r>
    <x v="17"/>
    <s v="Inv 1039"/>
    <d v="2018-01-22T00:00:00"/>
    <x v="9"/>
    <s v="NBN Co"/>
    <s v="NBN A417"/>
    <s v="MW21369 - AYCA-4EEPL6 - Rosebery Park - EXTERNAL"/>
    <s v="NBN New Devs"/>
    <n v="2427.2600000000002"/>
  </r>
  <r>
    <x v="17"/>
    <s v="Inv 1040"/>
    <d v="2018-01-22T00:00:00"/>
    <x v="9"/>
    <s v="NBN Co"/>
    <s v="NBN A417"/>
    <s v="MW21056 - AYCA-4BYB3Q -33 Dunning Ave - 1- EXTERNAL"/>
    <s v="NBN New Devs"/>
    <n v="568.95000000000005"/>
  </r>
  <r>
    <x v="17"/>
    <s v="Inv 1041"/>
    <d v="2018-01-22T00:00:00"/>
    <x v="9"/>
    <s v="NBN Co"/>
    <s v="NBN A417"/>
    <s v="MW21651-AYCA-21BAAK-2BAN-64-Stacey Apartments - 1"/>
    <s v="NBN New Devs"/>
    <n v="2064.79"/>
  </r>
  <r>
    <x v="17"/>
    <s v="Inv 1042"/>
    <d v="2018-01-30T00:00:00"/>
    <x v="9"/>
    <s v="NBN Co"/>
    <s v="NBN A417"/>
    <s v="MW21551 - AYCA-4EN7KA - 2KNS-04 - Lewis &amp; Co - 1"/>
    <s v="NBN New Devs"/>
    <n v="4913.2700000000004"/>
  </r>
  <r>
    <x v="0"/>
    <s v="Inv 138937"/>
    <d v="2017-12-03T00:00:00"/>
    <x v="8"/>
    <s v="NBN Co"/>
    <s v="NBN A417"/>
    <s v="MW21006 - AYCA-49DNJ1 - Nowra BP &amp; McDonalds - 1-  INTERNAL AND EXTERNAL"/>
    <s v="NBN New Devs"/>
    <n v="3269.75"/>
  </r>
  <r>
    <x v="13"/>
    <s v="Inv 0254"/>
    <d v="2018-01-19T00:00:00"/>
    <x v="9"/>
    <s v="NBN Co"/>
    <s v="NBN A401"/>
    <s v="MW20495 - 2CBT-09 - MPS-01 - FTTN-FTTB Construction "/>
    <s v="NBN Minor Works"/>
    <n v="2315"/>
  </r>
  <r>
    <x v="15"/>
    <s v="Inv 115"/>
    <d v="2018-01-28T00:00:00"/>
    <x v="9"/>
    <s v="NBN Co"/>
    <s v="NBN A417"/>
    <s v="MW21381 - AYCA-4B5X29 - 2LIV-03 - 209-213 Memorial Ave - 1- EXTERNAL"/>
    <s v="NBN New Devs"/>
    <n v="127.27"/>
  </r>
  <r>
    <x v="15"/>
    <s v="Inv 115"/>
    <d v="2018-01-28T00:00:00"/>
    <x v="9"/>
    <s v="NBN Co"/>
    <s v="NBN A401"/>
    <s v="MW21373 - AYCA-4O5GBC -  2WET-65 - 106 Chifley Street - Smithfield"/>
    <s v="NBN New Devs"/>
    <n v="1258.23"/>
  </r>
  <r>
    <x v="15"/>
    <s v="Inv 115"/>
    <d v="2018-01-28T00:00:00"/>
    <x v="9"/>
    <s v="NBN Co"/>
    <s v="NBN A417"/>
    <s v="MW21552 - 2KNS-21 - AYCA-4SJ1RQ 18 Armstrong St West Wollongong NSW 2500 -EXTERNAL"/>
    <s v="NBN New Devs"/>
    <n v="1075.44"/>
  </r>
  <r>
    <x v="15"/>
    <s v="Inv 115"/>
    <d v="2018-01-28T00:00:00"/>
    <x v="9"/>
    <s v="NBN Co"/>
    <s v="NBN A417"/>
    <s v="MW21539 - 2WLG-05 - AYCA-4SJ1RQ 18 Armstrong St West Wollongong NSW 2500 –INTERNAL"/>
    <s v="NBN New Devs"/>
    <n v="1266"/>
  </r>
  <r>
    <x v="15"/>
    <s v="Inv 115"/>
    <d v="2018-01-28T00:00:00"/>
    <x v="9"/>
    <s v="NBN Co"/>
    <s v="NBN A417"/>
    <s v="MW21591 - AYCA-3KWVLI - 2ROU-03 - 4 Curtis Road, Kellyville - 1"/>
    <s v="NBN New Devs"/>
    <n v="648"/>
  </r>
  <r>
    <x v="15"/>
    <s v="Inv 115"/>
    <d v="2018-01-28T00:00:00"/>
    <x v="9"/>
    <s v="NBN Co"/>
    <s v="NBN A417"/>
    <s v="MW21611-AYCA-3K2CFZ -2CBT-05-Modco Boarding House 1"/>
    <s v="NBN New Devs"/>
    <n v="798.75"/>
  </r>
  <r>
    <x v="15"/>
    <s v="Inv 115"/>
    <d v="2018-01-28T00:00:00"/>
    <x v="9"/>
    <s v="NBN Co"/>
    <s v="NBN A417"/>
    <s v="MW21425 - AYCA-2IQYU1 - 2LIV-04 - Macquaire St Development – 1-EXTERNAL"/>
    <s v="NBN New Devs"/>
    <n v="363.64"/>
  </r>
  <r>
    <x v="17"/>
    <s v="Inv 1051"/>
    <d v="2018-02-27T00:00:00"/>
    <x v="11"/>
    <s v="NBN Co"/>
    <s v="NBN A417"/>
    <s v="MW20767 - AYCA-1PM9JB - 2GRA-64 - Merrylands Rd"/>
    <s v="NBN New Devs"/>
    <n v="5093.82"/>
  </r>
  <r>
    <x v="0"/>
    <s v="Inv 146792"/>
    <d v="2018-02-04T00:00:00"/>
    <x v="11"/>
    <s v="NBN Co"/>
    <s v="NBN A417"/>
    <s v="MW20778 - AYCA-40UXV5 - 163 Parker St, South Penrith Ext"/>
    <s v="NBN New Devs"/>
    <n v="9159.2800000000007"/>
  </r>
  <r>
    <x v="0"/>
    <s v="Inv 150049"/>
    <d v="2018-02-25T00:00:00"/>
    <x v="11"/>
    <s v="NBN Co"/>
    <s v="NBN A417"/>
    <s v="MW20778 - AYCA-40UXV5 - 163 Parker St, South Penrith Ext"/>
    <s v="NBN New Devs"/>
    <n v="8268.39"/>
  </r>
  <r>
    <x v="17"/>
    <s v="Inv 1052"/>
    <d v="2018-01-31T00:00:00"/>
    <x v="9"/>
    <s v="NBN Co"/>
    <s v="NBN A417"/>
    <s v="MW21457 - 2NEW-63 - AYCA-4QLE5J - Ara on Park - 1 - EXTERNAL"/>
    <s v="NBN New Devs"/>
    <n v="2603.91"/>
  </r>
  <r>
    <x v="17"/>
    <s v="Inv 1053"/>
    <d v="2018-01-31T00:00:00"/>
    <x v="9"/>
    <s v="NBN Co"/>
    <s v="NBN A401"/>
    <s v="MW21145 - AYCA-4KU6BE -OOMWI - 2WET-20 - Seniors Housing"/>
    <s v="NBN New Devs"/>
    <n v="1316.57"/>
  </r>
  <r>
    <x v="17"/>
    <s v="Inv 1054"/>
    <d v="2018-01-31T00:00:00"/>
    <x v="9"/>
    <s v="NBN Co"/>
    <s v="NBN A417"/>
    <s v="MW21551 - AYCA-4EN7KA - 2KNS-04 - Lewis &amp; Co - 1"/>
    <s v="NBN New Devs"/>
    <n v="5539.68"/>
  </r>
  <r>
    <x v="17"/>
    <s v="Inv 1055"/>
    <d v="2018-01-31T00:00:00"/>
    <x v="9"/>
    <s v="NBN Co"/>
    <s v="NBN A417"/>
    <s v="MW21108 - 2NEW-03 - AYCA-4D6F80 - Casa - Terraces "/>
    <s v="NBN New Devs"/>
    <n v="6867.81"/>
  </r>
  <r>
    <x v="17"/>
    <s v="Inv 1057"/>
    <d v="2018-01-31T00:00:00"/>
    <x v="9"/>
    <s v="NBN Co"/>
    <s v="NBN A417"/>
    <s v="MW21056 - AYCA-4BYB3Q -33 Dunning Ave - 1- EXTERNAL"/>
    <s v="NBN New Devs"/>
    <n v="7930.55"/>
  </r>
  <r>
    <x v="17"/>
    <s v="Inv 1058"/>
    <d v="2018-01-31T00:00:00"/>
    <x v="9"/>
    <s v="NBN Co"/>
    <s v="NBN A417"/>
    <s v="MW21067 - 2PTH-01 - AYCA-3VF189 - 293-295 Jamison – 1 EXTERNAL"/>
    <s v="NBN New Devs"/>
    <n v="689.79"/>
  </r>
  <r>
    <x v="17"/>
    <s v="Inv 1059"/>
    <d v="2018-01-31T00:00:00"/>
    <x v="9"/>
    <s v="NBN Co"/>
    <s v="NBN A417"/>
    <s v="MW21538 - 2PAR-63-AYCA-44DU8G 8-10 FRASER ST, WESTMEAD, NSW, 2145"/>
    <s v="NBN New Devs"/>
    <n v="1359.64"/>
  </r>
  <r>
    <x v="17"/>
    <s v="Inv 1060"/>
    <d v="2018-02-27T00:00:00"/>
    <x v="11"/>
    <s v="NBN Co"/>
    <s v="NBN Assurance"/>
    <s v="02470125 - Lot 1, 42 Oxley Drive, Bowral, NSW 2576 (ROBINWOOD COTTAGE)"/>
    <s v="NBN Assurance"/>
    <n v="2952.6"/>
  </r>
  <r>
    <x v="17"/>
    <s v="Inv 1062"/>
    <d v="2018-01-31T00:00:00"/>
    <x v="9"/>
    <s v="NBN Co"/>
    <s v="NBN A401"/>
    <s v="MW21464 - 2NRN-03 - AYCA-4EAKM1-63 SGR - 1- EXTERNAL"/>
    <s v="NBN New Devs"/>
    <n v="2292.46"/>
  </r>
  <r>
    <x v="18"/>
    <s v="Inv  0001"/>
    <d v="2018-01-31T00:00:00"/>
    <x v="9"/>
    <s v="NBN Co"/>
    <s v="NBN A417"/>
    <s v="MW21570 - AYCA-1L7010  - 2LID-08 - Mixed Use Development - Tower A and B"/>
    <s v="NBN New Devs"/>
    <n v="4673.01"/>
  </r>
  <r>
    <x v="18"/>
    <s v="Inv  0002"/>
    <d v="2018-01-31T00:00:00"/>
    <x v="9"/>
    <s v="NBN Co"/>
    <s v="NBN A418"/>
    <s v="MW21537 - AYCA-424B5V- 2LID-05- 9-13 GELIBOLU PARADE, AUBURN"/>
    <s v="NBN New Devs"/>
    <n v="2088.0500000000002"/>
  </r>
  <r>
    <x v="0"/>
    <s v="Inv 151016"/>
    <d v="2018-03-04T00:00:00"/>
    <x v="12"/>
    <s v="NBN Co"/>
    <s v="NBN A417"/>
    <s v="MW20778 - AYCA-40UXV5 - 163 Parker St, South Penrith Ext"/>
    <s v="NBN New Devs"/>
    <n v="8950.7099999999991"/>
  </r>
  <r>
    <x v="2"/>
    <s v="Inv 1803795"/>
    <d v="2018-02-23T00:00:00"/>
    <x v="11"/>
    <s v="NBN Co"/>
    <s v="NBN A401"/>
    <s v="MW21456 - 2BLK-07-16, 51 Huntingwood Drive"/>
    <s v="NBN Minor Works"/>
    <n v="6505.68"/>
  </r>
  <r>
    <x v="18"/>
    <s v="inv 0007"/>
    <d v="2018-02-28T00:00:00"/>
    <x v="11"/>
    <s v="NBN Co"/>
    <s v="NBN A417"/>
    <s v="MW21639-AYCA-4SZLC6 -2PTH-02- William Younis - 1"/>
    <s v="NBN New Devs"/>
    <n v="893.6"/>
  </r>
  <r>
    <x v="18"/>
    <s v="Inv 0006"/>
    <d v="2018-02-28T00:00:00"/>
    <x v="11"/>
    <s v="NBN Co"/>
    <s v="NBN A401"/>
    <s v="MW21472 -  AYCA-4G5CSP - 2GRK-01 - 20 Stanley Street Wyongah"/>
    <s v="NBN New Devs"/>
    <n v="1441.66"/>
  </r>
  <r>
    <x v="18"/>
    <s v="Inv 0005"/>
    <d v="2018-02-28T00:00:00"/>
    <x v="11"/>
    <s v="NBN Co"/>
    <s v="NBN A401"/>
    <s v="MW21473 - AYCA-3TNJ90-64 - 2ERN-03 - James Sea Drive, Green Point"/>
    <s v="NBN New Devs"/>
    <n v="1254.18"/>
  </r>
  <r>
    <x v="18"/>
    <s v="Inv 0004"/>
    <d v="2018-02-28T00:00:00"/>
    <x v="11"/>
    <s v="NBN Co"/>
    <s v="NBN A401"/>
    <s v="MW21473 - AYCA-3TNJ90-64 - 2ERN-03 - James Sea Drive, Green Point"/>
    <s v="NBN New Devs"/>
    <n v="1634.26"/>
  </r>
  <r>
    <x v="18"/>
    <s v="Inv 0003"/>
    <d v="2018-02-28T00:00:00"/>
    <x v="11"/>
    <s v="NBN Co"/>
    <s v="NBN A417"/>
    <s v="MW21649- AYCA-1Y6XJM-2KIL-61-GORDON 2 – 1"/>
    <s v="NBN New Devs"/>
    <n v="2015.96"/>
  </r>
  <r>
    <x v="13"/>
    <s v="Inv 0284"/>
    <d v="2018-03-14T00:00:00"/>
    <x v="12"/>
    <s v="NBN Co"/>
    <s v="NBN A401"/>
    <s v="MW21456 - 2BLK-07-16, 51 Huntingwood Drive"/>
    <s v="NBN Minor Works"/>
    <n v="2299"/>
  </r>
  <r>
    <x v="19"/>
    <s v="Inv 1187"/>
    <d v="2018-02-28T00:00:00"/>
    <x v="11"/>
    <s v="NBN Co"/>
    <s v="NBN A417"/>
    <s v="MW21591 - AYCA-3KWVLI - 2ROU-03 - 4 Curtis Road, Kellyville - 1"/>
    <s v="NBN New Devs"/>
    <n v="6420"/>
  </r>
  <r>
    <x v="2"/>
    <s v="Inv 1803802"/>
    <d v="2018-03-01T00:00:00"/>
    <x v="12"/>
    <s v="NBN Co"/>
    <s v="NBN A417"/>
    <s v="MW20843 - AYCA-4EIN5M - 2KCL-02 - 171 Casuarina Way Pty Ltd - 1- EXTERNAL"/>
    <s v="NBN New Devs"/>
    <n v="2399.96"/>
  </r>
  <r>
    <x v="17"/>
    <s v="Inv 1064"/>
    <d v="2018-03-02T00:00:00"/>
    <x v="12"/>
    <s v="NBN Co"/>
    <s v="NBN A417"/>
    <s v="MW21652-AYCA-2ILOMV - 2ASH-05-INFINTY - 1"/>
    <s v="NBN New Devs"/>
    <n v="1101.3399999999999"/>
  </r>
  <r>
    <x v="17"/>
    <s v="Inv 1082"/>
    <d v="2018-03-26T00:00:00"/>
    <x v="12"/>
    <s v="NBN Co"/>
    <s v="NBN A417"/>
    <s v="MW21620- AYCA-4SM2C7 - 2LIV-03-60-62 Passefield Street, Liverpool"/>
    <s v="NBN New Devs"/>
    <n v="459.6"/>
  </r>
  <r>
    <x v="17"/>
    <s v="Inv 1065"/>
    <d v="2018-03-02T00:00:00"/>
    <x v="12"/>
    <s v="NBN Co"/>
    <s v="NBN A417"/>
    <s v="MW21453 - AYCA-2RVC4H - 2LIV-04 - 100 Macquarie Street Liverpool - 1- EXTERNAL"/>
    <s v="NBN New Devs"/>
    <n v="2645.01"/>
  </r>
  <r>
    <x v="17"/>
    <s v="Inv 1081"/>
    <d v="2018-03-26T00:00:00"/>
    <x v="12"/>
    <s v="NBN Co"/>
    <s v="NBN A417"/>
    <s v="MW21556  - AYCA-1XCONO -2NEW-22 - Ablin Erskineville Pty Ltd "/>
    <s v="NBN New Devs"/>
    <n v="6208.68"/>
  </r>
  <r>
    <x v="17"/>
    <s v="Inv 1083"/>
    <d v="2018-03-26T00:00:00"/>
    <x v="12"/>
    <s v="NBN Co"/>
    <s v="NBN A401"/>
    <s v="MW21493 - AYCA-3O0SC6 - 2PTH-02 - Hope Gardens - 1"/>
    <s v="NBN New Devs"/>
    <n v="5244.89"/>
  </r>
  <r>
    <x v="17"/>
    <s v="Inv 1084"/>
    <d v="2018-03-26T00:00:00"/>
    <x v="12"/>
    <s v="NBN Co"/>
    <s v="NBN A417"/>
    <s v="MW21835-AYCA-4MJ7W3-2WRO-63-201 Chapel St, Armidale"/>
    <s v="NBN New Devs"/>
    <n v="1885.45"/>
  </r>
  <r>
    <x v="17"/>
    <s v="Inv 1085"/>
    <d v="2018-03-26T00:00:00"/>
    <x v="12"/>
    <s v="NBN Co"/>
    <s v="NBN A401"/>
    <s v="MW20507 - AYCA-2Y5DX4 - Bridgeland Investment"/>
    <s v="NBN New Devs"/>
    <n v="1805.9"/>
  </r>
  <r>
    <x v="17"/>
    <s v="Inv 1086"/>
    <d v="2018-03-26T00:00:00"/>
    <x v="12"/>
    <s v="NBN Co"/>
    <s v="NBN A417"/>
    <s v="MW21651-AYCA-21BAAK-2BAN-64-Stacey Apartments - 1"/>
    <s v="NBN New Devs"/>
    <n v="9192.9699999999993"/>
  </r>
  <r>
    <x v="17"/>
    <s v="Inv 1087"/>
    <d v="2018-03-26T00:00:00"/>
    <x v="12"/>
    <s v="NBN Co"/>
    <s v="NBN A401"/>
    <s v="INC000007076078 - Lot 10, 15 Moles Street, Albion Park,"/>
    <s v="NBN Assurance"/>
    <n v="1295"/>
  </r>
  <r>
    <x v="17"/>
    <s v="Inv 1088"/>
    <d v="2018-03-26T00:00:00"/>
    <x v="12"/>
    <s v="NBN Co"/>
    <s v="NBN A401"/>
    <s v="INC000007228306 - 2 Lovelle St, Moss Vale, NSW"/>
    <s v="NBN Assurance"/>
    <n v="2849"/>
  </r>
  <r>
    <x v="17"/>
    <s v="Inv 1089"/>
    <d v="2018-03-26T00:00:00"/>
    <x v="12"/>
    <s v="NBN Co"/>
    <s v="NBN A401"/>
    <s v="INC000007302762- Lot 81, 70 Point St, Bulli"/>
    <s v="NBN Assurance"/>
    <n v="1036"/>
  </r>
  <r>
    <x v="17"/>
    <s v="Inv 1090"/>
    <d v="2018-03-26T00:00:00"/>
    <x v="12"/>
    <s v="NBN Co"/>
    <s v="NBN A401"/>
    <s v="INC000007271428 – Lot 12, 21 Sharwood Pl, Gerringong"/>
    <s v="NBN Assurance"/>
    <n v="2849"/>
  </r>
  <r>
    <x v="17"/>
    <s v="Inv 1095"/>
    <d v="2018-03-28T00:00:00"/>
    <x v="12"/>
    <s v="NBN Co"/>
    <s v="NBN A417"/>
    <s v="MW21523 - 2EPP-62 - AYCA-20PHAM-20-28 CAMBRIDGE ST EPPING"/>
    <s v="NBN New Devs"/>
    <n v="4395.1400000000003"/>
  </r>
  <r>
    <x v="17"/>
    <s v="Inv 1094"/>
    <d v="2018-03-28T00:00:00"/>
    <x v="12"/>
    <s v="NBN Co"/>
    <s v="NBN A417"/>
    <s v="MW21919-AYCA-35Q2VE-2KEL-07-9 Fairway Drive, Kellyville"/>
    <s v="NBN New Devs"/>
    <n v="4736.21"/>
  </r>
  <r>
    <x v="15"/>
    <s v="Inv 116"/>
    <d v="2018-03-26T00:00:00"/>
    <x v="12"/>
    <s v="NBN Co"/>
    <s v="NBN A417"/>
    <s v="MW22072-AYCA-4YFIWK-2HOM-03-4 EXTER RD, HOMEBUSH WEST"/>
    <s v="NBN New Devs"/>
    <n v="1639.63"/>
  </r>
  <r>
    <x v="15"/>
    <s v="Inv 116"/>
    <d v="2018-03-26T00:00:00"/>
    <x v="12"/>
    <s v="NBN Co"/>
    <s v="NBN A401"/>
    <s v="MW21271 - AYCA-45TAFX  - 2MRS-03-Cooranbong - 1"/>
    <s v="NBN New Devs"/>
    <n v="4446.68"/>
  </r>
  <r>
    <x v="15"/>
    <s v="Inv 116"/>
    <d v="2018-03-26T00:00:00"/>
    <x v="12"/>
    <s v="NBN Co"/>
    <s v="NBN A401"/>
    <s v="MW21642- AYCA-48KUSD-2NRN-10 - 79-85 TURNER ROAD, GREGORY HILLS"/>
    <s v="NBN New Devs"/>
    <n v="676.5"/>
  </r>
  <r>
    <x v="15"/>
    <s v="Inv 116"/>
    <d v="2018-03-26T00:00:00"/>
    <x v="12"/>
    <s v="NBN Co"/>
    <s v="NBN A417"/>
    <s v="MW21947-AYCA-54T32P-2MIL-01-Ryan &amp; Burrows Avenue"/>
    <s v="NBN New Devs"/>
    <n v="1560.1"/>
  </r>
  <r>
    <x v="15"/>
    <s v="Inv 116"/>
    <d v="2018-03-26T00:00:00"/>
    <x v="12"/>
    <s v="NBN Co"/>
    <s v="NBN A401"/>
    <s v="MW21512 - AYCA-4IUR86 - 2NLT-09 - Clarendene - 1"/>
    <s v="NBN New Devs"/>
    <n v="210"/>
  </r>
  <r>
    <x v="15"/>
    <s v="Inv 116"/>
    <d v="2018-03-26T00:00:00"/>
    <x v="12"/>
    <s v="NBN Co"/>
    <s v="NBN A401"/>
    <s v="MW21473 - AYCA-3TNJ90-64 - 2ERN-03 - James Sea Drive, Green Point"/>
    <s v="NBN New Devs"/>
    <n v="210"/>
  </r>
  <r>
    <x v="15"/>
    <s v="Inv 116"/>
    <d v="2018-03-26T00:00:00"/>
    <x v="12"/>
    <s v="NBN Co"/>
    <s v="NBN A401"/>
    <s v="MW21472 -  AYCA-4G5CSP - 2GRK-01 - 20 Stanley Street Wyongah"/>
    <s v="NBN New Devs"/>
    <n v="210"/>
  </r>
  <r>
    <x v="15"/>
    <s v="Inv 116"/>
    <d v="2018-03-26T00:00:00"/>
    <x v="12"/>
    <s v="NBN Co"/>
    <s v="NBN A417"/>
    <s v="MW21178 - 2LID-06 - AYCA-32WJ4A - John St - 2 - INTERNAL"/>
    <s v="NBN New Devs"/>
    <n v="3248.8"/>
  </r>
  <r>
    <x v="15"/>
    <s v="Inv 116"/>
    <d v="2018-03-26T00:00:00"/>
    <x v="12"/>
    <s v="NBN Co"/>
    <s v="NBN A417"/>
    <s v="MW21397 - AYCA-32WJ4A - 2LID-06 -  John St - 2- EXTERNAL"/>
    <s v="NBN New Devs"/>
    <n v="3585.33"/>
  </r>
  <r>
    <x v="17"/>
    <s v="Inv 1060"/>
    <d v="2018-02-27T00:00:00"/>
    <x v="11"/>
    <s v="NBN Co"/>
    <s v="NBN Assurance"/>
    <s v="INC000007044511 - Lot 857, 93 Leumeah Street, Sanctuary Point, NSW 2540"/>
    <s v="NBN Assurance"/>
    <n v="2590"/>
  </r>
  <r>
    <x v="20"/>
    <s v="Inv 0195"/>
    <d v="2018-03-29T00:00:00"/>
    <x v="12"/>
    <s v="NBN Co"/>
    <s v="NBN Assurance"/>
    <s v="INC000007403862 –  49 RACECOURSE RD, ORANGE"/>
    <s v="NBN Assurance"/>
    <n v="1360"/>
  </r>
  <r>
    <x v="17"/>
    <s v="Inv 1098"/>
    <d v="2018-03-29T00:00:00"/>
    <x v="12"/>
    <s v="NBN Co"/>
    <s v="NBN A417"/>
    <s v="MW21556  - AYCA-1XCONO -2NEW-22 - Ablin Erskineville Pty Ltd "/>
    <s v="NBN Assurance"/>
    <n v="3743.08"/>
  </r>
  <r>
    <x v="6"/>
    <s v="Inv 18/1208"/>
    <d v="2018-03-28T00:00:00"/>
    <x v="12"/>
    <s v="NBN Co"/>
    <s v="NBN A417"/>
    <s v="MW20843 - AYCA-4EIN5M - 2KCL-02 - 171 Casuarina Way Pty Ltd - 1- EXTERNAL"/>
    <s v="NBN Assurance"/>
    <n v="903"/>
  </r>
  <r>
    <x v="21"/>
    <s v="Inv 11892"/>
    <d v="2018-04-03T00:00:00"/>
    <x v="13"/>
    <s v="NBN Co"/>
    <s v="NBN A401"/>
    <s v="MW21281 - AYCA-3K4RCM - Marsden Park Tonzat Development - 2"/>
    <s v="NBN New Devs"/>
    <n v="320"/>
  </r>
  <r>
    <x v="2"/>
    <s v="Inv 1803851"/>
    <d v="2018-04-05T00:00:00"/>
    <x v="13"/>
    <s v="NBN Co"/>
    <s v="NBN A401"/>
    <s v="MW20495 - 2CBT-09 - MPS-01 - FTTN-FTTB Construction "/>
    <s v="NBN Minor Works"/>
    <n v="6779.9"/>
  </r>
  <r>
    <x v="12"/>
    <s v="Inv 988255"/>
    <d v="2018-04-12T00:00:00"/>
    <x v="13"/>
    <s v="NBN Co"/>
    <s v="NBN A401"/>
    <s v="MW20682 - AYCA-3NDQ7T - 2ROU-04 - 67 Barry Street"/>
    <s v="NBN New Devs"/>
    <n v="4410.54"/>
  </r>
  <r>
    <x v="2"/>
    <s v="Inv 1803863"/>
    <d v="2018-04-11T00:00:00"/>
    <x v="13"/>
    <s v="NBN Co"/>
    <s v="NBN A401"/>
    <s v="MW20627 - AYCA-40UYFT - 2PKE-06 - Berkeley "/>
    <s v="NBN New Devs"/>
    <n v="2095.98"/>
  </r>
  <r>
    <x v="2"/>
    <s v="Inv 1803862"/>
    <d v="2018-04-11T00:00:00"/>
    <x v="13"/>
    <s v="NBN Co"/>
    <s v="NBN A401"/>
    <s v="MW20604 - AYCA-46I5YX - 878 Pacific Hwy, Lisarow"/>
    <s v="NBN New Devs"/>
    <n v="1555.96"/>
  </r>
  <r>
    <x v="2"/>
    <s v="Inv 1803861"/>
    <d v="2018-04-11T00:00:00"/>
    <x v="13"/>
    <s v="NBN Co"/>
    <s v="NBN A417"/>
    <s v="MW21921-AYCA-4MOKVP-2TAR-01-22 Elwell CL, Beresfield"/>
    <s v="NBN New Devs"/>
    <n v="5178.1000000000004"/>
  </r>
  <r>
    <x v="2"/>
    <s v="Inv 1803859"/>
    <d v="2018-04-11T00:00:00"/>
    <x v="13"/>
    <s v="NBN Co"/>
    <s v="NBN A401"/>
    <s v="MW21484 - AYCA-2CO7SU - 2ARM-04 - Brown - 1"/>
    <s v="NBN New Devs"/>
    <n v="1546.58"/>
  </r>
  <r>
    <x v="22"/>
    <s v="Inv 10387"/>
    <d v="2018-04-10T00:00:00"/>
    <x v="13"/>
    <s v="NBN Co"/>
    <s v="NBN A401"/>
    <s v="MW22034-AYCA-4DZ83F-2NLT-01-6 Callan Avenue Maryland "/>
    <s v="NBN New Devs"/>
    <n v="3013.08"/>
  </r>
  <r>
    <x v="2"/>
    <s v="Inv 1803864"/>
    <d v="2018-04-11T00:00:00"/>
    <x v="13"/>
    <s v="NBN Co"/>
    <s v="NBN A417"/>
    <s v="MW21092 - AYCA-1NGPGW - 2BRG-03Gledswood"/>
    <s v="NBN New Devs"/>
    <n v="5068.58"/>
  </r>
  <r>
    <x v="2"/>
    <s v="Inv 1803865"/>
    <d v="2018-04-11T00:00:00"/>
    <x v="13"/>
    <s v="AARNet"/>
    <s v="AARNet"/>
    <s v="ICQ-315 IPT2073 WSU Parramatta Square Western Lead-in"/>
    <s v="AARNet"/>
    <n v="7312"/>
  </r>
  <r>
    <x v="23"/>
    <s v="Inv 1"/>
    <d v="2018-04-10T00:00:00"/>
    <x v="13"/>
    <s v="NBN Co"/>
    <s v="NBN A401"/>
    <s v="MW20764 - 2BLK-12-07 - Lot 21 Western MTQY/2 Rudders/Unit 40 - 15 Valediction"/>
    <s v="NBN Minor Works"/>
    <n v="546.48"/>
  </r>
  <r>
    <x v="23"/>
    <s v="Inv 2"/>
    <d v="2018-04-10T00:00:00"/>
    <x v="13"/>
    <s v="NBN Co"/>
    <s v="NBN A401"/>
    <s v="MW20764 - 2BLK-12-07 - Lot 21 Western MTQY/2 Rudders/Unit 40 - 15 Valediction"/>
    <s v="NBN Minor Works"/>
    <n v="546.48"/>
  </r>
  <r>
    <x v="2"/>
    <s v="Inv 1803868"/>
    <d v="2018-04-16T00:00:00"/>
    <x v="13"/>
    <s v="NBN Co"/>
    <s v="NBN A417"/>
    <s v="MW20798 - AYCA-2LT5GF - Castlereagh Street - 1"/>
    <s v="NBN New Devs"/>
    <n v="730.76"/>
  </r>
  <r>
    <x v="22"/>
    <s v="Inv 10401"/>
    <d v="2018-04-20T00:00:00"/>
    <x v="13"/>
    <s v="NBN Co"/>
    <s v="NBN A401"/>
    <s v="MW22009-AYCA-4L6PEC-2OBA-20-Brooks close, Old Bar"/>
    <s v="NBN New Devs"/>
    <n v="2323.3000000000002"/>
  </r>
  <r>
    <x v="22"/>
    <s v="Inv 10388"/>
    <d v="2018-04-11T00:00:00"/>
    <x v="13"/>
    <s v="NBN Co"/>
    <s v="NBN A417"/>
    <s v="MW21921-AYCA-4MOKVP-2TAR-01-22 Elwell CL, Beresfield"/>
    <s v="NBN New Devs"/>
    <n v="6199.82"/>
  </r>
  <r>
    <x v="0"/>
    <s v="Inv 158472"/>
    <d v="2018-04-22T00:00:00"/>
    <x v="13"/>
    <s v="NBN Co"/>
    <s v="NBN A401"/>
    <s v="MW21532 - AYCA-4TBHNX - 2SHH-05 - NSB - 125 LAKE ENTRANCE - SURVEY"/>
    <s v="NBN New Devs"/>
    <n v="682.92"/>
  </r>
  <r>
    <x v="0"/>
    <s v="Inv 157420"/>
    <d v="2018-04-15T00:00:00"/>
    <x v="13"/>
    <s v="NBN Co"/>
    <s v="VPL New Devs"/>
    <s v="VPL New Devs - 2CAM-60-AYCA-4VCIKM"/>
    <s v="NBN New Devs"/>
    <n v="3101.94"/>
  </r>
  <r>
    <x v="17"/>
    <s v="Inv 1100"/>
    <d v="2018-04-30T00:00:00"/>
    <x v="13"/>
    <s v="NBN Co"/>
    <s v="VPL New Devs"/>
    <s v="VPL New Devs - 2BUR-03-AYCA-2EBL4P"/>
    <s v="NBN New Devs"/>
    <n v="11722.05"/>
  </r>
  <r>
    <x v="17"/>
    <s v="Inv 1101"/>
    <d v="2018-04-30T00:00:00"/>
    <x v="13"/>
    <s v="NBN Co"/>
    <s v="NBN A417"/>
    <s v="MW21861-AYCA-4GPKZN-2RED-03-713-717 Elizabeth St, Waterloo"/>
    <s v="NBN New Devs"/>
    <n v="1431.08"/>
  </r>
  <r>
    <x v="17"/>
    <s v="Inv 1102"/>
    <d v="2018-04-30T00:00:00"/>
    <x v="13"/>
    <s v="NBN Co"/>
    <s v="VPL New Devs"/>
    <s v="VPL New Devs - 2CAM-60-AYCA-4VCIKM"/>
    <s v="NBN New Devs"/>
    <n v="2249.6"/>
  </r>
  <r>
    <x v="17"/>
    <s v="Inv 1103"/>
    <d v="2018-04-30T00:00:00"/>
    <x v="13"/>
    <s v="NBN Co"/>
    <s v="NBN A417"/>
    <s v="MW21724-AYCA-3TP6RP-2SIL-04-Majors Bay Mortlake Residential "/>
    <s v="NBN New Devs"/>
    <n v="3269.94"/>
  </r>
  <r>
    <x v="17"/>
    <s v="Inv 1104"/>
    <d v="2018-04-30T00:00:00"/>
    <x v="13"/>
    <s v="NBN Co"/>
    <s v="NBN A401"/>
    <s v="MW20507 - AYCA-2Y5DX4 - Bridgeland Investment"/>
    <s v="NBN New Devs"/>
    <n v="1680.64"/>
  </r>
  <r>
    <x v="17"/>
    <s v="Inv 1105"/>
    <d v="2018-04-30T00:00:00"/>
    <x v="13"/>
    <s v="NBN Co"/>
    <s v="VPL New Devs"/>
    <s v="VPL New Devs - 2BUR-03-AYCA-2EBL4P"/>
    <s v="NBN New Devs"/>
    <n v="13429.89"/>
  </r>
  <r>
    <x v="17"/>
    <s v="Inv 1106"/>
    <d v="2018-04-30T00:00:00"/>
    <x v="13"/>
    <s v="NBN Co"/>
    <s v="NBN A417"/>
    <s v="MW21861-AYCA-4GPKZN-2RED-03-713-717 Elizabeth St, Waterloo"/>
    <s v="NBN New Devs"/>
    <n v="9684.9"/>
  </r>
  <r>
    <x v="17"/>
    <s v="Inv 1107"/>
    <d v="2018-04-30T00:00:00"/>
    <x v="13"/>
    <s v="NBN Co"/>
    <s v="NBN A417"/>
    <s v="MW21857-AYCA-442ZEA- 2PAR-63-2 Good st, Westmead"/>
    <s v="NBN New Devs"/>
    <n v="7231.46"/>
  </r>
  <r>
    <x v="17"/>
    <s v="Inv 1108"/>
    <d v="2018-04-30T00:00:00"/>
    <x v="13"/>
    <s v="NBN Co"/>
    <s v="VPL New Devs"/>
    <s v="VPL New Devs - 2CAM-60-AYCA-4VCIKM"/>
    <s v="NBN New Devs"/>
    <n v="7347.64"/>
  </r>
  <r>
    <x v="17"/>
    <s v="Inv 1109"/>
    <d v="2018-04-30T00:00:00"/>
    <x v="13"/>
    <s v="NBN Co"/>
    <s v="NBN A417"/>
    <s v="MW21966-AYCA-52950S-2BUR-65-147 - 153 Liverpool Rd, Burwood"/>
    <s v="NBN New Devs"/>
    <n v="7894.5"/>
  </r>
  <r>
    <x v="17"/>
    <s v="Inv 1110"/>
    <d v="2018-04-30T00:00:00"/>
    <x v="13"/>
    <s v="NBN Co"/>
    <s v="NBN A417"/>
    <s v="MW20116 - AYCA-3I8XUO - 2RDL-60 - Highgardens – 1- EXTERNAL"/>
    <s v="NBN New Devs"/>
    <n v="9603.8700000000008"/>
  </r>
  <r>
    <x v="17"/>
    <s v="Inv 1111"/>
    <d v="2018-04-30T00:00:00"/>
    <x v="13"/>
    <s v="NBN Co"/>
    <s v="NBN A417"/>
    <s v="MW21652-AYCA-2ILOMV - 2ASH-05-INFINTY - 1"/>
    <s v="NBN New Devs"/>
    <n v="6574.86"/>
  </r>
  <r>
    <x v="17"/>
    <s v="Inv 1112"/>
    <d v="2018-04-30T00:00:00"/>
    <x v="13"/>
    <s v="NBN Co"/>
    <s v="NBN A417"/>
    <s v="MW21881-AYCA-2YGB4Y-2BLK-01-EXTERNAL"/>
    <s v="NBN New Devs"/>
    <n v="2156.54"/>
  </r>
  <r>
    <x v="22"/>
    <s v="Inv 10441"/>
    <d v="2018-04-30T00:00:00"/>
    <x v="13"/>
    <s v="NBN Co"/>
    <s v="NBN A401"/>
    <s v="MW22032-AYCA-4C48KZ-2MDG-01-4 Lewis Street Mudgee"/>
    <s v="NBN New Devs"/>
    <n v="3773.27"/>
  </r>
  <r>
    <x v="15"/>
    <s v="Inv 117"/>
    <d v="2018-04-26T00:00:00"/>
    <x v="13"/>
    <s v="NBN Co"/>
    <s v="NBN A417"/>
    <s v="MW21861-AYCA-4GPKZN-2RED-03-713-717 Elizabeth St, Waterloo"/>
    <s v="NBN New Devs"/>
    <n v="2533.19"/>
  </r>
  <r>
    <x v="15"/>
    <s v="Inv 117"/>
    <d v="2018-04-26T00:00:00"/>
    <x v="13"/>
    <s v="NBN Co"/>
    <s v="NBN A417"/>
    <s v="MW21967-AYCA-4UKN6A-2WET-65-727 The Horsley Dr, Smithfield"/>
    <s v="NBN New Devs"/>
    <n v="613.94000000000005"/>
  </r>
  <r>
    <x v="15"/>
    <s v="Inv 117"/>
    <d v="2018-04-26T00:00:00"/>
    <x v="13"/>
    <s v="NBN Co"/>
    <s v="NBN A417"/>
    <s v="MW22017-AYCA-413V2N-2HOM-03-16 - 20 Smallwood Ave, Homebush"/>
    <s v="NBN New Devs"/>
    <n v="4066.58"/>
  </r>
  <r>
    <x v="15"/>
    <s v="Inv 117"/>
    <d v="2018-04-26T00:00:00"/>
    <x v="13"/>
    <s v="NBN Co"/>
    <s v="NBN A401"/>
    <s v="MW21473 - AYCA-3TNJ90-64 - 2ERN-03 - James Sea Drive, Green Point"/>
    <s v="NBN New Devs"/>
    <n v="2785.85"/>
  </r>
  <r>
    <x v="18"/>
    <s v="Inv 0008"/>
    <d v="2018-05-03T00:00:00"/>
    <x v="14"/>
    <s v="NBN Co"/>
    <s v="NBN A401"/>
    <s v="MW21756-AYCA-3K4RCM-2RIV-03-Marsden Park Tonzat Development - 2"/>
    <s v="NBN New Devs"/>
    <n v="9927.23"/>
  </r>
  <r>
    <x v="18"/>
    <s v="Inv 0009"/>
    <d v="2018-05-03T00:00:00"/>
    <x v="14"/>
    <s v="NBN Co"/>
    <s v="NBN A417"/>
    <s v="MW21704 - AYCA-4RDSRL - 2BLK-12-bedford gardens - 1"/>
    <s v="NBN New Devs"/>
    <n v="1294.92"/>
  </r>
  <r>
    <x v="18"/>
    <s v="Inv 0010"/>
    <d v="2018-05-03T00:00:00"/>
    <x v="14"/>
    <s v="NBN Co"/>
    <s v="NBN A417"/>
    <s v="MW21637-AYCA-4OHMS3 - 2BLK-07 -35 Holbeche road, Arndell Park - EXT"/>
    <s v="NBN New Devs"/>
    <n v="703.2"/>
  </r>
  <r>
    <x v="24"/>
    <s v="Inv 553"/>
    <d v="2018-05-12T00:00:00"/>
    <x v="15"/>
    <s v="NBN Co"/>
    <s v="NBN Project Fusion"/>
    <s v="2MON-25 Validation and GIS Services"/>
    <s v="NBN Project Fusion"/>
    <n v="9760"/>
  </r>
  <r>
    <x v="24"/>
    <s v="Inv 552"/>
    <d v="2018-04-29T00:00:00"/>
    <x v="16"/>
    <s v="NBN Co"/>
    <s v="NBN Project Fusion"/>
    <s v="2MIR-29 GIS Services"/>
    <s v="NBN Project Fusion"/>
    <n v="3000"/>
  </r>
  <r>
    <x v="11"/>
    <s v="Inv 4157A"/>
    <d v="2018-05-15T00:00:00"/>
    <x v="14"/>
    <s v="NBN Co"/>
    <s v="NBN A401"/>
    <s v="MW22100 - AYCA-4QBUIV - 2KTB-02 -  NSB - Letitia St Katoomb"/>
    <s v="NBN New Devs"/>
    <n v="12047.7"/>
  </r>
  <r>
    <x v="11"/>
    <s v="Inv 4158A"/>
    <d v="2018-05-15T00:00:00"/>
    <x v="14"/>
    <s v="NBN Co"/>
    <s v="NBN A401"/>
    <s v="MW22100 - AYCA-4QBUIV - 2KTB-02 -  NSB - Letitia St Katoomb"/>
    <s v="NBN New Devs"/>
    <n v="1298.75"/>
  </r>
  <r>
    <x v="0"/>
    <s v="Inv 161363"/>
    <d v="2018-05-13T00:00:00"/>
    <x v="14"/>
    <s v="NBN Co"/>
    <s v="VPL New Devs"/>
    <s v="VPL New Devs - 2PET-69-AYCA-3G34XT"/>
    <s v="NBN New Devs"/>
    <n v="1954.03"/>
  </r>
  <r>
    <x v="24"/>
    <s v="Inv 554"/>
    <d v="2018-05-18T00:00:00"/>
    <x v="17"/>
    <s v="NBN Co"/>
    <s v="NBN Project Fusion"/>
    <s v="2MIR-22 Validation and GIS Services"/>
    <s v="NBN Project Fusion"/>
    <n v="11080"/>
  </r>
  <r>
    <x v="22"/>
    <s v="Inv 10498"/>
    <d v="2018-05-23T00:00:00"/>
    <x v="14"/>
    <s v="NBN Co"/>
    <s v="NBN A401"/>
    <s v="MW22011-AYCA-4GRO21-2RTC-20-55 Kingston Parade, Heatherbae"/>
    <s v="NBN New Devs"/>
    <n v="5405.07"/>
  </r>
  <r>
    <x v="24"/>
    <s v="Inv 556"/>
    <d v="2018-05-24T00:00:00"/>
    <x v="18"/>
    <s v="NBN Co"/>
    <s v="NBN Project Fusion"/>
    <s v="2MIR-26, Validation and GIS services"/>
    <s v="NBN Project Fusion"/>
    <n v="15304"/>
  </r>
  <r>
    <x v="22"/>
    <s v="Inv 10497"/>
    <d v="2018-05-23T00:00:00"/>
    <x v="14"/>
    <s v="NBN Co"/>
    <s v="NBN A401"/>
    <s v="MW22196 - AYCA-4VVND3 - 2ORG-01 - 258 CLERGATE RD, ORANGE"/>
    <s v="NBN New Devs"/>
    <n v="8266.83"/>
  </r>
  <r>
    <x v="25"/>
    <s v="Inv 568"/>
    <d v="2018-05-21T00:00:00"/>
    <x v="14"/>
    <s v="NBN Co"/>
    <s v="NBN A417"/>
    <s v="MW22366-AYCA-117I3H-2RIV-01-34 Station Street Schofields"/>
    <s v="NBN New Devs"/>
    <n v="4548.67"/>
  </r>
  <r>
    <x v="25"/>
    <s v="Inv 569"/>
    <d v="2018-05-21T00:00:00"/>
    <x v="14"/>
    <s v="NBN Co"/>
    <s v="NBN A401"/>
    <s v="MW22333 - AYCA-54SUCD - 2PKE-06 - Warehouse Pl Berkeley"/>
    <s v="NBN New Devs"/>
    <n v="1960"/>
  </r>
  <r>
    <x v="26"/>
    <s v="Inv CNI13357"/>
    <d v="2018-05-28T00:00:00"/>
    <x v="14"/>
    <s v="NBN Co"/>
    <s v="NBN A417"/>
    <s v="MW21820-AYCA-4W4BKH-2HOM-02-38 Weeroona Rd, Strathfield EXT"/>
    <s v="NBN New Devs"/>
    <n v="1720"/>
  </r>
  <r>
    <x v="17"/>
    <s v="Inv 1115"/>
    <d v="2018-05-30T00:00:00"/>
    <x v="14"/>
    <s v="NBN Co"/>
    <s v="NBN A417"/>
    <s v="MW22454-AYCA-2CVKCU-2ROT-60-60 Wallgrove Rd Easter Creek "/>
    <s v="NBN New Devs"/>
    <n v="1704.24"/>
  </r>
  <r>
    <x v="17"/>
    <s v="Inv 1116"/>
    <d v="2018-05-30T00:00:00"/>
    <x v="14"/>
    <s v="NBN Co"/>
    <s v="NBN A417"/>
    <s v="MW22366-AYCA-117I3H-2RIV-01-34 Station Street Schofields"/>
    <s v="NBN New Devs"/>
    <n v="4902.82"/>
  </r>
  <r>
    <x v="17"/>
    <s v="Inv 1117"/>
    <d v="2018-05-30T00:00:00"/>
    <x v="14"/>
    <s v="NBN Co"/>
    <s v="NBN A417"/>
    <s v="MW22022--AYCA-3TBATE-2PAR-6111 Hassall St, Paramatta"/>
    <s v="NBN New Devs"/>
    <n v="4761.7299999999996"/>
  </r>
  <r>
    <x v="17"/>
    <s v="Inv 1118"/>
    <d v="2018-05-30T00:00:00"/>
    <x v="14"/>
    <s v="NBN Co"/>
    <s v="NBN A417"/>
    <s v="MW22265-AYCA-4R1HNT-2MIL-62-6-8 Facey Cres Lurnea "/>
    <s v="NBN New Devs"/>
    <n v="4761.2"/>
  </r>
  <r>
    <x v="17"/>
    <s v="Inv 1119"/>
    <d v="2018-05-30T00:00:00"/>
    <x v="14"/>
    <s v="NBN Co"/>
    <s v="NBN A417"/>
    <s v="MW21970-AYCA-4YZGFK-2PEN-66-51 Boronia St, South Wentworthville"/>
    <s v="NBN New Devs"/>
    <n v="2111.52"/>
  </r>
  <r>
    <x v="17"/>
    <s v="Inv 1120"/>
    <d v="2018-05-30T00:00:00"/>
    <x v="14"/>
    <s v="NBN Co"/>
    <s v="NBN A417"/>
    <s v="MW22366-AYCA-117I3H-2RIV-01-34 Station Street Schofields"/>
    <s v="NBN New Devs"/>
    <n v="1875.06"/>
  </r>
  <r>
    <x v="17"/>
    <s v="Inv 1121"/>
    <d v="2018-05-30T00:00:00"/>
    <x v="14"/>
    <s v="NBN Co"/>
    <s v="NBN A417"/>
    <s v="MW22347-AYCA-4XTH50-2HOM-03-31-35 Smallwood Ave Homebush "/>
    <s v="NBN New Devs"/>
    <n v="6152.49"/>
  </r>
  <r>
    <x v="17"/>
    <s v="Inv 1122"/>
    <d v="2018-05-30T00:00:00"/>
    <x v="14"/>
    <s v="NBN Co"/>
    <s v="NBN A417"/>
    <s v="MW22057 - AYCA-4EOA07-2MIR-24 - 298-300 Taren Point Rd, Caringbah"/>
    <s v="NBN New Devs"/>
    <n v="5968.17"/>
  </r>
  <r>
    <x v="17"/>
    <s v="Inv 1123"/>
    <d v="2018-05-30T00:00:00"/>
    <x v="14"/>
    <s v="NBN Co"/>
    <s v="NBN A417"/>
    <s v="MW20917 - AYCA-3A485K -2LID-03 -  Lidbury Street Berala - 1 - EXTERNAL"/>
    <s v="NBN New Devs"/>
    <n v="3925.55"/>
  </r>
  <r>
    <x v="17"/>
    <s v="Inv 1124"/>
    <d v="2018-05-30T00:00:00"/>
    <x v="14"/>
    <s v="NBN Co"/>
    <s v="NBN A417"/>
    <s v="MW22091-AYCA-4MNF1P-2NRN-10-11 &amp; 15 Holborn Circuit, Gregory Hills "/>
    <s v="NBN New Devs"/>
    <n v="4066.44"/>
  </r>
  <r>
    <x v="17"/>
    <s v="Inv 1125"/>
    <d v="2018-05-30T00:00:00"/>
    <x v="14"/>
    <s v="NBN Co"/>
    <s v="NBN A417"/>
    <s v="MW22093-AYCA-4RGB2W-2EAS-62-111-139 Darlinghurst Rd, Potts Point"/>
    <s v="NBN New Devs"/>
    <n v="6326.5"/>
  </r>
  <r>
    <x v="17"/>
    <s v="Inv 1126"/>
    <d v="2018-05-30T00:00:00"/>
    <x v="14"/>
    <s v="NBN Co"/>
    <s v="NBN A417"/>
    <s v="MW21966-AYCA-52950S-2BUR-65-147 - 153 Liverpool Rd, Burwood"/>
    <s v="NBN New Devs"/>
    <n v="1583.41"/>
  </r>
  <r>
    <x v="17"/>
    <s v="Inv 1127"/>
    <d v="2018-05-30T00:00:00"/>
    <x v="14"/>
    <s v="NBN Co"/>
    <s v="NBN A401"/>
    <s v="MW22478 - AYCA-501QN5 - 2CAS-23 - 30 Pentonville Parade, Castle Hill "/>
    <s v="NBN New Devs"/>
    <n v="1826.69"/>
  </r>
  <r>
    <x v="17"/>
    <s v="Inv 1128"/>
    <d v="2018-05-30T00:00:00"/>
    <x v="14"/>
    <s v="NBN Co"/>
    <s v="NBN A417"/>
    <s v="MW20917 - AYCA-3A485K -2LID-03 -  Lidbury Street Berala - 1 - EXTERNAL"/>
    <s v="NBN New Devs"/>
    <n v="726.33"/>
  </r>
  <r>
    <x v="27"/>
    <s v="Inv 092"/>
    <d v="2018-05-25T00:00:00"/>
    <x v="14"/>
    <s v="NBN Co"/>
    <s v="NBN A401"/>
    <s v="MW21097 - 2LIV-04 - AYCA-476RM9 - NSB - 87-91 Campbell St Build"/>
    <s v="NBN New Devs"/>
    <n v="300"/>
  </r>
  <r>
    <x v="27"/>
    <s v="Inv 092"/>
    <d v="2018-05-25T00:00:00"/>
    <x v="14"/>
    <s v="NBN Co"/>
    <s v="NBN Minor Works"/>
    <s v="MW21456 - 2BLK-07-16 - 51 Huntingwood Drive"/>
    <s v="NBN Minor Works"/>
    <n v="600"/>
  </r>
  <r>
    <x v="17"/>
    <s v="Inv 1129"/>
    <d v="2018-05-31T00:00:00"/>
    <x v="14"/>
    <s v="NBN Co"/>
    <s v="VPL New Devs"/>
    <s v="VPL New Devs - 2PET-69-AYCA-3G34XT"/>
    <s v="NBN New Devs"/>
    <n v="7982.82"/>
  </r>
  <r>
    <x v="17"/>
    <s v="Inv 1130"/>
    <d v="2018-05-31T00:00:00"/>
    <x v="14"/>
    <s v="NBN Co"/>
    <s v="VPL New Devs"/>
    <s v="VPL New Devs 2PET-67-AYCA-4W7GEZ"/>
    <s v="NBN New Devs"/>
    <n v="18732.73"/>
  </r>
  <r>
    <x v="17"/>
    <s v="Inv 1131"/>
    <d v="2018-05-31T00:00:00"/>
    <x v="14"/>
    <s v="NBN Co"/>
    <s v="NBN A417"/>
    <s v="MW22454-AYCA-2CVKCU-2ROT-60-60 Wallgrove Rd Easter Creek "/>
    <s v="NBN New Devs"/>
    <n v="657.18"/>
  </r>
  <r>
    <x v="28"/>
    <s v="Inv 2048219"/>
    <d v="2018-05-31T00:00:00"/>
    <x v="14"/>
    <s v="NBN Co"/>
    <s v="NBN A417"/>
    <s v="MW21651-AYCA-21BAAK-2BAN-64-Stacey Apartments - 1"/>
    <s v="NBN New Devs"/>
    <n v="1051"/>
  </r>
  <r>
    <x v="15"/>
    <s v="Inv 118"/>
    <d v="2018-05-26T00:00:00"/>
    <x v="14"/>
    <s v="NBN Co"/>
    <s v="NBN A417"/>
    <s v="MW22223-AYCA-4S0RD5-2RIV-03-14 Argowan Rd Schofields"/>
    <s v="NBN New Devs"/>
    <n v="1713.1"/>
  </r>
  <r>
    <x v="15"/>
    <s v="Inv 118"/>
    <d v="2018-05-26T00:00:00"/>
    <x v="14"/>
    <s v="NBN Co"/>
    <s v="NBN A417"/>
    <s v="MW22208-AYCA-4PWSOZ- 2KEL-07-1B Fairway Dr Kellyville"/>
    <s v="NBN New Devs"/>
    <n v="1203.8"/>
  </r>
  <r>
    <x v="15"/>
    <s v="Inv 118"/>
    <d v="2018-05-26T00:00:00"/>
    <x v="14"/>
    <s v="NBN Co"/>
    <s v="VPL New Devs"/>
    <s v="VPL New Devs - 2NRN-05-AYCA-4B5K39"/>
    <s v="NBN New Devs"/>
    <n v="443.04"/>
  </r>
  <r>
    <x v="15"/>
    <s v="Inv 118"/>
    <d v="2018-05-26T00:00:00"/>
    <x v="14"/>
    <s v="NBN Co"/>
    <s v="NBN A401"/>
    <s v="MW22288-AYCA-4R7UP6-2MIL-04-40 Government Rd, Hinchinbrook"/>
    <s v="NBN New Devs"/>
    <n v="1143.6099999999999"/>
  </r>
  <r>
    <x v="15"/>
    <s v="Inv 118"/>
    <d v="2018-05-26T00:00:00"/>
    <x v="14"/>
    <s v="NBN Co"/>
    <s v="NBN A417"/>
    <s v="MW22260-AYCA-56YKSC-2CAM-02-38 Wonga St, Canterbury"/>
    <s v="NBN New Devs"/>
    <n v="1225.45"/>
  </r>
  <r>
    <x v="15"/>
    <s v="Inv 118"/>
    <d v="2018-05-26T00:00:00"/>
    <x v="14"/>
    <s v="NBN Co"/>
    <s v="NBN A417"/>
    <s v="MW22258-AYCA-4BT0OX-2RIV-02-66 Schofields Road Schofields"/>
    <s v="NBN New Devs"/>
    <n v="490.78"/>
  </r>
  <r>
    <x v="15"/>
    <s v="Inv 118"/>
    <d v="2018-05-26T00:00:00"/>
    <x v="14"/>
    <s v="NBN Co"/>
    <s v="NBN A417"/>
    <s v="MW22390-AYCA-4EE89M-2RIV-04-15 Boundary Rd Box Hill"/>
    <s v="NBN New Devs"/>
    <n v="976.93"/>
  </r>
  <r>
    <x v="25"/>
    <s v="Inv 570"/>
    <d v="2018-05-30T00:00:00"/>
    <x v="14"/>
    <s v="NBN Co"/>
    <s v="NBN A401"/>
    <s v="MW21390 - AYCA-4QG9AV - NSB - 33 Shoalhaven St Kiama Surevy &amp; Build"/>
    <s v="NBN New Devs"/>
    <n v="1120"/>
  </r>
  <r>
    <x v="24"/>
    <s v="Inv 557"/>
    <d v="2018-06-05T00:00:00"/>
    <x v="19"/>
    <s v="NBN Co"/>
    <s v="NBN Project Fusion"/>
    <s v="2BRI-20, Validation and GIS services"/>
    <s v="NBN Project Fusion"/>
    <n v="1782.5"/>
  </r>
  <r>
    <x v="24"/>
    <s v="Inv 557"/>
    <d v="2018-06-05T00:00:00"/>
    <x v="19"/>
    <s v="NBN Co"/>
    <s v="NBN Project Fusion"/>
    <s v="2MAN-20, Validation and GIS services"/>
    <s v="NBN Project Fusion"/>
    <n v="4926.5"/>
  </r>
  <r>
    <x v="24"/>
    <s v="Inv 557"/>
    <d v="2018-06-05T00:00:00"/>
    <x v="19"/>
    <s v="NBN Co"/>
    <s v="NBN Project Fusion"/>
    <s v="2WWA-20, Validation and GIS services"/>
    <s v="NBN Project Fusion"/>
    <n v="2088.5"/>
  </r>
  <r>
    <x v="24"/>
    <s v="Inv 557"/>
    <d v="2018-06-05T00:00:00"/>
    <x v="19"/>
    <s v="NBN Co"/>
    <s v="NBN Project Fusion"/>
    <s v="2WLH-20, Validation and GIS services"/>
    <s v="NBN Project Fusion"/>
    <n v="2547.5"/>
  </r>
  <r>
    <x v="24"/>
    <s v="Inv 558"/>
    <d v="2018-06-06T00:00:00"/>
    <x v="20"/>
    <s v="NBN Co"/>
    <s v="NBN Project Fusion"/>
    <s v="2MIR-25, Validation and GIS services"/>
    <s v="NBN Project Fusion"/>
    <n v="34356"/>
  </r>
  <r>
    <x v="0"/>
    <s v="Inv 164447"/>
    <d v="2018-06-03T00:00:00"/>
    <x v="21"/>
    <s v="NBN Co"/>
    <s v="NBN A417"/>
    <s v="MW22309-AYCA-3V5BM6-2DRU-61-197-199 Lyons Rd Drummoyne "/>
    <s v="NBN New Devs"/>
    <n v="285"/>
  </r>
  <r>
    <x v="24"/>
    <s v="Inv 559"/>
    <d v="2018-06-12T00:00:00"/>
    <x v="22"/>
    <s v="NBN Co"/>
    <s v="NBN Project Fusion"/>
    <s v="2NDS-01, Validation and GIS services"/>
    <s v="NBN Project Fusion"/>
    <n v="5136.5"/>
  </r>
  <r>
    <x v="24"/>
    <s v="Inv 560"/>
    <d v="2018-06-13T00:00:00"/>
    <x v="23"/>
    <s v="NBN Co"/>
    <s v="NBN Project Fusion"/>
    <s v="2ERP-20, Validation and GIS services"/>
    <s v="NBN Project Fusion"/>
    <n v="9452"/>
  </r>
  <r>
    <x v="2"/>
    <s v="Inv 1803941"/>
    <d v="2018-06-11T00:00:00"/>
    <x v="21"/>
    <s v="NBN Co"/>
    <s v="VPL New Devs"/>
    <s v="VPL New Devs 2PET-67-AYCA-4W7GEZ"/>
    <s v="NBN New Devs"/>
    <n v="8902.3799999999992"/>
  </r>
  <r>
    <x v="24"/>
    <s v="Inv 561"/>
    <d v="2018-06-17T00:00:00"/>
    <x v="24"/>
    <s v="NBN Co"/>
    <s v="NBN Project Fusion"/>
    <s v="2CTH-20, Validation and GIS services"/>
    <s v="NBN Project Fusion"/>
    <n v="9325.25"/>
  </r>
  <r>
    <x v="22"/>
    <s v="Inv 10445"/>
    <d v="2018-06-02T00:00:00"/>
    <x v="21"/>
    <s v="NBN Co"/>
    <s v="NBN A401"/>
    <s v="MW22477 - AYCA-4XVGZ8 -  2WYO-03 -140 Pacific Highway Tuggerah"/>
    <s v="NBN New Devs"/>
    <n v="2459.0700000000002"/>
  </r>
  <r>
    <x v="22"/>
    <s v="Inv/CR 10583"/>
    <d v="2018-06-19T00:00:00"/>
    <x v="21"/>
    <s v="NBN Co"/>
    <s v="NBN A401"/>
    <s v="MW22477 - AYCA-4XVGZ8 -  2WYO-03 -140 Pacific Highway Tuggerah"/>
    <s v="NBN New Devs"/>
    <n v="-100.8"/>
  </r>
  <r>
    <x v="24"/>
    <s v="Inv 564"/>
    <d v="2018-06-21T00:00:00"/>
    <x v="25"/>
    <s v="NBN Co"/>
    <s v="NBN Project Fusion"/>
    <s v="2POR-20, Validation and GIS services"/>
    <s v="NBN Project Fusion"/>
    <n v="1467.5"/>
  </r>
  <r>
    <x v="24"/>
    <s v="Inv 563"/>
    <d v="2018-06-21T00:00:00"/>
    <x v="25"/>
    <s v="NBN Co"/>
    <s v="NBN Project Fusion"/>
    <s v="2LCT-20, Validation and GIS services"/>
    <s v="NBN Project Fusion"/>
    <n v="1151"/>
  </r>
  <r>
    <x v="24"/>
    <s v="Inv 562"/>
    <d v="2018-06-21T00:00:00"/>
    <x v="25"/>
    <s v="NBN Co"/>
    <s v="NBN Project Fusion"/>
    <s v="2DRG-20, Validation and GIS services"/>
    <s v="NBN Project Fusion"/>
    <n v="10256.5"/>
  </r>
  <r>
    <x v="28"/>
    <s v="Inv 2048203"/>
    <d v="2018-06-22T00:00:00"/>
    <x v="21"/>
    <s v="NBN Co"/>
    <s v="VPL New Devs"/>
    <s v="VPL New Devs - 2CAM-60-AYCA-4VCIKM"/>
    <s v="NBN New Devs"/>
    <n v="2695"/>
  </r>
  <r>
    <x v="2"/>
    <s v="Inv 1803957"/>
    <d v="2018-06-22T00:00:00"/>
    <x v="21"/>
    <s v="NBN Co"/>
    <s v="VPL New Devs"/>
    <s v="VPL New Devs - 2PET-69-AYCA-3G34XT"/>
    <s v="NBN New Devs"/>
    <n v="12873.26"/>
  </r>
  <r>
    <x v="29"/>
    <s v="PO 0460"/>
    <m/>
    <x v="6"/>
    <s v="NBN Co"/>
    <s v="NBN A417"/>
    <s v="MW417R000098-AYCA-4TC0MT-2QUA-65-50 Farnham Rd, Quakers Hill"/>
    <s v="NBN New Devs"/>
    <n v="1036.8"/>
  </r>
  <r>
    <x v="24"/>
    <s v="Inv 565"/>
    <d v="2018-06-27T00:00:00"/>
    <x v="26"/>
    <s v="NBN Co"/>
    <s v="NBN Project Fusion"/>
    <s v="2MIR-31, Validation and GIS services"/>
    <s v="NBN Project Fusion"/>
    <n v="12840"/>
  </r>
  <r>
    <x v="24"/>
    <s v="Inv 566"/>
    <d v="2018-06-27T00:00:00"/>
    <x v="26"/>
    <s v="NBN Co"/>
    <s v="NBN Project Fusion"/>
    <s v="2SPW-20, Validation and GIS services"/>
    <s v="NBN Project Fusion"/>
    <n v="8924"/>
  </r>
  <r>
    <x v="24"/>
    <s v="Inv 567"/>
    <d v="2018-06-27T00:00:00"/>
    <x v="26"/>
    <s v="NBN Co"/>
    <s v="NBN Project Fusion"/>
    <s v="2SPW-21, Validation and GIS services"/>
    <s v="NBN Project Fusion"/>
    <n v="7472"/>
  </r>
  <r>
    <x v="24"/>
    <s v="Inv 568"/>
    <d v="2018-06-27T00:00:00"/>
    <x v="26"/>
    <s v="NBN Co"/>
    <s v="NBN Project Fusion"/>
    <s v="2MON-28, Validation and GIS services"/>
    <s v="NBN Project Fusion"/>
    <n v="13060"/>
  </r>
  <r>
    <x v="12"/>
    <s v="Inv 1017189"/>
    <d v="2018-06-28T00:00:00"/>
    <x v="21"/>
    <s v="NBN Co"/>
    <s v="NBN A417"/>
    <s v="MW21521-AYCA-1OHQX6 -2ROU-02-Lake Promenade - Building C- EXTERNAL"/>
    <s v="NBN New Devs"/>
    <n v="3361.68"/>
  </r>
  <r>
    <x v="17"/>
    <s v="Inv 1144"/>
    <d v="2018-06-26T00:00:00"/>
    <x v="21"/>
    <s v="NBN Co"/>
    <s v="NBN A417"/>
    <s v="MW21820-AYCA-4W4BKH-2HOM-02-38 Weeroona Rd, Strathfield Ext"/>
    <s v="NBN New Devs"/>
    <n v="913.46"/>
  </r>
  <r>
    <x v="17"/>
    <s v="Inv 1143"/>
    <d v="2018-06-29T00:00:00"/>
    <x v="21"/>
    <s v="NBN Co"/>
    <s v="NBN A417"/>
    <s v="MW417R000098-AYCA-4TC0MT-2QUA-65-50 Farnham Rd, Quakers Hill"/>
    <s v="NBN New Devs"/>
    <n v="7873.12"/>
  </r>
  <r>
    <x v="17"/>
    <s v="Inv 1145"/>
    <d v="2018-06-29T00:00:00"/>
    <x v="21"/>
    <s v="NBN Co"/>
    <s v="NBN A417"/>
    <s v="MW22331-AYCA-3CFI3W-2EPP-05-120 Herring Road Marsfield"/>
    <s v="NBN New Devs"/>
    <n v="3901.61"/>
  </r>
  <r>
    <x v="17"/>
    <s v="Inv 1146"/>
    <d v="2018-06-29T00:00:00"/>
    <x v="21"/>
    <s v="NBN Co"/>
    <s v="NBN A417"/>
    <s v="MW22279-AYCA-45Q6J5-2EPP-62-35 Oxford St Epping"/>
    <s v="NBN New Devs"/>
    <n v="4453.75"/>
  </r>
  <r>
    <x v="17"/>
    <s v="Inv 1147"/>
    <d v="2018-06-29T00:00:00"/>
    <x v="21"/>
    <s v="NBN Co"/>
    <s v="NBN A417"/>
    <s v="MW22309-AYCA-3V5BM6-2DRU-61-197-199 Lyons Rd Drummoyne "/>
    <s v="NBN New Devs"/>
    <n v="9455.19"/>
  </r>
  <r>
    <x v="17"/>
    <s v="Inv 1148"/>
    <d v="2018-06-29T00:00:00"/>
    <x v="21"/>
    <s v="NBN Co"/>
    <s v="NBN A417"/>
    <s v="MW22526-AYCA-4T7JU2-2MIR-25-13 Dudley Avenue Caringbah South "/>
    <s v="NBN New Devs"/>
    <n v="3866.63"/>
  </r>
  <r>
    <x v="17"/>
    <s v="Inv 1149"/>
    <d v="2018-06-29T00:00:00"/>
    <x v="21"/>
    <s v="NBN Co"/>
    <s v="NBN A417"/>
    <s v="MW22218 - AYCA-4JMOL9 - 2DRU-60 - 50-52 East St, Five Dock"/>
    <s v="NBN New Devs"/>
    <n v="3140.46"/>
  </r>
  <r>
    <x v="17"/>
    <s v="Inv 1150"/>
    <d v="2018-06-29T00:00:00"/>
    <x v="21"/>
    <s v="NBN Co"/>
    <s v="NBN A417"/>
    <s v="MW22195 - AYCA-4SOX62-2LIV-03- 186 Moore St Liverpool"/>
    <s v="NBN New Devs"/>
    <n v="3074"/>
  </r>
  <r>
    <x v="17"/>
    <s v="Inv 1151"/>
    <d v="2018-06-29T00:00:00"/>
    <x v="21"/>
    <s v="NBN Co"/>
    <s v="NBN A417"/>
    <s v="MW20888 - 2HOR-62 - AYCA-39AB50 -2HOR-62 -JAAN – 1"/>
    <s v="NBN New Devs"/>
    <n v="2974.72"/>
  </r>
  <r>
    <x v="17"/>
    <s v="Inv 1152"/>
    <d v="2018-06-29T00:00:00"/>
    <x v="21"/>
    <s v="NBN Co"/>
    <s v="NBN A417"/>
    <s v="MW417R000222-AYCA-4VFYJV-2BAN-64-27-37 Percy St, Bankstown"/>
    <s v="NBN New Devs"/>
    <n v="9921.16"/>
  </r>
  <r>
    <x v="17"/>
    <s v="Inv 1153"/>
    <d v="2018-06-29T00:00:00"/>
    <x v="21"/>
    <s v="NBN Co"/>
    <s v="NBN A417"/>
    <s v="MW417R000098-AYCA-4TC0MT-2QUA-65-50 Farnham Rd, Quakers Hill"/>
    <s v="NBN New Devs"/>
    <n v="8652.34"/>
  </r>
  <r>
    <x v="22"/>
    <s v="Inv 10622"/>
    <d v="2018-06-28T00:00:00"/>
    <x v="21"/>
    <s v="NBN Co"/>
    <s v="NBN A401"/>
    <s v="MW22336-AYCA-4MJKV1-2KMS-21-Lot 37 Springfields Drive, Greenhill"/>
    <s v="NBN New Devs"/>
    <n v="3003.86"/>
  </r>
  <r>
    <x v="22"/>
    <s v="inv 10615"/>
    <d v="2018-06-28T00:00:00"/>
    <x v="21"/>
    <s v="NBN Co"/>
    <s v="NBN A417"/>
    <s v="MW22301-AYCA-541Y7O-2WAU-20-728-730 Beechwood"/>
    <s v="NBN New Devs"/>
    <n v="4422.17"/>
  </r>
  <r>
    <x v="30"/>
    <s v="Inv 116017"/>
    <d v="2018-06-24T00:00:00"/>
    <x v="21"/>
    <s v="NBN Co"/>
    <s v="NBN A417"/>
    <s v="MW417R000065- AYCA-59DV6W-2CRR-72-Nelson St, Fairfield"/>
    <s v="NBN New Devs"/>
    <n v="1502.68"/>
  </r>
  <r>
    <x v="30"/>
    <s v="Inv 116018"/>
    <d v="2018-06-24T00:00:00"/>
    <x v="21"/>
    <s v="NBN Co"/>
    <s v="NBN A417"/>
    <s v="MW417R000124-AYCA-58BKNK-2RYD-66-2-6 Junction St Ryde"/>
    <s v="NBN New Devs"/>
    <n v="1932.82"/>
  </r>
  <r>
    <x v="30"/>
    <s v="Inv 116019"/>
    <d v="2018-06-24T00:00:00"/>
    <x v="21"/>
    <s v="NBN Co"/>
    <s v="NBN A401"/>
    <s v="MW417R000151-AYCA-4PBBAI-2RYD-01-6,8,10,12 Anderson Avenue Ryde "/>
    <s v="NBN New Devs"/>
    <n v="2229.52"/>
  </r>
  <r>
    <x v="14"/>
    <s v="Inv 10269"/>
    <d v="2018-07-01T00:00:00"/>
    <x v="27"/>
    <s v="NBN Co"/>
    <s v="NBN A401"/>
    <s v="MW22420 - AYCA-4RFDRV - 2KIA-03 - 58 Old Saddleback Road Kiama"/>
    <s v="NBN New Devs"/>
    <n v="5530.26"/>
  </r>
  <r>
    <x v="14"/>
    <s v="Inv 10268"/>
    <d v="2018-07-01T00:00:00"/>
    <x v="27"/>
    <s v="NBN Co"/>
    <s v="NBN A401"/>
    <s v="MW22171-AYCA-54VFA3-2COR-02- 50 Squires Cres Coledale"/>
    <s v="NBN New Devs"/>
    <n v="2366.54"/>
  </r>
  <r>
    <x v="24"/>
    <s v="Inv 569"/>
    <d v="2018-07-02T00:00:00"/>
    <x v="28"/>
    <s v="NBN Co"/>
    <s v="NBN Project Fusion"/>
    <s v="2MIR-24, Validation and GIS services"/>
    <s v="NBN Project Fusion"/>
    <n v="20672"/>
  </r>
  <r>
    <x v="15"/>
    <s v="Inv 119"/>
    <d v="2018-06-26T00:00:00"/>
    <x v="21"/>
    <s v="NBN Co"/>
    <s v="NBN A417"/>
    <s v="MW21524 -  AYCA-47C97W-2BLK-01 -51 Kildare Rd Blacktown"/>
    <s v="NBN New Devs"/>
    <n v="1221.19"/>
  </r>
  <r>
    <x v="15"/>
    <s v="Inv 119"/>
    <d v="2018-06-26T00:00:00"/>
    <x v="21"/>
    <s v="NBN Co"/>
    <s v="NBN A417"/>
    <s v="MW417R000051-AYCA-55JW1J-2BOT-01-180 – 188 Maroubra Rd, Maroubra "/>
    <s v="NBN New Devs"/>
    <n v="3524.25"/>
  </r>
  <r>
    <x v="15"/>
    <s v="Inv 119"/>
    <d v="2018-06-26T00:00:00"/>
    <x v="21"/>
    <s v="NBN Co"/>
    <s v="NBN A417"/>
    <s v="MW22055-AYCA-52ZO0L-2LID-04-32 Norval St Auburn   INT"/>
    <s v="NBN New Devs"/>
    <n v="1434.4"/>
  </r>
  <r>
    <x v="15"/>
    <s v="Inv 119"/>
    <d v="2018-06-26T00:00:00"/>
    <x v="21"/>
    <s v="NBN Co"/>
    <s v="NBN A417"/>
    <s v="MW417R000070-AYCA-52UC2N-2WRO-63-Beech Rd Casula "/>
    <s v="NBN New Devs"/>
    <n v="7183.72"/>
  </r>
  <r>
    <x v="15"/>
    <s v="Inv 119"/>
    <d v="2018-06-26T00:00:00"/>
    <x v="21"/>
    <s v="NBN Co"/>
    <s v="NBN A417"/>
    <s v="MW22023-AYCA-48280D - 2RED-03 -  906 Bourke St, Zetland"/>
    <s v="NBN New Devs"/>
    <n v="1285"/>
  </r>
  <r>
    <x v="30"/>
    <s v="Inv 116105"/>
    <d v="2018-05-14T00:00:00"/>
    <x v="14"/>
    <s v="NBN Co"/>
    <s v="NBN A417"/>
    <s v="MW22223-AYCA-4S0RD5-2RIV-03-14 Argowan Rd Schofields"/>
    <s v="NBN New Devs"/>
    <n v="1443.94"/>
  </r>
  <r>
    <x v="30"/>
    <s v="Inv 116105"/>
    <d v="2018-05-14T00:00:00"/>
    <x v="14"/>
    <s v="NBN Co"/>
    <s v="NBN A417"/>
    <s v="MW22314-AYCA-4A5XPU-2BLK-11-29 Norfolk Street, Blacktown"/>
    <s v="NBN New Devs"/>
    <n v="306.39999999999998"/>
  </r>
  <r>
    <x v="30"/>
    <s v="Inv 116105"/>
    <d v="2018-05-14T00:00:00"/>
    <x v="14"/>
    <s v="NBN Co"/>
    <s v="NBN A417"/>
    <s v="MW22091-AYCA-4MNF1P-2NRN-10-11 &amp; 15 Holborn Circuit, Gregory Hills "/>
    <s v="NBN New Devs"/>
    <n v="2423"/>
  </r>
  <r>
    <x v="31"/>
    <s v="Inv 1718"/>
    <d v="2018-07-04T00:00:00"/>
    <x v="27"/>
    <s v="NBN Co"/>
    <s v="NBN A401"/>
    <s v="AYCA‐52JYBU NBN Tech Choice 7 Buggy Crescent McKellar"/>
    <s v="NBN New Devs"/>
    <n v="5714.37"/>
  </r>
  <r>
    <x v="32"/>
    <s v="inv 66128"/>
    <d v="2018-07-06T00:00:00"/>
    <x v="27"/>
    <s v="NBN Co"/>
    <s v="NBN A417"/>
    <s v="MW22265-AYCA-4R1HNT-2MIL-62-6-8 Facey Cres Lurnea "/>
    <s v="NBN New Devs"/>
    <n v="1664"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  <r>
    <x v="33"/>
    <m/>
    <m/>
    <x v="6"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958">
  <r>
    <s v="CN"/>
    <s v="NBN Sydney"/>
    <s v="CN-12453"/>
    <s v="Revenue"/>
    <x v="0"/>
    <s v="NBN Minor Works - MW20680 - 2BLK-02/07 - MPS-032 &amp; MPS-010"/>
    <d v="2017-07-01T00:00:00"/>
    <x v="0"/>
    <s v="NBN Co Sydney - 2BLK-02/07 - MPS-032 &amp; MPS-010 "/>
    <n v="-2247.4299999999998"/>
    <m/>
    <m/>
  </r>
  <r>
    <s v="CN"/>
    <s v="NBN Sydney"/>
    <s v="CN-12411"/>
    <s v="Revenue"/>
    <x v="1"/>
    <s v="NBN A417 - MW20531 - AYCA-2TB25H - Glenmore Park 2 "/>
    <d v="2017-07-01T00:00:00"/>
    <x v="0"/>
    <s v="NBN Co Sydney - AYCA-2TB25H - Glenmore Park 2 - 1"/>
    <n v="-0.06"/>
    <m/>
    <m/>
  </r>
  <r>
    <s v="CN"/>
    <s v="NBN Sydney"/>
    <s v="CN-12409"/>
    <s v="Revenue"/>
    <x v="2"/>
    <s v="NBN A401 New Devs - MW20387- AYCA-3HE07T - 37 Bridge Street - 1"/>
    <d v="2017-07-01T00:00:00"/>
    <x v="0"/>
    <s v="NBN Co Sydney - AYCA-3HE07T - 37 Bridge Street - 1 _x000d__x000a_difference from RCTI "/>
    <n v="-2"/>
    <m/>
    <m/>
  </r>
  <r>
    <s v="INV"/>
    <s v="NBN Sydney"/>
    <s v="B VISA E-TOLL July 2017"/>
    <s v="DJC"/>
    <x v="3"/>
    <s v="NBN New Devs - MW20877 - AYCA-4992YE - 2RIV-02 - 34-36 Schofields - North Park  - 9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3"/>
    <s v="NBN New Devs - MW20786 - SOPR MWI - 2LIV-03 - AYCA-47DIBW - Dale Development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3"/>
    <s v="NBN New Devs - MW20644 - AYCA-35B3X9 -  Renocorp Australia Pty Ltd 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4"/>
    <s v="NBN New Devs - MW20441 - AYCA-3KSRGR - Norberta St, The Entrance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4"/>
    <s v="NBN New Devs - MW20729 - COR-04 - AYCA-4D6AY6 - 94 POPES RD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3"/>
    <s v="NBN New Devs - MW20758 - 2BAN-64 - AYCA-3ETV2Y - 21-25 Leonard Street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3"/>
    <s v="NBN New Devs - MW20876 - 2RIV-02 -AYCA-499AY5 - 34-36 Schofields - North Park - 10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4"/>
    <s v="NBN New Devs - MW20585 - AYCA-3KUUY6 - 2WOY-09 - Brittwood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3"/>
    <s v="NBN New Devs - MW20797 - 2RYD-03 - AYCA-1SUDYS – 15 Porter St Ryde - La Pearl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3"/>
    <s v="NBN New Devs - MW20620 - 2EPP-05 - AYCA-3071BP - Macquarie Park Village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DJC"/>
    <x v="5"/>
    <s v="NBN Minor Works - MW20764 - 2BLK-12-07 - Lot 21 Western MTQY"/>
    <d v="2017-07-31T00:00:00"/>
    <x v="0"/>
    <s v="E-Toll Business Operations Centre - TAG NO 10166426_x000d_ DMJ74G"/>
    <n v="17.998181818181816"/>
    <m/>
    <m/>
  </r>
  <r>
    <s v="INV"/>
    <s v="NBN Sydney"/>
    <s v="B VISA E-TOLL July 2017"/>
    <s v="Overhead"/>
    <x v="6"/>
    <s v="Overhead"/>
    <d v="2017-07-31T00:00:00"/>
    <x v="0"/>
    <s v="E-Toll Business Operations Centre - TAG NO 4088301 CHV14B Toyota Hilux SYD"/>
    <n v="157.04"/>
    <m/>
    <m/>
  </r>
  <r>
    <s v="INV"/>
    <s v="NBN Sydney"/>
    <s v="B VISA E-TOLL July 2017"/>
    <s v="Overhead"/>
    <x v="6"/>
    <s v="Overhead"/>
    <d v="2017-07-31T00:00:00"/>
    <x v="0"/>
    <s v="E-Toll Business Operations Centre - PLATE IDENTIFIED - CHV14B"/>
    <n v="4.18"/>
    <m/>
    <m/>
  </r>
  <r>
    <s v="INV"/>
    <s v="NBN Sydney"/>
    <s v="B VISA E-TOLL July 2017"/>
    <s v="DJC"/>
    <x v="3"/>
    <s v="NBN New Devs - MW20686 - AYCA-1RBL6L - The North Village , Kellyville"/>
    <d v="2017-07-31T00:00:00"/>
    <x v="0"/>
    <s v="E-Toll Business Operations Centre - TAG NO 10166430_x000d_ KE BX10GL Izuzu Tipper"/>
    <n v="58.41"/>
    <m/>
    <m/>
  </r>
  <r>
    <s v="INV"/>
    <s v="NBN Sydney"/>
    <s v="B VISA E-TOLL July 2017"/>
    <s v="DJC"/>
    <x v="5"/>
    <s v="NBN Minor Works - MW20764 - 2BLK-12-07 - Lot 21 Western MTQY"/>
    <d v="2017-07-31T00:00:00"/>
    <x v="0"/>
    <s v="E-Toll Business Operations Centre - TAG NO 10166430_x000d_ KE BX10GL Izuzu Tipper"/>
    <n v="58.41"/>
    <m/>
    <m/>
  </r>
  <r>
    <s v="INV"/>
    <s v="AARNet"/>
    <s v="B VISA E-TOLL July 2017"/>
    <s v="DJC"/>
    <x v="7"/>
    <s v="ARRNet - ICQ-315 IPT2073 WSU Parramatta Square Western Lead-in"/>
    <d v="2017-07-31T00:00:00"/>
    <x v="0"/>
    <s v="E-Toll Business Operations Centre - TAG NO 10166430_x000d_ KE BX10GL Izuzu Tipper"/>
    <n v="58.41"/>
    <m/>
    <m/>
  </r>
  <r>
    <s v="INV"/>
    <s v="NBN Sydney"/>
    <s v="B VISA E-TOLL July 2017"/>
    <s v="DJC"/>
    <x v="3"/>
    <s v="NBN New Devs - MW21024 - AYCA-4JN54Z - 2NRN-05 - Elderslie"/>
    <d v="2017-07-31T00:00:00"/>
    <x v="0"/>
    <s v="E-Toll Business Operations Centre - TAG NO 10166430_x000d_ KE BX10GL Izuzu Tipper"/>
    <n v="58.41"/>
    <m/>
    <m/>
  </r>
  <r>
    <s v="INV"/>
    <s v="NBN Sydney"/>
    <s v="B VISA E-TOLL July 2017"/>
    <s v="Overhead"/>
    <x v="6"/>
    <s v="Overhead"/>
    <d v="2017-07-31T00:00:00"/>
    <x v="0"/>
    <s v="E-Toll Business Operations Centre - TAG NO 3829695 _x000d_GC GCC00K F250 Ford"/>
    <n v="7.11"/>
    <m/>
    <m/>
  </r>
  <r>
    <s v="INV"/>
    <s v="NBN Sydney"/>
    <s v="B VISA E-TOLL July 2017"/>
    <s v="DJC"/>
    <x v="3"/>
    <s v="NBN New Devs - MW20877 - AYCA-4992YE - 2RIV-02 - 34-36 Schofields - North Park  - 9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3"/>
    <s v="NBN New Devs - MW20786 - 2LIV-03 - AYCA-47DIBW - Dale Development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3"/>
    <s v="NBN New Devs - MW20644 - AYCA-35B3X9 -  Renocorp Australia Pty Ltd 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4"/>
    <s v="NBN New Devs - MW20441 - AYCA-3KSRGR - Norberta St, The Entrance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4"/>
    <s v="NBN New Devs - MW20729 - COR-04 - AYCA-4D6AY6 - 94 POPES RD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3"/>
    <s v="NBN New Devs - MW20758 - 2BAN-64 - AYCA-3ETV2Y - 21-25 Leonard Street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3"/>
    <s v="NBN New Devs - MW20876 - 2RIV-02 -AYCA-499AY5 - 34-36 Schofields - North Park - 10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4"/>
    <s v="NBN New Devs - MW20585 - AYCA-3KUUY6 - 2WOY-09 - Brittwood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3"/>
    <s v="NBN New Devs - MW20797 - 2RYD-03 - AYCA-1SUDYS – 15 Porter St Ryde - La Pearl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3"/>
    <s v="NBN New Devs - MW20620 - 2EPP-05 - AYCA-3071BP - Macquarie Park Village"/>
    <d v="2017-07-31T00:00:00"/>
    <x v="0"/>
    <s v="E-Toll Business Operations Centre - TAG NO 3665998 GB BU59MS Toyota Hiace Van "/>
    <n v="9.6199999999999992"/>
    <m/>
    <m/>
  </r>
  <r>
    <s v="INV"/>
    <s v="NBN Sydney"/>
    <s v="B VISA E-TOLL July 2017"/>
    <s v="DJC"/>
    <x v="5"/>
    <s v="NBN Minor Works - MW20764 - 2BLK-12-07 - Lot 21 Western MTQY"/>
    <d v="2017-07-31T00:00:00"/>
    <x v="0"/>
    <s v="E-Toll Business Operations Centre - TAG NO 3665998 GB BU59MS Toyota Hiace Van "/>
    <n v="9.6199999999999992"/>
    <m/>
    <m/>
  </r>
  <r>
    <s v="INV"/>
    <s v="VPL Sydney"/>
    <s v="B VISA E-TOLL July 2017"/>
    <s v="DJC"/>
    <x v="8"/>
    <s v="VPL - FttB Build 2DAL-23 &amp; 24"/>
    <d v="2017-07-31T00:00:00"/>
    <x v="0"/>
    <s v="E-Toll Business Operations Centre - TAG NO 4088300 SPARE "/>
    <n v="186.14"/>
    <m/>
    <m/>
  </r>
  <r>
    <s v="INV"/>
    <s v="VPL Sydney"/>
    <s v="B VISA E-TOLL July 2017"/>
    <s v="DJC"/>
    <x v="8"/>
    <s v="VPL - FttB Build 2DAL-23 &amp; 24"/>
    <d v="2017-07-31T00:00:00"/>
    <x v="0"/>
    <s v="E-Toll Business Operations Centre - TAG NO 3830879 SPARE"/>
    <n v="89.41"/>
    <m/>
    <m/>
  </r>
  <r>
    <s v="INV"/>
    <s v="NBN Sydney"/>
    <s v="51385216"/>
    <s v="DJC"/>
    <x v="9"/>
    <s v="NBN New Devs - MW21052 - AYCA-3OLAP3 - 2MAI-11 - WA Brown "/>
    <d v="2017-07-15T00:00:00"/>
    <x v="0"/>
    <s v="TNT Australia Pty Ltd - 10/07/17 42797030_x000d__x000a_Murrurundi"/>
    <n v="33.630000000000003"/>
    <m/>
    <m/>
  </r>
  <r>
    <s v="INV"/>
    <s v="NBN Sydney"/>
    <s v="51385216"/>
    <s v="DJC"/>
    <x v="10"/>
    <s v="NBN New Devs - MW20821 - AYCA-45D358 NSB Albuera Close -  BUILD"/>
    <d v="2017-07-15T00:00:00"/>
    <x v="0"/>
    <s v="TNT Australia Pty Ltd - 5/07/17 982000101060_x000d__x000a_Minchinbury/Dubbo"/>
    <n v="63.03"/>
    <m/>
    <m/>
  </r>
  <r>
    <s v="INV"/>
    <s v="NBN Sydney"/>
    <s v="71 A89447"/>
    <s v="Overhead"/>
    <x v="11"/>
    <s v="Overhead"/>
    <d v="2017-07-21T00:00:00"/>
    <x v="0"/>
    <s v="Middy's Data &amp; Electrical - Freight to Minchinbury"/>
    <n v="90"/>
    <m/>
    <m/>
  </r>
  <r>
    <s v="INV"/>
    <s v="NBN Sydney"/>
    <s v="878589"/>
    <s v="Overhead"/>
    <x v="6"/>
    <s v="Overhead"/>
    <d v="2017-07-05T00:00:00"/>
    <x v="0"/>
    <s v="Mitronics - MC.DSA_x000d__x000a_Digital Support Agreement - Chargeable"/>
    <n v="39.950000000000003"/>
    <m/>
    <m/>
  </r>
  <r>
    <s v="INV"/>
    <s v="NBN Sydney"/>
    <s v="878589"/>
    <s v="Overhead"/>
    <x v="6"/>
    <s v="Overhead"/>
    <d v="2017-07-05T00:00:00"/>
    <x v="0"/>
    <s v="Mitronics - MC.COLOUR.PAGE_x000d__x000a_Serial No - A02E041005704_x000d__x000a_Colour Last Read - 215,883 8/06/2017_x000d__x000a_Current Read - 219,102 Prints - 3,219"/>
    <n v="360.53"/>
    <m/>
    <m/>
  </r>
  <r>
    <s v="INV"/>
    <s v="NBN Sydney"/>
    <s v="878589"/>
    <s v="Overhead"/>
    <x v="6"/>
    <s v="Overhead"/>
    <d v="2017-07-05T00:00:00"/>
    <x v="0"/>
    <s v="Mitronics - MC.BLACK.PAGE_x000d__x000a_Serial No - A02E041005704 Black Last Read - 210,907 8/06/2017_x000d__x000a_Current Read - 212,354 Prints - 1,447"/>
    <n v="14.9"/>
    <m/>
    <m/>
  </r>
  <r>
    <s v="INV"/>
    <s v="AARNet"/>
    <s v="PJ10006348"/>
    <s v="DJC"/>
    <x v="12"/>
    <s v="AARNet - ICQ-459 IPT2506 NSW HEALTH AUBURN HOSPITAL  "/>
    <d v="2017-07-21T00:00:00"/>
    <x v="0"/>
    <s v="Ultimate Positioning Group - Data Preparation"/>
    <n v="100"/>
    <m/>
    <m/>
  </r>
  <r>
    <s v="INV"/>
    <s v="AARNet"/>
    <s v="PJ10006348"/>
    <s v="DJC"/>
    <x v="7"/>
    <s v="ARRNet - ICQ-315 IPT2073 WSU Parramatta Square Western Lead-in"/>
    <d v="2017-07-21T00:00:00"/>
    <x v="0"/>
    <s v="Ultimate Positioning Group - 88181-04_x000d__x000a_Trimble Geo 7X handheld with rangefinder (H-Star Floodlight)_x000d__x000a_Hire for the day of 27/07/17"/>
    <n v="250"/>
    <m/>
    <m/>
  </r>
  <r>
    <s v="INV"/>
    <s v="NBN Sydney"/>
    <s v="200I997920"/>
    <s v="DJC"/>
    <x v="10"/>
    <s v="NBN New Devs - MW20729 - COR-04 - AYCA-4D6AY6 - 94 POPES RD"/>
    <d v="2017-07-31T00:00:00"/>
    <x v="0"/>
    <s v="Boom Logistics - Fuel Levy"/>
    <n v="35.28"/>
    <m/>
    <m/>
  </r>
  <r>
    <s v="INV"/>
    <s v="NBN Sydney"/>
    <s v="200I997920"/>
    <s v="DJC"/>
    <x v="10"/>
    <s v="NBN New Devs - MW20729 - COR-04 - AYCA-4D6AY6 - 94 POPES RD"/>
    <d v="2017-07-31T00:00:00"/>
    <x v="0"/>
    <s v="Boom Logistics - Hire of 18m Industrial Travel Tower and Operator"/>
    <n v="564.72"/>
    <m/>
    <m/>
  </r>
  <r>
    <s v="INV"/>
    <s v="NBN Sydney"/>
    <s v="7173/01534596"/>
    <s v="Overhead"/>
    <x v="11"/>
    <s v="Overhead Materials"/>
    <d v="2017-07-01T00:00:00"/>
    <x v="0"/>
    <s v="Bunnings Warehouse - Marker Sharpie Med White Paint Marker"/>
    <n v="5.14"/>
    <m/>
    <m/>
  </r>
  <r>
    <s v="INV"/>
    <s v="NBN Sydney"/>
    <s v="7173/01534596"/>
    <s v="Overhead"/>
    <x v="11"/>
    <s v="Overhead Materials"/>
    <d v="2017-07-01T00:00:00"/>
    <x v="0"/>
    <s v="Bunnings Warehouse - Holesaw HSS Sutton 16mm Viper H114 "/>
    <n v="14.77"/>
    <m/>
    <m/>
  </r>
  <r>
    <s v="INV"/>
    <s v="NBN Sydney"/>
    <s v="7173/01534596"/>
    <s v="Overhead"/>
    <x v="11"/>
    <s v="Overhead Materials"/>
    <d v="2017-07-01T00:00:00"/>
    <x v="0"/>
    <s v="Bunnings Warehouse - Holesaw Arbor Viper Sutton 14-30mm "/>
    <n v="18.12"/>
    <m/>
    <m/>
  </r>
  <r>
    <s v="INV"/>
    <s v="NBN Sydney"/>
    <s v="015-74350-7016"/>
    <s v="Overhead"/>
    <x v="11"/>
    <s v="Overhead Materials"/>
    <d v="2017-07-03T00:00:00"/>
    <x v="0"/>
    <s v="Bunnings Warehouse - Screws Timber Type 17 HP BHD 8-15x32 pk100 1-241-9202-6"/>
    <n v="9.84"/>
    <m/>
    <m/>
  </r>
  <r>
    <s v="INV"/>
    <s v="NBN Sydney"/>
    <s v="015-74350-7016"/>
    <s v="Overhead"/>
    <x v="11"/>
    <s v="Overhead Materials"/>
    <d v="2017-07-03T00:00:00"/>
    <x v="0"/>
    <s v="Bunnings Warehouse - Rivets Steel 100pk Zenith 42 1/8 Diax1/8 Grip ARS0070"/>
    <n v="6.95"/>
    <m/>
    <m/>
  </r>
  <r>
    <s v="INV"/>
    <s v="NBN Sydney"/>
    <s v="422851-760"/>
    <s v="Overhead"/>
    <x v="11"/>
    <s v="Overhead Materials"/>
    <d v="2017-07-03T00:00:00"/>
    <x v="0"/>
    <s v="TLE Electrical - NBN CETs - For Type 3 jobs_x000d__x000a_CLIL&amp; Neutral Link 100A 500V 7 Hole F/Wiring P/Mount Black"/>
    <n v="60.13"/>
    <m/>
    <m/>
  </r>
  <r>
    <s v="INV"/>
    <s v="NBN Sydney"/>
    <s v="015-74350-7016"/>
    <s v="Overhead"/>
    <x v="11"/>
    <s v="Overhead Materials"/>
    <d v="2017-07-03T00:00:00"/>
    <x v="0"/>
    <s v="Bunnings Warehouse - Plugs Wall Green Ramset 7x35mm Bag50 WPG735/B50"/>
    <n v="2.91"/>
    <m/>
    <m/>
  </r>
  <r>
    <s v="INV"/>
    <s v="AARNet"/>
    <s v="11233"/>
    <s v="DJC"/>
    <x v="7"/>
    <s v="ARRNet - ICQ-315 IPT2073 WSU Parramatta Square Western Lead-in"/>
    <d v="2017-07-10T00:00:00"/>
    <x v="0"/>
    <s v="City of Parramatta - Pitt St Parking_x000d__x000a_Meter No: PIT01-0A_x000d__x000a_Mo 10 Jul 2017"/>
    <n v="1.82"/>
    <m/>
    <m/>
  </r>
  <r>
    <s v="INV"/>
    <s v="AARNet"/>
    <s v="11256"/>
    <s v="DJC"/>
    <x v="7"/>
    <s v="ARRNet - ICQ-315 IPT2073 WSU Parramatta Square Western Lead-in"/>
    <d v="2017-07-11T00:00:00"/>
    <x v="0"/>
    <s v="City of Parramatta - Pitt St Parking_x000d__x000a_Meter No: PIT01-0A_x000d__x000a_Tu 11 Jul 2017"/>
    <n v="2.73"/>
    <m/>
    <m/>
  </r>
  <r>
    <s v="INV"/>
    <s v="AARNet"/>
    <s v="11250"/>
    <s v="DJC"/>
    <x v="7"/>
    <s v="ARRNet - ICQ-315 IPT2073 WSU Parramatta Square Western Lead-in"/>
    <d v="2017-07-11T00:00:00"/>
    <x v="0"/>
    <s v="City of Parramatta - Pitt St Parking_x000d__x000a_Meter No: PIT01-0A_x000d__x000a_Tu 11 Jul 2017"/>
    <n v="3.64"/>
    <m/>
    <m/>
  </r>
  <r>
    <s v="INV"/>
    <s v="NBN Sydney"/>
    <s v="395320"/>
    <s v="Overhead"/>
    <x v="11"/>
    <s v="Overhead Materials"/>
    <d v="2017-07-13T00:00:00"/>
    <x v="0"/>
    <s v="Steel Supplies - Fuel Surcharge"/>
    <n v="2"/>
    <m/>
    <m/>
  </r>
  <r>
    <s v="INV"/>
    <s v="NBN Sydney"/>
    <s v="423557-760"/>
    <s v="Overhead"/>
    <x v="11"/>
    <s v="Overhead Materials"/>
    <d v="2017-07-17T00:00:00"/>
    <x v="0"/>
    <s v="TLE Electrical - PDL51M/B_x000d__x000a_Surface Socket Rear Connect 10A 250V White"/>
    <n v="44.36"/>
    <m/>
    <m/>
  </r>
  <r>
    <s v="INV"/>
    <s v="NBN Sydney"/>
    <s v="423557-760"/>
    <s v="Overhead"/>
    <x v="11"/>
    <s v="Overhead Materials"/>
    <d v="2017-07-17T00:00:00"/>
    <x v="0"/>
    <s v="TLE Electrical - SALS9041TCWH_x000d__x000a_D/Light Rnd Fixed Drv c/o 92mm 10W LED 3K/42K/57K White Dimm"/>
    <n v="233.3"/>
    <m/>
    <m/>
  </r>
  <r>
    <s v="INV"/>
    <s v="NBN Sydney"/>
    <s v="015-52475-7173"/>
    <s v="Overhead"/>
    <x v="11"/>
    <s v="Overhead Materials"/>
    <d v="2017-07-18T00:00:00"/>
    <x v="0"/>
    <s v="Bunnings Warehouse - Blade Diamond Standard 115x22mm 8040115"/>
    <n v="24.07"/>
    <m/>
    <m/>
  </r>
  <r>
    <s v="INV"/>
    <s v="NBN Sydney"/>
    <s v="22075"/>
    <s v="Overhead"/>
    <x v="11"/>
    <s v="Overhead Materials"/>
    <d v="2017-07-19T00:00:00"/>
    <x v="0"/>
    <s v="TANDEM - ISG Management Pty Ltd - 26900102_x000d__x000a_Tie, Cable Self-Locking UV Res 300x3"/>
    <n v="5.13"/>
    <m/>
    <m/>
  </r>
  <r>
    <s v="INV"/>
    <s v="NBN Sydney"/>
    <s v="22075"/>
    <s v="Overhead"/>
    <x v="11"/>
    <s v="Overhead Materials"/>
    <d v="2017-07-19T00:00:00"/>
    <x v="0"/>
    <s v="TANDEM - ISG Management Pty Ltd - 26900092_x000d__x000a_Tie, Cable Self-Locking UV Res 2.5x100"/>
    <n v="3.45"/>
    <m/>
    <m/>
  </r>
  <r>
    <s v="INV"/>
    <s v="NBN Sydney"/>
    <s v="71 A89447"/>
    <s v="Overhead"/>
    <x v="11"/>
    <s v="Overhead Materials"/>
    <d v="2017-07-21T00:00:00"/>
    <x v="0"/>
    <s v="Middy's Data &amp; Electrical - Concrete Telstra P4 Pit Cover"/>
    <n v="30"/>
    <m/>
    <m/>
  </r>
  <r>
    <s v="INV"/>
    <s v="NBN Sydney"/>
    <s v="22176"/>
    <s v="Overhead"/>
    <x v="11"/>
    <s v="Overhead Materials"/>
    <d v="2017-07-24T00:00:00"/>
    <x v="0"/>
    <s v="TANDEM - ISG Management Pty Ltd - 7300229_x000d__x000a_Gas Cylinder, CO2 Tdux Inflation "/>
    <n v="22.89"/>
    <m/>
    <m/>
  </r>
  <r>
    <s v="INV"/>
    <s v="NBN Sydney"/>
    <s v="22176"/>
    <s v="Overhead"/>
    <x v="11"/>
    <s v="Overhead Materials"/>
    <d v="2017-07-24T00:00:00"/>
    <x v="0"/>
    <s v="TANDEM - ISG Management Pty Ltd - 7300194_x000d__x000a_Duct Sealing System, Wrap around Tdux60"/>
    <n v="261.62"/>
    <m/>
    <m/>
  </r>
  <r>
    <s v="INV"/>
    <s v="NBN Sydney"/>
    <s v="22176"/>
    <s v="Overhead"/>
    <x v="11"/>
    <s v="Overhead Materials"/>
    <d v="2017-07-24T00:00:00"/>
    <x v="0"/>
    <s v="TANDEM - ISG Management Pty Ltd - 7300196_x000d__x000a_Duct Sealing System, Wrap around Tdux 100"/>
    <n v="289.27"/>
    <m/>
    <m/>
  </r>
  <r>
    <s v="INV"/>
    <s v="NBN Sydney"/>
    <s v="7016/01589625"/>
    <s v="Overhead"/>
    <x v="11"/>
    <s v="Overhead Materials"/>
    <d v="2017-07-25T00:00:00"/>
    <x v="0"/>
    <s v="Bunnings Warehouse - Light work LED Arlec 20W 1400LM Recharge"/>
    <n v="103.47"/>
    <m/>
    <m/>
  </r>
  <r>
    <s v="INV"/>
    <s v="NBN Sydney"/>
    <s v="7016/01589625"/>
    <s v="Overhead"/>
    <x v="11"/>
    <s v="Overhead Materials"/>
    <d v="2017-07-25T00:00:00"/>
    <x v="0"/>
    <s v="Bunnings Warehouse - Light Work LED 2x20W Tripod"/>
    <n v="101.91"/>
    <m/>
    <m/>
  </r>
  <r>
    <s v="INV"/>
    <s v="NBN Sydney"/>
    <s v="71 A89514"/>
    <s v="Overhead"/>
    <x v="11"/>
    <s v="Overhead Materials"/>
    <d v="2017-07-25T00:00:00"/>
    <x v="0"/>
    <s v="Middy's Data &amp; Electrical - FXC FPA25-FPA25B_x000d__x000a_Coupler M25 FPA/L/H25B IP66"/>
    <n v="135"/>
    <m/>
    <m/>
  </r>
  <r>
    <s v="INV"/>
    <s v="NBN Sydney"/>
    <s v="71 A89514"/>
    <s v="Overhead"/>
    <x v="11"/>
    <s v="Overhead Materials"/>
    <d v="2017-07-25T00:00:00"/>
    <x v="0"/>
    <s v="Middy's Data &amp; Electrical - FXC FPAS25B-50M_x000d__x000a_Conduit Flexible Nylon 25mm"/>
    <n v="250"/>
    <m/>
    <m/>
  </r>
  <r>
    <s v="INV"/>
    <s v="NBN Sydney"/>
    <s v="71 A89514"/>
    <s v="Overhead"/>
    <x v="11"/>
    <s v="Overhead Materials"/>
    <d v="2017-07-25T00:00:00"/>
    <x v="0"/>
    <s v="Middy's Data &amp; Electrical - T&amp;B HF025-B50_x000d__x000a_Conduit Hiflex 25mm Black 50m Roll"/>
    <n v="155.5"/>
    <m/>
    <m/>
  </r>
  <r>
    <s v="INV"/>
    <s v="NBN Sydney"/>
    <s v="71 A89540"/>
    <s v="Overhead"/>
    <x v="11"/>
    <s v="Overhead Materials"/>
    <d v="2017-07-26T00:00:00"/>
    <x v="0"/>
    <s v="Middy's Data &amp; Electrical - BVC 124045_x000d__x000a_Pit P8 Plastic Telstra 99/162"/>
    <n v="325"/>
    <m/>
    <m/>
  </r>
  <r>
    <s v="INV"/>
    <s v="NBN Sydney"/>
    <s v="A2"/>
    <s v="Overhead"/>
    <x v="11"/>
    <s v="Overhead Materials"/>
    <d v="2017-07-27T00:00:00"/>
    <x v="0"/>
    <s v="City Centre Car Park - Parramatta - In: 27/07/17 10:49_x000d__x000a_Out: 27/07/17 13:17"/>
    <n v="9.09"/>
    <m/>
    <m/>
  </r>
  <r>
    <s v="INV"/>
    <s v="NBN Sydney"/>
    <s v="71 A89563"/>
    <s v="Overhead"/>
    <x v="11"/>
    <s v="Overhead Materials"/>
    <d v="2017-07-27T00:00:00"/>
    <x v="0"/>
    <s v="Middy's Data &amp; Electrical - RAY TDUX-60-A788_x000d__x000a_Inflatable Sealing Sys 40-60mm MOQ10"/>
    <n v="209.45"/>
    <m/>
    <m/>
  </r>
  <r>
    <s v="INV"/>
    <s v="VPL Sydney"/>
    <s v="0003"/>
    <s v="DJC"/>
    <x v="8"/>
    <s v="VPL - FttB Re Design 2DAL-26"/>
    <d v="2017-07-02T00:00:00"/>
    <x v="0"/>
    <s v="Rainer James Barrozo - 2DAL-26-00-MPS-007"/>
    <n v="90"/>
    <m/>
    <m/>
  </r>
  <r>
    <s v="INV"/>
    <s v="NBN Sydney"/>
    <s v="INV-1112"/>
    <s v="DJC"/>
    <x v="10"/>
    <s v="NBN New Devs - MW20441 - AYCA-3KSRGR - Norberta St, The Entrance"/>
    <d v="2017-07-03T00:00:00"/>
    <x v="0"/>
    <s v="Complete Onsite Group - Traffic Control - AYCA-3KSRGR _x000d__x000a_Norberta St The Entrance 20/06/17 07:00-15:30 (8.5hrs) x 2 including travel"/>
    <n v="856"/>
    <m/>
    <m/>
  </r>
  <r>
    <s v="INV"/>
    <s v="NBN Sydney"/>
    <s v="INV-0121"/>
    <s v="Overhead"/>
    <x v="6"/>
    <s v="Overhead"/>
    <d v="2017-07-10T00:00:00"/>
    <x v="0"/>
    <s v="Warriewood Consultancy - Datateks Day Rate"/>
    <n v="11570.76"/>
    <m/>
    <m/>
  </r>
  <r>
    <s v="INV"/>
    <s v="NBN Sydney"/>
    <s v="17/1055"/>
    <s v="DJC"/>
    <x v="10"/>
    <s v="NBN New Devs - MW20436 - AYCA-3B8YY0 - Warrana Place"/>
    <d v="2017-07-12T00:00:00"/>
    <x v="0"/>
    <s v="KSJDA Pty Ltd - NBN MWA _x000d__x000a_MW20436-AYCA-3B8YY0 - Warrana Place, Taree"/>
    <n v="4740.05"/>
    <m/>
    <m/>
  </r>
  <r>
    <s v="INV"/>
    <s v="NBN Sydney"/>
    <s v="01803528"/>
    <s v="DJC"/>
    <x v="10"/>
    <s v="NBN New Devs - MW20436 - AYCA-3B8YY0 - Warrana Place"/>
    <d v="2017-07-14T00:00:00"/>
    <x v="0"/>
    <s v="5SMITHS - NBN MWA20436 - AYCA-3B8YY0 - Warrana Place_x000d__x000a_Splicing, Testing, Instal and Test NTU"/>
    <n v="5402.66"/>
    <m/>
    <m/>
  </r>
  <r>
    <s v="INV"/>
    <s v="AARNet"/>
    <s v="01803532"/>
    <s v="DJC"/>
    <x v="12"/>
    <s v="AARNet - ICQ-459 IPT2506 NSW HEALTH AUBURN HOSPITAL  "/>
    <d v="2017-07-17T00:00:00"/>
    <x v="0"/>
    <s v="5SMITHS - AARNet Auburn Hospital_x000d__x000a_Prepare 48SMOF Cable, Splice &amp; Terminate Fibres, Testing"/>
    <n v="3870.83"/>
    <m/>
    <m/>
  </r>
  <r>
    <s v="INV"/>
    <s v="NBN Sydney"/>
    <s v="INV-0122"/>
    <s v="Overhead"/>
    <x v="6"/>
    <s v="Overhead"/>
    <d v="2017-07-24T00:00:00"/>
    <x v="0"/>
    <s v="Warriewood Consultancy - Datateks Day Rate"/>
    <n v="9642.2999999999993"/>
    <m/>
    <m/>
  </r>
  <r>
    <s v="INV"/>
    <s v="NBN Sydney"/>
    <s v="INV-1179"/>
    <s v="DJC"/>
    <x v="10"/>
    <s v="NBN New Devs - MW20585 - AYCA-3KUUY6 - 2WOY-09 - Brittwood"/>
    <d v="2017-07-25T00:00:00"/>
    <x v="0"/>
    <s v="Complete Onsite Group - Traffic Control Plans"/>
    <n v="240"/>
    <m/>
    <m/>
  </r>
  <r>
    <s v="INV"/>
    <s v="NBN Sydney"/>
    <s v="INV-1179"/>
    <s v="DJC"/>
    <x v="10"/>
    <s v="NBN New Devs - MW20585 - AYCA-3KUUY6 - 2WOY-09 - Brittwood"/>
    <d v="2017-07-25T00:00:00"/>
    <x v="0"/>
    <s v="Complete Onsite Group - Traffic Control Works"/>
    <n v="2334.39"/>
    <m/>
    <m/>
  </r>
  <r>
    <s v="INV"/>
    <s v="AARNet"/>
    <s v="00000532"/>
    <s v="DJC"/>
    <x v="7"/>
    <s v="ARRNet - ICQ-315 IPT2073 WSU Parramatta Square Western Lead-in"/>
    <d v="2017-07-27T00:00:00"/>
    <x v="0"/>
    <s v="Qubicon Group - Night works completed 25th and 26th July 17 as per agreement"/>
    <n v="7000"/>
    <m/>
    <m/>
  </r>
  <r>
    <s v="INV"/>
    <s v="AARNet"/>
    <s v="INV-1207"/>
    <s v="DJC"/>
    <x v="7"/>
    <s v="ARRNet - ICQ-315 IPT2073 WSU Parramatta Square Western Lead-in"/>
    <d v="2017-07-30T00:00:00"/>
    <x v="0"/>
    <s v="Complete Onsite Group - Traffic Control Works"/>
    <n v="581"/>
    <m/>
    <m/>
  </r>
  <r>
    <s v="PE"/>
    <s v="NBN Sydney"/>
    <s v="Payroll Expense Journal - PD-522"/>
    <s v="DJC"/>
    <x v="13"/>
    <s v="NBN New Devs - MW20613 - AYCA-3CGK8N - Tulkaba View – 1"/>
    <d v="2017-07-03T00:00:00"/>
    <x v="0"/>
    <s v="Tool Allowance Earnings, Greg &amp; Karsten "/>
    <n v="55.95"/>
    <m/>
    <m/>
  </r>
  <r>
    <s v="PE"/>
    <s v="NBN Sydney"/>
    <s v="Payroll Expense Journal - PD-557"/>
    <s v="DJC"/>
    <x v="3"/>
    <s v="NBN New Devs - MW20649 - 2RCH-03 - AYCA-2MLHJO - Macquarie Street Subdivision - South Windsor"/>
    <d v="2017-07-10T00:00:00"/>
    <x v="0"/>
    <s v="Tool Allowance Earnings, Greg &amp; Karsten "/>
    <n v="55.95"/>
    <m/>
    <m/>
  </r>
  <r>
    <s v="PE"/>
    <s v="NBN Sydney"/>
    <s v="Payroll Expense Journal - PD-559"/>
    <s v="DJC"/>
    <x v="5"/>
    <s v="NBN Minor Works - MW20764 - 2BLK-12-07 - Lot 21 Western MTQY"/>
    <d v="2017-07-17T00:00:00"/>
    <x v="0"/>
    <s v="Tool Allowance Earnings, Greg &amp; Karsten "/>
    <n v="55.95"/>
    <m/>
    <m/>
  </r>
  <r>
    <s v="PE"/>
    <s v="NBN Sydney"/>
    <s v="Payroll Expense Journal - PD-566"/>
    <s v="DJC"/>
    <x v="13"/>
    <s v="NBN New Devs - MW20441 - AYCA-3KSRGR - Norberta St, The Entrance"/>
    <d v="2017-07-24T00:00:00"/>
    <x v="0"/>
    <s v="Tool Allowance Earnings, Greg &amp; Karsten "/>
    <n v="55.95"/>
    <m/>
    <m/>
  </r>
  <r>
    <s v="PE"/>
    <s v="AARNet"/>
    <s v="Payroll Expense Journal - PD-569"/>
    <s v="DJC"/>
    <x v="14"/>
    <s v="ARRNet - ICQ-315 IPT2073 WSU Parramatta Square Western Lead-in"/>
    <d v="2017-07-31T00:00:00"/>
    <x v="0"/>
    <s v="Tool Allowance Earnings, Greg &amp; Karsten "/>
    <n v="59.64"/>
    <m/>
    <m/>
  </r>
  <r>
    <s v="PE"/>
    <s v="NBN Sydney"/>
    <s v="Payroll Expense Journal - PD-569"/>
    <s v="Overhead"/>
    <x v="6"/>
    <s v="Overhead"/>
    <d v="2017-07-31T00:00:00"/>
    <x v="0"/>
    <s v="Tool Allowance GC"/>
    <n v="47.24"/>
    <m/>
    <m/>
  </r>
  <r>
    <s v="PE"/>
    <s v="NBN Sydney"/>
    <s v="Payroll Expense Journal - PD-522"/>
    <s v="Overhead"/>
    <x v="6"/>
    <s v="Overhead"/>
    <d v="2017-07-03T00:00:00"/>
    <x v="0"/>
    <s v="Tool Allowance Earnings, Brendan"/>
    <n v="18.649999999999999"/>
    <m/>
    <m/>
  </r>
  <r>
    <s v="PE"/>
    <s v="NBN Sydney"/>
    <s v="Payroll Expense Journal - PD-557"/>
    <s v="Overhead"/>
    <x v="6"/>
    <s v="Overhead"/>
    <d v="2017-07-10T00:00:00"/>
    <x v="0"/>
    <s v="Tool Allowance Earnings, Brendan"/>
    <n v="18.649999999999999"/>
    <m/>
    <m/>
  </r>
  <r>
    <s v="PE"/>
    <s v="NBN Sydney"/>
    <s v="Payroll Expense Journal - PD-559"/>
    <s v="Overhead"/>
    <x v="6"/>
    <s v="Overhead"/>
    <d v="2017-07-17T00:00:00"/>
    <x v="0"/>
    <s v="Tool Allowance Earnings, Brendan"/>
    <n v="18.649999999999999"/>
    <m/>
    <m/>
  </r>
  <r>
    <s v="PE"/>
    <s v="NBN Sydney"/>
    <s v="Payroll Expense Journal - PD-566"/>
    <s v="Overhead"/>
    <x v="6"/>
    <s v="Overhead"/>
    <d v="2017-07-24T00:00:00"/>
    <x v="0"/>
    <s v="Tool Allowance Earnings, Brendan"/>
    <n v="18.649999999999999"/>
    <m/>
    <m/>
  </r>
  <r>
    <s v="PE"/>
    <s v="NBN Sydney"/>
    <s v="Payroll Expense Journal - PD-569"/>
    <s v="Overhead"/>
    <x v="6"/>
    <s v="Overhead"/>
    <d v="2017-07-31T00:00:00"/>
    <x v="0"/>
    <s v="Tool Allowance Earnings, Brendan"/>
    <n v="19.88"/>
    <m/>
    <m/>
  </r>
  <r>
    <s v="PE"/>
    <s v="NBN Sydney"/>
    <s v="Payroll Expense Journal - PD-522"/>
    <s v=" "/>
    <x v="15"/>
    <s v="Greg &amp; Karsten"/>
    <d v="2017-07-03T00:00:00"/>
    <x v="0"/>
    <s v="TA Reimbursements"/>
    <n v="299.74"/>
    <m/>
    <m/>
  </r>
  <r>
    <s v="PE"/>
    <s v="NBN Sydney"/>
    <s v="Payroll Expense Journal - PD-557"/>
    <m/>
    <x v="15"/>
    <s v="Greg &amp; Karsten"/>
    <d v="2017-07-10T00:00:00"/>
    <x v="0"/>
    <s v="TA Reimbursements"/>
    <n v="59.04"/>
    <m/>
    <m/>
  </r>
  <r>
    <s v="PE"/>
    <s v="NBN Sydney"/>
    <s v="Payroll Expense Journal - PD-566"/>
    <m/>
    <x v="15"/>
    <s v="Greg &amp; Karsten"/>
    <d v="2017-07-24T00:00:00"/>
    <x v="0"/>
    <s v="TA Reimbursements"/>
    <n v="89.22"/>
    <m/>
    <m/>
  </r>
  <r>
    <s v="PE"/>
    <s v="NBN Sydney"/>
    <s v="Payroll Expense Journal - PD-569"/>
    <m/>
    <x v="15"/>
    <s v="Greg &amp; Karsten"/>
    <d v="2017-07-31T00:00:00"/>
    <x v="0"/>
    <s v="TA Reimbursements"/>
    <n v="60.76"/>
    <m/>
    <m/>
  </r>
  <r>
    <s v="PE"/>
    <s v="NBN Sydney"/>
    <s v="Payroll Expense Journal - PD-569"/>
    <s v="Overhead"/>
    <x v="6"/>
    <s v="Overhead Gilbert TA in Sydney $185 a Day = 19.8 days in the month in Sydney"/>
    <d v="2017-07-31T00:00:00"/>
    <x v="0"/>
    <s v="TA Reimbursements - GC"/>
    <n v="3669.25"/>
    <m/>
    <m/>
  </r>
  <r>
    <s v="PE"/>
    <s v="NBN Sydney"/>
    <s v="Payroll Expense Journal - PD-566"/>
    <s v="Overhead"/>
    <x v="6"/>
    <s v="Overhead"/>
    <d v="2017-07-24T00:00:00"/>
    <x v="0"/>
    <s v="Reimbursements"/>
    <n v="29.74"/>
    <m/>
    <m/>
  </r>
  <r>
    <s v="PE"/>
    <s v="NBN Sydney"/>
    <s v="Payroll Expense Journal - PD-569"/>
    <s v="Overhead"/>
    <x v="6"/>
    <s v="Overhead"/>
    <d v="2017-07-31T00:00:00"/>
    <x v="0"/>
    <s v="Reimbursements"/>
    <n v="0.32"/>
    <m/>
    <m/>
  </r>
  <r>
    <s v="PE"/>
    <s v="NBN Sydney"/>
    <s v="Payroll Expense Journal - PD-522"/>
    <s v="Overhead"/>
    <x v="6"/>
    <s v="Overhead"/>
    <d v="2017-07-03T00:00:00"/>
    <x v="0"/>
    <s v="Earnings"/>
    <n v="1707.8204999999998"/>
    <m/>
    <m/>
  </r>
  <r>
    <s v="PE"/>
    <s v="NBN Sydney"/>
    <s v="Payroll Expense Journal - PD-522"/>
    <s v="DJC"/>
    <x v="13"/>
    <s v="NBN New Devs - MW20613 - AYCA-3CGK8N - Tulkaba View – 1"/>
    <d v="2017-07-03T00:00:00"/>
    <x v="0"/>
    <s v="Earnings Kasrten &amp; Ash"/>
    <n v="209"/>
    <m/>
    <m/>
  </r>
  <r>
    <s v="PE"/>
    <s v="NBN Sydney"/>
    <s v="Payroll Expense Journal - PD-522"/>
    <s v="DJC"/>
    <x v="5"/>
    <s v="NBN Minor Works - MW20718 - 2LJT-04-07-08 Unit 2, 234 The Entrance Road"/>
    <d v="2017-07-03T00:00:00"/>
    <x v="0"/>
    <s v="Earnings Kasrten &amp; Ash"/>
    <n v="507"/>
    <m/>
    <m/>
  </r>
  <r>
    <s v="PE"/>
    <s v="NBN Sydney"/>
    <s v="Payroll Expense Journal - PD-522"/>
    <s v="DJC"/>
    <x v="5"/>
    <s v="NBN Minor Works - MW20764 - 2BLK-12-07 - Lot 21 Western MTQY"/>
    <d v="2017-07-03T00:00:00"/>
    <x v="0"/>
    <s v="Earnings Kasrten &amp; Ash"/>
    <n v="1198.82"/>
    <m/>
    <m/>
  </r>
  <r>
    <s v="PE"/>
    <s v="NBN Sydney"/>
    <s v="Payroll Expense Journal - PD-522"/>
    <s v="DJC"/>
    <x v="3"/>
    <s v="NBN New Devs - MW20649 - 2RCH-03 - AYCA-2MLHJO - Macquarie Street Subdivision - South Windsor"/>
    <d v="2017-07-03T00:00:00"/>
    <x v="0"/>
    <s v="Earning Greg &amp; Brendan"/>
    <n v="524.00075000000004"/>
    <m/>
    <m/>
  </r>
  <r>
    <s v="PE"/>
    <s v="NBN Sydney"/>
    <s v="Payroll Expense Journal - PD-522"/>
    <s v="DJC"/>
    <x v="13"/>
    <s v="NBN New Devs - MW20613 - AYCA-3CGK8N - Tulkaba View – 1"/>
    <d v="2017-07-03T00:00:00"/>
    <x v="0"/>
    <s v="Earning Greg &amp; Brendan"/>
    <n v="602.01575000000003"/>
    <m/>
    <m/>
  </r>
  <r>
    <s v="PE"/>
    <s v="NBN Sydney"/>
    <s v="Payroll Expense Journal - PD-522"/>
    <s v="DJC"/>
    <x v="13"/>
    <s v="NBN New Devs - MW20720 - AYCA-4BHWVV - Argyle Community Housing"/>
    <d v="2017-07-03T00:00:00"/>
    <x v="0"/>
    <s v="Earning Greg &amp; Brendan"/>
    <n v="780.15000000000009"/>
    <m/>
    <m/>
  </r>
  <r>
    <s v="PE"/>
    <s v="NBN Sydney"/>
    <s v="Payroll Expense Journal - PD-522"/>
    <s v="DJC"/>
    <x v="5"/>
    <s v="NBN Minor Works - MW20718 - 2LJT-04-07-08 Unit 2, 234 The Entrance Road"/>
    <d v="2017-07-03T00:00:00"/>
    <x v="0"/>
    <s v="Earning Greg &amp; Brendan"/>
    <n v="644.92399999999998"/>
    <m/>
    <m/>
  </r>
  <r>
    <s v="PE"/>
    <s v="NBN Sydney"/>
    <s v="Payroll Expense Journal - PD-522"/>
    <s v="DJC"/>
    <x v="5"/>
    <s v="NBN Minor Works - MW20764 - 2BLK-12-07 - Lot 21 Western MTQY"/>
    <d v="2017-07-03T00:00:00"/>
    <x v="0"/>
    <s v="Earning Greg &amp; Brendan"/>
    <n v="878.96900000000005"/>
    <m/>
    <m/>
  </r>
  <r>
    <s v="PE"/>
    <s v="NBN Sydney"/>
    <s v="Payroll Expense Journal - PD-557"/>
    <s v="Overhead"/>
    <x v="6"/>
    <s v="Overhead"/>
    <d v="2017-07-10T00:00:00"/>
    <x v="0"/>
    <s v="Earnings"/>
    <n v="1404.75875"/>
    <m/>
    <m/>
  </r>
  <r>
    <s v="PE"/>
    <s v="NBN Sydney"/>
    <s v="Payroll Expense Journal - PD-557"/>
    <s v="DJC"/>
    <x v="5"/>
    <s v="NBN Minor Works - MW20764 - 2BLK-12-07 - Lot 21 Western MTQY"/>
    <d v="2017-07-10T00:00:00"/>
    <x v="0"/>
    <s v="Earnings Kasrten &amp; Ash"/>
    <n v="1435.07"/>
    <m/>
    <m/>
  </r>
  <r>
    <s v="PE"/>
    <s v="NBN Sydney"/>
    <s v="Payroll Expense Journal - PD-557"/>
    <s v="DJC"/>
    <x v="3"/>
    <s v="NBN New Devs - MW20686 - AYCA-1RBL6L - The North Village , Kellyville"/>
    <d v="2017-07-10T00:00:00"/>
    <x v="0"/>
    <s v="Earnings Kasrten &amp; Ash"/>
    <n v="2057.46"/>
    <m/>
    <m/>
  </r>
  <r>
    <s v="PE"/>
    <s v="NBN Sydney"/>
    <s v="Payroll Expense Journal - PD-557"/>
    <s v="DJC"/>
    <x v="3"/>
    <s v="NBN New Devs -  MW20877 - AYCA-4992YE - 2RIV-02 - 34-36 Schofields - North Park  - 9"/>
    <d v="2017-07-10T00:00:00"/>
    <x v="0"/>
    <s v="Earning Greg &amp; Brendan"/>
    <n v="833.46024999999997"/>
    <m/>
    <m/>
  </r>
  <r>
    <s v="PE"/>
    <s v="NBN Sydney"/>
    <s v="Payroll Expense Journal - PD-557"/>
    <s v="DJC"/>
    <x v="3"/>
    <s v="NBN New Devs - MW20817 - 2LIV-12_2QUA_02_2PTH-02 - Glenfield_Margo_Jamison"/>
    <d v="2017-07-10T00:00:00"/>
    <x v="0"/>
    <s v="Earning Greg &amp; Brendan"/>
    <n v="406.97825"/>
    <m/>
    <m/>
  </r>
  <r>
    <s v="PE"/>
    <s v="NBN Sydney"/>
    <s v="Payroll Expense Journal - PD-557"/>
    <s v="DJC"/>
    <x v="3"/>
    <s v="NBN New Devs - MW20898 - 2MIL-01 - AYCA-45L86C  -NSB - Zulu Road – Build"/>
    <d v="2017-07-10T00:00:00"/>
    <x v="0"/>
    <s v="Earning Greg &amp; Brendan"/>
    <n v="465.48950000000002"/>
    <m/>
    <m/>
  </r>
  <r>
    <s v="PE"/>
    <s v="NBN Sydney"/>
    <s v="Payroll Expense Journal - PD-557"/>
    <s v="DJC"/>
    <x v="3"/>
    <s v="NBN New Devs - MW20786 - 2LIV-03 - AYCA-47DIBW - Dale Development"/>
    <d v="2017-07-10T00:00:00"/>
    <x v="0"/>
    <s v="Earning Greg &amp; Brendan"/>
    <n v="484.99324999999999"/>
    <m/>
    <m/>
  </r>
  <r>
    <s v="PE"/>
    <s v="NBN Sydney"/>
    <s v="Payroll Expense Journal - PD-559"/>
    <s v="Overhead"/>
    <x v="6"/>
    <s v="Overhead"/>
    <d v="2017-07-17T00:00:00"/>
    <x v="0"/>
    <s v="Earnings"/>
    <n v="2175.5592500000002"/>
    <m/>
    <m/>
  </r>
  <r>
    <s v="PE"/>
    <s v="NBN Sydney"/>
    <s v="Payroll Expense Journal - PD-559"/>
    <s v="DJC"/>
    <x v="5"/>
    <s v="NBN Minor Works - MW20764 - 2BLK-12-07 - Lot 21 Western MTQY"/>
    <d v="2017-07-17T00:00:00"/>
    <x v="0"/>
    <s v="Earnings Kasrten &amp; Ash"/>
    <n v="718.79"/>
    <m/>
    <m/>
  </r>
  <r>
    <s v="PE"/>
    <s v="NBN Sydney"/>
    <s v="Payroll Expense Journal - PD-559"/>
    <s v="DJC"/>
    <x v="3"/>
    <s v="NBN New Devs - MW20644 - AYCA-35B3X9 -  Renocorp Australia Pty Ltd "/>
    <d v="2017-07-17T00:00:00"/>
    <x v="0"/>
    <s v="Earnings Kasrten &amp; Ash"/>
    <n v="179"/>
    <m/>
    <m/>
  </r>
  <r>
    <s v="PE"/>
    <s v="NBN Sydney"/>
    <s v="Payroll Expense Journal - PD-559"/>
    <s v="DJC"/>
    <x v="13"/>
    <s v="NBN New Devs - MW20441 - AYCA-3KSRGR - Norberta St, The Entrance"/>
    <d v="2017-07-17T00:00:00"/>
    <x v="0"/>
    <s v="Earnings Kasrten &amp; Ash"/>
    <n v="164"/>
    <m/>
    <m/>
  </r>
  <r>
    <s v="PE"/>
    <s v="NBN Sydney"/>
    <s v="Payroll Expense Journal - PD-559"/>
    <s v="DJC"/>
    <x v="13"/>
    <s v="NBN New Devs - MW20729 - COR-04 - AYCA-4D6AY6 - 94 POPES RD"/>
    <d v="2017-07-17T00:00:00"/>
    <x v="0"/>
    <s v="Earnings Kasrten &amp; Ash"/>
    <n v="268"/>
    <m/>
    <m/>
  </r>
  <r>
    <s v="PE"/>
    <s v="NBN Sydney"/>
    <s v="Payroll Expense Journal - PD-559"/>
    <s v="DJC"/>
    <x v="3"/>
    <s v="NBN New Devs - MW20758 - 2BAN-64 - AYCA-3ETV2Y - 21-25 Leonard Street"/>
    <d v="2017-07-17T00:00:00"/>
    <x v="0"/>
    <s v="Earnings Kasrten &amp; Ash"/>
    <n v="209"/>
    <m/>
    <m/>
  </r>
  <r>
    <s v="PE"/>
    <s v="NBN Sydney"/>
    <s v="Payroll Expense Journal - PD-559"/>
    <s v="DJC"/>
    <x v="3"/>
    <s v="NBN New Devs - MW20644 - AYCA-35B3X9 -  Renocorp Australia Pty Ltd "/>
    <d v="2017-07-17T00:00:00"/>
    <x v="0"/>
    <s v="Earning Greg &amp; Brendan"/>
    <n v="1181.92725"/>
    <m/>
    <m/>
  </r>
  <r>
    <s v="PE"/>
    <s v="NBN Sydney"/>
    <s v="Payroll Expense Journal - PD-559"/>
    <s v="DJC"/>
    <x v="13"/>
    <s v="NBN New Devs - MW20441 - AYCA-3KSRGR - Norberta St, The Entrance"/>
    <d v="2017-07-17T00:00:00"/>
    <x v="0"/>
    <s v="Earning Greg &amp; Brendan"/>
    <n v="1061.0040000000001"/>
    <m/>
    <m/>
  </r>
  <r>
    <s v="PE"/>
    <s v="NBN Sydney"/>
    <s v="Payroll Expense Journal - PD-559"/>
    <s v="DJC"/>
    <x v="13"/>
    <s v="NBN New Devs - MW20729 - COR-04 - AYCA-4D6AY6 - 94 POPES RD"/>
    <d v="2017-07-17T00:00:00"/>
    <x v="0"/>
    <s v="Earning Greg &amp; Brendan"/>
    <n v="465.48950000000002"/>
    <m/>
    <m/>
  </r>
  <r>
    <s v="PE"/>
    <s v="NBN Sydney"/>
    <s v="Payroll Expense Journal - PD-559"/>
    <s v="DJC"/>
    <x v="3"/>
    <s v="NBN New Devs - MW20758 - 2BAN-64 - AYCA-3ETV2Y - 21-25 Leonard Street"/>
    <d v="2017-07-17T00:00:00"/>
    <x v="0"/>
    <s v="Earning Greg &amp; Brendan"/>
    <n v="465.49"/>
    <m/>
    <m/>
  </r>
  <r>
    <s v="PE"/>
    <s v="NBN Sydney"/>
    <s v="Payroll Expense Journal - PD-566"/>
    <s v="Overhead"/>
    <x v="6"/>
    <s v="Overhead"/>
    <d v="2017-07-24T00:00:00"/>
    <x v="0"/>
    <s v="Earnings"/>
    <n v="2175.4824999999996"/>
    <m/>
    <m/>
  </r>
  <r>
    <s v="PE"/>
    <s v="NBN Sydney"/>
    <s v="Payroll Expense Journal - PD-566"/>
    <s v="DJC"/>
    <x v="5"/>
    <s v="NBN Minor Works - MW20764 - 2BLK-12-07 - Lot 21 Western MTQY"/>
    <d v="2017-07-24T00:00:00"/>
    <x v="0"/>
    <s v="Earnings Kasrten &amp; Ash"/>
    <n v="1351.49"/>
    <m/>
    <m/>
  </r>
  <r>
    <s v="PE"/>
    <s v="NBN Sydney"/>
    <s v="Payroll Expense Journal - PD-566"/>
    <s v="DJC"/>
    <x v="3"/>
    <s v="NBN New Devs - MW20758 - 2BAN-64 - AYCA-3ETV2Y - 21-25 Leonard Street"/>
    <d v="2017-07-24T00:00:00"/>
    <x v="0"/>
    <s v="Earnings Kasrten &amp; Ash"/>
    <n v="343"/>
    <m/>
    <m/>
  </r>
  <r>
    <s v="PE"/>
    <s v="NBN Sydney"/>
    <s v="Payroll Expense Journal - PD-566"/>
    <s v="DJC"/>
    <x v="3"/>
    <s v="New Devs - MW21024 - AYCA-4JN54Z - 2NRN-05 - Elderslie"/>
    <d v="2017-07-24T00:00:00"/>
    <x v="0"/>
    <s v="Earnings Kasrten &amp; Ash"/>
    <n v="152"/>
    <m/>
    <m/>
  </r>
  <r>
    <s v="PE"/>
    <s v="NBN Sydney"/>
    <s v="Payroll Expense Journal - PD-566"/>
    <s v="DJC"/>
    <x v="3"/>
    <s v="NBN New Devs - MW20758 - 2BAN-64 - AYCA-3ETV2Y - 21-25 Leonard Street"/>
    <d v="2017-07-24T00:00:00"/>
    <x v="0"/>
    <s v="Earning Greg &amp; Brendan"/>
    <n v="930.97900000000004"/>
    <m/>
    <m/>
  </r>
  <r>
    <s v="PE"/>
    <s v="NBN Sydney"/>
    <s v="Payroll Expense Journal - PD-566"/>
    <s v="DJC"/>
    <x v="3"/>
    <s v="NBN New Devs - MW20876 - 2RIV-02 -AYCA-499AY5 - 34-36 Schofields - North Park - 10"/>
    <d v="2017-07-24T00:00:00"/>
    <x v="0"/>
    <s v="Earning Greg &amp; Brendan"/>
    <n v="621.51949999999999"/>
    <m/>
    <m/>
  </r>
  <r>
    <s v="PE"/>
    <s v="NBN Sydney"/>
    <s v="Payroll Expense Journal - PD-566"/>
    <s v="DJC"/>
    <x v="13"/>
    <s v="NBN New Devs - MW20585 - AYCA-3KUUY6 - 2WOY-09 - Brittwood"/>
    <d v="2017-07-24T00:00:00"/>
    <x v="0"/>
    <s v="Earning Greg &amp; Brendan"/>
    <n v="621.51949999999999"/>
    <m/>
    <m/>
  </r>
  <r>
    <s v="PE"/>
    <s v="NBN Sydney"/>
    <s v="Payroll Expense Journal - PD-566"/>
    <s v="DJC"/>
    <x v="3"/>
    <s v="NBN new Devs - MW20882 - 2BLK-07 - AYCA-468EU5 - 299 Flushcombe - 1"/>
    <d v="2017-07-24T00:00:00"/>
    <x v="0"/>
    <s v="Earning Greg &amp; Brendan"/>
    <n v="465.48950000000002"/>
    <m/>
    <m/>
  </r>
  <r>
    <s v="PE"/>
    <s v="NBN Sydney"/>
    <s v="Payroll Expense Journal - PD-569"/>
    <s v="Overhead"/>
    <x v="6"/>
    <s v="Overhead"/>
    <d v="2017-07-31T00:00:00"/>
    <x v="0"/>
    <s v="Earnings"/>
    <n v="2363.1750499999989"/>
    <m/>
    <m/>
  </r>
  <r>
    <s v="PE"/>
    <s v="NBN Sydney"/>
    <s v="Payroll Expense Journal - PD-569"/>
    <s v="DJC"/>
    <x v="5"/>
    <s v="NBN Minor Works - MW20764 - 2BLK-12-07 - Lot 21 Western MTQY"/>
    <d v="2017-07-31T00:00:00"/>
    <x v="0"/>
    <s v="Earnings Kasrten &amp; Ash"/>
    <n v="1094.3399999999999"/>
    <m/>
    <m/>
  </r>
  <r>
    <s v="PE"/>
    <s v="AARNet"/>
    <s v="Payroll Expense Journal - PD-569"/>
    <s v="DJC"/>
    <x v="14"/>
    <s v="ARRNet - ICQ-315 IPT2073 WSU Parramatta Square Western Lead-in"/>
    <d v="2017-07-31T00:00:00"/>
    <x v="0"/>
    <s v="Earnings Kasrten &amp; Ash"/>
    <n v="2262.63"/>
    <m/>
    <m/>
  </r>
  <r>
    <s v="PE"/>
    <s v="NBN Sydney"/>
    <s v="Payroll Expense Journal - PD-569"/>
    <s v="DJC"/>
    <x v="3"/>
    <s v="NBN New Devs - MW20797 - 2RYD-03 - AYCA-1SUDYS – 15 Porter St Ryde - La Pearl"/>
    <d v="2017-07-31T00:00:00"/>
    <x v="0"/>
    <s v="Earning Greg &amp; Brendan"/>
    <n v="504.49700000000001"/>
    <m/>
    <m/>
  </r>
  <r>
    <s v="PE"/>
    <s v="NBN Sydney"/>
    <s v="Payroll Expense Journal - PD-569"/>
    <s v="DJC"/>
    <x v="3"/>
    <s v="NBN New Devs - MW20620 - 2EPP-05 - AYCA-3071BP - Macquarie Park Village"/>
    <d v="2017-07-31T00:00:00"/>
    <x v="0"/>
    <s v="Earning Greg &amp; Brendan"/>
    <n v="1965.71795"/>
    <m/>
    <m/>
  </r>
  <r>
    <s v="PE"/>
    <s v="NBN Sydney"/>
    <s v="Payroll Expense Journal - PD-569"/>
    <s v="Overhead"/>
    <x v="6"/>
    <s v="Overhead"/>
    <d v="2017-07-31T00:00:00"/>
    <x v="0"/>
    <s v="Earnings GC"/>
    <n v="4136.92"/>
    <m/>
    <m/>
  </r>
  <r>
    <s v="PE"/>
    <s v="NBN Sydney"/>
    <s v="Payroll Expense Journal - PD-522"/>
    <s v="Overhead"/>
    <x v="6"/>
    <s v="Overhead"/>
    <d v="2017-07-03T00:00:00"/>
    <x v="0"/>
    <s v="Earnings Brendan"/>
    <n v="1041.9000000000001"/>
    <m/>
    <m/>
  </r>
  <r>
    <s v="PE"/>
    <s v="NBN Sydney"/>
    <s v="Payroll Expense Journal - PD-557"/>
    <s v="Overhead"/>
    <x v="6"/>
    <s v="Overhead"/>
    <d v="2017-07-10T00:00:00"/>
    <x v="0"/>
    <s v="Earnings Brendan"/>
    <n v="830.21"/>
    <m/>
    <m/>
  </r>
  <r>
    <s v="PE"/>
    <s v="NBN Sydney"/>
    <s v="Payroll Expense Journal - PD-559"/>
    <s v="Overhead"/>
    <x v="6"/>
    <s v="Overhead"/>
    <d v="2017-07-17T00:00:00"/>
    <x v="0"/>
    <s v="Earnings Brendan"/>
    <n v="1236.81"/>
    <m/>
    <m/>
  </r>
  <r>
    <s v="PE"/>
    <s v="NBN Sydney"/>
    <s v="Payroll Expense Journal - PD-566"/>
    <s v="Overhead"/>
    <x v="6"/>
    <s v="Overhead"/>
    <d v="2017-07-24T00:00:00"/>
    <x v="0"/>
    <s v="Earnings Brendan"/>
    <n v="1052.51"/>
    <m/>
    <m/>
  </r>
  <r>
    <s v="PE"/>
    <s v="NBN Sydney"/>
    <s v="Payroll Expense Journal - PD-569"/>
    <s v="Overhead"/>
    <x v="6"/>
    <s v="Overhead"/>
    <d v="2017-07-31T00:00:00"/>
    <x v="0"/>
    <s v="Earnings Brendan"/>
    <n v="1029.71"/>
    <m/>
    <m/>
  </r>
  <r>
    <s v="PE"/>
    <s v="NBN Sydney"/>
    <s v="Payroll Expense Journal - PD-522"/>
    <s v="Overhead"/>
    <x v="6"/>
    <s v="Overhead"/>
    <d v="2017-07-03T00:00:00"/>
    <x v="0"/>
    <s v="Superannuation Expense Sonya"/>
    <n v="92.44"/>
    <m/>
    <m/>
  </r>
  <r>
    <s v="PE"/>
    <s v="NBN Sydney"/>
    <s v="Payroll Expense Journal - PD-557"/>
    <s v="Overhead"/>
    <x v="6"/>
    <s v="Overhead"/>
    <d v="2017-07-10T00:00:00"/>
    <x v="0"/>
    <s v="Superannuation Expense Sonya"/>
    <n v="92.44"/>
    <m/>
    <m/>
  </r>
  <r>
    <s v="PE"/>
    <s v="NBN Sydney"/>
    <s v="Payroll Expense Journal - PD-559"/>
    <s v="Overhead"/>
    <x v="6"/>
    <s v="Overhead"/>
    <d v="2017-07-17T00:00:00"/>
    <x v="0"/>
    <s v="Superannuation Expense Sonya"/>
    <n v="92.44"/>
    <m/>
    <m/>
  </r>
  <r>
    <s v="PE"/>
    <s v="NBN Sydney"/>
    <s v="Payroll Expense Journal - PD-566"/>
    <s v="Overhead"/>
    <x v="6"/>
    <s v="Overhead"/>
    <d v="2017-07-24T00:00:00"/>
    <x v="0"/>
    <s v="Superannuation Expense Sonya"/>
    <n v="92.44"/>
    <m/>
    <m/>
  </r>
  <r>
    <s v="PE"/>
    <s v="NBN Sydney"/>
    <s v="Payroll Expense Journal - PD-569"/>
    <s v="Overhead"/>
    <x v="6"/>
    <s v="Overhead"/>
    <d v="2017-07-31T00:00:00"/>
    <x v="0"/>
    <s v="Superannuation Expense Sonya"/>
    <n v="92.44"/>
    <m/>
    <m/>
  </r>
  <r>
    <s v="PE"/>
    <s v="NBN Sydney"/>
    <s v="Super AA"/>
    <s v="Overhead"/>
    <x v="6"/>
    <s v="Overhead"/>
    <d v="2017-07-31T00:00:00"/>
    <x v="0"/>
    <s v="Superannuation Expense AA "/>
    <n v="69.38"/>
    <m/>
    <m/>
  </r>
  <r>
    <s v="PE"/>
    <s v="NBN Sydney"/>
    <s v="Super  RM"/>
    <s v="Overhead"/>
    <x v="6"/>
    <s v="Overhead"/>
    <d v="2017-07-31T00:00:00"/>
    <x v="0"/>
    <s v="Superannuation Expense RM"/>
    <n v="116.47"/>
    <m/>
    <m/>
  </r>
  <r>
    <s v="PE"/>
    <s v="NBN Sydney"/>
    <s v="Payroll Expense Journal - PD-522"/>
    <s v="Overhead"/>
    <x v="6"/>
    <s v="Overhead"/>
    <d v="2017-07-03T00:00:00"/>
    <x v="0"/>
    <s v="Superannuation Expense"/>
    <n v="185.84575999999993"/>
    <m/>
    <m/>
  </r>
  <r>
    <s v="PE"/>
    <s v="NBN Sydney"/>
    <s v="Payroll Expense Journal - PD-522"/>
    <s v="DJC"/>
    <x v="13"/>
    <s v="NBN New Devs - MW20613 - AYCA-3CGK8N - Tulkaba View – 1"/>
    <d v="2017-07-03T00:00:00"/>
    <x v="0"/>
    <s v="Superannuation Expense"/>
    <n v="14.44"/>
    <m/>
    <m/>
  </r>
  <r>
    <s v="PE"/>
    <s v="NBN Sydney"/>
    <s v="Payroll Expense Journal - PD-522"/>
    <s v="DJC"/>
    <x v="5"/>
    <s v="NBN Minor Works - MW20718 - 2LJT-04-07-08 Unit 2, 234 The Entrance Road"/>
    <d v="2017-07-03T00:00:00"/>
    <x v="0"/>
    <s v="Superannuation Expense"/>
    <n v="28.88"/>
    <m/>
    <m/>
  </r>
  <r>
    <s v="PE"/>
    <s v="NBN Sydney"/>
    <s v="Payroll Expense Journal - PD-522"/>
    <s v="DJC"/>
    <x v="5"/>
    <s v="NBN Minor Works - MW20764 - 2BLK-12-07 - Lot 21 Western MTQY"/>
    <d v="2017-07-03T00:00:00"/>
    <x v="0"/>
    <s v="Superannuation Expense"/>
    <n v="80.459679999999992"/>
    <m/>
    <m/>
  </r>
  <r>
    <s v="PE"/>
    <s v="NBN Sydney"/>
    <s v="Payroll Expense Journal - PD-522"/>
    <s v="DJC"/>
    <x v="3"/>
    <s v="NBN New Devs - MW20649 - 2RCH-03 - AYCA-2MLHJO - Macquarie Street Subdivision - South Windsor"/>
    <d v="2017-07-03T00:00:00"/>
    <x v="0"/>
    <s v="Superannuation Expense"/>
    <n v="80.459679999999992"/>
    <m/>
    <m/>
  </r>
  <r>
    <s v="PE"/>
    <s v="NBN Sydney"/>
    <s v="Payroll Expense Journal - PD-522"/>
    <s v="DJC"/>
    <x v="13"/>
    <s v="NBN New Devs - MW20613 - AYCA-3CGK8N - Tulkaba View – 1"/>
    <d v="2017-07-03T00:00:00"/>
    <x v="0"/>
    <s v="Superannuation Expense"/>
    <n v="37.551220000000001"/>
    <m/>
    <m/>
  </r>
  <r>
    <s v="PE"/>
    <s v="NBN Sydney"/>
    <s v="Payroll Expense Journal - PD-522"/>
    <s v="DJC"/>
    <x v="13"/>
    <s v="NBN New Devs - MW20720 - AYCA-4BHWVV - Argyle Community Housing"/>
    <d v="2017-07-03T00:00:00"/>
    <x v="0"/>
    <s v="Superannuation Expense"/>
    <n v="37.551220000000001"/>
    <m/>
    <m/>
  </r>
  <r>
    <s v="PE"/>
    <s v="NBN Sydney"/>
    <s v="Payroll Expense Journal - PD-522"/>
    <s v="DJC"/>
    <x v="5"/>
    <s v="NBN Minor Works - MW20718 - 2LJT-04-07-08 Unit 2, 234 The Entrance Road"/>
    <d v="2017-07-03T00:00:00"/>
    <x v="0"/>
    <s v="Superannuation Expense"/>
    <n v="37.551220000000001"/>
    <m/>
    <m/>
  </r>
  <r>
    <s v="PE"/>
    <s v="NBN Sydney"/>
    <s v="Payroll Expense Journal - PD-522"/>
    <s v="DJC"/>
    <x v="5"/>
    <s v="NBN Minor Works - MW20764 - 2BLK-12-07 - Lot 21 Western MTQY"/>
    <d v="2017-07-03T00:00:00"/>
    <x v="0"/>
    <s v="Superannuation Expense"/>
    <n v="37.551220000000001"/>
    <m/>
    <m/>
  </r>
  <r>
    <s v="PE"/>
    <s v="NBN Sydney"/>
    <s v="Payroll Expense Journal - PD-557"/>
    <s v="Overhead"/>
    <x v="6"/>
    <s v="Overhead"/>
    <d v="2017-07-10T00:00:00"/>
    <x v="0"/>
    <s v="Superannuation Expense"/>
    <n v="151.33470000000005"/>
    <m/>
    <m/>
  </r>
  <r>
    <s v="PE"/>
    <s v="NBN Sydney"/>
    <s v="Payroll Expense Journal - PD-557"/>
    <s v="DJC"/>
    <x v="5"/>
    <s v="NBN Minor Works - MW20764 - 2BLK-12-07 - Lot 21 Western MTQY"/>
    <d v="2017-07-10T00:00:00"/>
    <x v="0"/>
    <s v="Superannuation Expense"/>
    <n v="80.459679999999992"/>
    <m/>
    <m/>
  </r>
  <r>
    <s v="PE"/>
    <s v="NBN Sydney"/>
    <s v="Payroll Expense Journal - PD-557"/>
    <s v="DJC"/>
    <x v="3"/>
    <s v="NBN New Devs - MW20686 - AYCA-1RBL6L - The North Village , Kellyville"/>
    <d v="2017-07-10T00:00:00"/>
    <x v="0"/>
    <s v="Superannuation Expense"/>
    <n v="120.68951999999999"/>
    <m/>
    <m/>
  </r>
  <r>
    <s v="PE"/>
    <s v="NBN Sydney"/>
    <s v="Payroll Expense Journal - PD-557"/>
    <s v="DJC"/>
    <x v="3"/>
    <s v="NBN New Devs -  MW20877 - AYCA-4992YE - 2RIV-02 - 34-36 Schofields - North Park  - 9"/>
    <d v="2017-07-10T00:00:00"/>
    <x v="0"/>
    <s v="Superannuation Expense"/>
    <n v="75.102440000000001"/>
    <m/>
    <m/>
  </r>
  <r>
    <s v="PE"/>
    <s v="NBN Sydney"/>
    <s v="Payroll Expense Journal - PD-557"/>
    <s v="DJC"/>
    <x v="3"/>
    <s v="NBN New Devs - MW20817 - 2LIV-12_2QUA_02_2PTH-02 - Glenfield_Margo_Jamison"/>
    <d v="2017-07-10T00:00:00"/>
    <x v="0"/>
    <s v="Superannuation Expense"/>
    <n v="37.551220000000001"/>
    <m/>
    <m/>
  </r>
  <r>
    <s v="PE"/>
    <s v="NBN Sydney"/>
    <s v="Payroll Expense Journal - PD-557"/>
    <s v="DJC"/>
    <x v="3"/>
    <s v="NBN New Devs - MW20898 - 2MIL-01 - AYCA-45L86C  -NSB - Zulu Road – Build"/>
    <d v="2017-07-10T00:00:00"/>
    <x v="0"/>
    <s v="Superannuation Expense"/>
    <n v="37.551220000000001"/>
    <m/>
    <m/>
  </r>
  <r>
    <s v="PE"/>
    <s v="NBN Sydney"/>
    <s v="Payroll Expense Journal - PD-557"/>
    <s v="DJC"/>
    <x v="3"/>
    <s v="NBN New Devs - MW20786 - 2LIV-03 - AYCA-47DIBW - Dale Development"/>
    <d v="2017-07-10T00:00:00"/>
    <x v="0"/>
    <s v="Superannuation Expense"/>
    <n v="37.551220000000001"/>
    <m/>
    <m/>
  </r>
  <r>
    <s v="PE"/>
    <s v="NBN Sydney"/>
    <s v="Payroll Expense Journal - PD-559"/>
    <s v="Overhead"/>
    <x v="6"/>
    <s v="Overhead"/>
    <d v="2017-07-17T00:00:00"/>
    <x v="0"/>
    <s v="Superannuation Expense"/>
    <n v="250.21406000000007"/>
    <m/>
    <m/>
  </r>
  <r>
    <s v="PE"/>
    <s v="NBN Sydney"/>
    <s v="Payroll Expense Journal - PD-559"/>
    <s v="DJC"/>
    <x v="5"/>
    <s v="NBN Minor Works - MW20764 - 2BLK-12-07 - Lot 21 Western MTQY"/>
    <d v="2017-07-17T00:00:00"/>
    <x v="0"/>
    <s v="Superannuation Expense"/>
    <n v="40.229839999999996"/>
    <m/>
    <m/>
  </r>
  <r>
    <s v="PE"/>
    <s v="NBN Sydney"/>
    <s v="Payroll Expense Journal - PD-559"/>
    <s v="DJC"/>
    <x v="3"/>
    <s v="NBN New Devs - MW20644 - AYCA-35B3X9 -  Renocorp Australia Pty Ltd "/>
    <d v="2017-07-17T00:00:00"/>
    <x v="0"/>
    <s v="Superannuation Expense"/>
    <n v="14.44"/>
    <m/>
    <m/>
  </r>
  <r>
    <s v="PE"/>
    <s v="NBN Sydney"/>
    <s v="Payroll Expense Journal - PD-559"/>
    <s v="DJC"/>
    <x v="13"/>
    <s v="NBN New Devs - MW20441 - AYCA-3KSRGR - Norberta St, The Entrance"/>
    <d v="2017-07-17T00:00:00"/>
    <x v="0"/>
    <s v="Superannuation Expense"/>
    <n v="14.44"/>
    <m/>
    <m/>
  </r>
  <r>
    <s v="PE"/>
    <s v="NBN Sydney"/>
    <s v="Payroll Expense Journal - PD-559"/>
    <s v="DJC"/>
    <x v="13"/>
    <s v="NBN New Devs - MW20729 - COR-04 - AYCA-4D6AY6 - 94 POPES RD"/>
    <d v="2017-07-17T00:00:00"/>
    <x v="0"/>
    <s v="Superannuation Expense"/>
    <n v="14.44"/>
    <m/>
    <m/>
  </r>
  <r>
    <s v="PE"/>
    <s v="NBN Sydney"/>
    <s v="Payroll Expense Journal - PD-559"/>
    <s v="DJC"/>
    <x v="3"/>
    <s v="NBN New Devs - MW20758 - 2BAN-64 - AYCA-3ETV2Y - 21-25 Leonard Street"/>
    <d v="2017-07-17T00:00:00"/>
    <x v="0"/>
    <s v="Superannuation Expense"/>
    <n v="14.44"/>
    <m/>
    <m/>
  </r>
  <r>
    <s v="PE"/>
    <s v="NBN Sydney"/>
    <s v="Payroll Expense Journal - PD-559"/>
    <s v="DJC"/>
    <x v="3"/>
    <s v="NBN New Devs - MW20644 - AYCA-35B3X9 -  Renocorp Australia Pty Ltd "/>
    <d v="2017-07-17T00:00:00"/>
    <x v="0"/>
    <s v="Superannuation Expense"/>
    <n v="75.102440000000001"/>
    <m/>
    <m/>
  </r>
  <r>
    <s v="PE"/>
    <s v="NBN Sydney"/>
    <s v="Payroll Expense Journal - PD-559"/>
    <s v="DJC"/>
    <x v="13"/>
    <s v="NBN New Devs - MW20441 - AYCA-3KSRGR - Norberta St, The Entrance"/>
    <d v="2017-07-17T00:00:00"/>
    <x v="0"/>
    <s v="Superannuation Expense"/>
    <n v="37.551220000000001"/>
    <m/>
    <m/>
  </r>
  <r>
    <s v="PE"/>
    <s v="NBN Sydney"/>
    <s v="Payroll Expense Journal - PD-559"/>
    <s v="DJC"/>
    <x v="13"/>
    <s v="NBN New Devs - MW20729 - COR-04 - AYCA-4D6AY6 - 94 POPES RD"/>
    <d v="2017-07-17T00:00:00"/>
    <x v="0"/>
    <s v="Superannuation Expense"/>
    <n v="37.551220000000001"/>
    <m/>
    <m/>
  </r>
  <r>
    <s v="PE"/>
    <s v="NBN Sydney"/>
    <s v="Payroll Expense Journal - PD-559"/>
    <s v="DJC"/>
    <x v="3"/>
    <s v="NBN New Devs - MW20758 - 2BAN-64 - AYCA-3ETV2Y - 21-25 Leonard Street"/>
    <d v="2017-07-17T00:00:00"/>
    <x v="0"/>
    <s v="Superannuation Expense"/>
    <n v="37.551220000000001"/>
    <m/>
    <m/>
  </r>
  <r>
    <s v="PE"/>
    <s v="NBN Sydney"/>
    <s v="Payroll Expense Journal - PD-566"/>
    <s v="Overhead"/>
    <x v="6"/>
    <s v="Overhead"/>
    <d v="2017-07-24T00:00:00"/>
    <x v="0"/>
    <s v="Superannuation Expense"/>
    <n v="228.70422000000002"/>
    <m/>
    <m/>
  </r>
  <r>
    <s v="PE"/>
    <s v="NBN Sydney"/>
    <s v="Payroll Expense Journal - PD-566"/>
    <s v="DJC"/>
    <x v="5"/>
    <s v="NBN Minor Works - MW20764 - 2BLK-12-07 - Lot 21 Western MTQY"/>
    <d v="2017-07-24T00:00:00"/>
    <x v="0"/>
    <s v="Superannuation Expense"/>
    <n v="80.459679999999992"/>
    <m/>
    <m/>
  </r>
  <r>
    <s v="PE"/>
    <s v="NBN Sydney"/>
    <s v="Payroll Expense Journal - PD-566"/>
    <s v="DJC"/>
    <x v="3"/>
    <s v="NBN New Devs - MW20758 - 2BAN-64 - AYCA-3ETV2Y - 21-25 Leonard Street"/>
    <d v="2017-07-24T00:00:00"/>
    <x v="0"/>
    <s v="Superannuation Expense"/>
    <n v="28.88"/>
    <m/>
    <m/>
  </r>
  <r>
    <s v="PE"/>
    <s v="NBN Sydney"/>
    <s v="Payroll Expense Journal - PD-566"/>
    <s v="DJC"/>
    <x v="3"/>
    <s v="New Devs - MW21024 - AYCA-4JN54Z - 2NRN-05 - Elderslie"/>
    <d v="2017-07-24T00:00:00"/>
    <x v="0"/>
    <s v="Superannuation Expense"/>
    <n v="14.44"/>
    <m/>
    <m/>
  </r>
  <r>
    <s v="PE"/>
    <s v="NBN Sydney"/>
    <s v="Payroll Expense Journal - PD-566"/>
    <s v="DJC"/>
    <x v="3"/>
    <s v="NBN New Devs - MW20758 - 2BAN-64 - AYCA-3ETV2Y - 21-25 Leonard Street"/>
    <d v="2017-07-24T00:00:00"/>
    <x v="0"/>
    <s v="Superannuation Expense"/>
    <n v="75.102440000000001"/>
    <m/>
    <m/>
  </r>
  <r>
    <s v="PE"/>
    <s v="NBN Sydney"/>
    <s v="Payroll Expense Journal - PD-566"/>
    <s v="DJC"/>
    <x v="3"/>
    <s v="NBN New Devs - MW20876 - 2RIV-02 -AYCA-499AY5 - 34-36 Schofields - North Park - 10"/>
    <d v="2017-07-24T00:00:00"/>
    <x v="0"/>
    <s v="Superannuation Expense"/>
    <n v="37.551220000000001"/>
    <m/>
    <m/>
  </r>
  <r>
    <s v="PE"/>
    <s v="NBN Sydney"/>
    <s v="Payroll Expense Journal - PD-566"/>
    <s v="DJC"/>
    <x v="13"/>
    <s v="NBN New Devs - MW20585 - AYCA-3KUUY6 - 2WOY-09 - Brittwood"/>
    <d v="2017-07-24T00:00:00"/>
    <x v="0"/>
    <s v="Superannuation Expense"/>
    <n v="37.551220000000001"/>
    <m/>
    <m/>
  </r>
  <r>
    <s v="PE"/>
    <s v="NBN Sydney"/>
    <s v="Payroll Expense Journal - PD-566"/>
    <s v="DJC"/>
    <x v="3"/>
    <s v="NBN new Devs - MW20882 - 2BLK-07 - AYCA-468EU5 - 299 Flushcombe - 1"/>
    <d v="2017-07-24T00:00:00"/>
    <x v="0"/>
    <s v="Superannuation Expense"/>
    <n v="37.551220000000001"/>
    <m/>
    <m/>
  </r>
  <r>
    <s v="PE"/>
    <s v="NBN Sydney"/>
    <s v="Payroll Expense Journal - PD-569"/>
    <s v="Overhead"/>
    <x v="6"/>
    <s v="Overhead"/>
    <d v="2017-07-31T00:00:00"/>
    <x v="0"/>
    <s v="Superannuation Expense"/>
    <n v="232.13390000000004"/>
    <m/>
    <m/>
  </r>
  <r>
    <s v="PE"/>
    <s v="NBN Sydney"/>
    <s v="Payroll Expense Journal - PD-569"/>
    <s v="DJC"/>
    <x v="5"/>
    <s v="NBN Minor Works - MW20764 - 2BLK-12-07 - Lot 21 Western MTQY"/>
    <d v="2017-07-31T00:00:00"/>
    <x v="0"/>
    <s v="Superannuation Expense"/>
    <n v="80.459999999999994"/>
    <m/>
    <m/>
  </r>
  <r>
    <s v="PE"/>
    <s v="AARNet"/>
    <s v="Payroll Expense Journal - PD-569"/>
    <s v="DJC"/>
    <x v="14"/>
    <s v="ARRNet - ICQ-315 IPT2073 WSU Parramatta Square Western Lead-in"/>
    <d v="2017-07-31T00:00:00"/>
    <x v="0"/>
    <s v="Superannuation Expense"/>
    <n v="40.229999999999997"/>
    <m/>
    <m/>
  </r>
  <r>
    <s v="PE"/>
    <s v="NBN Sydney"/>
    <s v="Payroll Expense Journal - PD-569"/>
    <s v="DJC"/>
    <x v="3"/>
    <s v="NBN New Devs - MW20797 - 2RYD-03 - AYCA-1SUDYS – 15 Porter St Ryde - La Pearl"/>
    <d v="2017-07-31T00:00:00"/>
    <x v="0"/>
    <s v="Superannuation Expense"/>
    <n v="37.551220000000001"/>
    <m/>
    <m/>
  </r>
  <r>
    <s v="PE"/>
    <s v="NBN Sydney"/>
    <s v="Payroll Expense Journal - PD-569"/>
    <s v="DJC"/>
    <x v="3"/>
    <s v="NBN New Devs - MW20620 - 2EPP-05 - AYCA-3071BP - Macquarie Park Village"/>
    <d v="2017-07-31T00:00:00"/>
    <x v="0"/>
    <s v="Superannuation Expense"/>
    <n v="150.20488"/>
    <m/>
    <m/>
  </r>
  <r>
    <s v="PE"/>
    <s v="NBN Sydney"/>
    <s v="Payroll Expense Journal - PD-569"/>
    <s v="Overhead"/>
    <x v="6"/>
    <s v="Overhead"/>
    <d v="2017-07-31T00:00:00"/>
    <x v="0"/>
    <s v="Superannuation Expense GC"/>
    <n v="397.49"/>
    <m/>
    <m/>
  </r>
  <r>
    <s v="PE"/>
    <s v="NBN Sydney"/>
    <s v="Payroll Expense Journal - PD-522"/>
    <s v="Overhead"/>
    <x v="6"/>
    <s v="Overhead"/>
    <d v="2017-07-03T00:00:00"/>
    <x v="0"/>
    <s v="Superannuation Expense Brendan"/>
    <n v="67.599999999999994"/>
    <m/>
    <m/>
  </r>
  <r>
    <s v="PE"/>
    <s v="NBN Sydney"/>
    <s v="Payroll Expense Journal - PD-557"/>
    <s v="Overhead"/>
    <x v="6"/>
    <s v="Overhead"/>
    <d v="2017-07-10T00:00:00"/>
    <x v="0"/>
    <s v="Superannuation Expense Brendan"/>
    <n v="75.09"/>
    <m/>
    <m/>
  </r>
  <r>
    <s v="PE"/>
    <s v="NBN Sydney"/>
    <s v="Payroll Expense Journal - PD-559"/>
    <s v="Overhead"/>
    <x v="6"/>
    <s v="Overhead"/>
    <d v="2017-07-17T00:00:00"/>
    <x v="0"/>
    <s v="Superannuation Expense Brendan"/>
    <n v="75.09"/>
    <m/>
    <m/>
  </r>
  <r>
    <s v="PE"/>
    <s v="NBN Sydney"/>
    <s v="Payroll Expense Journal - PD-566"/>
    <s v="Overhead"/>
    <x v="6"/>
    <s v="Overhead"/>
    <d v="2017-07-24T00:00:00"/>
    <x v="0"/>
    <s v="Superannuation Expense Brendan"/>
    <n v="75.09"/>
    <m/>
    <m/>
  </r>
  <r>
    <s v="PE"/>
    <s v="NBN Sydney"/>
    <s v="Payroll Expense Journal - PD-569"/>
    <s v="Overhead"/>
    <x v="6"/>
    <s v="Overhead"/>
    <d v="2017-07-31T00:00:00"/>
    <x v="0"/>
    <s v="Superannuation Expense Brendan"/>
    <n v="75.209999999999994"/>
    <m/>
    <m/>
  </r>
  <r>
    <s v="PE"/>
    <s v="NBN Sydney"/>
    <s v="Payroll Expense Journal - PD-522"/>
    <s v="Overhead"/>
    <x v="6"/>
    <s v="Overhead"/>
    <d v="2017-07-03T00:00:00"/>
    <x v="0"/>
    <s v="Earnings Telephone Sonya"/>
    <n v="23.08"/>
    <m/>
    <m/>
  </r>
  <r>
    <s v="PE"/>
    <s v="NBN Sydney"/>
    <s v="Payroll Expense Journal - PD-557"/>
    <s v="Overhead"/>
    <x v="6"/>
    <s v="Overhead"/>
    <d v="2017-07-10T00:00:00"/>
    <x v="0"/>
    <s v="Earnings Telephone Sonya"/>
    <n v="23.08"/>
    <m/>
    <m/>
  </r>
  <r>
    <s v="PE"/>
    <s v="NBN Sydney"/>
    <s v="Payroll Expense Journal - PD-559"/>
    <s v="Overhead"/>
    <x v="6"/>
    <s v="Overhead"/>
    <d v="2017-07-17T00:00:00"/>
    <x v="0"/>
    <s v="Earnings Telephone Sonya"/>
    <n v="23.08"/>
    <m/>
    <m/>
  </r>
  <r>
    <s v="PE"/>
    <s v="NBN Sydney"/>
    <s v="Payroll Expense Journal - PD-566"/>
    <s v="Overhead"/>
    <x v="6"/>
    <s v="Overhead"/>
    <d v="2017-07-24T00:00:00"/>
    <x v="0"/>
    <s v="Earnings Telephone Sonya"/>
    <n v="23.08"/>
    <m/>
    <m/>
  </r>
  <r>
    <s v="PE"/>
    <s v="NBN Sydney"/>
    <s v="Payroll Expense Journal - PD-569"/>
    <s v="Overhead"/>
    <x v="6"/>
    <s v="Overhead"/>
    <d v="2017-07-31T00:00:00"/>
    <x v="0"/>
    <s v="Earnings Telephone Sonya"/>
    <n v="23.08"/>
    <m/>
    <m/>
  </r>
  <r>
    <s v="PE"/>
    <s v="NBN Sydney"/>
    <s v="Telephone"/>
    <s v="Overhead"/>
    <x v="6"/>
    <s v="Overhead"/>
    <d v="2017-07-31T00:00:00"/>
    <x v="0"/>
    <s v="Telephone AA &amp; RM"/>
    <n v="25"/>
    <m/>
    <m/>
  </r>
  <r>
    <s v="PE"/>
    <s v="NBN Sydney"/>
    <s v="Payroll Expense Journal - PD-522"/>
    <s v="Overhead"/>
    <x v="6"/>
    <s v="Overhead"/>
    <d v="2017-07-03T00:00:00"/>
    <x v="0"/>
    <s v="Earnings Wages Sonya"/>
    <n v="960.5"/>
    <m/>
    <m/>
  </r>
  <r>
    <s v="PE"/>
    <s v="NBN Sydney"/>
    <s v="Payroll Expense Journal - PD-557"/>
    <s v="Overhead"/>
    <x v="6"/>
    <s v="Overhead"/>
    <d v="2017-07-10T00:00:00"/>
    <x v="0"/>
    <s v="Earnings Wages Sonya"/>
    <n v="995"/>
    <m/>
    <m/>
  </r>
  <r>
    <s v="PE"/>
    <s v="NBN Sydney"/>
    <s v="Payroll Expense Journal - PD-559"/>
    <s v="Overhead"/>
    <x v="6"/>
    <s v="Overhead"/>
    <d v="2017-07-17T00:00:00"/>
    <x v="0"/>
    <s v="Earnings Wages Sonya"/>
    <n v="1133.1199999999999"/>
    <m/>
    <m/>
  </r>
  <r>
    <s v="PE"/>
    <s v="NBN Sydney"/>
    <s v="Payroll Expense Journal - PD-566"/>
    <s v="Overhead"/>
    <x v="6"/>
    <s v="Overhead"/>
    <d v="2017-07-24T00:00:00"/>
    <x v="0"/>
    <s v="Earnings Wages Sonya"/>
    <n v="994.84"/>
    <m/>
    <m/>
  </r>
  <r>
    <s v="PE"/>
    <s v="NBN Sydney"/>
    <s v="Payroll Expense Journal - PD-569"/>
    <s v="Overhead"/>
    <x v="6"/>
    <s v="Overhead"/>
    <d v="2017-07-31T00:00:00"/>
    <x v="0"/>
    <s v="Earnings Wages Sonya"/>
    <n v="950"/>
    <m/>
    <m/>
  </r>
  <r>
    <s v="PE"/>
    <s v="NBN Sydney"/>
    <s v="Wages AA"/>
    <s v="Overhead"/>
    <x v="6"/>
    <s v="Overhead"/>
    <d v="2017-07-31T00:00:00"/>
    <x v="0"/>
    <s v="Wages AA"/>
    <n v="768.13"/>
    <m/>
    <m/>
  </r>
  <r>
    <s v="PE"/>
    <s v="NBN Sydney"/>
    <s v="Wages RM"/>
    <s v="Overhead"/>
    <x v="6"/>
    <s v="Overhead"/>
    <d v="2017-07-31T00:00:00"/>
    <x v="0"/>
    <s v="Wages RM"/>
    <n v="2027.25"/>
    <m/>
    <m/>
  </r>
  <r>
    <s v="PAY"/>
    <s v="NBN Sydney"/>
    <s v="E-toll top July 2017"/>
    <s v="Overhead"/>
    <x v="6"/>
    <s v="Overhead"/>
    <d v="2017-07-05T00:00:00"/>
    <x v="0"/>
    <s v="E-Toll Business Operations Centre - Surcharge on Top- up account per transaction"/>
    <n v="1.6"/>
    <m/>
    <m/>
  </r>
  <r>
    <s v="PAY"/>
    <s v="NBN Sydney"/>
    <s v="Etoll July 2017"/>
    <s v="Overhead"/>
    <x v="6"/>
    <s v="Overhead"/>
    <d v="2017-07-11T00:00:00"/>
    <x v="0"/>
    <s v="E-Toll Business Operations Centre - Surcharge on Top- up account per transaction"/>
    <n v="1.6"/>
    <m/>
    <m/>
  </r>
  <r>
    <s v="INV"/>
    <s v="NBN Sydney"/>
    <s v="51385216"/>
    <s v="Overhead"/>
    <x v="6"/>
    <s v="Overhead"/>
    <d v="2017-07-15T00:00:00"/>
    <x v="0"/>
    <s v="TNT Australia Pty Ltd - Account service fee"/>
    <n v="9.5"/>
    <m/>
    <m/>
  </r>
  <r>
    <s v="PAY"/>
    <s v="NBN Sydney"/>
    <s v="Etoll - July 2017"/>
    <s v="Overhead"/>
    <x v="6"/>
    <s v="Overhead"/>
    <d v="2017-07-27T00:00:00"/>
    <x v="0"/>
    <s v="E-Toll Business Operations Centre - Surcharge on Top- up account per transaction"/>
    <n v="1.6"/>
    <m/>
    <m/>
  </r>
  <r>
    <s v="PAY"/>
    <s v="NBN Sydney"/>
    <s v="NBN CO Bank Guarantees"/>
    <s v="Overhead"/>
    <x v="6"/>
    <s v="Overhead"/>
    <d v="2017-07-14T00:00:00"/>
    <x v="0"/>
    <s v="National Australia Bank - Bank Guarantees"/>
    <n v="125"/>
    <m/>
    <m/>
  </r>
  <r>
    <s v="PAY"/>
    <s v="NBN Sydney"/>
    <s v="NBN CO Bank Guarantees"/>
    <s v="Overhead"/>
    <x v="6"/>
    <s v="Overhead"/>
    <d v="2017-07-14T00:00:00"/>
    <x v="0"/>
    <s v="National Australia Bank - Bank Guarantees"/>
    <n v="125"/>
    <m/>
    <m/>
  </r>
  <r>
    <s v="PAY"/>
    <s v="NBN Sydney"/>
    <s v="NBN CO Bank Guarantees"/>
    <s v="Overhead"/>
    <x v="6"/>
    <s v="Overhead"/>
    <d v="2017-07-14T00:00:00"/>
    <x v="0"/>
    <s v="National Australia Bank - Bank Guarantees"/>
    <n v="125"/>
    <m/>
    <m/>
  </r>
  <r>
    <s v="PAY"/>
    <s v="NBN Sydney"/>
    <s v="NBN CO Bank Guarantees"/>
    <s v="Overhead"/>
    <x v="6"/>
    <s v="Overhead"/>
    <d v="2017-07-14T00:00:00"/>
    <x v="0"/>
    <s v="National Australia Bank - Bank Guarantees"/>
    <n v="125"/>
    <m/>
    <m/>
  </r>
  <r>
    <s v="INV"/>
    <s v="NBN Sydney"/>
    <s v="001176"/>
    <s v="Overhead"/>
    <x v="6"/>
    <s v="Overhead"/>
    <d v="2017-07-06T00:00:00"/>
    <x v="0"/>
    <s v="Woolworths Limited - Twinings Tea Bags English Brkfst 50pk"/>
    <n v="5"/>
    <m/>
    <m/>
  </r>
  <r>
    <s v="INV"/>
    <s v="NBN Sydney"/>
    <s v="001176"/>
    <s v="Overhead"/>
    <x v="6"/>
    <s v="Overhead"/>
    <d v="2017-07-06T00:00:00"/>
    <x v="0"/>
    <s v="Woolworths Limited - Moccona F/D Coffee Clasc Drk Rst 400G"/>
    <n v="14"/>
    <m/>
    <m/>
  </r>
  <r>
    <s v="INV"/>
    <s v="NBN Sydney"/>
    <s v="001176"/>
    <s v="Overhead"/>
    <x v="6"/>
    <s v="Overhead"/>
    <d v="2017-07-06T00:00:00"/>
    <x v="0"/>
    <s v="Woolworths Limited - CSR Sugar White 1kg"/>
    <n v="2"/>
    <m/>
    <m/>
  </r>
  <r>
    <s v="INV"/>
    <s v="NBN Sydney"/>
    <s v="9093236001910598"/>
    <s v="Overhead"/>
    <x v="6"/>
    <s v="Overhead"/>
    <d v="2017-07-27T00:00:00"/>
    <x v="0"/>
    <s v="Officeworks Superstores - Ctn Reflex Cpy Ppr 80gsm A4"/>
    <n v="22.68"/>
    <m/>
    <m/>
  </r>
  <r>
    <s v="INV"/>
    <s v="NBN Sydney"/>
    <s v="02/39492"/>
    <s v="Overhead"/>
    <x v="6"/>
    <s v="Overhead"/>
    <d v="2017-07-05T00:00:00"/>
    <x v="0"/>
    <s v="Australia Post - EP Small Satchel_x000d__x000a_Tracking no: 606 35321290 094"/>
    <n v="9.86"/>
    <m/>
    <m/>
  </r>
  <r>
    <s v="INV"/>
    <s v="NBN Sydney"/>
    <s v="812412804"/>
    <s v="Overhead"/>
    <x v="6"/>
    <s v="Overhead"/>
    <d v="2017-07-01T00:00:00"/>
    <x v="0"/>
    <s v="Optus - Acct Number: 8106 5990 7001 41_x000d__x000a_0413257544 on Wireless Broadband 200GB"/>
    <n v="74.72"/>
    <m/>
    <m/>
  </r>
  <r>
    <s v="INV"/>
    <s v="NBN Sydney"/>
    <s v="817612441"/>
    <s v="Overhead"/>
    <x v="6"/>
    <s v="Overhead"/>
    <d v="2017-07-16T00:00:00"/>
    <x v="0"/>
    <s v="Optus - Service Charges_x000d__x000a_0413257544 on Home Wireless 200GB"/>
    <n v="74.72"/>
    <m/>
    <m/>
  </r>
  <r>
    <s v="INV"/>
    <s v="NBN Sydney"/>
    <s v="817612441"/>
    <s v="Overhead"/>
    <x v="6"/>
    <s v="Overhead"/>
    <d v="2017-07-16T00:00:00"/>
    <x v="0"/>
    <s v="Optus - Account Charges"/>
    <n v="13.64"/>
    <m/>
    <m/>
  </r>
  <r>
    <s v="INV"/>
    <s v="NBN Sydney"/>
    <s v="P 459 486 251-3"/>
    <s v="Overhead"/>
    <x v="6"/>
    <s v="Overhead"/>
    <d v="2017-07-21T00:00:00"/>
    <x v="0"/>
    <s v="Telstra Acc # 898 8808 200 - Sydney"/>
    <n v="136.36000000000001"/>
    <m/>
    <m/>
  </r>
  <r>
    <s v="INV"/>
    <s v="NBN Sydney"/>
    <s v="7016/00188253"/>
    <s v="Overhead"/>
    <x v="6"/>
    <s v="Overhead"/>
    <d v="2017-07-04T00:00:00"/>
    <x v="0"/>
    <s v="Bunnings Warehouse - Batteries AA Duracell 30pk"/>
    <n v="17.71"/>
    <m/>
    <m/>
  </r>
  <r>
    <s v="INV"/>
    <s v="NBN Sydney"/>
    <s v="7016/00188253"/>
    <s v="Overhead"/>
    <x v="6"/>
    <s v="Overhead"/>
    <d v="2017-07-04T00:00:00"/>
    <x v="0"/>
    <s v="Bunnings Warehouse - Duracell Coppertop C8 8 Pack"/>
    <n v="15.05"/>
    <m/>
    <m/>
  </r>
  <r>
    <s v="INV"/>
    <s v="NBN Sydney"/>
    <s v="31319809"/>
    <s v="Overhead"/>
    <x v="6"/>
    <s v="Overhead"/>
    <d v="2017-07-04T00:00:00"/>
    <x v="0"/>
    <s v="Sunlite Mitre 10 - Dust Pan &amp; Brush Set Green"/>
    <n v="7.26"/>
    <m/>
    <m/>
  </r>
  <r>
    <s v="INV"/>
    <s v="NBN Sydney"/>
    <s v="3091157"/>
    <s v="Overhead"/>
    <x v="11"/>
    <s v="Overhead Materials"/>
    <d v="2017-07-12T00:00:00"/>
    <x v="0"/>
    <s v="The Australian Reinforcing Company - Bulk Bags 90x90x90 _x000d__x000a_Length: 0.900_x000d__x000a_Width: 0.900"/>
    <n v="54.9"/>
    <m/>
    <m/>
  </r>
  <r>
    <s v="INV"/>
    <s v="NBN Sydney"/>
    <s v="3091157"/>
    <s v="Overhead"/>
    <x v="11"/>
    <s v="Overhead Materials"/>
    <d v="2017-07-12T00:00:00"/>
    <x v="0"/>
    <s v="The Australian Reinforcing Company - Bulk Bags 60x60x60 _x000d__x000a_Length: 0.600_x000d__x000a_Width: 0.600"/>
    <n v="36"/>
    <m/>
    <m/>
  </r>
  <r>
    <s v="INV"/>
    <s v="NBN Sydney"/>
    <s v="395320"/>
    <s v="Overhead"/>
    <x v="6"/>
    <s v="Overhead, Civils Truck Pipe Tray"/>
    <d v="2017-07-13T00:00:00"/>
    <x v="0"/>
    <s v="Steel Supplies - 2400.x3000.x.WG224"/>
    <n v="156"/>
    <m/>
    <m/>
  </r>
  <r>
    <s v="INV"/>
    <s v="NBN Sydney"/>
    <s v="395320"/>
    <s v="Overhead"/>
    <x v="6"/>
    <s v="Overhead, Civils Truck Pipe Tray"/>
    <d v="2017-07-13T00:00:00"/>
    <x v="0"/>
    <s v="Steel Supplies - 40 x 40 x 2.0 RHS ***Gal***x 8.0mtr"/>
    <n v="136.80000000000001"/>
    <m/>
    <m/>
  </r>
  <r>
    <s v="INV"/>
    <s v="NBN Sydney"/>
    <s v="7016/00109537"/>
    <s v="Overhead"/>
    <x v="6"/>
    <s v="Overhead"/>
    <d v="2017-07-19T00:00:00"/>
    <x v="0"/>
    <s v="Bunnings Warehouse - Vacuum Accessory Vax 5pk Vac Bags 30400"/>
    <n v="23.64"/>
    <m/>
    <m/>
  </r>
  <r>
    <s v="INV"/>
    <s v="NBN Sydney"/>
    <s v="11914991"/>
    <s v="Overhead"/>
    <x v="6"/>
    <s v="Overhead"/>
    <d v="2017-07-31T00:00:00"/>
    <x v="0"/>
    <s v="Cleanaway - 25/07/17_x000d__x000a_1 x Bin Not Out 1.5m Bin"/>
    <n v="93.9"/>
    <m/>
    <m/>
  </r>
  <r>
    <s v="INV"/>
    <s v="NBN Sydney"/>
    <s v="11914991"/>
    <s v="Overhead"/>
    <x v="6"/>
    <s v="Overhead"/>
    <d v="2017-07-31T00:00:00"/>
    <x v="0"/>
    <s v="Cleanaway - 28/07/17_x000d__x000a_1 x Clear 1.5m Bin"/>
    <n v="93.9"/>
    <m/>
    <m/>
  </r>
  <r>
    <s v="INV"/>
    <s v="NBN Sydney"/>
    <s v="11914991"/>
    <s v="Overhead"/>
    <x v="6"/>
    <s v="Overhead"/>
    <d v="2017-07-31T00:00:00"/>
    <x v="0"/>
    <s v="Cleanaway - 31/07/17_x000d__x000a_1 x Environmental Fee"/>
    <n v="13.7"/>
    <m/>
    <m/>
  </r>
  <r>
    <s v="INV"/>
    <s v="NBN Sydney"/>
    <s v="11914991"/>
    <s v="Overhead"/>
    <x v="6"/>
    <s v="Overhead"/>
    <d v="2017-07-31T00:00:00"/>
    <x v="0"/>
    <s v="Cleanaway - 6/07/17_x000d__x000a_1 x Clear 1.5m Recycle Bin"/>
    <n v="13"/>
    <m/>
    <m/>
  </r>
  <r>
    <s v="INV"/>
    <s v="NBN Sydney"/>
    <s v="11914991"/>
    <s v="Overhead"/>
    <x v="6"/>
    <s v="Overhead"/>
    <d v="2017-07-31T00:00:00"/>
    <x v="0"/>
    <s v="Cleanaway - 11/07/17_x000d__x000a_1 x Clear 1.5m Bin"/>
    <n v="93.9"/>
    <m/>
    <m/>
  </r>
  <r>
    <s v="INV"/>
    <s v="NBN Sydney"/>
    <s v="11914991"/>
    <s v="Overhead"/>
    <x v="6"/>
    <s v="Overhead"/>
    <d v="2017-07-31T00:00:00"/>
    <x v="0"/>
    <s v="Cleanaway - 20/07/17_x000d__x000a_1 x Clear 1.5m Recycle Bin"/>
    <n v="13"/>
    <m/>
    <m/>
  </r>
  <r>
    <s v="INV"/>
    <s v="NBN Sydney"/>
    <s v="0010"/>
    <s v="Overhead"/>
    <x v="6"/>
    <s v="Overhead"/>
    <d v="2017-07-03T00:00:00"/>
    <x v="0"/>
    <s v="GILCIN - Rent 19/07/2017 - 18/08/2017_x000d__x000a_Unit 26, 10 John Hines Ave, Minchinbury NSW"/>
    <n v="4416.66"/>
    <m/>
    <m/>
  </r>
  <r>
    <s v="INV"/>
    <s v="NBN Sydney"/>
    <s v="00085406"/>
    <s v="Overhead"/>
    <x v="6"/>
    <s v="Overhead"/>
    <d v="2017-07-13T00:00:00"/>
    <x v="0"/>
    <s v="Tranquil Natural Spring Water - 15litre spring water bottles, delivered on 12/07/17"/>
    <n v="10.5"/>
    <m/>
    <m/>
  </r>
  <r>
    <s v="INV"/>
    <s v="NBN Sydney"/>
    <s v="2530105"/>
    <s v="Overhead"/>
    <x v="6"/>
    <s v="Overhead"/>
    <d v="2017-07-06T00:00:00"/>
    <x v="0"/>
    <s v="Eureka Operations - Coles Express - Diesel 106.66L @ $1.369   GC"/>
    <n v="132.75"/>
    <m/>
    <m/>
  </r>
  <r>
    <s v="INV"/>
    <s v="NBN Sydney"/>
    <s v="2444346"/>
    <s v="Overhead"/>
    <x v="6"/>
    <s v="Overhead"/>
    <d v="2017-07-19T00:00:00"/>
    <x v="0"/>
    <s v="7 Eleven Minchinbury - Diesel 160.30L @ $1.239  GC"/>
    <n v="180.55"/>
    <m/>
    <m/>
  </r>
  <r>
    <s v="INV"/>
    <s v="VPL Sydney"/>
    <s v="00485752"/>
    <s v="DJC"/>
    <x v="8"/>
    <s v="VPL - FttB Build 2DAL-23 &amp; 24"/>
    <d v="2017-07-03T00:00:00"/>
    <x v="0"/>
    <s v="United Wagga Wagga - Diesel 55.13L @ $1.229   Alex C"/>
    <n v="61.59"/>
    <m/>
    <m/>
  </r>
  <r>
    <s v="INV"/>
    <s v="NBN Sydney"/>
    <s v="197387"/>
    <s v="DJC"/>
    <x v="13"/>
    <s v="NBN New Devs - MW20613 - AYCA-3CGK8N - Tulkaba View – 1"/>
    <d v="2017-07-04T00:00:00"/>
    <x v="0"/>
    <s v="BP Smeaton Grange - ULP 45.83L @ $1.349 GB"/>
    <n v="56.2"/>
    <m/>
    <m/>
  </r>
  <r>
    <s v="INV"/>
    <s v="NBN Sydney"/>
    <s v="5357/34 04"/>
    <s v="DJC"/>
    <x v="5"/>
    <s v="NBN Minor Works - MW20764 - 2BLK-12-07 - Lot 21 Western MTQY"/>
    <d v="2017-07-08T00:00:00"/>
    <x v="0"/>
    <s v="Metro Haberfield - Premium ULP 50.36L @ $1.299 GB"/>
    <n v="59.46"/>
    <m/>
    <m/>
  </r>
  <r>
    <s v="INV"/>
    <s v="NBN Sydney"/>
    <s v="3202080"/>
    <s v="DJC"/>
    <x v="13"/>
    <s v="NBN New Devs - MW20441 - AYCA-3KSRGR - Norberta St, The Entrance"/>
    <d v="2017-07-12T00:00:00"/>
    <x v="0"/>
    <s v="7 Eleven The Entrance - ULP 46.78L @ $1.179  GB"/>
    <n v="50.15"/>
    <m/>
    <m/>
  </r>
  <r>
    <s v="INV"/>
    <s v="NBN Sydney"/>
    <s v="1706376"/>
    <s v="DJC"/>
    <x v="13"/>
    <s v="NBN New Devs - MW20729 - COR-04 - AYCA-4D6AY6 - 94 POPES RD"/>
    <d v="2017-07-17T00:00:00"/>
    <x v="0"/>
    <s v="7 Eleven Croydon Park - Premium ULP 49.24L @ $1.379  GB"/>
    <n v="61.74"/>
    <m/>
    <m/>
  </r>
  <r>
    <s v="INV"/>
    <s v="NBN Sydney"/>
    <s v="001/2521"/>
    <s v="DJC"/>
    <x v="13"/>
    <s v="NBN New Devs - MW20585 - AYCA-3KUUY6 - 2WOY-09 - Brittwood"/>
    <d v="2017-07-19T00:00:00"/>
    <x v="0"/>
    <s v="Woolworths Petrol - Vortex ULP 39.16L @ $1.199  GB"/>
    <n v="42.68"/>
    <m/>
    <m/>
  </r>
  <r>
    <s v="INV"/>
    <s v="NBN Sydney"/>
    <s v="1611928"/>
    <s v="DJC"/>
    <x v="3"/>
    <s v="NBN New Devs - MW20758 - 2BAN-64 - AYCA-3ETV2Y - 21-25 Leonard Street"/>
    <d v="2017-07-25T00:00:00"/>
    <x v="0"/>
    <s v="7 Eleven Drummoyne - E10 ULP 52.24L @ $1.177  GB"/>
    <n v="55.9"/>
    <m/>
    <m/>
  </r>
  <r>
    <s v="INV"/>
    <s v="NBN Sydney"/>
    <s v="352610"/>
    <s v="DJC"/>
    <x v="3"/>
    <s v="NBN New Devs - MW20797 - 2RYD-03 - AYCA-1SUDYS – 15 Porter St Ryde - La Pearl"/>
    <d v="2017-07-28T00:00:00"/>
    <x v="0"/>
    <s v="BP Smeaton Grange - ULP 47.81L @ $1.369  GB"/>
    <n v="59.51"/>
    <m/>
    <m/>
  </r>
  <r>
    <s v="INV"/>
    <s v="NBN Sydney"/>
    <s v="00025985"/>
    <s v="Overhead"/>
    <x v="16"/>
    <s v="Vehicles"/>
    <d v="2017-07-01T00:00:00"/>
    <x v="0"/>
    <s v="Transport Repair Services Pty Ltd - Enviro"/>
    <n v="12"/>
    <m/>
    <m/>
  </r>
  <r>
    <s v="INV"/>
    <s v="NBN Sydney"/>
    <s v="00025985"/>
    <s v="Overhead"/>
    <x v="16"/>
    <s v="Vehicles"/>
    <d v="2017-07-01T00:00:00"/>
    <x v="0"/>
    <s v="Transport Repair Services Pty Ltd - Labour"/>
    <n v="255"/>
    <m/>
    <m/>
  </r>
  <r>
    <s v="INV"/>
    <s v="NBN Sydney"/>
    <s v="00025985"/>
    <s v="Overhead"/>
    <x v="16"/>
    <s v="Vehicles"/>
    <d v="2017-07-01T00:00:00"/>
    <x v="0"/>
    <s v="Transport Repair Services Pty Ltd - Fuel Filter"/>
    <n v="18"/>
    <m/>
    <m/>
  </r>
  <r>
    <s v="INV"/>
    <s v="NBN Sydney"/>
    <s v="00025985"/>
    <s v="Overhead"/>
    <x v="16"/>
    <s v="Vehicles"/>
    <d v="2017-07-01T00:00:00"/>
    <x v="0"/>
    <s v="Transport Repair Services Pty Ltd - Air Element"/>
    <n v="56"/>
    <m/>
    <m/>
  </r>
  <r>
    <s v="INV"/>
    <s v="NBN Sydney"/>
    <s v="00025985"/>
    <s v="Overhead"/>
    <x v="16"/>
    <s v="Vehicles"/>
    <d v="2017-07-01T00:00:00"/>
    <x v="0"/>
    <s v="Transport Repair Services Pty Ltd - Oil Filter"/>
    <n v="34"/>
    <m/>
    <m/>
  </r>
  <r>
    <s v="INV"/>
    <s v="NBN Sydney"/>
    <s v="170704 16:59"/>
    <s v="DJC"/>
    <x v="5"/>
    <s v="NBN Minor Works - MW20718 - 2LJT-04-07-08 Unit 2, 234 The Entrance Road"/>
    <d v="2017-07-04T00:00:00"/>
    <x v="0"/>
    <s v="BP Connect Kellyville - Diesel 84.03L @ $1.309"/>
    <n v="100"/>
    <m/>
    <m/>
  </r>
  <r>
    <s v="INV"/>
    <s v="NBN Sydney"/>
    <s v="894640"/>
    <s v="DJC"/>
    <x v="5"/>
    <s v="NBN Minor Works - MW20764 - 2BLK-12-07 - Lot 21 Western MTQY"/>
    <d v="2017-07-06T00:00:00"/>
    <x v="0"/>
    <s v="BP Chipping Norton - Diesel 76.38L @ $1.139"/>
    <n v="79.09"/>
    <m/>
    <m/>
  </r>
  <r>
    <s v="INV"/>
    <s v="VPL Sydney"/>
    <s v="20666"/>
    <s v="DJC"/>
    <x v="8"/>
    <s v="VPL - FttB Re Design 2DAL-26"/>
    <d v="2017-07-14T00:00:00"/>
    <x v="0"/>
    <s v="Caltex Yass - Diesel 90.60L @ $1.243"/>
    <n v="102.38"/>
    <m/>
    <m/>
  </r>
  <r>
    <s v="INV"/>
    <s v="VPL Sydney"/>
    <s v="9625/33 01"/>
    <s v="DJC"/>
    <x v="8"/>
    <s v="VPL - FttB Re Design 2DAL-26"/>
    <d v="2017-07-18T00:00:00"/>
    <x v="0"/>
    <s v="Metro Petroleum Boorowa - Diesel 83.51L @ $1.199"/>
    <n v="91.03"/>
    <m/>
    <m/>
  </r>
  <r>
    <s v="INV"/>
    <s v="NBN Sydney"/>
    <s v="7016/00109534"/>
    <s v="Overhead"/>
    <x v="16"/>
    <s v="Vehicles"/>
    <d v="2017-07-19T00:00:00"/>
    <x v="0"/>
    <s v="Bunnings Warehouse - Washer Mudguard ZP Zenith snpk 3/8 pk10 EBP1010"/>
    <n v="6.42"/>
    <m/>
    <m/>
  </r>
  <r>
    <s v="INV"/>
    <s v="NBN Sydney"/>
    <s v="7016/00109534"/>
    <s v="Overhead"/>
    <x v="16"/>
    <s v="Vehicles"/>
    <d v="2017-07-19T00:00:00"/>
    <x v="0"/>
    <s v="Bunnings Warehouse - Washer Square Galv Romak M10 50x50x3 each FST083"/>
    <n v="5.56"/>
    <m/>
    <m/>
  </r>
  <r>
    <s v="INV"/>
    <s v="NBN Sydney"/>
    <s v="7016/00109534"/>
    <s v="Overhead"/>
    <x v="16"/>
    <s v="Vehicles"/>
    <d v="2017-07-19T00:00:00"/>
    <x v="0"/>
    <s v="Bunnings Warehouse - Wipes Cleaning Mr Clean 200pk Handy Wipes Roll PB276"/>
    <n v="9.5"/>
    <m/>
    <m/>
  </r>
  <r>
    <s v="INV"/>
    <s v="NBN Sydney"/>
    <s v="7016/00109534"/>
    <s v="Overhead"/>
    <x v="16"/>
    <s v="Vehicles"/>
    <d v="2017-07-19T00:00:00"/>
    <x v="0"/>
    <s v="Bunnings Warehouse - Washer Spring ZP Zenith SNPK 3/8 pk30 EBN1010"/>
    <n v="3.37"/>
    <m/>
    <m/>
  </r>
  <r>
    <s v="INV"/>
    <s v="NBN Sydney"/>
    <s v="7016/00109534"/>
    <s v="Overhead"/>
    <x v="16"/>
    <s v="Vehicles"/>
    <d v="2017-07-19T00:00:00"/>
    <x v="0"/>
    <s v="Bunnings Warehouse - Wahers Hi Tensile 3/8 - 10mm pk30"/>
    <n v="3.58"/>
    <m/>
    <m/>
  </r>
  <r>
    <s v="INV"/>
    <s v="NBN Sydney"/>
    <s v="7016/00109534"/>
    <s v="Overhead"/>
    <x v="16"/>
    <s v="Vehicles"/>
    <d v="2017-07-19T00:00:00"/>
    <x v="0"/>
    <s v="Bunnings Warehouse - Bolts &amp; Nuts HX Hi Tensile 10x35mm YZ GD8.8 pk4"/>
    <n v="16.84"/>
    <m/>
    <m/>
  </r>
  <r>
    <s v="INV"/>
    <s v="NBN Sydney"/>
    <s v="410302"/>
    <s v="DJC"/>
    <x v="5"/>
    <s v="NBN Minor Works - MW20764 - 2BLK-12-07 - Lot 21 Western MTQY"/>
    <d v="2017-07-24T00:00:00"/>
    <x v="0"/>
    <s v="BP Connect Minchinbury - Diesel 96.08L @ $1.249"/>
    <n v="109.09"/>
    <m/>
    <m/>
  </r>
  <r>
    <s v="INV"/>
    <s v="NBN Sydney"/>
    <s v="3713242369-0"/>
    <s v="Overhead"/>
    <x v="16"/>
    <s v="Vehicles"/>
    <d v="2017-07-25T00:00:00"/>
    <x v="0"/>
    <s v="Allianz - MCIS Levies "/>
    <n v="88.7"/>
    <m/>
    <m/>
  </r>
  <r>
    <s v="INV"/>
    <s v="NBN Sydney"/>
    <s v="3713242369-0"/>
    <s v="Overhead"/>
    <x v="16"/>
    <s v="Vehicles"/>
    <d v="2017-07-25T00:00:00"/>
    <x v="0"/>
    <s v="Allianz - Premium"/>
    <n v="394.77"/>
    <m/>
    <m/>
  </r>
  <r>
    <s v="INV"/>
    <s v="NBN Sydney"/>
    <s v="1577/34 02"/>
    <s v="Overhead"/>
    <x v="6"/>
    <s v="Overhead"/>
    <d v="2017-07-07T00:00:00"/>
    <x v="0"/>
    <s v="Speedway Liverpool - Diesel 47.60L @ $1.099"/>
    <n v="47.55"/>
    <m/>
    <m/>
  </r>
  <r>
    <s v="INV"/>
    <s v="NBN Sydney"/>
    <s v="48973"/>
    <s v="Overhead"/>
    <x v="6"/>
    <s v="Overhead"/>
    <d v="2017-07-18T00:00:00"/>
    <x v="0"/>
    <s v="Caltex Coolongolook - Vortex Diesel 59.22L @ $1.269"/>
    <n v="68.319999999999993"/>
    <m/>
    <m/>
  </r>
  <r>
    <s v="INV"/>
    <s v="NBN Sydney"/>
    <s v="2450160"/>
    <s v="Overhead"/>
    <x v="6"/>
    <s v="Overhead"/>
    <d v="2017-07-24T00:00:00"/>
    <x v="0"/>
    <s v="7 Eleven Minchinbury - Diesel 64.37L @ $1.239"/>
    <n v="72.5"/>
    <m/>
    <m/>
  </r>
  <r>
    <s v="INV"/>
    <s v="NBN Sydney"/>
    <s v="0155/01 05"/>
    <s v="Overhead"/>
    <x v="6"/>
    <s v="Overhead"/>
    <d v="2017-07-31T00:00:00"/>
    <x v="0"/>
    <s v="BP Mays Hill - Diesel 58.64L @ $1.279"/>
    <n v="68.180000000000007"/>
    <m/>
    <m/>
  </r>
  <r>
    <s v="INV"/>
    <s v="VPL Sydney"/>
    <s v="16616"/>
    <s v="DJC"/>
    <x v="8"/>
    <s v="VPL - FttB Build 2DAL-23 &amp; 24"/>
    <d v="2017-07-07T00:00:00"/>
    <x v="0"/>
    <s v="Caltex Yass - LPG 53.93L @ $0.749, Falcon Wagon"/>
    <n v="36.729999999999997"/>
    <m/>
    <m/>
  </r>
  <r>
    <s v="INV"/>
    <s v="VPL Sydney"/>
    <s v="4078222"/>
    <s v="DJC"/>
    <x v="8"/>
    <s v="VPL - FttB Build 2DAL-23 &amp; 24"/>
    <d v="2017-07-07T00:00:00"/>
    <x v="0"/>
    <s v="7 Eleven Kings Park - LPG 61.10L @ $0.649, Falcon Wagon"/>
    <n v="36.049999999999997"/>
    <m/>
    <m/>
  </r>
  <r>
    <s v="INV"/>
    <s v="NBN Sydney"/>
    <s v="002/6558"/>
    <s v="DJC"/>
    <x v="3"/>
    <s v="NBN New Devs - MW20786 - 2LIV-03 - AYCA-47DIBW - Dale Development"/>
    <d v="2017-07-10T00:00:00"/>
    <x v="0"/>
    <s v="Woolworths Petrol - Diesel 46.98L @ $1.215, Brendan"/>
    <n v="51.89"/>
    <m/>
    <m/>
  </r>
  <r>
    <s v="INV"/>
    <s v="NBN Sydney"/>
    <s v="23730825"/>
    <s v="DJC"/>
    <x v="13"/>
    <s v="NBN New Devs - MW20441 - AYCA-3KSRGR - Norberta St, The Entrance"/>
    <d v="2017-07-13T00:00:00"/>
    <x v="0"/>
    <s v="7 Eleven Minchinbury - Diesel 47.03L @ $1.249,  Brendan"/>
    <n v="53.4"/>
    <m/>
    <m/>
  </r>
  <r>
    <s v="INV"/>
    <s v="NBN Sydney"/>
    <s v="2442791"/>
    <s v="DJC"/>
    <x v="3"/>
    <s v="NBN New Devs - MW20644 - AYCA-35B3X9 -  Renocorp Australia Pty Ltd "/>
    <d v="2017-07-18T00:00:00"/>
    <x v="0"/>
    <s v="7 Eleven Minchinbury - Diesel 50.49L @ $1.249,  Brendan"/>
    <n v="57.33"/>
    <m/>
    <m/>
  </r>
  <r>
    <s v="INV"/>
    <s v="NBN Sydney"/>
    <s v="1206106"/>
    <s v="DJC"/>
    <x v="13"/>
    <s v="NBN New Devs - MW20585 - AYCA-3KUUY6 - 2WOY-09 - Brittwood"/>
    <d v="2017-07-21T00:00:00"/>
    <x v="0"/>
    <s v="7 Eleven Eastern Creek - Diesel 53.58L @ $1.239,  Brendan"/>
    <n v="60.35"/>
    <m/>
    <m/>
  </r>
  <r>
    <s v="INV"/>
    <s v="NBN Sydney"/>
    <s v="46"/>
    <s v="Overhead"/>
    <x v="16"/>
    <s v="Vehicles"/>
    <d v="2017-07-26T00:00:00"/>
    <x v="0"/>
    <s v="Autobarn Campbelltown - RB1650B Cross Bar 1650mm Black Commercial"/>
    <n v="183.64"/>
    <m/>
    <m/>
  </r>
  <r>
    <s v="INV"/>
    <s v="NBN Sydney"/>
    <s v="46"/>
    <s v="Overhead"/>
    <x v="16"/>
    <s v="Vehicles"/>
    <d v="2017-07-26T00:00:00"/>
    <x v="0"/>
    <s v="Autobarn Campbelltown - RL210S10 Leg Bracket 210mm Strap no 10"/>
    <n v="218.18"/>
    <m/>
    <m/>
  </r>
  <r>
    <s v="INV"/>
    <s v="NBN Sydney"/>
    <s v="1472873"/>
    <s v="DJC"/>
    <x v="3"/>
    <s v="New Devs - MW21024 - AYCA-4JN54Z - 2NRN-05 - Elderslie"/>
    <d v="2017-07-27T00:00:00"/>
    <x v="0"/>
    <s v="Eureka Operations - Coles Express - Diesel 55.12L @ $1.339"/>
    <n v="67.09"/>
    <m/>
    <m/>
  </r>
  <r>
    <s v="MJ"/>
    <s v="NBN Sydney"/>
    <s v="#35959"/>
    <s v="DJC"/>
    <x v="3"/>
    <s v="NBN New Devs - MW20649 - 2RCH-03 - AYCA-2MLHJO - Macquarie Street Subdivision - South Windsor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13"/>
    <s v="NBN New Devs - MW20613 - AYCA-3CGK8N - Tulkaba View – 1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13"/>
    <s v="NBN New Devs - MW20720 - AYCA-4BHWVV - Argyle Community Housing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5"/>
    <s v="NBN Minor Works - MW20718 - 2LJT-04-07-08 Unit 2, 234 The Entrance Road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5"/>
    <s v="NBN Minor Works - MW20764 - 2BLK-12-07 - Lot 21 Western MTQY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 MW20877 - AYCA-4992YE - 2RIV-02 - 34-36 Schofields - North Park  - 9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817 - 2LIV-12_2QUA_02_2PTH-02 - Glenfield_Margo_Jamison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898 - 2MIL-01 - AYCA-45L86C  -NSB - Zulu Road – Build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786 - 2LIV-03 - AYCA-47DIBW - Dale Development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644 - AYCA-35B3X9 -  Renocorp Australia Pty Ltd 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13"/>
    <s v="NBN New Devs - MW20441 - AYCA-3KSRGR - Norberta St, The Entrance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13"/>
    <s v="NBN New Devs - MW20729 - COR-04 - AYCA-4D6AY6 - 94 POPES RD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758 - 2BAN-64 - AYCA-3ETV2Y - 21-25 Leonard Street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758 - 2BAN-64 - AYCA-3ETV2Y - 21-25 Leonard Street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876 - 2RIV-02 -AYCA-499AY5 - 34-36 Schofields - North Park - 10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13"/>
    <s v="NBN New Devs - MW20585 - AYCA-3KUUY6 - 2WOY-09 - Brittwood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882 - 2BLK-07 - AYCA-468EU5 - 299 Flushcombe - 1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797 - 2RYD-03 - AYCA-1SUDYS – 15 Porter St Ryde - La Pearl"/>
    <d v="2017-07-01T00:00:00"/>
    <x v="0"/>
    <s v="SYDNEY VEHICLE  AND TEST EQUIPMENT RENTAL - TEST EQUIPMENT MONTHLY RENTAL"/>
    <n v="47.473684210526315"/>
    <m/>
    <m/>
  </r>
  <r>
    <s v="MJ"/>
    <s v="NBN Sydney"/>
    <s v="#35959"/>
    <s v="DJC"/>
    <x v="3"/>
    <s v="NBN New Devs - MW20620 - 2EPP-05 - AYCA-3071BP - Macquarie Park Village"/>
    <d v="2017-07-01T00:00:00"/>
    <x v="0"/>
    <s v="SYDNEY VEHICLE  AND TEST EQUIPMENT RENTAL - TEST EQUIPMENT MONTHLY RENTAL"/>
    <n v="47.473684210526315"/>
    <m/>
    <m/>
  </r>
  <r>
    <s v="MJ"/>
    <s v="NBN Sydney"/>
    <s v="#35959"/>
    <s v="Overhead"/>
    <x v="6"/>
    <s v="Overhead"/>
    <d v="2017-07-01T00:00:00"/>
    <x v="0"/>
    <s v="SYDNEY VEHICLE  AND TEST EQUIPMENT RENTAL - Forklift"/>
    <n v="487"/>
    <m/>
    <m/>
  </r>
  <r>
    <s v="MJ"/>
    <s v="NBN Sydney"/>
    <s v="#35959"/>
    <s v="Overhead"/>
    <x v="6"/>
    <s v="Overhead"/>
    <d v="2017-07-01T00:00:00"/>
    <x v="0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n v="833"/>
    <m/>
    <m/>
  </r>
  <r>
    <s v="MJ"/>
    <s v="NBN Sydney"/>
    <s v="#35959"/>
    <s v="DJC"/>
    <x v="3"/>
    <s v="NBN New Devs - MW20649 - 2RCH-03 - AYCA-2MLHJO - Macquarie Street Subdivision - South Windsor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13"/>
    <s v="NBN New Devs - MW20613 - AYCA-3CGK8N - Tulkaba View – 1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13"/>
    <s v="NBN New Devs - MW20720 - AYCA-4BHWVV - Argyle Community Housing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5"/>
    <s v="NBN Minor Works - MW20718 - 2LJT-04-07-08 Unit 2, 234 The Entrance Road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5"/>
    <s v="NBN Minor Works - MW20764 - 2BLK-12-07 - Lot 21 Western MTQY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 MW20877 - AYCA-4992YE - 2RIV-02 - 34-36 Schofields - North Park  - 9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817 - 2LIV-12_2QUA_02_2PTH-02 - Glenfield_Margo_Jamison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898 - 2MIL-01 - AYCA-45L86C  -NSB - Zulu Road – Build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786 - 2LIV-03 - AYCA-47DIBW - Dale Development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644 - AYCA-35B3X9 -  Renocorp Australia Pty Ltd 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13"/>
    <s v="NBN New Devs - MW20441 - AYCA-3KSRGR - Norberta St, The Entrance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13"/>
    <s v="NBN New Devs - MW20729 - COR-04 - AYCA-4D6AY6 - 94 POPES RD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758 - 2BAN-64 - AYCA-3ETV2Y - 21-25 Leonard Street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758 - 2BAN-64 - AYCA-3ETV2Y - 21-25 Leonard Street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876 - 2RIV-02 -AYCA-499AY5 - 34-36 Schofields - North Park - 10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13"/>
    <s v="NBN New Devs - MW20585 - AYCA-3KUUY6 - 2WOY-09 - Brittwood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882 - 2BLK-07 - AYCA-468EU5 - 299 Flushcombe - 1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797 - 2RYD-03 - AYCA-1SUDYS – 15 Porter St Ryde - La Pearl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620 - 2EPP-05 - AYCA-3071BP - Macquarie Park Village"/>
    <d v="2017-07-01T00:00:00"/>
    <x v="0"/>
    <s v="SYDNEY VEHICLE  AND TEST EQUIPMENT RENTAL - BU59MS -HIACE RENTAL -  Greg"/>
    <n v="43.842105263157897"/>
    <m/>
    <m/>
  </r>
  <r>
    <s v="MJ"/>
    <s v="NBN Sydney"/>
    <s v="#35959"/>
    <s v="DJC"/>
    <x v="3"/>
    <s v="NBN New Devs - MW20649 - 2RCH-03 - AYCA-2MLHJO - Macquarie Street Subdivision - South Windsor"/>
    <d v="2017-07-01T00:00:00"/>
    <x v="0"/>
    <s v="SYDNEY VEHICLE  AND TEST EQUIPMENT RENTAL - DMJ74G,  Brendan"/>
    <n v="43.842105263157897"/>
    <m/>
    <m/>
  </r>
  <r>
    <s v="MJ"/>
    <s v="NBN Sydney"/>
    <s v="#35959"/>
    <s v="DJC"/>
    <x v="13"/>
    <s v="NBN New Devs - MW20613 - AYCA-3CGK8N - Tulkaba View – 1"/>
    <d v="2017-07-01T00:00:00"/>
    <x v="0"/>
    <s v="SYDNEY VEHICLE  AND TEST EQUIPMENT RENTAL - DMJ74G,  Brendan"/>
    <n v="43.842105263157897"/>
    <m/>
    <m/>
  </r>
  <r>
    <s v="MJ"/>
    <s v="NBN Sydney"/>
    <s v="#35959"/>
    <s v="DJC"/>
    <x v="13"/>
    <s v="NBN New Devs - MW20720 - AYCA-4BHWVV - Argyle Community Housing"/>
    <d v="2017-07-01T00:00:00"/>
    <x v="0"/>
    <s v="SYDNEY VEHICLE  AND TEST EQUIPMENT RENTAL - DMJ74G,  Brendan"/>
    <n v="43.842105263157897"/>
    <m/>
    <m/>
  </r>
  <r>
    <s v="MJ"/>
    <s v="NBN Sydney"/>
    <s v="#35959"/>
    <s v="DJC"/>
    <x v="5"/>
    <s v="NBN Minor Works - MW20718 - 2LJT-04-07-08 Unit 2, 234 The Entrance Road"/>
    <d v="2017-07-01T00:00:00"/>
    <x v="0"/>
    <s v="SYDNEY VEHICLE  AND TEST EQUIPMENT RENTAL - DMJ74G,  Brendan"/>
    <n v="43.842105263157897"/>
    <m/>
    <m/>
  </r>
  <r>
    <s v="MJ"/>
    <s v="NBN Sydney"/>
    <s v="#35959"/>
    <s v="DJC"/>
    <x v="5"/>
    <s v="NBN Minor Works - MW20764 - 2BLK-12-07 - Lot 21 Western MTQY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 MW20877 - AYCA-4992YE - 2RIV-02 - 34-36 Schofields - North Park  - 9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817 - 2LIV-12_2QUA_02_2PTH-02 - Glenfield_Margo_Jamison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898 - 2MIL-01 - AYCA-45L86C  -NSB - Zulu Road – Build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786 - 2LIV-03 - AYCA-47DIBW - Dale Development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644 - AYCA-35B3X9 -  Renocorp Australia Pty Ltd "/>
    <d v="2017-07-01T00:00:00"/>
    <x v="0"/>
    <s v="SYDNEY VEHICLE  AND TEST EQUIPMENT RENTAL - DMJ74G,  Brendan"/>
    <n v="43.842105263157897"/>
    <m/>
    <m/>
  </r>
  <r>
    <s v="MJ"/>
    <s v="NBN Sydney"/>
    <s v="#35959"/>
    <s v="DJC"/>
    <x v="13"/>
    <s v="NBN New Devs - MW20441 - AYCA-3KSRGR - Norberta St, The Entrance"/>
    <d v="2017-07-01T00:00:00"/>
    <x v="0"/>
    <s v="SYDNEY VEHICLE  AND TEST EQUIPMENT RENTAL - DMJ74G,  Brendan"/>
    <n v="43.842105263157897"/>
    <m/>
    <m/>
  </r>
  <r>
    <s v="MJ"/>
    <s v="NBN Sydney"/>
    <s v="#35959"/>
    <s v="DJC"/>
    <x v="13"/>
    <s v="NBN New Devs - MW20729 - COR-04 - AYCA-4D6AY6 - 94 POPES RD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758 - 2BAN-64 - AYCA-3ETV2Y - 21-25 Leonard Street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758 - 2BAN-64 - AYCA-3ETV2Y - 21-25 Leonard Street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876 - 2RIV-02 -AYCA-499AY5 - 34-36 Schofields - North Park - 10"/>
    <d v="2017-07-01T00:00:00"/>
    <x v="0"/>
    <s v="SYDNEY VEHICLE  AND TEST EQUIPMENT RENTAL - DMJ74G,  Brendan"/>
    <n v="43.842105263157897"/>
    <m/>
    <m/>
  </r>
  <r>
    <s v="MJ"/>
    <s v="NBN Sydney"/>
    <s v="#35959"/>
    <s v="DJC"/>
    <x v="13"/>
    <s v="NBN New Devs - MW20585 - AYCA-3KUUY6 - 2WOY-09 - Brittwood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882 - 2BLK-07 - AYCA-468EU5 - 299 Flushcombe - 1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797 - 2RYD-03 - AYCA-1SUDYS – 15 Porter St Ryde - La Pearl"/>
    <d v="2017-07-01T00:00:00"/>
    <x v="0"/>
    <s v="SYDNEY VEHICLE  AND TEST EQUIPMENT RENTAL - DMJ74G,  Brendan"/>
    <n v="43.842105263157897"/>
    <m/>
    <m/>
  </r>
  <r>
    <s v="MJ"/>
    <s v="NBN Sydney"/>
    <s v="#35959"/>
    <s v="DJC"/>
    <x v="3"/>
    <s v="NBN New Devs - MW20620 - 2EPP-05 - AYCA-3071BP - Macquarie Park Village"/>
    <d v="2017-07-01T00:00:00"/>
    <x v="0"/>
    <s v="SYDNEY VEHICLE  AND TEST EQUIPMENT RENTAL - DMJ74G,  Brendan"/>
    <n v="43.842105263157897"/>
    <m/>
    <m/>
  </r>
  <r>
    <s v="INV"/>
    <s v="NBN Sydney"/>
    <s v="88990-7-2017"/>
    <s v="Overhead"/>
    <x v="6"/>
    <s v="Overhead"/>
    <d v="2017-07-31T00:00:00"/>
    <x v="0"/>
    <s v="Supagas - 4 x Monthly Rental of LPG 15kg Cylinder"/>
    <n v="20"/>
    <m/>
    <m/>
  </r>
  <r>
    <s v="INV"/>
    <s v="NBN Sydney"/>
    <s v="88990-7-2017"/>
    <s v="Overhead"/>
    <x v="6"/>
    <s v="Overhead"/>
    <d v="2017-07-31T00:00:00"/>
    <x v="0"/>
    <s v="Supagas - 2 x LPG 15kg cylinder"/>
    <n v="66.180000000000007"/>
    <m/>
    <m/>
  </r>
  <r>
    <s v="CN"/>
    <s v="NBN Sydney"/>
    <s v="CN-12520"/>
    <s v="Revenue"/>
    <x v="17"/>
    <s v="MW20554 - AYCA-2DO5HN - MNJG 145 Princes Hwy Dapto"/>
    <d v="2017-08-01T00:00:00"/>
    <x v="1"/>
    <s v="NBN Co Sydney - MW20554 - AYCA-2DO5HN - MNJG 145 Princes Hwy Dapto - 1"/>
    <m/>
    <m/>
    <m/>
  </r>
  <r>
    <s v="INV"/>
    <s v="NBN Sydney"/>
    <s v="INV-12360a"/>
    <s v="Revenue"/>
    <x v="17"/>
    <s v="MW20679 - 2LJT-02 - MPS-012 - 3 Corella "/>
    <d v="2017-08-01T00:00:00"/>
    <x v="1"/>
    <s v="NBN Co Sydney - MW20679 - OOMWI - 2LJT-02 - MPS-012 - 3 Corella "/>
    <m/>
    <m/>
    <n v="1359.32"/>
  </r>
  <r>
    <s v="CN"/>
    <s v="NBN Sydney"/>
    <s v="CN-12509"/>
    <s v="Revenue"/>
    <x v="0"/>
    <s v="NBN Co Sydney -  MW20187 - 2CBT-01-14_10 &amp; 2CBT-04-14 "/>
    <d v="2017-08-01T00:00:00"/>
    <x v="1"/>
    <s v="NBN Co Sydney -  MW20187 - 2CBT-01-14_10 &amp; 2CBT-04-14_x000a_incorrect adjustment amount "/>
    <n v="-13228.89"/>
    <m/>
    <m/>
  </r>
  <r>
    <s v="CN"/>
    <s v="NBN Sydney"/>
    <s v="CN-12500"/>
    <s v="Revenue"/>
    <x v="2"/>
    <s v="MW20679 - 2LJT-02 - MPS-012 - 3 Corella "/>
    <d v="2017-08-01T00:00:00"/>
    <x v="1"/>
    <s v="NBN Co Sydney - MW20679 - OOMWI - 2LJT-02 - MPS-012 - 3 Corella "/>
    <n v="-6239.62"/>
    <m/>
    <m/>
  </r>
  <r>
    <s v="INV"/>
    <s v="NBN Sydney"/>
    <s v="INV-12168a"/>
    <s v="Revenue"/>
    <x v="17"/>
    <s v=" MW20500 - AYCA-1ET803 - PEEL RIVER ESTATE"/>
    <d v="2017-08-01T00:00:00"/>
    <x v="1"/>
    <s v="NBN Co Sydney - MW20500 - AYCA-1ET803 - PEEL RIVER ESTATE – 1_MT_LFN"/>
    <m/>
    <m/>
    <n v="0.01"/>
  </r>
  <r>
    <s v="INV"/>
    <s v="NBN Sydney"/>
    <s v="INV-12163b"/>
    <s v="Revenue"/>
    <x v="18"/>
    <s v="MW20417 - AYCA-2XQPKW - Australian Int'l Academy Kellyville "/>
    <d v="2017-08-17T00:00:00"/>
    <x v="1"/>
    <s v="NBN Co Sydney - MW20417 - AYCA-2XQPKW - Australian Int'l Academy Kellyville - 3 "/>
    <m/>
    <m/>
    <n v="1618.67"/>
  </r>
  <r>
    <s v="INV"/>
    <s v="NBN Sydney"/>
    <s v="INV-12496"/>
    <s v="Revenue"/>
    <x v="17"/>
    <s v="MW20720 - AYCA-4BHWVV - Argyle Community Housing "/>
    <d v="2017-08-17T00:00:00"/>
    <x v="1"/>
    <s v="NBN Co Sydney - MW20720 - AYCA-4BHWVV - Argyle Community Housing - 1 "/>
    <m/>
    <m/>
    <n v="3135.04"/>
  </r>
  <r>
    <s v="INV"/>
    <s v="NBN Sydney"/>
    <s v="INV-12498"/>
    <s v="Revenue"/>
    <x v="17"/>
    <s v="MW20613 - AYCA-3CGK8N - Tulkaba View "/>
    <d v="2017-08-17T00:00:00"/>
    <x v="1"/>
    <s v="NBN Co Sydney - MW20613 - AYCA-3CGK8N - Tulkaba View – 1"/>
    <m/>
    <m/>
    <n v="3471.5"/>
  </r>
  <r>
    <s v="INV"/>
    <s v="NBN Sydney"/>
    <s v="INV-12499a"/>
    <s v="Revenue"/>
    <x v="18"/>
    <s v="MW20876 - 2RIV-02 AYCA - 499AY5 - 34-36 Schofields - North Park - 10"/>
    <d v="2017-08-24T00:00:00"/>
    <x v="1"/>
    <s v="NBN Co Sydney - MW20876 - SOPR MWI - 2RIV-02 AYCA - 499AY5 - 34-36 Schofields - North Park - 10 external "/>
    <m/>
    <m/>
    <n v="957.28"/>
  </r>
  <r>
    <s v="INV"/>
    <s v="NBN Sydney"/>
    <s v="DR210180520.0"/>
    <s v="Overhead"/>
    <x v="6"/>
    <s v="Overhead"/>
    <d v="2017-08-14T00:00:00"/>
    <x v="1"/>
    <s v="SUEZ Recycling &amp; Recovery Pty Ltd - Asbestos Disposal_x000d__x000a_Time in: 14/08/17 9:13am_x000d__x000a_Time out: 14/08/17 9:27_x000d__x000a_0.80t @ $350/t"/>
    <n v="280"/>
    <m/>
    <m/>
  </r>
  <r>
    <s v="INV"/>
    <s v="NBN Sydney"/>
    <s v="496549"/>
    <s v="Overhead"/>
    <x v="6"/>
    <s v="Overhead"/>
    <d v="2017-08-15T00:00:00"/>
    <x v="1"/>
    <s v="Wagga Wagga Council - Waste Depot - Asbestos Disposal @ $7.8125 per bag (NBN Dubbo AYCA-35AM2J)"/>
    <n v="7.1"/>
    <m/>
    <m/>
  </r>
  <r>
    <s v="INV"/>
    <s v="NBN Sydney"/>
    <s v="B VISA E-TOLL August 2017"/>
    <m/>
    <x v="15"/>
    <m/>
    <d v="2017-08-31T00:00:00"/>
    <x v="1"/>
    <s v="E-Toll Business Operations Centre - TAG NO 10166430_x000d_ KE BX10GL Izuzu Tipper SYD"/>
    <n v="265.74"/>
    <m/>
    <m/>
  </r>
  <r>
    <s v="INV"/>
    <s v="NBN Sydney"/>
    <s v="B VISA E-TOLL August 2017"/>
    <m/>
    <x v="15"/>
    <m/>
    <d v="2017-08-31T00:00:00"/>
    <x v="1"/>
    <s v="E-Toll Business Operations Centre - TAG NO 10166426_x000d_ DMJ74G Toyota Hiace SYD"/>
    <n v="276.64999999999998"/>
    <m/>
    <m/>
  </r>
  <r>
    <s v="INV"/>
    <s v="NBN Sydney"/>
    <s v="B VISA E-TOLL August 2017"/>
    <s v="Overhead"/>
    <x v="6"/>
    <s v="Overhead"/>
    <d v="2017-08-31T00:00:00"/>
    <x v="1"/>
    <s v="E-Toll Business Operations Centre - Video Fee "/>
    <n v="4.7300000000000004"/>
    <m/>
    <m/>
  </r>
  <r>
    <s v="INV"/>
    <s v="NBN Sydney"/>
    <s v="B VISA E-TOLL August 2017"/>
    <m/>
    <x v="15"/>
    <m/>
    <d v="2017-08-31T00:00:00"/>
    <x v="1"/>
    <s v="E-Toll Business Operations Centre - PLATE IDENTIFIED - BX04GL "/>
    <n v="40.71"/>
    <m/>
    <m/>
  </r>
  <r>
    <s v="INV"/>
    <s v="NBN Sydney"/>
    <s v="B VISA E-TOLL August 2017"/>
    <s v="Overhead"/>
    <x v="6"/>
    <s v="Overhead"/>
    <d v="2017-08-31T00:00:00"/>
    <x v="1"/>
    <s v="E-Toll Business Operations Centre - TAG NO 4088301 _x000d_ CHV14B Toyota Hilux SYD"/>
    <n v="202.83"/>
    <m/>
    <m/>
  </r>
  <r>
    <s v="INV"/>
    <s v="NBN Sydney"/>
    <s v="B VISA E-TOLL August 2017"/>
    <m/>
    <x v="15"/>
    <m/>
    <d v="2017-08-31T00:00:00"/>
    <x v="1"/>
    <s v="E-Toll Business Operations Centre - TAG NO 3665998 GB BU59MS Toyota Hiace Van"/>
    <n v="135.47999999999999"/>
    <m/>
    <m/>
  </r>
  <r>
    <s v="INV"/>
    <s v="NBN Sydney"/>
    <s v="B VISA E-TOLL August 2017"/>
    <s v="Overhead"/>
    <x v="6"/>
    <s v="Overhead"/>
    <d v="2017-08-31T00:00:00"/>
    <x v="1"/>
    <s v="E-Toll Business Operations Centre - TAG NO 3166280 _x000d_ GC BE38NA Toyota cruiser Gilbert"/>
    <n v="44.54"/>
    <m/>
    <m/>
  </r>
  <r>
    <s v="INV"/>
    <s v="NBN Sydney"/>
    <s v="B VISA E-TOLL August 2017"/>
    <s v="Overhead"/>
    <x v="6"/>
    <s v="Overhead"/>
    <d v="2017-08-31T00:00:00"/>
    <x v="1"/>
    <s v="E-Toll Business Operations Centre - TAG NO 3829695 _x000d_ GC GCC00K F250 Ford"/>
    <n v="7.14"/>
    <m/>
    <m/>
  </r>
  <r>
    <s v="INV"/>
    <s v="NBN Sydney"/>
    <s v="B VISA E-TOLL August 2017"/>
    <s v="Overhead"/>
    <x v="6"/>
    <s v="Overhead"/>
    <d v="2017-08-31T00:00:00"/>
    <x v="1"/>
    <s v="E-Toll Business Operations Centre - TAG NO 3665999 _x000d_Gilbert Commodore_x000a_GC 63C00K Holden Commodore"/>
    <n v="29.08"/>
    <m/>
    <m/>
  </r>
  <r>
    <s v="INV"/>
    <s v="NBN Sydney"/>
    <s v="51603379"/>
    <s v="DJC"/>
    <x v="10"/>
    <s v="MW20436 - AYCA-3B8YY0 - Warrana Place – 2"/>
    <d v="2017-08-19T00:00:00"/>
    <x v="1"/>
    <s v="TNT Australia Pty Ltd - 14/08/17_x000d__x000a_Con note no: 806938646_x000d__x000a_Destination: Mayfield"/>
    <n v="29.69"/>
    <m/>
    <m/>
  </r>
  <r>
    <s v="INV"/>
    <s v="NBN Sydney"/>
    <s v="18533963"/>
    <s v="DJC"/>
    <x v="14"/>
    <s v="ARRNet - ICQ-315 IPT2073 WSU Parramatta Square Western Lead-in"/>
    <d v="2017-08-01T00:00:00"/>
    <x v="1"/>
    <s v="Kennards Hire - 37833_x000d__x000a_Trailer - Furniture (L92820)_x000d__x000a_From 26/07/17 to 1/08/17"/>
    <n v="136.36000000000001"/>
    <m/>
    <m/>
  </r>
  <r>
    <s v="INV"/>
    <s v="NBN Sydney"/>
    <s v="18533963"/>
    <s v="DJC"/>
    <x v="14"/>
    <s v="ARRNet - ICQ-315 IPT2073 WSU Parramatta Square Western Lead-in"/>
    <d v="2017-08-01T00:00:00"/>
    <x v="1"/>
    <s v="Kennards Hire - 370764_x000d__x000a_Scaffold - Alum 3.5m Double Width_x000d__x000a_From 26/07/17 to 1/08/17"/>
    <n v="563.64"/>
    <m/>
    <m/>
  </r>
  <r>
    <s v="INV"/>
    <s v="NBN Sydney"/>
    <s v="882355"/>
    <s v="Overhead"/>
    <x v="6"/>
    <s v="Overhead"/>
    <d v="2017-08-07T00:00:00"/>
    <x v="1"/>
    <s v="Mitronics - MC.DSA_x000d__x000a_Digital Support Agreement - Chargeable"/>
    <n v="39.950000000000003"/>
    <m/>
    <m/>
  </r>
  <r>
    <s v="INV"/>
    <s v="NBN Sydney"/>
    <s v="882355"/>
    <s v="Overhead"/>
    <x v="6"/>
    <s v="Overhead"/>
    <d v="2017-08-07T00:00:00"/>
    <x v="1"/>
    <s v="Mitronics - MC.COLOUR.PAGE_x000d__x000a_Serial No - A02E041005704_x000d__x000a_Colour Last Read - 219,102 8/07/2017_x000d__x000a_Current Read - 220,630 Prints - 1,528"/>
    <n v="171.13"/>
    <m/>
    <m/>
  </r>
  <r>
    <s v="INV"/>
    <s v="NBN Sydney"/>
    <s v="882355"/>
    <s v="Overhead"/>
    <x v="6"/>
    <s v="Overhead"/>
    <d v="2017-08-07T00:00:00"/>
    <x v="1"/>
    <s v="Mitronics - MC.BLACK.PAGE_x000d__x000a_Serial No - A02E041005704 Black Last Read - 212,354 8/07/2017_x000d__x000a_Current Read - 212,632 Prints - 278"/>
    <n v="2.86"/>
    <m/>
    <m/>
  </r>
  <r>
    <s v="INV"/>
    <s v="NBN Sydney"/>
    <m/>
    <m/>
    <x v="15"/>
    <m/>
    <m/>
    <x v="2"/>
    <m/>
    <m/>
    <m/>
    <m/>
  </r>
  <r>
    <s v="INV"/>
    <s v="NBN Sydney"/>
    <s v="020-23154-7214"/>
    <s v="DJC"/>
    <x v="19"/>
    <s v="VPL - FttB Re Design 2DAL-26"/>
    <d v="2017-08-08T00:00:00"/>
    <x v="1"/>
    <s v="Bunnings Warehouse - Sealant Construct Polyurethane 310ml 2HP Crt Gry Sikaflex Pro"/>
    <n v="14.91"/>
    <m/>
    <m/>
  </r>
  <r>
    <s v="INV"/>
    <s v="NBN Sydney"/>
    <s v="9517382"/>
    <s v="DJC"/>
    <x v="20"/>
    <s v="MW20764 - 2BLK-12-07 - Lot 21 Western MTQY/2 Rudders/Unit 40 - 15 Valediction"/>
    <d v="2017-08-14T00:00:00"/>
    <x v="1"/>
    <s v="ALTUS Traffic - NBN Network Shortfall_x000d__x000a_Supply of traffic controllers at Job# 610495534-0803 2BLK-07-16-Brabham_x000d__x000a_Great Western Highway, Eastern Creek"/>
    <n v="1396"/>
    <m/>
    <m/>
  </r>
  <r>
    <s v="INV"/>
    <s v="NBN Sydney"/>
    <s v="9517404"/>
    <s v="DJC"/>
    <x v="14"/>
    <s v="ARRNet - ICQ-315 IPT2073 WSU Parramatta Square Western Lead-in"/>
    <d v="2017-08-14T00:00:00"/>
    <x v="1"/>
    <s v="ALTUS Traffic - AARNet-759635-03082_x000d__x000a_Supply of Traffic Controllers at Macquarie St, Parramatta._x000d__x000a_Job No: 610494886-0803"/>
    <n v="752.23"/>
    <m/>
    <m/>
  </r>
  <r>
    <s v="INV"/>
    <s v="NBN Sydney"/>
    <s v="013-92075-7086"/>
    <s v="DJC"/>
    <x v="19"/>
    <s v="VPL - FttB Re Design 2DAL-26"/>
    <d v="2017-08-22T00:00:00"/>
    <x v="1"/>
    <s v="Bunnings Warehouse - Selleys Armour Flex 465g White 100353"/>
    <n v="45.68"/>
    <m/>
    <m/>
  </r>
  <r>
    <s v="INV"/>
    <s v="NBN Sydney"/>
    <s v="013-92075-7086"/>
    <s v="DJC"/>
    <x v="19"/>
    <s v="VPL - FttB Re Design 2DAL-26"/>
    <d v="2017-08-22T00:00:00"/>
    <x v="1"/>
    <s v="Bunnings Warehouse - Conduit Fit Trade pk50 Deta 25mm Metal Half Saddle2686BT"/>
    <n v="18.73"/>
    <m/>
    <m/>
  </r>
  <r>
    <s v="INV"/>
    <s v="NBN Sydney"/>
    <s v="013-92075-7086"/>
    <s v="DJC"/>
    <x v="19"/>
    <s v="VPL - FttB Re Design 2DAL-26"/>
    <d v="2017-08-22T00:00:00"/>
    <x v="1"/>
    <s v="Bunnings Warehouse - Trowel Plasterer Trojan 19mm Sml TJ10030"/>
    <n v="12.71"/>
    <m/>
    <m/>
  </r>
  <r>
    <s v="INV"/>
    <s v="NBN Sydney"/>
    <s v="71 A89887"/>
    <s v="DJC"/>
    <x v="15"/>
    <m/>
    <d v="2017-08-23T00:00:00"/>
    <x v="1"/>
    <s v="Middy's Data &amp; Electrical - OME 25DTF_x000d__x000a_Duct Tape Flame Retard 0 13x48mmx30m Silver"/>
    <n v="13.75"/>
    <m/>
    <m/>
  </r>
  <r>
    <s v="INV"/>
    <s v="NBN Sydney"/>
    <s v="71 A89887"/>
    <s v="DJC"/>
    <x v="15"/>
    <m/>
    <d v="2017-08-23T00:00:00"/>
    <x v="1"/>
    <s v="Middy's Data &amp; Electrical - RIP 25WH_x000d__x000a_Tape PVC 19mm x 20m Roll White"/>
    <n v="10.7"/>
    <m/>
    <m/>
  </r>
  <r>
    <s v="INV"/>
    <s v="NBN Sydney"/>
    <s v="71 A89887"/>
    <s v="DJC"/>
    <x v="15"/>
    <m/>
    <d v="2017-08-23T00:00:00"/>
    <x v="1"/>
    <s v="Middy's Data &amp; Electrical - RIP 25BK_x000d__x000a_Tape PVC 19mm x 20m Roll Black"/>
    <n v="1.07"/>
    <m/>
    <m/>
  </r>
  <r>
    <s v="INV"/>
    <s v="NBN Sydney"/>
    <s v="00050946"/>
    <s v="DJC"/>
    <x v="15"/>
    <m/>
    <d v="2017-08-23T00:00:00"/>
    <x v="1"/>
    <s v="Silverdale Sand &amp; Soil Pty Ltd - Delivery"/>
    <n v="11"/>
    <m/>
    <m/>
  </r>
  <r>
    <s v="INV"/>
    <s v="NBN Sydney"/>
    <s v="00050946"/>
    <s v="DJC"/>
    <x v="15"/>
    <m/>
    <d v="2017-08-23T00:00:00"/>
    <x v="1"/>
    <s v="Silverdale Sand &amp; Soil Pty Ltd - 20mm Crushed Asphalt"/>
    <n v="32.729999999999997"/>
    <m/>
    <m/>
  </r>
  <r>
    <s v="INV"/>
    <s v="NBN Sydney"/>
    <s v="71 A89887"/>
    <s v="DJC"/>
    <x v="15"/>
    <m/>
    <d v="2017-08-23T00:00:00"/>
    <x v="1"/>
    <s v="Middy's Data &amp; Electrical - REP SB-S36701_x000d__x000a_Sharpie Retractable Marker Fine Point Bk"/>
    <n v="4.1900000000000004"/>
    <m/>
    <m/>
  </r>
  <r>
    <s v="INV"/>
    <s v="NBN Sydney"/>
    <s v="71 A89887"/>
    <s v="DJC"/>
    <x v="15"/>
    <m/>
    <d v="2017-08-23T00:00:00"/>
    <x v="1"/>
    <s v="Middy's Data &amp; Electrical - RAY 4-1191891-1_x000d__x000a_TDux-35 Inflatable Seal Sys MOQ25 258512"/>
    <n v="430"/>
    <m/>
    <m/>
  </r>
  <r>
    <s v="INV"/>
    <s v="NBN Sydney"/>
    <s v="22587"/>
    <s v="DJC"/>
    <x v="15"/>
    <m/>
    <d v="2017-08-23T00:00:00"/>
    <x v="1"/>
    <s v="TANDEM - ISG Management Pty Ltd - 43300011_x000d__x000a_Tape, PVC Adhesive 19mm Wide Black Roll"/>
    <n v="20"/>
    <m/>
    <m/>
  </r>
  <r>
    <s v="INV"/>
    <s v="NBN Sydney"/>
    <s v="22587"/>
    <s v="DJC"/>
    <x v="15"/>
    <m/>
    <d v="2017-08-23T00:00:00"/>
    <x v="1"/>
    <s v="TANDEM - ISG Management Pty Ltd - 4300038_x000d__x000a_Tape, Adh Duct Sealing PVC 50mmx30m Silver"/>
    <n v="53"/>
    <m/>
    <m/>
  </r>
  <r>
    <s v="INV"/>
    <s v="NBN Sydney"/>
    <s v="22587"/>
    <s v="DJC"/>
    <x v="15"/>
    <m/>
    <d v="2017-08-23T00:00:00"/>
    <x v="1"/>
    <s v="TANDEM - ISG Management Pty Ltd - 64202001_x000d__x000a_Screw, SD Type 17 SS Hex 14-10GX35mm"/>
    <n v="170.79"/>
    <m/>
    <m/>
  </r>
  <r>
    <s v="INV"/>
    <s v="NBN Sydney"/>
    <s v="71 A89887"/>
    <s v="DJC"/>
    <x v="15"/>
    <m/>
    <d v="2017-08-23T00:00:00"/>
    <x v="1"/>
    <s v="Middy's Data &amp; Electrical - AMP G35J_x000d__x000a_Wall Plugs in jar green 35mmx12g (pk 100)"/>
    <n v="8.3000000000000007"/>
    <m/>
    <m/>
  </r>
  <r>
    <s v="INV"/>
    <s v="NBN Sydney"/>
    <s v="22587"/>
    <s v="DJC"/>
    <x v="15"/>
    <m/>
    <d v="2017-08-23T00:00:00"/>
    <x v="1"/>
    <s v="TANDEM - ISG Management Pty Ltd - 26900092_x000d__x000a_Tie, Cable Self-Locking UV Res 2.5x100"/>
    <n v="10.35"/>
    <m/>
    <m/>
  </r>
  <r>
    <s v="INV"/>
    <s v="NBN Sydney"/>
    <s v="22587"/>
    <s v="DJC"/>
    <x v="15"/>
    <m/>
    <d v="2017-08-23T00:00:00"/>
    <x v="1"/>
    <s v="TANDEM - ISG Management Pty Ltd - 43300263_x000d__x000a_Tape, PVC Adhesive 18mm x 20m Red Roll"/>
    <n v="10.199999999999999"/>
    <m/>
    <m/>
  </r>
  <r>
    <s v="INV"/>
    <s v="NBN Sydney"/>
    <s v="739598-280"/>
    <s v="DJC"/>
    <x v="15"/>
    <m/>
    <d v="2017-08-30T00:00:00"/>
    <x v="1"/>
    <s v="TLE Electrical - APPMC25GR_x000d__x000a_Flex Conduit Elect M/Duty 25mm 10mPVC Grey"/>
    <n v="40.49"/>
    <m/>
    <m/>
  </r>
  <r>
    <s v="INV"/>
    <s v="NBN Sydney"/>
    <s v="739598-280"/>
    <s v="DJC"/>
    <x v="15"/>
    <m/>
    <d v="2017-08-30T00:00:00"/>
    <x v="1"/>
    <s v="TLE Electrical - APPJC20WH_x000d__x000a_Coupling Plain-Plain 20mm PVC White"/>
    <n v="13.27"/>
    <m/>
    <m/>
  </r>
  <r>
    <s v="INV"/>
    <s v="NBN Sydney"/>
    <s v="739634-280"/>
    <s v="DJC"/>
    <x v="15"/>
    <m/>
    <d v="2017-08-30T00:00:00"/>
    <x v="1"/>
    <s v="TLE Electrical - REEGSA6854C_x000d__x000a_Roof and Plumbing Sealant Clear 300g Cartridge"/>
    <n v="11.89"/>
    <m/>
    <m/>
  </r>
  <r>
    <s v="INV"/>
    <s v="NBN Sydney"/>
    <s v="739634-280"/>
    <s v="DJC"/>
    <x v="15"/>
    <m/>
    <d v="2017-08-30T00:00:00"/>
    <x v="1"/>
    <s v="TLE Electrical - CLI180/25_x000d__x000a_Half Saddle Metal 25mm ZP Steel"/>
    <n v="19.13"/>
    <m/>
    <m/>
  </r>
  <r>
    <s v="INV"/>
    <s v="NBN Sydney"/>
    <s v="739634-280"/>
    <s v="DJC"/>
    <x v="15"/>
    <m/>
    <d v="2017-08-30T00:00:00"/>
    <x v="1"/>
    <s v="TLE Electrical - CLI180A25_x000d__x000a_Half Saddle Metal 6.5mm Fixing 25mm ZP steel"/>
    <n v="20.25"/>
    <m/>
    <m/>
  </r>
  <r>
    <m/>
    <m/>
    <m/>
    <m/>
    <x v="15"/>
    <m/>
    <s v="Total"/>
    <x v="2"/>
    <m/>
    <m/>
    <m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Travel &amp; Entertainment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31T00:00:00"/>
    <x v="4"/>
    <s v="Eddie Road Lunch Shop - Lunch supplied for Staff meeting"/>
    <s v="534398"/>
    <n v="32.729999999999997"/>
    <m/>
  </r>
  <r>
    <m/>
    <m/>
    <m/>
    <m/>
    <x v="15"/>
    <m/>
    <s v="Total"/>
    <x v="2"/>
    <m/>
    <m/>
    <n v="32.729999999999997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32.729999999999997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Subcontractors - Sydney 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4"/>
    <s v="Schokman Pty Limited - NBN MWA - Various Jobs 020817"/>
    <s v="2290"/>
    <n v="42561.19"/>
    <m/>
  </r>
  <r>
    <m/>
    <m/>
    <m/>
    <m/>
    <x v="15"/>
    <m/>
    <d v="2017-08-01T00:00:00"/>
    <x v="4"/>
    <s v="ALTUS Traffic - Supply of Traffic Controllers at Corner of Civil Place and Macquarie St, Parramatta 25/07/17 &amp; 26/07/17"/>
    <s v="9516894"/>
    <n v="2234.2199999999998"/>
    <m/>
  </r>
  <r>
    <m/>
    <m/>
    <m/>
    <m/>
    <x v="15"/>
    <m/>
    <d v="2017-08-06T00:00:00"/>
    <x v="4"/>
    <s v="Warriewood Consultancy - Datateks Day Rate"/>
    <s v="INV-0126"/>
    <n v="9642.2999999999993"/>
    <m/>
  </r>
  <r>
    <m/>
    <m/>
    <m/>
    <m/>
    <x v="15"/>
    <m/>
    <d v="2017-08-09T00:00:00"/>
    <x v="4"/>
    <s v="Schokman Pty Limited - NBN MWA AYCA-4D6AY6_x000d__x000a_Non Standard Build - 94 Popes Rd"/>
    <s v="2293"/>
    <n v="10667.8"/>
    <m/>
  </r>
  <r>
    <m/>
    <m/>
    <m/>
    <m/>
    <x v="15"/>
    <m/>
    <d v="2017-08-09T00:00:00"/>
    <x v="4"/>
    <s v="Schokman Pty Limited - NBN MWA AYCA-4615YX_x000d__x000a_878 Pacific Hwy, Lisarow"/>
    <s v="2294"/>
    <n v="4792.9399999999996"/>
    <m/>
  </r>
  <r>
    <m/>
    <m/>
    <m/>
    <m/>
    <x v="15"/>
    <m/>
    <d v="2017-08-09T00:00:00"/>
    <x v="4"/>
    <s v="Schokman Pty Limited - NBN MWA AYCA-482KZM _x000d__x000a_35 Georges River Rd, Croydon Park"/>
    <s v="2295"/>
    <n v="3891.77"/>
    <m/>
  </r>
  <r>
    <m/>
    <m/>
    <m/>
    <m/>
    <x v="15"/>
    <m/>
    <d v="2017-08-19T00:00:00"/>
    <x v="4"/>
    <s v="O.S Cable Services Pty Ltd - AARNet Parramatta Job 7/08/17"/>
    <s v="00025"/>
    <n v="2000"/>
    <m/>
  </r>
  <r>
    <m/>
    <m/>
    <m/>
    <m/>
    <x v="15"/>
    <m/>
    <d v="2017-08-19T00:00:00"/>
    <x v="4"/>
    <s v="O.S Cable Services Pty Ltd - AARNet Parramatta Job 3/08/17"/>
    <s v="00025"/>
    <n v="1500"/>
    <m/>
  </r>
  <r>
    <m/>
    <m/>
    <m/>
    <m/>
    <x v="15"/>
    <m/>
    <d v="2017-08-20T00:00:00"/>
    <x v="4"/>
    <s v="Warriewood Consultancy - Datateks Day Rate"/>
    <s v="INV-0127"/>
    <n v="9642.2999999999993"/>
    <m/>
  </r>
  <r>
    <m/>
    <m/>
    <m/>
    <m/>
    <x v="15"/>
    <m/>
    <d v="2017-08-23T00:00:00"/>
    <x v="4"/>
    <s v="Schokman Pty Limited - NBN MWA20491 - AYCA-3W8T05-2PAR-60 Amos St"/>
    <s v="2312"/>
    <n v="615.6"/>
    <m/>
  </r>
  <r>
    <m/>
    <m/>
    <m/>
    <m/>
    <x v="15"/>
    <m/>
    <d v="2017-08-27T00:00:00"/>
    <x v="4"/>
    <s v="ALTUS Traffic - AYCA-2568YW-25-29 Harbour St - Traffic Control 22/08/17 Docket 610945858 06:30-16:00 x 2_x000d__x000a_"/>
    <s v="9518845"/>
    <n v="957.49"/>
    <m/>
  </r>
  <r>
    <m/>
    <m/>
    <m/>
    <m/>
    <x v="15"/>
    <m/>
    <d v="2017-08-27T00:00:00"/>
    <x v="4"/>
    <s v="ALTUS Traffic - AYCA-2568YW-25-29 Harbour St - Traffic Control 21/08/17 Docket 610945253 06:30-16:00 x 2 incl ROL and TCP_x000d__x000a_"/>
    <s v="9518845"/>
    <n v="1192.49"/>
    <m/>
  </r>
  <r>
    <m/>
    <m/>
    <m/>
    <m/>
    <x v="15"/>
    <m/>
    <d v="2017-08-28T00:00:00"/>
    <x v="4"/>
    <s v="5SMITHS - NBN MWA _x000d__x000a_MW20367-2NRN-03-AYCA-3H6ZBG_x000d__x000a_61 Smeaton Grange Rd"/>
    <s v="01803569"/>
    <n v="1574.16"/>
    <m/>
  </r>
  <r>
    <m/>
    <m/>
    <m/>
    <m/>
    <x v="15"/>
    <m/>
    <s v="Total"/>
    <x v="2"/>
    <m/>
    <m/>
    <n v="91272.260000000038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91272.26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Allow Tools Transactions - Tech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Earnings"/>
    <s v="Payroll Expense Journal - PD-570"/>
    <n v="57.18"/>
    <m/>
  </r>
  <r>
    <m/>
    <m/>
    <m/>
    <m/>
    <x v="15"/>
    <m/>
    <d v="2017-08-14T00:00:00"/>
    <x v="5"/>
    <s v="Earnings"/>
    <s v="Payroll Expense Journal - PD-574"/>
    <n v="76.239999999999995"/>
    <m/>
  </r>
  <r>
    <m/>
    <m/>
    <m/>
    <m/>
    <x v="15"/>
    <m/>
    <d v="2017-08-21T00:00:00"/>
    <x v="5"/>
    <s v="Earnings"/>
    <s v="Payroll Expense Journal - PD-579"/>
    <n v="76.239999999999995"/>
    <m/>
  </r>
  <r>
    <m/>
    <m/>
    <m/>
    <m/>
    <x v="15"/>
    <m/>
    <d v="2017-08-28T00:00:00"/>
    <x v="5"/>
    <s v="Earnings"/>
    <s v="Payroll Expense Journal - PD-583"/>
    <n v="76.239999999999995"/>
    <m/>
  </r>
  <r>
    <m/>
    <m/>
    <m/>
    <m/>
    <x v="15"/>
    <m/>
    <m/>
    <x v="2"/>
    <s v="GC"/>
    <s v="Tools"/>
    <n v="38.119999999999997"/>
    <m/>
  </r>
  <r>
    <m/>
    <m/>
    <m/>
    <m/>
    <x v="15"/>
    <m/>
    <m/>
    <x v="6"/>
    <s v="DW,BA,ENW - NBN ACT"/>
    <s v="Tools"/>
    <n v="33.78"/>
    <m/>
  </r>
  <r>
    <m/>
    <m/>
    <m/>
    <m/>
    <x v="15"/>
    <m/>
    <m/>
    <x v="7"/>
    <s v="DH,DW - NBN ACT"/>
    <s v="Tools"/>
    <n v="22.88"/>
    <m/>
  </r>
  <r>
    <m/>
    <m/>
    <m/>
    <m/>
    <x v="15"/>
    <m/>
    <s v="Total"/>
    <x v="2"/>
    <m/>
    <m/>
    <n v="380.67999999999995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380.68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Allow Tools A/T  Transactions - Tech/Trainee 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Earnings"/>
    <s v="Payroll Expense Journal - PD-570"/>
    <n v="19.059999999999999"/>
    <m/>
  </r>
  <r>
    <m/>
    <m/>
    <m/>
    <m/>
    <x v="15"/>
    <m/>
    <m/>
    <x v="7"/>
    <s v="MR - NBN ACT"/>
    <s v="Tools"/>
    <n v="11.44"/>
    <m/>
  </r>
  <r>
    <m/>
    <m/>
    <m/>
    <m/>
    <x v="15"/>
    <m/>
    <s v="Total"/>
    <x v="2"/>
    <m/>
    <m/>
    <n v="30.5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30.5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Allow Travel/OT Transactions  - Tech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Reimbursements"/>
    <s v="Payroll Expense Journal - PD-570"/>
    <n v="60.12"/>
    <m/>
  </r>
  <r>
    <m/>
    <m/>
    <m/>
    <m/>
    <x v="15"/>
    <m/>
    <d v="2017-08-14T00:00:00"/>
    <x v="5"/>
    <s v="Reimbursements"/>
    <s v="Payroll Expense Journal - PD-574"/>
    <n v="30.06"/>
    <m/>
  </r>
  <r>
    <m/>
    <m/>
    <m/>
    <m/>
    <x v="15"/>
    <m/>
    <d v="2017-08-28T00:00:00"/>
    <x v="5"/>
    <s v="Reimbursements"/>
    <s v="Payroll Expense Journal - PD-583"/>
    <n v="30.06"/>
    <m/>
  </r>
  <r>
    <m/>
    <m/>
    <m/>
    <m/>
    <x v="15"/>
    <m/>
    <m/>
    <x v="2"/>
    <s v="Reimbursements - GC"/>
    <s v="OTTA"/>
    <n v="3669.25"/>
    <m/>
  </r>
  <r>
    <m/>
    <m/>
    <m/>
    <m/>
    <x v="15"/>
    <m/>
    <m/>
    <x v="6"/>
    <s v="DW,BA,ENW - NBN ACT "/>
    <s v="OTTA"/>
    <n v="1575"/>
    <m/>
  </r>
  <r>
    <m/>
    <m/>
    <m/>
    <m/>
    <x v="15"/>
    <m/>
    <m/>
    <x v="7"/>
    <s v="DH,DW - NBN ACT"/>
    <s v="OTTA"/>
    <n v="1095.0899999999999"/>
    <m/>
  </r>
  <r>
    <m/>
    <m/>
    <m/>
    <m/>
    <x v="15"/>
    <m/>
    <m/>
    <x v="2"/>
    <s v="WR"/>
    <s v="OTTA"/>
    <n v="909.85"/>
    <m/>
  </r>
  <r>
    <m/>
    <m/>
    <m/>
    <m/>
    <x v="15"/>
    <m/>
    <m/>
    <x v="2"/>
    <s v="CC"/>
    <s v="OTTA"/>
    <n v="365.03"/>
    <m/>
  </r>
  <r>
    <m/>
    <m/>
    <m/>
    <m/>
    <x v="15"/>
    <m/>
    <s v="Total"/>
    <x v="2"/>
    <m/>
    <m/>
    <n v="7734.46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7734.46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Direct Wages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Earnings"/>
    <s v="Payroll Expense Journal - PD-570"/>
    <n v="7747.95"/>
    <m/>
  </r>
  <r>
    <m/>
    <m/>
    <m/>
    <m/>
    <x v="15"/>
    <m/>
    <d v="2017-08-14T00:00:00"/>
    <x v="5"/>
    <s v="Earnings"/>
    <s v="Payroll Expense Journal - PD-574"/>
    <n v="9752.4500000000007"/>
    <m/>
  </r>
  <r>
    <m/>
    <m/>
    <m/>
    <m/>
    <x v="15"/>
    <m/>
    <d v="2017-08-21T00:00:00"/>
    <x v="5"/>
    <s v="Earnings"/>
    <s v="Payroll Expense Journal - PD-579"/>
    <n v="7905.53"/>
    <m/>
  </r>
  <r>
    <m/>
    <m/>
    <m/>
    <m/>
    <x v="15"/>
    <m/>
    <d v="2017-08-28T00:00:00"/>
    <x v="5"/>
    <s v="Earnings"/>
    <s v="Payroll Expense Journal - PD-583"/>
    <n v="8397.52"/>
    <m/>
  </r>
  <r>
    <m/>
    <m/>
    <m/>
    <m/>
    <x v="15"/>
    <m/>
    <m/>
    <x v="2"/>
    <s v="GC"/>
    <s v="Wages"/>
    <n v="4136.92"/>
    <m/>
  </r>
  <r>
    <m/>
    <m/>
    <m/>
    <m/>
    <x v="15"/>
    <m/>
    <m/>
    <x v="6"/>
    <s v="DW,BA,ENW - NBN ACT "/>
    <s v="Wages"/>
    <n v="2417.77"/>
    <m/>
  </r>
  <r>
    <m/>
    <m/>
    <m/>
    <m/>
    <x v="15"/>
    <m/>
    <m/>
    <x v="7"/>
    <s v="DH,DW - NBN ACT"/>
    <s v="Wages"/>
    <n v="1827.8"/>
    <m/>
  </r>
  <r>
    <m/>
    <m/>
    <m/>
    <m/>
    <x v="15"/>
    <m/>
    <s v="Total"/>
    <x v="2"/>
    <m/>
    <m/>
    <n v="42185.939999999995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42185.94"/>
    <m/>
  </r>
  <r>
    <m/>
    <m/>
    <m/>
    <m/>
    <x v="15"/>
    <m/>
    <m/>
    <x v="2"/>
    <m/>
    <m/>
    <m/>
    <m/>
  </r>
  <r>
    <m/>
    <m/>
    <m/>
    <m/>
    <x v="15"/>
    <m/>
    <s v="Direct Wages A/T Transactions- Tech/Trainee 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Earnings"/>
    <s v="Payroll Expense Journal - PD-570"/>
    <n v="916.19"/>
    <m/>
  </r>
  <r>
    <m/>
    <m/>
    <m/>
    <m/>
    <x v="15"/>
    <m/>
    <m/>
    <x v="2"/>
    <s v="MR -NBN ACT"/>
    <s v="Wages"/>
    <n v="753.15"/>
    <m/>
  </r>
  <r>
    <m/>
    <m/>
    <m/>
    <m/>
    <x v="15"/>
    <m/>
    <s v="Total"/>
    <x v="2"/>
    <m/>
    <m/>
    <n v="1669.3400000000001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669.34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Payroll Tax Expense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4T00:00:00"/>
    <x v="4"/>
    <s v="NSW Office of State Revenue - NSW OSR Payroll Tax July 2017 - Sydney 28%"/>
    <s v="NSW OSR Payroll Tax July 2017"/>
    <n v="1824.22"/>
    <m/>
  </r>
  <r>
    <m/>
    <m/>
    <m/>
    <m/>
    <x v="15"/>
    <m/>
    <s v="Total"/>
    <x v="2"/>
    <m/>
    <m/>
    <n v="1824.22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824.22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Superannuation Transactions - Admin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Superannuation Expense"/>
    <s v="Payroll Expense Journal - PD-570"/>
    <n v="92.44"/>
    <m/>
  </r>
  <r>
    <m/>
    <m/>
    <m/>
    <m/>
    <x v="15"/>
    <m/>
    <d v="2017-08-14T00:00:00"/>
    <x v="5"/>
    <s v="Superannuation Expense"/>
    <s v="Payroll Expense Journal - PD-574"/>
    <n v="92.44"/>
    <m/>
  </r>
  <r>
    <m/>
    <m/>
    <m/>
    <m/>
    <x v="15"/>
    <m/>
    <d v="2017-08-21T00:00:00"/>
    <x v="5"/>
    <s v="Superannuation Expense"/>
    <s v="Payroll Expense Journal - PD-579"/>
    <n v="92.44"/>
    <m/>
  </r>
  <r>
    <m/>
    <m/>
    <m/>
    <m/>
    <x v="15"/>
    <m/>
    <d v="2017-08-28T00:00:00"/>
    <x v="5"/>
    <s v="Superannuation Expense"/>
    <s v="Payroll Expense Journal - PD-583"/>
    <n v="92.44"/>
    <m/>
  </r>
  <r>
    <m/>
    <m/>
    <m/>
    <m/>
    <x v="15"/>
    <m/>
    <m/>
    <x v="2"/>
    <s v="AA "/>
    <s v="Super"/>
    <n v="55.99"/>
    <m/>
  </r>
  <r>
    <m/>
    <m/>
    <m/>
    <m/>
    <x v="15"/>
    <m/>
    <m/>
    <x v="2"/>
    <s v="RM"/>
    <s v="Super"/>
    <n v="133.16999999999999"/>
    <m/>
  </r>
  <r>
    <m/>
    <m/>
    <m/>
    <m/>
    <x v="15"/>
    <m/>
    <m/>
    <x v="2"/>
    <s v="CC"/>
    <s v="Super"/>
    <n v="58.46"/>
    <m/>
  </r>
  <r>
    <m/>
    <m/>
    <m/>
    <m/>
    <x v="15"/>
    <m/>
    <s v="Total"/>
    <x v="2"/>
    <m/>
    <m/>
    <n v="617.38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617.38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Superannuation (5-3002) Transactions  - Tech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Superannuation Expense"/>
    <s v="Payroll Expense Journal - PD-570"/>
    <n v="547.49"/>
    <m/>
  </r>
  <r>
    <m/>
    <m/>
    <m/>
    <m/>
    <x v="15"/>
    <m/>
    <d v="2017-08-14T00:00:00"/>
    <x v="5"/>
    <s v="Superannuation Expense"/>
    <s v="Payroll Expense Journal - PD-574"/>
    <n v="544.63"/>
    <m/>
  </r>
  <r>
    <m/>
    <m/>
    <m/>
    <m/>
    <x v="15"/>
    <m/>
    <d v="2017-08-21T00:00:00"/>
    <x v="5"/>
    <s v="Superannuation Expense"/>
    <s v="Payroll Expense Journal - PD-579"/>
    <n v="547.94000000000005"/>
    <m/>
  </r>
  <r>
    <m/>
    <m/>
    <m/>
    <m/>
    <x v="15"/>
    <m/>
    <d v="2017-08-28T00:00:00"/>
    <x v="5"/>
    <s v="Superannuation Expense"/>
    <s v="Payroll Expense Journal - PD-583"/>
    <n v="553.65"/>
    <m/>
  </r>
  <r>
    <m/>
    <m/>
    <m/>
    <m/>
    <x v="15"/>
    <m/>
    <m/>
    <x v="2"/>
    <s v="GC"/>
    <m/>
    <n v="315.74"/>
    <m/>
  </r>
  <r>
    <m/>
    <m/>
    <m/>
    <m/>
    <x v="15"/>
    <m/>
    <m/>
    <x v="6"/>
    <s v="DW,BA,ENW - NBN ACT "/>
    <m/>
    <n v="220.76"/>
    <m/>
  </r>
  <r>
    <m/>
    <m/>
    <m/>
    <m/>
    <x v="15"/>
    <m/>
    <m/>
    <x v="7"/>
    <s v="DH,DW,MR-NBN ACT"/>
    <m/>
    <n v="201.52"/>
    <m/>
  </r>
  <r>
    <m/>
    <m/>
    <m/>
    <m/>
    <x v="15"/>
    <m/>
    <s v="Total"/>
    <x v="2"/>
    <m/>
    <m/>
    <n v="2931.73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2931.73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Telephone Allowance Transactions- ADMIN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Earnings"/>
    <s v="Payroll Expense Journal - PD-570"/>
    <n v="23.08"/>
    <m/>
  </r>
  <r>
    <m/>
    <m/>
    <m/>
    <m/>
    <x v="15"/>
    <m/>
    <d v="2017-08-14T00:00:00"/>
    <x v="5"/>
    <s v="Earnings"/>
    <s v="Payroll Expense Journal - PD-574"/>
    <n v="23.08"/>
    <m/>
  </r>
  <r>
    <m/>
    <m/>
    <m/>
    <m/>
    <x v="15"/>
    <m/>
    <d v="2017-08-21T00:00:00"/>
    <x v="5"/>
    <s v="Earnings"/>
    <s v="Payroll Expense Journal - PD-579"/>
    <n v="23.08"/>
    <m/>
  </r>
  <r>
    <m/>
    <m/>
    <m/>
    <m/>
    <x v="15"/>
    <m/>
    <d v="2017-08-28T00:00:00"/>
    <x v="5"/>
    <s v="Earnings"/>
    <s v="Payroll Expense Journal - PD-583"/>
    <n v="23.08"/>
    <m/>
  </r>
  <r>
    <m/>
    <m/>
    <m/>
    <m/>
    <x v="15"/>
    <m/>
    <m/>
    <x v="2"/>
    <s v="AA &amp; RM"/>
    <s v="Tele"/>
    <n v="20"/>
    <m/>
  </r>
  <r>
    <m/>
    <m/>
    <m/>
    <m/>
    <x v="15"/>
    <m/>
    <s v="Total"/>
    <x v="2"/>
    <m/>
    <m/>
    <n v="112.32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12.32"/>
    <m/>
  </r>
  <r>
    <m/>
    <m/>
    <m/>
    <m/>
    <x v="15"/>
    <m/>
    <m/>
    <x v="2"/>
    <m/>
    <m/>
    <m/>
    <m/>
  </r>
  <r>
    <m/>
    <m/>
    <m/>
    <m/>
    <x v="15"/>
    <m/>
    <s v="Wages &amp; Salaries Transactions- ADMIN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5"/>
    <s v="Earnings"/>
    <s v="Payroll Expense Journal - PD-570"/>
    <n v="950"/>
    <m/>
  </r>
  <r>
    <m/>
    <m/>
    <m/>
    <m/>
    <x v="15"/>
    <m/>
    <d v="2017-08-14T00:00:00"/>
    <x v="5"/>
    <s v="Earnings"/>
    <s v="Payroll Expense Journal - PD-574"/>
    <n v="991.25"/>
    <m/>
  </r>
  <r>
    <m/>
    <m/>
    <m/>
    <m/>
    <x v="15"/>
    <m/>
    <d v="2017-08-21T00:00:00"/>
    <x v="5"/>
    <s v="Earnings"/>
    <s v="Payroll Expense Journal - PD-579"/>
    <n v="1062.51"/>
    <m/>
  </r>
  <r>
    <m/>
    <m/>
    <m/>
    <m/>
    <x v="15"/>
    <m/>
    <d v="2017-08-21T00:00:00"/>
    <x v="5"/>
    <s v="Earnings"/>
    <s v="Payroll Expense Journal - PD-579"/>
    <m/>
    <n v="0.01"/>
  </r>
  <r>
    <m/>
    <m/>
    <m/>
    <m/>
    <x v="15"/>
    <m/>
    <d v="2017-08-28T00:00:00"/>
    <x v="5"/>
    <s v="Earnings"/>
    <s v="Payroll Expense Journal - PD-583"/>
    <n v="950"/>
    <m/>
  </r>
  <r>
    <m/>
    <m/>
    <m/>
    <m/>
    <x v="15"/>
    <m/>
    <m/>
    <x v="2"/>
    <s v="AA"/>
    <m/>
    <n v="618.82000000000005"/>
    <m/>
  </r>
  <r>
    <m/>
    <m/>
    <m/>
    <m/>
    <x v="15"/>
    <m/>
    <m/>
    <x v="2"/>
    <s v="RM"/>
    <m/>
    <n v="1619.37"/>
    <m/>
  </r>
  <r>
    <m/>
    <m/>
    <m/>
    <m/>
    <x v="15"/>
    <m/>
    <m/>
    <x v="2"/>
    <s v="CC"/>
    <m/>
    <n v="615.38"/>
    <m/>
  </r>
  <r>
    <m/>
    <m/>
    <m/>
    <m/>
    <x v="15"/>
    <m/>
    <s v="Total"/>
    <x v="2"/>
    <m/>
    <m/>
    <n v="6807.33"/>
    <n v="0.01"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6807.32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Account Fees - Companies Transactions - ETOLL FEES &amp; TNT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10T00:00:00"/>
    <x v="8"/>
    <s v="E-Toll Business Operations Centre - Surcharge on Top- up account per transaction"/>
    <s v="Etoll - August 2017"/>
    <n v="1.6"/>
    <m/>
  </r>
  <r>
    <m/>
    <m/>
    <m/>
    <m/>
    <x v="15"/>
    <m/>
    <d v="2017-08-19T00:00:00"/>
    <x v="4"/>
    <s v="TNT Australia Pty Ltd - Account Service Fee"/>
    <s v="51603379"/>
    <n v="9.5"/>
    <m/>
  </r>
  <r>
    <m/>
    <m/>
    <m/>
    <m/>
    <x v="15"/>
    <m/>
    <d v="2017-08-24T00:00:00"/>
    <x v="8"/>
    <s v="E-Toll Business Operations Centre - Surcharge on Top- up account per transaction"/>
    <s v="E-toll August 2017"/>
    <n v="1.6"/>
    <m/>
  </r>
  <r>
    <m/>
    <m/>
    <m/>
    <m/>
    <x v="15"/>
    <m/>
    <d v="2017-08-31T00:00:00"/>
    <x v="8"/>
    <s v="E-Toll Business Operations Centre - Surcharge on Top- up account per transaction"/>
    <s v="Etoll top up August 2017"/>
    <n v="1.6"/>
    <m/>
  </r>
  <r>
    <m/>
    <m/>
    <m/>
    <m/>
    <x v="15"/>
    <m/>
    <s v="Total"/>
    <x v="2"/>
    <m/>
    <m/>
    <n v="14.299999999999999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4.3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Accounting Fees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4"/>
    <s v="Easdowns Business Specialists - Monthly Instalment per 2018 Service Agreement"/>
    <s v="122257"/>
    <n v="508.64"/>
    <m/>
  </r>
  <r>
    <m/>
    <m/>
    <m/>
    <m/>
    <x v="15"/>
    <m/>
    <s v="Total"/>
    <x v="2"/>
    <m/>
    <m/>
    <n v="508.64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508.64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Legal Fees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3T00:00:00"/>
    <x v="4"/>
    <s v="Wade Ryan Contracting - HSEQ Services for Month of July 2017_x000d__x000a_"/>
    <s v="294"/>
    <n v="533.33000000000004"/>
    <m/>
  </r>
  <r>
    <m/>
    <m/>
    <m/>
    <m/>
    <x v="15"/>
    <m/>
    <s v="Total"/>
    <x v="2"/>
    <m/>
    <m/>
    <n v="533.33000000000004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533.33000000000004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Office Supplies -  Sydne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4T00:00:00"/>
    <x v="4"/>
    <s v="Officeworks Superstores - Canon PG645 Ink Black"/>
    <s v="9094236001678412"/>
    <n v="24.9"/>
    <m/>
  </r>
  <r>
    <m/>
    <m/>
    <m/>
    <m/>
    <x v="15"/>
    <m/>
    <d v="2017-08-28T00:00:00"/>
    <x v="4"/>
    <s v="Officeworks Superstores - Reflex Ultra A4 Peper White 500 sheet 5 pack"/>
    <s v="155514254"/>
    <n v="22.68"/>
    <m/>
  </r>
  <r>
    <m/>
    <m/>
    <m/>
    <m/>
    <x v="15"/>
    <m/>
    <d v="2017-08-28T00:00:00"/>
    <x v="4"/>
    <s v="Officeworks Superstores - Scott Roll Towel 18cm x 140m 8 pack"/>
    <s v="155514254"/>
    <n v="32.67"/>
    <m/>
  </r>
  <r>
    <m/>
    <m/>
    <m/>
    <m/>
    <x v="15"/>
    <m/>
    <s v="Total"/>
    <x v="2"/>
    <m/>
    <m/>
    <n v="80.25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80.25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Telephone / Internet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16T00:00:00"/>
    <x v="4"/>
    <s v="Optus - Acct Number: 8106 5990 7001 41_x000d__x000a_0413257544 on Wireless Broadband 200GB"/>
    <s v="822699744"/>
    <n v="74.72"/>
    <m/>
  </r>
  <r>
    <m/>
    <m/>
    <m/>
    <m/>
    <x v="15"/>
    <m/>
    <d v="2017-08-21T00:00:00"/>
    <x v="4"/>
    <s v="Telstra Acc # 898 8808 200 - Sydney"/>
    <s v="P 247 924 641-4"/>
    <n v="136.36000000000001"/>
    <m/>
  </r>
  <r>
    <m/>
    <m/>
    <m/>
    <m/>
    <x v="15"/>
    <m/>
    <s v="Total"/>
    <x v="2"/>
    <m/>
    <m/>
    <n v="211.08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211.08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Tools &amp; Equipment - Sydne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10T00:00:00"/>
    <x v="4"/>
    <s v="C.R. Kennedy &amp; Company Pty Ltd - LG753466_x000d__x000a_Digicat 200 Main PCB Serviced and repaired"/>
    <s v="1184616"/>
    <n v="650"/>
    <m/>
  </r>
  <r>
    <m/>
    <m/>
    <m/>
    <m/>
    <x v="15"/>
    <m/>
    <s v="Total"/>
    <x v="2"/>
    <m/>
    <m/>
    <n v="650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650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Office/Wrkshp Main - Sydne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31T00:00:00"/>
    <x v="4"/>
    <s v="Cleanaway - 22/08/17_x000d__x000a_1 x Clear 1.5m Bin"/>
    <s v="11924980"/>
    <n v="93.9"/>
    <m/>
  </r>
  <r>
    <m/>
    <m/>
    <m/>
    <m/>
    <x v="15"/>
    <m/>
    <d v="2017-08-31T00:00:00"/>
    <x v="4"/>
    <s v="Cleanaway - 31/08/17_x000d__x000a_1 x Bin not out 1.5m Recycle"/>
    <s v="11924980"/>
    <n v="13"/>
    <m/>
  </r>
  <r>
    <m/>
    <m/>
    <m/>
    <m/>
    <x v="15"/>
    <m/>
    <d v="2017-08-31T00:00:00"/>
    <x v="4"/>
    <s v="Cleanaway - 1 x Environmental Fee"/>
    <s v="11924980"/>
    <n v="10.1"/>
    <m/>
  </r>
  <r>
    <m/>
    <m/>
    <m/>
    <m/>
    <x v="15"/>
    <m/>
    <d v="2017-08-31T00:00:00"/>
    <x v="4"/>
    <s v="Cleanaway - 3/08/17_x000d__x000a_1 x Clear 1.5m Recycle Bin"/>
    <s v="11924980"/>
    <n v="13"/>
    <m/>
  </r>
  <r>
    <m/>
    <m/>
    <m/>
    <m/>
    <x v="15"/>
    <m/>
    <d v="2017-08-31T00:00:00"/>
    <x v="4"/>
    <s v="Cleanaway - 8/08/17_x000d__x000a_1 x Clear 1.5m Bin"/>
    <s v="11924980"/>
    <n v="93.9"/>
    <m/>
  </r>
  <r>
    <m/>
    <m/>
    <m/>
    <m/>
    <x v="15"/>
    <m/>
    <d v="2017-08-31T00:00:00"/>
    <x v="4"/>
    <s v="Cleanaway - 17/08/17_x000d__x000a_1 x Clear 1.5m Recycle Bin"/>
    <s v="11924980"/>
    <n v="13"/>
    <m/>
  </r>
  <r>
    <m/>
    <m/>
    <m/>
    <m/>
    <x v="15"/>
    <m/>
    <s v="Total"/>
    <x v="2"/>
    <m/>
    <m/>
    <n v="236.9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236.9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Rates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28T00:00:00"/>
    <x v="4"/>
    <s v="Sydney Water - Wastewater (sewerage) Service"/>
    <s v="5663 689"/>
    <n v="215.41"/>
    <m/>
  </r>
  <r>
    <m/>
    <m/>
    <m/>
    <m/>
    <x v="15"/>
    <m/>
    <s v="Total"/>
    <x v="2"/>
    <m/>
    <m/>
    <n v="215.41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215.41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Rent  - Sydne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4"/>
    <s v="GILCIN - Rent 19/08/2017 - 18/09/2017_x000d__x000a_Unit 26, 10 John Hines Ave, Minchinbury NSW"/>
    <s v="0012"/>
    <n v="4416.66"/>
    <m/>
  </r>
  <r>
    <m/>
    <m/>
    <m/>
    <m/>
    <x v="15"/>
    <m/>
    <s v="Total"/>
    <x v="2"/>
    <m/>
    <m/>
    <n v="4416.66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4416.66"/>
    <m/>
  </r>
  <r>
    <m/>
    <m/>
    <m/>
    <m/>
    <x v="15"/>
    <m/>
    <m/>
    <x v="2"/>
    <m/>
    <m/>
    <m/>
    <m/>
  </r>
  <r>
    <m/>
    <m/>
    <m/>
    <m/>
    <x v="15"/>
    <m/>
    <s v="Water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4"/>
    <s v="Sydney Water - Metered Standpipe permit fee 1/07/17 - 30/06/17"/>
    <s v="5521 624"/>
    <n v="143.76"/>
    <m/>
  </r>
  <r>
    <m/>
    <m/>
    <m/>
    <m/>
    <x v="15"/>
    <m/>
    <d v="2017-08-28T00:00:00"/>
    <x v="4"/>
    <s v="Sydney Water - Water"/>
    <s v="5663 689"/>
    <n v="10.08"/>
    <m/>
  </r>
  <r>
    <m/>
    <m/>
    <m/>
    <m/>
    <x v="15"/>
    <m/>
    <d v="2017-08-28T00:00:00"/>
    <x v="4"/>
    <s v="Sydney Water - Water Service"/>
    <s v="5663 689"/>
    <n v="35.94"/>
    <m/>
  </r>
  <r>
    <m/>
    <m/>
    <m/>
    <m/>
    <x v="15"/>
    <m/>
    <s v="Total"/>
    <x v="2"/>
    <m/>
    <m/>
    <n v="189.78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89.78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63C00K 2013 Holden SS - Gilbert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22T00:00:00"/>
    <x v="4"/>
    <s v="Eureka Operations - Coles Express - E10 ULP 64.05L @ $1.249"/>
    <s v="2668538"/>
    <n v="72.73"/>
    <m/>
  </r>
  <r>
    <m/>
    <m/>
    <m/>
    <m/>
    <x v="15"/>
    <m/>
    <d v="2017-08-23T00:00:00"/>
    <x v="4"/>
    <s v="7 Eleven Pheasants Nest Nth - E10 ULP 55.90L @ $1.279"/>
    <s v="4659141"/>
    <n v="65"/>
    <m/>
  </r>
  <r>
    <m/>
    <m/>
    <m/>
    <m/>
    <x v="15"/>
    <m/>
    <s v="Total"/>
    <x v="2"/>
    <m/>
    <m/>
    <n v="137.73000000000002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37.72999999999999"/>
    <m/>
  </r>
  <r>
    <m/>
    <m/>
    <m/>
    <m/>
    <x v="15"/>
    <m/>
    <m/>
    <x v="2"/>
    <m/>
    <m/>
    <m/>
    <m/>
  </r>
  <r>
    <m/>
    <m/>
    <m/>
    <m/>
    <x v="15"/>
    <m/>
    <s v="BE38NA 2010 Toyota Land Cruiser -  Gilbert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30T00:00:00"/>
    <x v="4"/>
    <s v="Eureka Operations - Coles Express - Diesel 158.96L @ $1.369"/>
    <s v="1479439"/>
    <n v="197.84"/>
    <m/>
  </r>
  <r>
    <m/>
    <m/>
    <m/>
    <m/>
    <x v="15"/>
    <m/>
    <s v="Total"/>
    <x v="2"/>
    <m/>
    <m/>
    <n v="197.84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97.84"/>
    <m/>
  </r>
  <r>
    <m/>
    <m/>
    <m/>
    <m/>
    <x v="15"/>
    <m/>
    <m/>
    <x v="2"/>
    <m/>
    <m/>
    <m/>
    <m/>
  </r>
  <r>
    <m/>
    <m/>
    <m/>
    <m/>
    <x v="15"/>
    <m/>
    <s v="BU59MS 2013 Hiace Van - Sydney GB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4"/>
    <s v="Caltex Heathcote - Vortex ULP 44.99L @ $1.334"/>
    <s v="76512"/>
    <n v="54.56"/>
    <m/>
  </r>
  <r>
    <m/>
    <m/>
    <m/>
    <m/>
    <x v="15"/>
    <m/>
    <d v="2017-08-04T00:00:00"/>
    <x v="4"/>
    <s v="7 Eleven Minchinbury - ULP 51.06L @ $1.184"/>
    <s v="2464205"/>
    <n v="54.95"/>
    <m/>
  </r>
  <r>
    <m/>
    <m/>
    <m/>
    <m/>
    <x v="15"/>
    <m/>
    <d v="2017-08-09T00:00:00"/>
    <x v="4"/>
    <s v="7 Eleven Burwood - Premium ULP 46.12L @ $1.509"/>
    <s v="2818387"/>
    <n v="63.27"/>
    <m/>
  </r>
  <r>
    <m/>
    <m/>
    <m/>
    <m/>
    <x v="15"/>
    <m/>
    <d v="2017-08-14T00:00:00"/>
    <x v="4"/>
    <s v="7 Eleven Croydon Park - Premium ULP 46.51L @ $1.419"/>
    <s v="1741874"/>
    <n v="59.99"/>
    <m/>
  </r>
  <r>
    <m/>
    <m/>
    <m/>
    <m/>
    <x v="15"/>
    <m/>
    <d v="2017-08-17T00:00:00"/>
    <x v="4"/>
    <s v="7 Eleven Windsor - Premium ULP 48.16L @ $1.413"/>
    <s v="1962031"/>
    <n v="61.86"/>
    <m/>
  </r>
  <r>
    <m/>
    <m/>
    <m/>
    <m/>
    <x v="15"/>
    <m/>
    <d v="2017-08-22T00:00:00"/>
    <x v="4"/>
    <s v="AP Punchbowl - E10 ULP 36.52L @ $1.098"/>
    <s v="2463188"/>
    <n v="36.450000000000003"/>
    <m/>
  </r>
  <r>
    <m/>
    <m/>
    <m/>
    <m/>
    <x v="15"/>
    <m/>
    <d v="2017-08-25T00:00:00"/>
    <x v="4"/>
    <s v="Caltex Lakemba - Vortex ULP 49.67L  @ $1.319"/>
    <s v="21030"/>
    <n v="59.55"/>
    <m/>
  </r>
  <r>
    <m/>
    <m/>
    <m/>
    <m/>
    <x v="15"/>
    <m/>
    <d v="2017-08-30T00:00:00"/>
    <x v="4"/>
    <s v="Ultra Tune St Marys - Air Filter"/>
    <s v="313566"/>
    <n v="31.82"/>
    <m/>
  </r>
  <r>
    <m/>
    <m/>
    <m/>
    <m/>
    <x v="15"/>
    <m/>
    <d v="2017-08-30T00:00:00"/>
    <x v="4"/>
    <s v="Ultra Tune St Marys - ECU Test/Scan"/>
    <s v="313566"/>
    <n v="0.91"/>
    <m/>
  </r>
  <r>
    <m/>
    <m/>
    <m/>
    <m/>
    <x v="15"/>
    <m/>
    <d v="2017-08-30T00:00:00"/>
    <x v="4"/>
    <s v="Ultra Tune St Marys - Environmental Levy"/>
    <s v="313566"/>
    <n v="9"/>
    <m/>
  </r>
  <r>
    <m/>
    <m/>
    <m/>
    <m/>
    <x v="15"/>
    <m/>
    <d v="2017-08-30T00:00:00"/>
    <x v="4"/>
    <s v="Ultra Tune St Marys - Labour"/>
    <s v="313566"/>
    <n v="153"/>
    <m/>
  </r>
  <r>
    <m/>
    <m/>
    <m/>
    <m/>
    <x v="15"/>
    <m/>
    <d v="2017-08-30T00:00:00"/>
    <x v="4"/>
    <s v="Ultra Tune St Marys - Oil Filter"/>
    <s v="313566"/>
    <n v="10.71"/>
    <m/>
  </r>
  <r>
    <m/>
    <m/>
    <m/>
    <m/>
    <x v="15"/>
    <m/>
    <d v="2017-08-30T00:00:00"/>
    <x v="4"/>
    <s v="Ultra Tune St Marys - FMX Magnatec professional 10W/30"/>
    <s v="313566"/>
    <n v="74.650000000000006"/>
    <m/>
  </r>
  <r>
    <m/>
    <m/>
    <m/>
    <m/>
    <x v="15"/>
    <m/>
    <d v="2017-08-30T00:00:00"/>
    <x v="4"/>
    <s v="Ultra Tune St Marys - Workshop Consumables"/>
    <s v="313566"/>
    <n v="9"/>
    <m/>
  </r>
  <r>
    <m/>
    <m/>
    <m/>
    <m/>
    <x v="15"/>
    <m/>
    <d v="2017-08-30T00:00:00"/>
    <x v="4"/>
    <s v="Ultra Tune St Marys - Sump Plug Washer"/>
    <s v="313566"/>
    <n v="1.82"/>
    <m/>
  </r>
  <r>
    <m/>
    <m/>
    <m/>
    <m/>
    <x v="15"/>
    <m/>
    <s v="Total"/>
    <x v="2"/>
    <m/>
    <m/>
    <n v="681.54000000000008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681.54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BX10GL Sydney Tipper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4"/>
    <s v="Transport Repair Services Pty Ltd - Rego ticket"/>
    <s v="00026011"/>
    <n v="60"/>
    <m/>
  </r>
  <r>
    <m/>
    <m/>
    <m/>
    <m/>
    <x v="15"/>
    <m/>
    <d v="2017-08-01T00:00:00"/>
    <x v="4"/>
    <s v="BP Davis Road - Diesel 84.87L @ $1.280"/>
    <s v="01-726784"/>
    <n v="98.77"/>
    <m/>
  </r>
  <r>
    <m/>
    <m/>
    <m/>
    <m/>
    <x v="15"/>
    <m/>
    <d v="2017-08-07T00:00:00"/>
    <x v="4"/>
    <s v="BP Marsden Park - Ultimate Diesel 88.96L @ $1.259"/>
    <s v="410302"/>
    <n v="101.82"/>
    <m/>
  </r>
  <r>
    <m/>
    <m/>
    <m/>
    <m/>
    <x v="15"/>
    <m/>
    <d v="2017-08-11T00:00:00"/>
    <x v="4"/>
    <s v="BP Werrington - Ultimate Diesel 87.41L @ $1.239"/>
    <s v="170811 07:03"/>
    <n v="98.45"/>
    <m/>
  </r>
  <r>
    <m/>
    <m/>
    <m/>
    <m/>
    <x v="15"/>
    <m/>
    <d v="2017-08-16T00:00:00"/>
    <x v="4"/>
    <s v="BP Leppington - Diesel 95.81L @ $1.169"/>
    <s v="704087"/>
    <n v="101.82"/>
    <m/>
  </r>
  <r>
    <m/>
    <m/>
    <m/>
    <m/>
    <x v="15"/>
    <m/>
    <d v="2017-08-21T00:00:00"/>
    <x v="4"/>
    <s v="BP Wollongong - Ultimate Diesel 74.75L @ $1.299"/>
    <s v="864942"/>
    <n v="88.27"/>
    <m/>
  </r>
  <r>
    <m/>
    <m/>
    <m/>
    <m/>
    <x v="15"/>
    <m/>
    <d v="2017-08-25T00:00:00"/>
    <x v="4"/>
    <s v="BP Connect Minchinbury - Diesel 76.08L @ $1.249"/>
    <s v="495316"/>
    <n v="86.38"/>
    <m/>
  </r>
  <r>
    <m/>
    <m/>
    <m/>
    <m/>
    <x v="15"/>
    <m/>
    <d v="2017-08-31T00:00:00"/>
    <x v="4"/>
    <s v="BP Davis Road - Ultimate Diesel 91.34L @ $1.259 "/>
    <s v="01-747014"/>
    <n v="104.55"/>
    <m/>
  </r>
  <r>
    <m/>
    <m/>
    <m/>
    <m/>
    <x v="15"/>
    <m/>
    <s v="Total"/>
    <x v="2"/>
    <m/>
    <m/>
    <n v="740.06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740.06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CGCOOK 2012 Toyota Rav 4  - Cind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17T00:00:00"/>
    <x v="4"/>
    <s v="Caltex Yass - E10 ULP 53.73L @ $1.247"/>
    <s v="63576"/>
    <n v="60.91"/>
    <m/>
  </r>
  <r>
    <m/>
    <m/>
    <m/>
    <m/>
    <x v="15"/>
    <m/>
    <s v="Total"/>
    <x v="2"/>
    <m/>
    <m/>
    <n v="60.91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60.91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CHV14B 2013 Toyota Hilux - Sydney PJ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16T00:00:00"/>
    <x v="4"/>
    <s v="7 Eleven Eastern Creek - Diesel 53.18L @ $1.2194"/>
    <s v="1230678"/>
    <n v="58.95"/>
    <m/>
  </r>
  <r>
    <m/>
    <m/>
    <m/>
    <m/>
    <x v="15"/>
    <m/>
    <d v="2017-08-23T00:00:00"/>
    <x v="4"/>
    <s v="Eureka Operations - Coles Express - Diesel 60.05L @ $1.299"/>
    <s v="1644331"/>
    <n v="70.91"/>
    <m/>
  </r>
  <r>
    <m/>
    <m/>
    <m/>
    <m/>
    <x v="15"/>
    <m/>
    <d v="2017-08-29T00:00:00"/>
    <x v="4"/>
    <s v="Caltex Eastern Creek - Vortex Diesel 35.12L @ $1.259"/>
    <s v="42117"/>
    <n v="40.200000000000003"/>
    <m/>
  </r>
  <r>
    <m/>
    <m/>
    <m/>
    <m/>
    <x v="15"/>
    <m/>
    <s v="Total"/>
    <x v="2"/>
    <m/>
    <m/>
    <n v="170.06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70.06"/>
    <m/>
  </r>
  <r>
    <m/>
    <m/>
    <m/>
    <m/>
    <x v="15"/>
    <m/>
    <m/>
    <x v="2"/>
    <m/>
    <m/>
    <m/>
    <m/>
  </r>
  <r>
    <m/>
    <m/>
    <m/>
    <m/>
    <x v="15"/>
    <m/>
    <s v="CYY40G 2015 Toyota Hilux - Dylan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8T00:00:00"/>
    <x v="4"/>
    <s v="Caltex Queanbeyan - Vortex Diesel 64.51L @ $1.219"/>
    <s v="51997"/>
    <n v="71.489999999999995"/>
    <m/>
  </r>
  <r>
    <m/>
    <m/>
    <m/>
    <m/>
    <x v="15"/>
    <m/>
    <d v="2017-08-17T00:00:00"/>
    <x v="4"/>
    <s v="Caltex Mitchell - Vortex Diesel 63.78L @ $1.319"/>
    <s v="48406"/>
    <n v="76.48"/>
    <m/>
  </r>
  <r>
    <m/>
    <m/>
    <m/>
    <m/>
    <x v="15"/>
    <m/>
    <s v="Total"/>
    <x v="2"/>
    <m/>
    <m/>
    <n v="147.97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147.97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DMJ74G 2017 Hiace Van - Sydne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4"/>
    <s v="Woolworths Petrol - Vortex Diesel 54.48L @ $1.199"/>
    <s v="001/9458"/>
    <n v="59.38"/>
    <m/>
  </r>
  <r>
    <m/>
    <m/>
    <m/>
    <m/>
    <x v="15"/>
    <m/>
    <d v="2017-08-08T00:00:00"/>
    <x v="4"/>
    <s v="BP Smeaton Grange - Ultimate Diesel 52.92L @ $1.199"/>
    <s v="212797"/>
    <n v="57.68"/>
    <m/>
  </r>
  <r>
    <m/>
    <m/>
    <m/>
    <m/>
    <x v="15"/>
    <m/>
    <d v="2017-08-15T00:00:00"/>
    <x v="4"/>
    <s v="Eureka Operations - Coles Express - Diesel 55.59L @ $1.299"/>
    <s v="1923789"/>
    <n v="65.650000000000006"/>
    <m/>
  </r>
  <r>
    <m/>
    <m/>
    <m/>
    <m/>
    <x v="15"/>
    <m/>
    <d v="2017-08-22T00:00:00"/>
    <x v="4"/>
    <s v="7 Eleven Blair Athol - Diesel 57.05L @ $1.279"/>
    <s v="3555924"/>
    <n v="66.33"/>
    <m/>
  </r>
  <r>
    <m/>
    <m/>
    <m/>
    <m/>
    <x v="15"/>
    <m/>
    <d v="2017-08-29T00:00:00"/>
    <x v="4"/>
    <s v="Eureka Operations - Coles Express - Diesel 56.80L  @ $1.299 "/>
    <s v="1940213"/>
    <n v="67.069999999999993"/>
    <m/>
  </r>
  <r>
    <m/>
    <m/>
    <m/>
    <m/>
    <x v="15"/>
    <m/>
    <s v="Total"/>
    <x v="2"/>
    <m/>
    <m/>
    <n v="316.11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316.11"/>
    <m/>
  </r>
  <r>
    <m/>
    <m/>
    <m/>
    <m/>
    <x v="15"/>
    <m/>
    <m/>
    <x v="2"/>
    <m/>
    <m/>
    <m/>
    <m/>
  </r>
  <r>
    <m/>
    <m/>
    <m/>
    <m/>
    <x v="15"/>
    <m/>
    <s v="Equipment &amp; Vehicle expense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1T00:00:00"/>
    <x v="9"/>
    <s v="SYDNEY VEHICLE  AND TEST EQUIPMENT RENTAL - TEST EQUIPMENT MONTHLY RENTAL"/>
    <s v="#35959"/>
    <n v="902"/>
    <m/>
  </r>
  <r>
    <m/>
    <m/>
    <m/>
    <m/>
    <x v="15"/>
    <m/>
    <d v="2017-08-01T00:00:00"/>
    <x v="9"/>
    <s v="SYDNEY VEHICLE  AND TEST EQUIPMENT RENTAL - Forklift"/>
    <s v="#35959"/>
    <n v="487"/>
    <m/>
  </r>
  <r>
    <m/>
    <m/>
    <m/>
    <m/>
    <x v="15"/>
    <m/>
    <d v="2017-08-01T00:00:00"/>
    <x v="9"/>
    <s v="SYDNEY VEHICLE  AND TEST EQUIPMENT RENTAL - CHV14B -HILUX MONTHLY RENTAL - BUILT 06/13, TOYOTA HILUX, KUN26R MY12 SR DOUBLE CAB, UTILITY DUAL CAB, MANUAL, 3.0 LTR 4 CYL, DIESEL, DIRECT INJECTION TURBO INTERCOOLED, WHITE, REGO CHV14B NSW, ENG NO. 1KDA212793, VIN "/>
    <s v="#35959"/>
    <n v="833"/>
    <m/>
  </r>
  <r>
    <m/>
    <m/>
    <m/>
    <m/>
    <x v="15"/>
    <m/>
    <d v="2017-08-01T00:00:00"/>
    <x v="9"/>
    <s v="SYDNEY VEHICLE  AND TEST EQUIPMENT RENTAL - BU59MS -HIACE RENTAL - "/>
    <s v="#35959"/>
    <n v="833"/>
    <m/>
  </r>
  <r>
    <m/>
    <m/>
    <m/>
    <m/>
    <x v="15"/>
    <m/>
    <d v="2017-08-01T00:00:00"/>
    <x v="9"/>
    <s v="SYDNEY VEHICLE  AND TEST EQUIPMENT RENTAL - DMJ74G"/>
    <s v="#35959"/>
    <n v="833"/>
    <m/>
  </r>
  <r>
    <m/>
    <m/>
    <m/>
    <m/>
    <x v="15"/>
    <m/>
    <s v="Total"/>
    <x v="2"/>
    <m/>
    <m/>
    <n v="3888"/>
    <m/>
  </r>
  <r>
    <m/>
    <m/>
    <m/>
    <m/>
    <x v="15"/>
    <m/>
    <m/>
    <x v="2"/>
    <m/>
    <m/>
    <m/>
    <m/>
  </r>
  <r>
    <m/>
    <m/>
    <m/>
    <m/>
    <x v="15"/>
    <m/>
    <d v="2017-06-30T00:00:00"/>
    <x v="2"/>
    <s v="Balance"/>
    <m/>
    <n v="3888"/>
    <m/>
  </r>
  <r>
    <m/>
    <m/>
    <m/>
    <m/>
    <x v="15"/>
    <m/>
    <m/>
    <x v="2"/>
    <m/>
    <m/>
    <m/>
    <m/>
  </r>
  <r>
    <m/>
    <m/>
    <m/>
    <m/>
    <x v="15"/>
    <m/>
    <s v="Forklift  - Sydney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31T00:00:00"/>
    <x v="4"/>
    <s v="Supagas - 2 x Monthly Rental of LPG 15kg Cylinder"/>
    <s v="88990-8-2017"/>
    <n v="10"/>
    <m/>
  </r>
  <r>
    <m/>
    <m/>
    <m/>
    <m/>
    <x v="15"/>
    <m/>
    <d v="2017-08-31T00:00:00"/>
    <x v="4"/>
    <s v="Supagas - 1 x LPG 15kg Cylinder"/>
    <s v="88990-8-2017"/>
    <n v="34.090000000000003"/>
    <m/>
  </r>
  <r>
    <m/>
    <m/>
    <m/>
    <m/>
    <x v="15"/>
    <m/>
    <s v="Total"/>
    <x v="2"/>
    <m/>
    <m/>
    <n v="44.09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44.09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Generators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7T00:00:00"/>
    <x v="4"/>
    <s v="BP Marsden Park - ULP 18.38L @ $1.469"/>
    <s v="410302"/>
    <n v="24.55"/>
    <m/>
  </r>
  <r>
    <m/>
    <m/>
    <m/>
    <m/>
    <x v="15"/>
    <m/>
    <s v="Total"/>
    <x v="2"/>
    <m/>
    <m/>
    <n v="24.55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24.55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s v="Trailers Transactions"/>
    <x v="2"/>
    <m/>
    <m/>
    <m/>
    <m/>
  </r>
  <r>
    <m/>
    <m/>
    <m/>
    <m/>
    <x v="15"/>
    <m/>
    <s v="DATATEKS Pty Ltd"/>
    <x v="2"/>
    <m/>
    <m/>
    <m/>
    <m/>
  </r>
  <r>
    <m/>
    <m/>
    <m/>
    <m/>
    <x v="15"/>
    <m/>
    <s v="Sydney"/>
    <x v="2"/>
    <m/>
    <m/>
    <m/>
    <m/>
  </r>
  <r>
    <m/>
    <m/>
    <m/>
    <m/>
    <x v="15"/>
    <m/>
    <s v="From 1 Aug 2017 to 31 Aug 2017"/>
    <x v="2"/>
    <m/>
    <m/>
    <m/>
    <m/>
  </r>
  <r>
    <m/>
    <m/>
    <m/>
    <m/>
    <x v="15"/>
    <m/>
    <m/>
    <x v="2"/>
    <m/>
    <m/>
    <m/>
    <m/>
  </r>
  <r>
    <m/>
    <m/>
    <m/>
    <m/>
    <x v="15"/>
    <m/>
    <s v="Date"/>
    <x v="3"/>
    <s v="Transaction"/>
    <s v="Reference"/>
    <s v="Debit"/>
    <s v="Credit"/>
  </r>
  <r>
    <m/>
    <m/>
    <m/>
    <m/>
    <x v="15"/>
    <m/>
    <m/>
    <x v="2"/>
    <m/>
    <m/>
    <m/>
    <m/>
  </r>
  <r>
    <m/>
    <m/>
    <m/>
    <m/>
    <x v="15"/>
    <m/>
    <d v="2017-08-03T00:00:00"/>
    <x v="4"/>
    <s v="Ontime Mechanical Services - TB38YH_x000d__x000a_Pink Slip_x000d__x000a_Reflectors_x000d__x000a_Brake Adjustment"/>
    <s v="0301071"/>
    <n v="90.91"/>
    <m/>
  </r>
  <r>
    <m/>
    <m/>
    <m/>
    <m/>
    <x v="15"/>
    <m/>
    <s v="Total"/>
    <x v="2"/>
    <m/>
    <m/>
    <n v="90.91"/>
    <m/>
  </r>
  <r>
    <m/>
    <m/>
    <m/>
    <m/>
    <x v="15"/>
    <m/>
    <m/>
    <x v="2"/>
    <m/>
    <m/>
    <m/>
    <m/>
  </r>
  <r>
    <m/>
    <m/>
    <m/>
    <m/>
    <x v="15"/>
    <m/>
    <d v="2017-08-31T00:00:00"/>
    <x v="2"/>
    <s v="Balance"/>
    <m/>
    <n v="90.91"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  <r>
    <m/>
    <m/>
    <m/>
    <m/>
    <x v="15"/>
    <m/>
    <m/>
    <x v="2"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12">
  <r>
    <s v="Altus"/>
    <s v="Inv 9507818"/>
    <d v="2017-05-07T00:00:00"/>
    <d v="2017-06-30T00:00:00"/>
    <s v="AARNet"/>
    <s v="AARNet"/>
    <x v="0"/>
    <s v="AARNet"/>
    <n v="975.97"/>
  </r>
  <r>
    <s v="Altus"/>
    <s v="Inv 9507819"/>
    <d v="2017-05-07T00:00:00"/>
    <d v="2017-06-30T00:00:00"/>
    <s v="AARNet"/>
    <s v="AARNet"/>
    <x v="0"/>
    <s v="AARNet"/>
    <n v="1776.88"/>
  </r>
  <r>
    <s v="Altus"/>
    <s v="Inv 9507859"/>
    <d v="2017-05-07T00:00:00"/>
    <d v="2017-06-30T00:00:00"/>
    <s v="AARNet"/>
    <s v="AARNet"/>
    <x v="0"/>
    <s v="AARNet"/>
    <n v="1195.95"/>
  </r>
  <r>
    <s v="Altus"/>
    <s v="Inv 9512031"/>
    <d v="2017-06-11T00:00:00"/>
    <d v="2017-07-31T00:00:00"/>
    <s v="AARNet"/>
    <s v="AARNet"/>
    <x v="1"/>
    <s v="AARNet"/>
    <n v="614.04"/>
  </r>
  <r>
    <s v="COG"/>
    <s v="Inv 1100"/>
    <d v="2017-06-21T00:00:00"/>
    <d v="2017-07-31T00:00:00"/>
    <s v="AARNet"/>
    <s v="AARNet"/>
    <x v="1"/>
    <s v="AARNet"/>
    <n v="559.78"/>
  </r>
  <r>
    <s v="COG"/>
    <s v="Inv 1078"/>
    <d v="2017-06-15T00:00:00"/>
    <d v="2017-07-31T00:00:00"/>
    <s v="AARNet"/>
    <s v="AARNet"/>
    <x v="1"/>
    <s v="AARNet"/>
    <n v="3056.15"/>
  </r>
  <r>
    <s v="Craig Comms"/>
    <s v="Inv 9506687"/>
    <d v="2017-04-30T00:00:00"/>
    <d v="2017-07-31T00:00:00"/>
    <s v="NBN Co"/>
    <s v="NBN Minor Works"/>
    <x v="2"/>
    <s v="NBN Minor Works"/>
    <n v="1501.72"/>
  </r>
  <r>
    <s v="Craig Comms"/>
    <s v="Inv 1803487"/>
    <d v="2017-06-11T00:00:00"/>
    <d v="2017-07-31T00:00:00"/>
    <s v="NBN Co"/>
    <s v="NBN Greenfields"/>
    <x v="3"/>
    <s v="NBN Greenfields"/>
    <n v="549.22"/>
  </r>
  <r>
    <s v="Altus"/>
    <s v="Inv 9513752"/>
    <d v="2017-06-30T00:00:00"/>
    <d v="2017-07-31T00:00:00"/>
    <s v="NBN Co"/>
    <s v="NBN Greenfields"/>
    <x v="4"/>
    <s v="NBN Greenfields"/>
    <n v="235"/>
  </r>
  <r>
    <s v="Sand 4 U"/>
    <s v="Inv 16233"/>
    <d v="2017-06-19T00:00:00"/>
    <d v="2017-07-31T00:00:00"/>
    <s v="AARNet"/>
    <s v="AARNet"/>
    <x v="1"/>
    <s v="AARNet"/>
    <n v="77.27"/>
  </r>
  <r>
    <s v="Rainer"/>
    <s v="Inv 003"/>
    <d v="2017-07-02T00:00:00"/>
    <d v="2017-08-31T00:00:00"/>
    <s v="Visionstream "/>
    <s v="FTTB Survey and Design"/>
    <x v="5"/>
    <s v="Visionstream "/>
    <n v="90"/>
  </r>
  <r>
    <s v="Central Coast Council"/>
    <s v="Inv 987582.99 374012"/>
    <d v="2017-06-28T00:00:00"/>
    <d v="2017-07-31T00:00:00"/>
    <s v="NBN Co"/>
    <s v="NBN Minor Works"/>
    <x v="6"/>
    <s v="NBN Minor Works"/>
    <n v="1925.79"/>
  </r>
  <r>
    <s v="Altus"/>
    <s v="Inv 9508561"/>
    <d v="2017-05-14T00:00:00"/>
    <d v="2017-06-30T00:00:00"/>
    <s v="AARNet"/>
    <s v="AARNet"/>
    <x v="0"/>
    <s v="AARNet"/>
    <n v="609.58000000000004"/>
  </r>
  <r>
    <s v="Altus"/>
    <s v="Inv 9513611"/>
    <d v="2017-06-25T00:00:00"/>
    <d v="2017-07-31T00:00:00"/>
    <s v="NBN Co"/>
    <s v="NBN A417"/>
    <x v="7"/>
    <s v="NBN Greenfields"/>
    <n v="235"/>
  </r>
  <r>
    <s v="Altus"/>
    <s v="Inv 9513612"/>
    <d v="2017-06-25T00:00:00"/>
    <d v="2017-07-31T00:00:00"/>
    <s v="NBN Co"/>
    <s v="NBN Greenfields"/>
    <x v="8"/>
    <s v="NBN Greenfields"/>
    <n v="235"/>
  </r>
  <r>
    <s v="Altus"/>
    <s v="Inv 9513613"/>
    <d v="2017-06-25T00:00:00"/>
    <d v="2017-07-31T00:00:00"/>
    <s v="NBN Co"/>
    <s v="NBN Greenfields"/>
    <x v="9"/>
    <s v="NBN Greenfields"/>
    <n v="235"/>
  </r>
  <r>
    <s v="Altus"/>
    <s v="Inv 9513614"/>
    <d v="2017-06-25T00:00:00"/>
    <d v="2017-07-31T00:00:00"/>
    <s v="NBN Co"/>
    <s v="NBN Greenfields"/>
    <x v="10"/>
    <s v="NBN Greenfields"/>
    <n v="235"/>
  </r>
  <r>
    <s v="KSJDA"/>
    <s v="Inv 17"/>
    <d v="2017-07-09T00:00:00"/>
    <d v="2017-08-31T00:00:00"/>
    <s v="NBN Co"/>
    <s v="NBN Greenfields"/>
    <x v="11"/>
    <s v="NBN Greenfields"/>
    <n v="4740.05"/>
  </r>
  <r>
    <s v="Quibcon"/>
    <s v="Inv 532"/>
    <d v="2017-07-27T00:00:00"/>
    <d v="2017-08-31T00:00:00"/>
    <s v="AARNet"/>
    <s v="AARNet"/>
    <x v="0"/>
    <s v="AARNet"/>
    <n v="7000"/>
  </r>
  <r>
    <s v="Craig Comms"/>
    <s v="Inv 1803532"/>
    <d v="2017-07-17T00:00:00"/>
    <d v="2017-08-31T00:00:00"/>
    <s v="AARNet"/>
    <s v="AARNet"/>
    <x v="1"/>
    <s v="AARNet"/>
    <n v="3870.83"/>
  </r>
  <r>
    <s v="Craig Comms"/>
    <s v="Inv 1803528"/>
    <d v="2017-07-14T00:00:00"/>
    <d v="2017-08-31T00:00:00"/>
    <s v="NBN Co"/>
    <s v="NBN Greenfields"/>
    <x v="11"/>
    <s v="NBN Greenfields"/>
    <n v="5402.66"/>
  </r>
  <r>
    <s v="COG"/>
    <s v="Inv 1207"/>
    <d v="2017-07-30T00:00:00"/>
    <d v="2017-08-31T00:00:00"/>
    <s v="AARNet"/>
    <s v="AARNet"/>
    <x v="0"/>
    <s v="AARNet"/>
    <n v="581"/>
  </r>
  <r>
    <s v="Schokmans"/>
    <s v="Inv 2293"/>
    <d v="2017-08-08T00:00:00"/>
    <d v="2017-09-30T00:00:00"/>
    <s v="NBN Co"/>
    <s v="NBN Greenfields"/>
    <x v="12"/>
    <s v="NBN Greenfields"/>
    <n v="10667.8"/>
  </r>
  <r>
    <s v="Schokmans"/>
    <s v="Inv 2294"/>
    <d v="2017-08-09T00:00:00"/>
    <d v="2017-09-30T00:00:00"/>
    <s v="NBN Co"/>
    <s v="NBN Greenfields"/>
    <x v="13"/>
    <s v="NBN Greenfields"/>
    <n v="4792.9399999999996"/>
  </r>
  <r>
    <s v="Schokmans"/>
    <s v="Inv 2295"/>
    <d v="2017-08-09T00:00:00"/>
    <d v="2017-09-30T00:00:00"/>
    <s v="NBN Co"/>
    <s v="NBN Greenfields"/>
    <x v="14"/>
    <s v="NBN Greenfields"/>
    <n v="4280.95"/>
  </r>
  <r>
    <s v="Altus"/>
    <s v="Inv 9517404"/>
    <d v="2017-08-06T00:00:00"/>
    <d v="2017-09-30T00:00:00"/>
    <s v="AARNet"/>
    <s v="AARNet"/>
    <x v="0"/>
    <s v="AARNet"/>
    <n v="752.23"/>
  </r>
  <r>
    <s v="Altus"/>
    <s v="Inv 951738"/>
    <d v="2017-08-06T00:00:00"/>
    <d v="2017-09-30T00:00:00"/>
    <s v="NBN Co"/>
    <s v="NBN Minor Works"/>
    <x v="15"/>
    <s v="NBN Minor Works"/>
    <n v="1396"/>
  </r>
  <r>
    <s v="Altus"/>
    <s v="Inv 9516894"/>
    <d v="2017-07-30T00:00:00"/>
    <d v="2017-08-31T00:00:00"/>
    <s v="AARNet"/>
    <s v="AARNet"/>
    <x v="0"/>
    <s v="AARNet"/>
    <n v="2234.21"/>
  </r>
  <r>
    <s v="Craig Comms"/>
    <s v="Inv 1803569"/>
    <d v="2017-08-07T00:00:00"/>
    <d v="2017-09-30T00:00:00"/>
    <s v="NBN Co"/>
    <s v="NBN Greenfields"/>
    <x v="16"/>
    <s v="NBN Greenfields"/>
    <n v="1574.16"/>
  </r>
  <r>
    <s v="Alliance Geotechnical"/>
    <s v="Inv 0203"/>
    <d v="2017-09-05T00:00:00"/>
    <d v="2017-10-31T00:00:00"/>
    <s v="NBN Co"/>
    <s v="NBN Greenfields"/>
    <x v="17"/>
    <s v="NBN Greenfields"/>
    <n v="150"/>
  </r>
  <r>
    <s v="Craig Comms"/>
    <s v="Inv 1803572"/>
    <d v="2017-08-07T00:00:00"/>
    <d v="2017-09-30T00:00:00"/>
    <s v="NBN Co"/>
    <s v="NBN Greenfields"/>
    <x v="18"/>
    <s v="NBN Greenfields"/>
    <n v="1702.74"/>
  </r>
  <r>
    <s v="Altus"/>
    <s v="inv 9518845"/>
    <d v="2017-08-27T00:00:00"/>
    <d v="2017-09-30T00:00:00"/>
    <s v="NBN Co"/>
    <s v="NBN Greenfields"/>
    <x v="17"/>
    <s v="NBN Greenfields"/>
    <n v="2149.98"/>
  </r>
  <r>
    <s v="Schokmans"/>
    <s v="Inv 2324"/>
    <d v="2017-09-07T00:00:00"/>
    <d v="2017-10-31T00:00:00"/>
    <s v="NBN Co"/>
    <s v="NBN Greenfields"/>
    <x v="19"/>
    <s v="NBN Greenfields"/>
    <n v="2573.9699999999998"/>
  </r>
  <r>
    <s v="Schokmans"/>
    <s v="Inv 2339"/>
    <d v="2017-09-08T00:00:00"/>
    <d v="2017-10-31T00:00:00"/>
    <s v="NBN Co"/>
    <s v="NBN Greenfields"/>
    <x v="20"/>
    <s v="NBN Greenfields"/>
    <n v="6233.7"/>
  </r>
  <r>
    <s v="Schokmans"/>
    <s v="Inv 2338"/>
    <d v="2017-09-08T00:00:00"/>
    <d v="2017-10-31T00:00:00"/>
    <s v="NBN Co"/>
    <s v="NBN Greenfields"/>
    <x v="21"/>
    <s v="NBN Greenfields"/>
    <n v="4155.96"/>
  </r>
  <r>
    <s v="Schokmans"/>
    <s v="Inv 2337"/>
    <d v="2017-09-08T00:00:00"/>
    <d v="2017-10-31T00:00:00"/>
    <s v="NBN Co"/>
    <s v="NBN Greenfields"/>
    <x v="22"/>
    <s v="NBN Greenfields"/>
    <n v="1725.57"/>
  </r>
  <r>
    <s v="Schokmans"/>
    <s v="Inv 2336"/>
    <d v="2017-09-08T00:00:00"/>
    <d v="2017-10-31T00:00:00"/>
    <s v="NBN Co"/>
    <s v="NBN Greenfields"/>
    <x v="23"/>
    <s v="NBN Greenfields"/>
    <n v="8914.77"/>
  </r>
  <r>
    <s v="Schokmans"/>
    <s v="Inv 2309"/>
    <d v="2017-08-23T00:00:00"/>
    <d v="2017-09-30T00:00:00"/>
    <s v="Visionstream "/>
    <s v="FTTB Build "/>
    <x v="24"/>
    <s v="Visionstream "/>
    <n v="1736.5"/>
  </r>
  <r>
    <s v="Schokmans"/>
    <s v="Inv 2310"/>
    <d v="2017-08-23T00:00:00"/>
    <d v="2017-09-30T00:00:00"/>
    <s v="Visionstream "/>
    <s v="FTTB Build "/>
    <x v="25"/>
    <s v="Visionstream "/>
    <n v="2300"/>
  </r>
  <r>
    <s v="OS Cable Services"/>
    <s v="Inv 27"/>
    <d v="2017-08-25T00:00:00"/>
    <d v="2017-09-30T00:00:00"/>
    <s v="NBN Co"/>
    <s v="NBN Minor Works"/>
    <x v="26"/>
    <s v="NBN Minor Works"/>
    <n v="3479.84"/>
  </r>
  <r>
    <s v="OS Cable Services"/>
    <s v="Inv 26"/>
    <d v="2017-08-25T00:00:00"/>
    <d v="2017-09-30T00:00:00"/>
    <s v="NBN Co"/>
    <s v="NBN Greenfields"/>
    <x v="27"/>
    <s v="NBN Greenfields"/>
    <n v="5539.7"/>
  </r>
  <r>
    <s v="L&amp;M Trenchless"/>
    <s v="INV 4045A"/>
    <d v="2017-09-07T00:00:00"/>
    <d v="2017-10-31T00:00:00"/>
    <s v="NBN Co"/>
    <s v="NBN Minor Works"/>
    <x v="15"/>
    <s v="NBN Minor Works"/>
    <n v="6331.58"/>
  </r>
  <r>
    <s v="Schokmans"/>
    <s v="Inv 2341"/>
    <d v="2017-09-13T00:00:00"/>
    <d v="2017-10-31T00:00:00"/>
    <s v="NBN Co"/>
    <s v="NBN Greenfields"/>
    <x v="28"/>
    <s v="NBN Greenfields"/>
    <n v="1039.3"/>
  </r>
  <r>
    <s v="Schokmans"/>
    <s v="Inv 2340"/>
    <d v="2017-09-13T00:00:00"/>
    <d v="2017-10-31T00:00:00"/>
    <s v="NBN Co"/>
    <s v="NBN Greenfields"/>
    <x v="29"/>
    <s v="NBN Greenfields"/>
    <n v="3682.66"/>
  </r>
  <r>
    <s v="KSJDA"/>
    <s v="Inv 17/1108"/>
    <d v="2017-09-22T00:00:00"/>
    <d v="2017-10-31T00:00:00"/>
    <s v="NBN Co"/>
    <s v="NBN Greenfields"/>
    <x v="30"/>
    <s v="NBN Greenfields"/>
    <n v="1265"/>
  </r>
  <r>
    <s v="Schokmans"/>
    <s v="Inv 2366"/>
    <d v="2017-10-06T00:00:00"/>
    <d v="2017-11-30T00:00:00"/>
    <s v="NBN Co"/>
    <s v="NBN Greenfields"/>
    <x v="31"/>
    <s v="NBN Greenfields"/>
    <n v="5913.37"/>
  </r>
  <r>
    <s v="Schokmans"/>
    <s v="Inv 2367"/>
    <d v="2017-10-06T00:00:00"/>
    <d v="2017-11-30T00:00:00"/>
    <s v="NBN Co"/>
    <s v="NBN Greenfields"/>
    <x v="32"/>
    <s v="NBN Greenfields"/>
    <n v="4307.25"/>
  </r>
  <r>
    <s v="Schokmans"/>
    <s v="Inv 2365"/>
    <d v="2017-10-06T00:00:00"/>
    <d v="2017-11-30T00:00:00"/>
    <s v="NBN Co"/>
    <s v="NBN Greenfields"/>
    <x v="33"/>
    <s v="NBN Greenfields"/>
    <n v="1257.96"/>
  </r>
  <r>
    <s v="Schokmans"/>
    <s v="Inv 2364"/>
    <d v="2017-10-06T00:00:00"/>
    <d v="2017-11-30T00:00:00"/>
    <s v="NBN Co"/>
    <s v="NBN Greenfields"/>
    <x v="34"/>
    <s v="NBN Greenfields"/>
    <n v="3046.8"/>
  </r>
  <r>
    <s v="Schokmans"/>
    <s v="Inv 2363"/>
    <d v="2017-10-06T00:00:00"/>
    <d v="2017-11-30T00:00:00"/>
    <s v="NBN Co"/>
    <s v="NBN Greenfields"/>
    <x v="35"/>
    <s v="NBN Greenfields"/>
    <n v="2317"/>
  </r>
  <r>
    <s v="Hills Council"/>
    <s v="PO 0308"/>
    <d v="2017-10-06T00:00:00"/>
    <m/>
    <s v="NBN Co"/>
    <s v="NBN Greenfields"/>
    <x v="36"/>
    <s v="NBN Greenfields"/>
    <n v="4410.54"/>
  </r>
  <r>
    <s v="Altus"/>
    <s v="Inv 9517888"/>
    <d v="2017-08-13T00:00:00"/>
    <d v="2017-09-30T00:00:00"/>
    <s v="AARNet"/>
    <s v="AARNet"/>
    <x v="0"/>
    <s v="AARNet"/>
    <n v="1230.26"/>
  </r>
  <r>
    <s v="Pacific Utilities"/>
    <s v="Inv 0224"/>
    <d v="2017-10-09T00:00:00"/>
    <d v="2017-11-30T00:00:00"/>
    <s v="Visionstream "/>
    <s v="FTTB Build "/>
    <x v="5"/>
    <s v="Visionstream "/>
    <n v="1610"/>
  </r>
  <r>
    <s v="LCC"/>
    <s v="Inv 10251"/>
    <d v="2017-08-31T00:00:00"/>
    <d v="2017-09-30T00:00:00"/>
    <s v="NBN Co"/>
    <s v="NBN Greenfields"/>
    <x v="17"/>
    <s v="NBN Greenfields"/>
    <n v="8825.86"/>
  </r>
  <r>
    <s v="Schokmans"/>
    <s v="Inv 2383"/>
    <d v="2017-10-20T00:00:00"/>
    <d v="2017-11-30T00:00:00"/>
    <s v="NBN Co"/>
    <s v="NBN Greenfields"/>
    <x v="37"/>
    <s v="NBN Greenfields"/>
    <n v="1975.17"/>
  </r>
  <r>
    <s v="Schokmans"/>
    <s v="Inv 2382"/>
    <d v="2017-10-20T00:00:00"/>
    <d v="2017-11-30T00:00:00"/>
    <s v="NBN Co"/>
    <s v="NBN Greenfields"/>
    <x v="38"/>
    <s v="NBN Greenfields"/>
    <n v="4549.53"/>
  </r>
  <r>
    <s v="Schokmans"/>
    <s v="Inv 2381"/>
    <d v="2017-10-20T00:00:00"/>
    <d v="2017-11-30T00:00:00"/>
    <s v="NBN Co"/>
    <s v="NBN Greenfields"/>
    <x v="39"/>
    <s v="NBN Greenfields"/>
    <n v="20850.84"/>
  </r>
  <r>
    <s v="Schokmans"/>
    <s v="Inv 2378"/>
    <d v="2017-10-20T00:00:00"/>
    <d v="2017-11-30T00:00:00"/>
    <s v="NBN Co"/>
    <s v="NBN Greenfields"/>
    <x v="39"/>
    <s v="NBN Greenfields"/>
    <n v="1000"/>
  </r>
  <r>
    <s v="Schokmans"/>
    <s v="Inv 2379"/>
    <d v="2017-10-20T00:00:00"/>
    <d v="2017-11-30T00:00:00"/>
    <s v="NBN Co"/>
    <s v="NBN Greenfields"/>
    <x v="32"/>
    <s v="NBN Greenfields"/>
    <n v="1810.66"/>
  </r>
  <r>
    <s v="Schokmans"/>
    <s v="Inv 2380"/>
    <d v="2017-10-20T00:00:00"/>
    <d v="2017-11-30T00:00:00"/>
    <s v="NBN Co"/>
    <s v="NBN Minor Works"/>
    <x v="40"/>
    <s v="NBN Minor Works"/>
    <n v="550"/>
  </r>
  <r>
    <s v="Schokmans"/>
    <s v="Inv 2320"/>
    <d v="2017-09-05T00:00:00"/>
    <d v="2017-10-31T00:00:00"/>
    <s v="NBN Co"/>
    <s v="NBN Greenfields"/>
    <x v="23"/>
    <s v="NBN Greenfields"/>
    <n v="1000"/>
  </r>
  <r>
    <s v="Rainer"/>
    <s v="Inv 0004"/>
    <d v="2017-10-24T00:00:00"/>
    <d v="2017-11-30T00:00:00"/>
    <s v="AARNet"/>
    <s v="AARNet"/>
    <x v="1"/>
    <s v="AARNet"/>
    <n v="450"/>
  </r>
  <r>
    <s v="Craig Comms"/>
    <s v="Inv 1803621"/>
    <d v="2017-10-16T00:00:00"/>
    <d v="2017-11-30T00:00:00"/>
    <s v="NBN Co"/>
    <s v="NBN Greenfields"/>
    <x v="41"/>
    <s v="NBN Greenfields"/>
    <n v="6043.99"/>
  </r>
  <r>
    <s v="Craig Comms"/>
    <s v="Inv 1803622"/>
    <d v="2017-10-16T00:00:00"/>
    <d v="2017-11-30T00:00:00"/>
    <s v="NBN Co"/>
    <s v="NBN Greenfields"/>
    <x v="42"/>
    <s v="NBN Greenfields"/>
    <n v="6294.34"/>
  </r>
  <r>
    <s v="Craig Comms"/>
    <s v="Inv 1803629"/>
    <d v="2017-10-16T00:00:00"/>
    <d v="2017-11-30T00:00:00"/>
    <s v="NBN Co"/>
    <s v="NBN Greenfields"/>
    <x v="37"/>
    <s v="NBN Greenfields"/>
    <n v="763.84"/>
  </r>
  <r>
    <s v="Craig Comms"/>
    <s v="Inv 1803630"/>
    <d v="2017-10-16T00:00:00"/>
    <d v="2017-11-30T00:00:00"/>
    <s v="NBN Co"/>
    <s v="NBN Greenfields"/>
    <x v="39"/>
    <s v="NBN Greenfields"/>
    <n v="5914.06"/>
  </r>
  <r>
    <s v="OS Cable Services"/>
    <s v="Inv 25"/>
    <d v="2017-08-19T00:00:00"/>
    <d v="2017-09-30T00:00:00"/>
    <s v="AARNet"/>
    <s v="AARNet"/>
    <x v="0"/>
    <s v="AARNet"/>
    <n v="3500"/>
  </r>
  <r>
    <s v="KSJDA"/>
    <s v="Inv 17/1153"/>
    <d v="2017-11-16T00:00:00"/>
    <d v="2017-12-31T00:00:00"/>
    <s v="NBN Co"/>
    <s v="NBN Greenfields"/>
    <x v="30"/>
    <s v="NBN Greenfields"/>
    <n v="748"/>
  </r>
  <r>
    <s v="Craig Comms"/>
    <s v="Inv 1803661"/>
    <d v="2017-11-24T00:00:00"/>
    <d v="2017-12-31T00:00:00"/>
    <s v="NBN Co"/>
    <s v="NBN A417"/>
    <x v="43"/>
    <s v="NBN New Devs"/>
    <n v="1746.62"/>
  </r>
  <r>
    <s v="Schokmans"/>
    <s v="Inv 2415"/>
    <d v="2017-11-27T00:00:00"/>
    <d v="2017-12-31T00:00:00"/>
    <s v="NBN Co"/>
    <s v="NBN A417"/>
    <x v="44"/>
    <s v="NBN New Devs"/>
    <n v="2227.08"/>
  </r>
  <r>
    <s v="Schokmans"/>
    <s v="Inv 2416"/>
    <d v="2017-11-27T00:00:00"/>
    <d v="2017-12-31T00:00:00"/>
    <s v="NBN Co"/>
    <s v="NBN A401"/>
    <x v="40"/>
    <s v="NBN Brownfields"/>
    <n v="7533.95"/>
  </r>
  <r>
    <s v="Schokmans"/>
    <s v="Inv 2417"/>
    <d v="2017-11-27T00:00:00"/>
    <d v="2017-12-31T00:00:00"/>
    <s v="NBN Co"/>
    <s v="NBN A417"/>
    <x v="45"/>
    <s v="NBN New Devs"/>
    <n v="2357.52"/>
  </r>
  <r>
    <s v="Schokmans"/>
    <s v="Inv 2418"/>
    <d v="2017-11-27T00:00:00"/>
    <d v="2017-12-31T00:00:00"/>
    <s v="NBN Co"/>
    <s v="NBN A401"/>
    <x v="46"/>
    <s v="NBN New Devs"/>
    <n v="3416.8"/>
  </r>
  <r>
    <s v="Schokmans"/>
    <s v="Inv 2419"/>
    <d v="2017-11-27T00:00:00"/>
    <d v="2017-12-31T00:00:00"/>
    <s v="NBN Co"/>
    <s v="NBN A401"/>
    <x v="47"/>
    <s v="NBN New Devs"/>
    <n v="7890.75"/>
  </r>
  <r>
    <s v="Schokmans"/>
    <s v="Inv 2420"/>
    <d v="2017-11-27T00:00:00"/>
    <d v="2017-12-31T00:00:00"/>
    <s v="NBN Co"/>
    <s v="NBN A417"/>
    <x v="48"/>
    <s v="NBN New Devs"/>
    <n v="5541.28"/>
  </r>
  <r>
    <s v="Schokmans"/>
    <s v="Inv 2422"/>
    <d v="2017-11-27T00:00:00"/>
    <d v="2017-12-31T00:00:00"/>
    <s v="NBN Co"/>
    <s v="NBN A417"/>
    <x v="49"/>
    <s v="NBN New Devs"/>
    <n v="7738.49"/>
  </r>
  <r>
    <s v="Schokmans"/>
    <s v="Inv 2423"/>
    <d v="2017-11-27T00:00:00"/>
    <d v="2017-12-31T00:00:00"/>
    <s v="NBN Co"/>
    <s v="NBN A417"/>
    <x v="50"/>
    <s v="NBN New Devs"/>
    <n v="2365.75"/>
  </r>
  <r>
    <s v="Schokmans"/>
    <s v="Inv 2431"/>
    <d v="2017-11-29T00:00:00"/>
    <d v="2017-12-31T00:00:00"/>
    <s v="NBN Co"/>
    <s v="NBN A417"/>
    <x v="51"/>
    <s v="NBN New Devs"/>
    <n v="6437.11"/>
  </r>
  <r>
    <s v="LCC"/>
    <s v="Inv 10255"/>
    <d v="2017-10-17T00:00:00"/>
    <d v="2017-11-30T00:00:00"/>
    <s v="NBN Co"/>
    <s v="NBN A401"/>
    <x v="52"/>
    <s v="NBN New Devs"/>
    <n v="1480"/>
  </r>
  <r>
    <s v="LCC"/>
    <s v="Inv 10258"/>
    <d v="2017-11-30T00:00:00"/>
    <d v="2017-12-31T00:00:00"/>
    <s v="NBN Co"/>
    <s v="NBN A401"/>
    <x v="53"/>
    <s v="NBN New Devs"/>
    <n v="3289.75"/>
  </r>
  <r>
    <s v="LCC"/>
    <s v="Inv 10259"/>
    <d v="2017-11-30T00:00:00"/>
    <d v="2017-12-31T00:00:00"/>
    <s v="NBN Co"/>
    <s v="NBN A401"/>
    <x v="54"/>
    <s v="NBN New Devs"/>
    <n v="1080"/>
  </r>
  <r>
    <s v="Schokmans"/>
    <s v="Inv 2451"/>
    <d v="2017-12-01T00:00:00"/>
    <d v="2018-01-31T00:00:00"/>
    <s v="NBN Co"/>
    <s v="NBN A417"/>
    <x v="55"/>
    <s v="NBN New Devs"/>
    <n v="3120.05"/>
  </r>
  <r>
    <s v="Global Elite technologies   "/>
    <s v="Inv 114"/>
    <d v="2017-11-30T00:00:00"/>
    <d v="2017-12-31T00:00:00"/>
    <s v="NBN Co"/>
    <s v="NBN A417"/>
    <x v="56"/>
    <s v="NBN New Devs"/>
    <n v="1331.8"/>
  </r>
  <r>
    <s v="Global Elite technologies   "/>
    <s v="Inv 114"/>
    <d v="2017-11-30T00:00:00"/>
    <d v="2017-12-31T00:00:00"/>
    <s v="NBN Co"/>
    <s v="NBN A417"/>
    <x v="57"/>
    <s v="NBN New Devs"/>
    <n v="1387.2727272727273"/>
  </r>
  <r>
    <s v="Global Elite technologies   "/>
    <s v="Inv 114"/>
    <d v="2017-11-30T00:00:00"/>
    <d v="2017-12-31T00:00:00"/>
    <s v="NBN Co"/>
    <s v="NBN A417"/>
    <x v="58"/>
    <s v="NBN New Devs"/>
    <n v="637.19090909090903"/>
  </r>
  <r>
    <s v="Global Elite technologies   "/>
    <s v="Inv 114"/>
    <d v="2017-11-30T00:00:00"/>
    <d v="2017-12-31T00:00:00"/>
    <s v="NBN Co"/>
    <s v="NBN A417"/>
    <x v="59"/>
    <s v="NBN New Devs"/>
    <n v="127.27272727272728"/>
  </r>
  <r>
    <s v="Global Elite technologies   "/>
    <s v="Inv 114"/>
    <d v="2017-11-30T00:00:00"/>
    <d v="2017-12-31T00:00:00"/>
    <s v="NBN Co"/>
    <s v="NBN A401"/>
    <x v="15"/>
    <s v="NBN Brownfields"/>
    <n v="890.90909090909088"/>
  </r>
  <r>
    <s v="Global Elite technologies   "/>
    <s v="Inv 114"/>
    <d v="2017-11-30T00:00:00"/>
    <d v="2017-12-31T00:00:00"/>
    <s v="NBN Co"/>
    <s v="NBN A417"/>
    <x v="60"/>
    <s v="NBN New Devs"/>
    <n v="1145.4545454545455"/>
  </r>
  <r>
    <s v="Global Elite technologies   "/>
    <s v="Inv 114"/>
    <d v="2017-11-30T00:00:00"/>
    <d v="2017-12-31T00:00:00"/>
    <s v="NBN Co"/>
    <s v="NBN A401"/>
    <x v="61"/>
    <s v="NBN Brownfields"/>
    <n v="254.54545454545456"/>
  </r>
  <r>
    <s v="Global Elite technologies   "/>
    <s v="Inv 114"/>
    <d v="2017-11-30T00:00:00"/>
    <d v="2017-12-31T00:00:00"/>
    <s v="NBN Co"/>
    <s v="NBN A417"/>
    <x v="62"/>
    <s v="NBN New Devs"/>
    <n v="804.09090909090912"/>
  </r>
  <r>
    <s v="Cumberland Council"/>
    <s v="Inv 67449"/>
    <d v="2017-11-27T00:00:00"/>
    <d v="2017-12-31T00:00:00"/>
    <s v="AARNet"/>
    <s v="AARNet"/>
    <x v="1"/>
    <s v="AARNet"/>
    <n v="5039.5"/>
  </r>
  <r>
    <s v="KSJDA"/>
    <s v="Inv 17/1166"/>
    <d v="2017-12-05T00:00:00"/>
    <d v="2018-01-31T00:00:00"/>
    <s v="NBN Co"/>
    <s v="NBN A401"/>
    <x v="63"/>
    <s v="NBN New Devs"/>
    <n v="6106.05"/>
  </r>
  <r>
    <s v="KSJDA"/>
    <s v="Inv 17/1167"/>
    <d v="2017-12-05T00:00:00"/>
    <d v="2018-01-31T00:00:00"/>
    <s v="NBN Co"/>
    <s v="NBN A401"/>
    <x v="64"/>
    <s v="NBN New Devs"/>
    <n v="3247.52"/>
  </r>
  <r>
    <s v="Craig Comms"/>
    <s v="Inv 1803673"/>
    <d v="2017-12-04T00:00:00"/>
    <d v="2018-01-31T00:00:00"/>
    <s v="NBN Co"/>
    <s v="NBN A417"/>
    <x v="44"/>
    <s v="NBN New Devs"/>
    <n v="9051.32"/>
  </r>
  <r>
    <s v="Craig Comms"/>
    <s v="Inv 1803724"/>
    <d v="2018-01-08T00:00:00"/>
    <d v="2018-02-28T00:00:00"/>
    <s v="NBN Co"/>
    <s v="NBN A417"/>
    <x v="10"/>
    <s v="NBN New Devs"/>
    <n v="700.3"/>
  </r>
  <r>
    <s v="KSJDA"/>
    <s v="Inv 18/1175"/>
    <d v="2018-01-12T00:00:00"/>
    <d v="2018-02-28T00:00:00"/>
    <s v="NBN Co"/>
    <s v="NBN A417"/>
    <x v="65"/>
    <s v="NBN New Devs"/>
    <n v="1934.64"/>
  </r>
  <r>
    <s v="Schokmans"/>
    <s v="Inv 2451"/>
    <d v="2017-12-01T00:00:00"/>
    <d v="2018-01-31T00:00:00"/>
    <s v="NBN Co"/>
    <s v="NBN A417"/>
    <x v="55"/>
    <s v="NBN New Devs"/>
    <n v="1175.6500000000001"/>
  </r>
  <r>
    <s v="Schokmans"/>
    <s v="Inv 2452"/>
    <d v="2017-12-01T00:00:00"/>
    <d v="2018-01-31T00:00:00"/>
    <s v="NBN Co"/>
    <s v="NBN A417"/>
    <x v="45"/>
    <s v="NBN New Devs"/>
    <n v="656.68"/>
  </r>
  <r>
    <s v="Schokmans"/>
    <s v="Inv 2460"/>
    <d v="2017-12-18T00:00:00"/>
    <d v="2018-01-31T00:00:00"/>
    <s v="NBN Co"/>
    <s v="NBN A417"/>
    <x v="66"/>
    <s v="NBN New Devs"/>
    <n v="1126.02"/>
  </r>
  <r>
    <s v="Schokmans"/>
    <s v="Inv 2468"/>
    <d v="2017-12-22T00:00:00"/>
    <d v="2018-01-31T00:00:00"/>
    <s v="NBN Co"/>
    <s v="NBN A401"/>
    <x v="67"/>
    <s v="NBN New Devs"/>
    <n v="1612.32"/>
  </r>
  <r>
    <s v="Schokmans"/>
    <s v="Inv 2469"/>
    <d v="2017-12-22T00:00:00"/>
    <d v="2018-01-31T00:00:00"/>
    <s v="NBN Co"/>
    <s v="NBN A417"/>
    <x v="68"/>
    <s v="NBN New Devs"/>
    <n v="3596.99"/>
  </r>
  <r>
    <s v="Schokmans"/>
    <s v="Inv 2470"/>
    <d v="2017-12-22T00:00:00"/>
    <d v="2018-01-31T00:00:00"/>
    <s v="NBN Co"/>
    <s v="NBN A417"/>
    <x v="69"/>
    <s v="NBN New Devs"/>
    <n v="1325"/>
  </r>
  <r>
    <s v="Schokmans"/>
    <s v="Inv 2471"/>
    <d v="2017-12-22T00:00:00"/>
    <d v="2018-01-31T00:00:00"/>
    <s v="NBN Co"/>
    <s v="NBN A417"/>
    <x v="70"/>
    <s v="NBN New Devs"/>
    <n v="3121.35"/>
  </r>
  <r>
    <s v="Schokmans"/>
    <s v="Inv 2472"/>
    <d v="2017-12-22T00:00:00"/>
    <d v="2018-01-31T00:00:00"/>
    <s v="NBN Co"/>
    <s v="NBN A417"/>
    <x v="71"/>
    <s v="NBN New Devs"/>
    <n v="1793.75"/>
  </r>
  <r>
    <s v="Schokmans"/>
    <s v="Inv 2473"/>
    <d v="2017-12-22T00:00:00"/>
    <d v="2018-01-31T00:00:00"/>
    <s v="NBN Co"/>
    <s v="NBN A417"/>
    <x v="68"/>
    <s v="NBN New Devs"/>
    <n v="5715.64"/>
  </r>
  <r>
    <s v="Schokmans"/>
    <s v="Inv 2474"/>
    <d v="2017-12-22T00:00:00"/>
    <d v="2018-01-31T00:00:00"/>
    <s v="NBN Co"/>
    <s v="NBN A417"/>
    <x v="72"/>
    <s v="NBN New Devs"/>
    <n v="1523.39"/>
  </r>
  <r>
    <s v="Schokmans"/>
    <s v="Inv 2475"/>
    <d v="2017-12-22T00:00:00"/>
    <d v="2018-01-31T00:00:00"/>
    <s v="NBN Co"/>
    <s v="NBN A417"/>
    <x v="71"/>
    <s v="NBN New Devs"/>
    <n v="1126.02"/>
  </r>
  <r>
    <s v="Schokmans"/>
    <s v="Inv 2467"/>
    <d v="2017-12-22T00:00:00"/>
    <d v="2018-01-31T00:00:00"/>
    <s v="NBN Co"/>
    <s v="NBN A417"/>
    <x v="66"/>
    <s v="NBN New Devs"/>
    <n v="1495.75"/>
  </r>
  <r>
    <s v="Craig Comms"/>
    <s v="Inv 1803726"/>
    <d v="2018-01-11T00:00:00"/>
    <d v="2018-02-28T00:00:00"/>
    <s v="NBN Co"/>
    <s v="NBN A417"/>
    <x v="73"/>
    <s v="NBN New Devs"/>
    <n v="2486.86"/>
  </r>
  <r>
    <s v="Craig Comms"/>
    <s v="Inv 1803727"/>
    <d v="2017-01-08T00:00:00"/>
    <d v="2017-02-28T00:00:00"/>
    <s v="NBN Co"/>
    <s v="NBN A401"/>
    <x v="74"/>
    <s v="NBN New Devs"/>
    <n v="2570.91"/>
  </r>
  <r>
    <s v="Cylas"/>
    <s v="Inv 1038"/>
    <d v="2018-01-22T00:00:00"/>
    <d v="2018-02-28T00:00:00"/>
    <s v="NBN Co"/>
    <s v="NBN A417"/>
    <x v="75"/>
    <s v="NBN New Devs"/>
    <n v="3516.25"/>
  </r>
  <r>
    <s v="Cylas"/>
    <s v="Inv 1039"/>
    <d v="2018-01-22T00:00:00"/>
    <d v="2018-02-28T00:00:00"/>
    <s v="NBN Co"/>
    <s v="NBN A417"/>
    <x v="76"/>
    <s v="NBN New Devs"/>
    <n v="2427.2600000000002"/>
  </r>
  <r>
    <s v="Cylas"/>
    <s v="Inv 1040"/>
    <d v="2018-01-22T00:00:00"/>
    <d v="2018-02-28T00:00:00"/>
    <s v="NBN Co"/>
    <s v="NBN A417"/>
    <x v="77"/>
    <s v="NBN New Devs"/>
    <n v="568.95000000000005"/>
  </r>
  <r>
    <s v="Cylas"/>
    <s v="Inv 1041"/>
    <d v="2018-01-22T00:00:00"/>
    <d v="2018-02-28T00:00:00"/>
    <s v="NBN Co"/>
    <s v="NBN A417"/>
    <x v="78"/>
    <s v="NBN New Devs"/>
    <n v="2064.79"/>
  </r>
  <r>
    <s v="Cylas"/>
    <s v="Inv 1042"/>
    <d v="2018-01-30T00:00:00"/>
    <d v="2018-02-28T00:00:00"/>
    <s v="NBN Co"/>
    <s v="NBN A417"/>
    <x v="79"/>
    <s v="NBN New Devs"/>
    <n v="4913.2700000000004"/>
  </r>
  <r>
    <s v="Altus"/>
    <s v="Inv 138937"/>
    <d v="2017-12-03T00:00:00"/>
    <d v="2018-01-31T00:00:00"/>
    <s v="NBN Co"/>
    <s v="NBN A417"/>
    <x v="54"/>
    <s v="NBN New Devs"/>
    <n v="3269.75"/>
  </r>
  <r>
    <s v="Pacific Utilities"/>
    <s v="Inv 0254"/>
    <d v="2018-01-19T00:00:00"/>
    <d v="2018-02-28T00:00:00"/>
    <s v="NBN Co"/>
    <s v="NBN A401"/>
    <x v="26"/>
    <s v="NBN Minor Works"/>
    <n v="2315"/>
  </r>
  <r>
    <s v="Global Elite technologies   "/>
    <s v="Inv 115"/>
    <d v="2018-01-28T00:00:00"/>
    <d v="2018-02-28T00:00:00"/>
    <s v="NBN Co"/>
    <s v="NBN A417"/>
    <x v="62"/>
    <s v="NBN New Devs"/>
    <n v="127.27"/>
  </r>
  <r>
    <s v="Global Elite technologies   "/>
    <s v="Inv 115"/>
    <d v="2018-01-28T00:00:00"/>
    <d v="2018-02-28T00:00:00"/>
    <s v="NBN Co"/>
    <s v="NBN A401"/>
    <x v="75"/>
    <s v="NBN New Devs"/>
    <n v="1258.23"/>
  </r>
  <r>
    <s v="Global Elite technologies   "/>
    <s v="Inv 115"/>
    <d v="2018-01-28T00:00:00"/>
    <d v="2018-02-28T00:00:00"/>
    <s v="NBN Co"/>
    <s v="NBN A417"/>
    <x v="80"/>
    <s v="NBN New Devs"/>
    <n v="1075.44"/>
  </r>
  <r>
    <s v="Global Elite technologies   "/>
    <s v="Inv 115"/>
    <d v="2018-01-28T00:00:00"/>
    <d v="2018-02-28T00:00:00"/>
    <s v="NBN Co"/>
    <s v="NBN A417"/>
    <x v="81"/>
    <s v="NBN New Devs"/>
    <n v="1266"/>
  </r>
  <r>
    <s v="Global Elite technologies   "/>
    <s v="Inv 115"/>
    <d v="2018-01-28T00:00:00"/>
    <d v="2018-02-28T00:00:00"/>
    <s v="NBN Co"/>
    <s v="NBN A417"/>
    <x v="82"/>
    <s v="NBN New Devs"/>
    <n v="648"/>
  </r>
  <r>
    <s v="Global Elite technologies   "/>
    <s v="Inv 115"/>
    <d v="2018-01-28T00:00:00"/>
    <d v="2018-02-28T00:00:00"/>
    <s v="NBN Co"/>
    <s v="NBN A417"/>
    <x v="83"/>
    <s v="NBN New Devs"/>
    <n v="798.75"/>
  </r>
  <r>
    <s v="Global Elite technologies   "/>
    <s v="Inv 115"/>
    <d v="2018-01-28T00:00:00"/>
    <d v="2018-02-28T00:00:00"/>
    <s v="NBN Co"/>
    <s v="NBN A417"/>
    <x v="50"/>
    <s v="NBN New Devs"/>
    <n v="363.64"/>
  </r>
  <r>
    <s v="Cylas"/>
    <s v="Inv 1051"/>
    <d v="2018-02-27T00:00:00"/>
    <d v="2018-03-31T00:00:00"/>
    <s v="NBN Co"/>
    <s v="NBN A417"/>
    <x v="9"/>
    <s v="NBN New Devs"/>
    <n v="5093.82"/>
  </r>
  <r>
    <s v="Altus"/>
    <s v="Inv 146792"/>
    <d v="2018-02-04T00:00:00"/>
    <d v="2018-03-31T00:00:00"/>
    <s v="NBN Co"/>
    <s v="NBN A417"/>
    <x v="84"/>
    <s v="NBN New Devs"/>
    <n v="9159.2800000000007"/>
  </r>
  <r>
    <s v="Altus"/>
    <s v="Inv 150049"/>
    <d v="2018-02-25T00:00:00"/>
    <d v="2018-03-31T00:00:00"/>
    <s v="NBN Co"/>
    <s v="NBN A417"/>
    <x v="84"/>
    <s v="NBN New Devs"/>
    <n v="8268.39"/>
  </r>
  <r>
    <s v="Cylas"/>
    <s v="Inv 1052"/>
    <d v="2018-01-31T00:00:00"/>
    <d v="2018-02-28T00:00:00"/>
    <s v="NBN Co"/>
    <s v="NBN A417"/>
    <x v="85"/>
    <s v="NBN New Devs"/>
    <n v="2603.91"/>
  </r>
  <r>
    <s v="Cylas"/>
    <s v="Inv 1053"/>
    <d v="2018-01-31T00:00:00"/>
    <d v="2018-02-28T00:00:00"/>
    <s v="NBN Co"/>
    <s v="NBN A401"/>
    <x v="86"/>
    <s v="NBN New Devs"/>
    <n v="1316.57"/>
  </r>
  <r>
    <s v="Cylas"/>
    <s v="Inv 1054"/>
    <d v="2018-01-31T00:00:00"/>
    <d v="2018-02-28T00:00:00"/>
    <s v="NBN Co"/>
    <s v="NBN A417"/>
    <x v="79"/>
    <s v="NBN New Devs"/>
    <n v="5539.68"/>
  </r>
  <r>
    <s v="Cylas"/>
    <s v="Inv 1055"/>
    <d v="2018-01-31T00:00:00"/>
    <d v="2018-02-28T00:00:00"/>
    <s v="NBN Co"/>
    <s v="NBN A417"/>
    <x v="87"/>
    <s v="NBN New Devs"/>
    <n v="6867.81"/>
  </r>
  <r>
    <s v="Cylas"/>
    <s v="Inv 1057"/>
    <d v="2018-01-31T00:00:00"/>
    <d v="2018-02-28T00:00:00"/>
    <s v="NBN Co"/>
    <s v="NBN A417"/>
    <x v="77"/>
    <s v="NBN New Devs"/>
    <n v="7930.55"/>
  </r>
  <r>
    <s v="Cylas"/>
    <s v="Inv 1058"/>
    <d v="2018-01-31T00:00:00"/>
    <d v="2018-02-28T00:00:00"/>
    <s v="NBN Co"/>
    <s v="NBN A417"/>
    <x v="88"/>
    <s v="NBN New Devs"/>
    <n v="689.79"/>
  </r>
  <r>
    <s v="Cylas"/>
    <s v="Inv 1059"/>
    <d v="2018-01-31T00:00:00"/>
    <d v="2018-02-28T00:00:00"/>
    <s v="NBN Co"/>
    <s v="NBN A417"/>
    <x v="89"/>
    <s v="NBN New Devs"/>
    <n v="1359.64"/>
  </r>
  <r>
    <s v="Cylas"/>
    <s v="Inv 1060"/>
    <d v="2018-02-27T00:00:00"/>
    <d v="2018-03-31T00:00:00"/>
    <s v="NBN Co"/>
    <s v="NBN Assurance"/>
    <x v="90"/>
    <s v="NBN Assurance"/>
    <n v="2952.6"/>
  </r>
  <r>
    <s v="Cylas"/>
    <s v="Inv 1062"/>
    <d v="2018-01-31T00:00:00"/>
    <d v="2018-02-28T00:00:00"/>
    <s v="NBN Co"/>
    <s v="NBN A401"/>
    <x v="91"/>
    <s v="NBN New Devs"/>
    <n v="2292.46"/>
  </r>
  <r>
    <s v="Hunter West Civil &amp; Data"/>
    <s v="Inv  0001"/>
    <d v="2018-01-31T00:00:00"/>
    <d v="2018-02-28T00:00:00"/>
    <s v="NBN Co"/>
    <s v="NBN A417"/>
    <x v="92"/>
    <s v="NBN New Devs"/>
    <n v="4673.01"/>
  </r>
  <r>
    <s v="Hunter West Civil &amp; Data"/>
    <s v="Inv  0002"/>
    <d v="2018-01-31T00:00:00"/>
    <d v="2018-02-28T00:00:00"/>
    <s v="NBN Co"/>
    <s v="NBN A418"/>
    <x v="93"/>
    <s v="NBN New Devs"/>
    <n v="2088.0500000000002"/>
  </r>
  <r>
    <s v="Altus"/>
    <s v="Inv 151016"/>
    <d v="2018-03-04T00:00:00"/>
    <d v="2018-04-30T00:00:00"/>
    <s v="NBN Co"/>
    <s v="NBN A417"/>
    <x v="84"/>
    <s v="NBN New Devs"/>
    <n v="8950.7099999999991"/>
  </r>
  <r>
    <s v="Craig Comms"/>
    <s v="Inv 1803795"/>
    <d v="2018-02-23T00:00:00"/>
    <d v="2018-03-31T00:00:00"/>
    <s v="NBN Co"/>
    <s v="NBN A401"/>
    <x v="94"/>
    <s v="NBN Minor Works"/>
    <n v="6505.68"/>
  </r>
  <r>
    <s v="Hunter West Civil &amp; Data"/>
    <s v="inv 0007"/>
    <d v="2018-02-28T00:00:00"/>
    <d v="2018-03-31T00:00:00"/>
    <s v="NBN Co"/>
    <s v="NBN A417"/>
    <x v="95"/>
    <s v="NBN New Devs"/>
    <n v="893.6"/>
  </r>
  <r>
    <s v="Hunter West Civil &amp; Data"/>
    <s v="Inv 0006"/>
    <d v="2018-02-28T00:00:00"/>
    <d v="2018-03-31T00:00:00"/>
    <s v="NBN Co"/>
    <s v="NBN A401"/>
    <x v="96"/>
    <s v="NBN New Devs"/>
    <n v="1441.66"/>
  </r>
  <r>
    <s v="Hunter West Civil &amp; Data"/>
    <s v="Inv 0005"/>
    <d v="2018-02-28T00:00:00"/>
    <d v="2018-03-31T00:00:00"/>
    <s v="NBN Co"/>
    <s v="NBN A401"/>
    <x v="97"/>
    <s v="NBN New Devs"/>
    <n v="1254.18"/>
  </r>
  <r>
    <s v="Hunter West Civil &amp; Data"/>
    <s v="Inv 0004"/>
    <d v="2018-02-28T00:00:00"/>
    <d v="2018-03-31T00:00:00"/>
    <s v="NBN Co"/>
    <s v="NBN A401"/>
    <x v="97"/>
    <s v="NBN New Devs"/>
    <n v="1634.26"/>
  </r>
  <r>
    <s v="Hunter West Civil &amp; Data"/>
    <s v="Inv 0003"/>
    <d v="2018-02-28T00:00:00"/>
    <d v="2018-03-31T00:00:00"/>
    <s v="NBN Co"/>
    <s v="NBN A417"/>
    <x v="98"/>
    <s v="NBN New Devs"/>
    <n v="2015.96"/>
  </r>
  <r>
    <s v="Pacific Utilities"/>
    <s v="Inv 0284"/>
    <d v="2018-03-14T00:00:00"/>
    <d v="2018-04-30T00:00:00"/>
    <s v="NBN Co"/>
    <s v="NBN A401"/>
    <x v="94"/>
    <s v="NBN Minor Works"/>
    <n v="2299"/>
  </r>
  <r>
    <s v="Friend Civil"/>
    <s v="Inv 1187"/>
    <d v="2018-02-28T00:00:00"/>
    <d v="2018-03-31T00:00:00"/>
    <s v="NBN Co"/>
    <s v="NBN A417"/>
    <x v="82"/>
    <s v="NBN New Devs"/>
    <n v="6420"/>
  </r>
  <r>
    <s v="Craig Comms"/>
    <s v="Inv 1803802"/>
    <d v="2018-03-01T00:00:00"/>
    <d v="2018-04-30T00:00:00"/>
    <s v="NBN Co"/>
    <s v="NBN A417"/>
    <x v="65"/>
    <s v="NBN New Devs"/>
    <n v="2399.96"/>
  </r>
  <r>
    <s v="Cylas"/>
    <s v="Inv 1064"/>
    <d v="2018-03-02T00:00:00"/>
    <d v="2018-04-30T00:00:00"/>
    <s v="NBN Co"/>
    <s v="NBN A417"/>
    <x v="99"/>
    <s v="NBN New Devs"/>
    <n v="1101.3399999999999"/>
  </r>
  <r>
    <s v="Cylas"/>
    <s v="Inv 1082"/>
    <d v="2018-03-26T00:00:00"/>
    <d v="2018-04-30T00:00:00"/>
    <s v="NBN Co"/>
    <s v="NBN A417"/>
    <x v="100"/>
    <s v="NBN New Devs"/>
    <n v="459.6"/>
  </r>
  <r>
    <s v="Cylas"/>
    <s v="Inv 1065"/>
    <d v="2018-03-02T00:00:00"/>
    <d v="2018-04-30T00:00:00"/>
    <s v="NBN Co"/>
    <s v="NBN A417"/>
    <x v="101"/>
    <s v="NBN New Devs"/>
    <n v="2645.01"/>
  </r>
  <r>
    <s v="Cylas"/>
    <s v="Inv 1081"/>
    <d v="2018-03-26T00:00:00"/>
    <d v="2018-04-30T00:00:00"/>
    <s v="NBN Co"/>
    <s v="NBN A417"/>
    <x v="102"/>
    <s v="NBN New Devs"/>
    <n v="6208.68"/>
  </r>
  <r>
    <s v="Cylas"/>
    <s v="Inv 1083"/>
    <d v="2018-03-26T00:00:00"/>
    <d v="2018-04-30T00:00:00"/>
    <s v="NBN Co"/>
    <s v="NBN A401"/>
    <x v="103"/>
    <s v="NBN New Devs"/>
    <n v="5244.89"/>
  </r>
  <r>
    <s v="Cylas"/>
    <s v="Inv 1084"/>
    <d v="2018-03-26T00:00:00"/>
    <d v="2018-04-30T00:00:00"/>
    <s v="NBN Co"/>
    <s v="NBN A417"/>
    <x v="104"/>
    <s v="NBN New Devs"/>
    <n v="1885.45"/>
  </r>
  <r>
    <s v="Cylas"/>
    <s v="Inv 1085"/>
    <d v="2018-03-26T00:00:00"/>
    <d v="2018-04-30T00:00:00"/>
    <s v="NBN Co"/>
    <s v="NBN A401"/>
    <x v="105"/>
    <s v="NBN New Devs"/>
    <n v="1805.9"/>
  </r>
  <r>
    <s v="Cylas"/>
    <s v="Inv 1086"/>
    <d v="2018-03-26T00:00:00"/>
    <d v="2018-04-30T00:00:00"/>
    <s v="NBN Co"/>
    <s v="NBN A417"/>
    <x v="78"/>
    <s v="NBN New Devs"/>
    <n v="9192.9699999999993"/>
  </r>
  <r>
    <s v="Cylas"/>
    <s v="Inv 1087"/>
    <d v="2018-03-26T00:00:00"/>
    <d v="2018-04-30T00:00:00"/>
    <s v="NBN Co"/>
    <s v="NBN A401"/>
    <x v="106"/>
    <s v="NBN Assurance"/>
    <n v="1295"/>
  </r>
  <r>
    <s v="Cylas"/>
    <s v="Inv 1088"/>
    <d v="2018-03-26T00:00:00"/>
    <d v="2018-04-30T00:00:00"/>
    <s v="NBN Co"/>
    <s v="NBN A401"/>
    <x v="107"/>
    <s v="NBN Assurance"/>
    <n v="2849"/>
  </r>
  <r>
    <s v="Cylas"/>
    <s v="Inv 1089"/>
    <d v="2018-03-26T00:00:00"/>
    <d v="2018-04-30T00:00:00"/>
    <s v="NBN Co"/>
    <s v="NBN A401"/>
    <x v="108"/>
    <s v="NBN Assurance"/>
    <n v="1036"/>
  </r>
  <r>
    <s v="Cylas"/>
    <s v="Inv 1090"/>
    <d v="2018-03-26T00:00:00"/>
    <d v="2018-04-30T00:00:00"/>
    <s v="NBN Co"/>
    <s v="NBN A401"/>
    <x v="109"/>
    <s v="NBN Assurance"/>
    <n v="2849"/>
  </r>
  <r>
    <s v="Cylas"/>
    <s v="Inv 1095"/>
    <d v="2018-03-28T00:00:00"/>
    <d v="2018-04-30T00:00:00"/>
    <s v="NBN Co"/>
    <s v="NBN A417"/>
    <x v="110"/>
    <s v="NBN New Devs"/>
    <n v="4395.1400000000003"/>
  </r>
  <r>
    <s v="Cylas"/>
    <s v="Inv 1094"/>
    <d v="2018-03-28T00:00:00"/>
    <d v="2018-04-30T00:00:00"/>
    <s v="NBN Co"/>
    <s v="NBN A417"/>
    <x v="111"/>
    <s v="NBN New Devs"/>
    <n v="4736.21"/>
  </r>
  <r>
    <s v="Global Elite technologies   "/>
    <s v="Inv 116"/>
    <d v="2018-03-26T00:00:00"/>
    <d v="2018-04-30T00:00:00"/>
    <s v="NBN Co"/>
    <s v="NBN A417"/>
    <x v="112"/>
    <s v="NBN New Devs"/>
    <n v="1639.63"/>
  </r>
  <r>
    <s v="Global Elite technologies   "/>
    <s v="Inv 116"/>
    <d v="2018-03-26T00:00:00"/>
    <d v="2018-04-30T00:00:00"/>
    <s v="NBN Co"/>
    <s v="NBN A401"/>
    <x v="113"/>
    <s v="NBN New Devs"/>
    <n v="4446.68"/>
  </r>
  <r>
    <s v="Global Elite technologies   "/>
    <s v="Inv 116"/>
    <d v="2018-03-26T00:00:00"/>
    <d v="2018-04-30T00:00:00"/>
    <s v="NBN Co"/>
    <s v="NBN A401"/>
    <x v="114"/>
    <s v="NBN New Devs"/>
    <n v="676.5"/>
  </r>
  <r>
    <s v="Global Elite technologies   "/>
    <s v="Inv 116"/>
    <d v="2018-03-26T00:00:00"/>
    <d v="2018-04-30T00:00:00"/>
    <s v="NBN Co"/>
    <s v="NBN A417"/>
    <x v="115"/>
    <s v="NBN New Devs"/>
    <n v="1560.1"/>
  </r>
  <r>
    <s v="Global Elite technologies   "/>
    <s v="Inv 116"/>
    <d v="2018-03-26T00:00:00"/>
    <d v="2018-04-30T00:00:00"/>
    <s v="NBN Co"/>
    <s v="NBN A401"/>
    <x v="46"/>
    <s v="NBN New Devs"/>
    <n v="210"/>
  </r>
  <r>
    <s v="Global Elite technologies   "/>
    <s v="Inv 116"/>
    <d v="2018-03-26T00:00:00"/>
    <d v="2018-04-30T00:00:00"/>
    <s v="NBN Co"/>
    <s v="NBN A401"/>
    <x v="97"/>
    <s v="NBN New Devs"/>
    <n v="210"/>
  </r>
  <r>
    <s v="Global Elite technologies   "/>
    <s v="Inv 116"/>
    <d v="2018-03-26T00:00:00"/>
    <d v="2018-04-30T00:00:00"/>
    <s v="NBN Co"/>
    <s v="NBN A401"/>
    <x v="96"/>
    <s v="NBN New Devs"/>
    <n v="210"/>
  </r>
  <r>
    <s v="Global Elite technologies   "/>
    <s v="Inv 116"/>
    <d v="2018-03-26T00:00:00"/>
    <d v="2018-04-30T00:00:00"/>
    <s v="NBN Co"/>
    <s v="NBN A417"/>
    <x v="116"/>
    <s v="NBN New Devs"/>
    <n v="3248.8"/>
  </r>
  <r>
    <s v="Global Elite technologies   "/>
    <s v="Inv 116"/>
    <d v="2018-03-26T00:00:00"/>
    <d v="2018-04-30T00:00:00"/>
    <s v="NBN Co"/>
    <s v="NBN A417"/>
    <x v="117"/>
    <s v="NBN New Devs"/>
    <n v="3585.33"/>
  </r>
  <r>
    <s v="Cylas"/>
    <s v="Inv 1060"/>
    <d v="2018-02-27T00:00:00"/>
    <d v="2018-03-31T00:00:00"/>
    <s v="NBN Co"/>
    <s v="NBN Assurance"/>
    <x v="118"/>
    <s v="NBN Assurance"/>
    <n v="2590"/>
  </r>
  <r>
    <s v="Wireless &amp; Optical"/>
    <s v="Inv 0195"/>
    <d v="2018-03-29T00:00:00"/>
    <d v="2018-04-30T00:00:00"/>
    <s v="NBN Co"/>
    <s v="NBN Assurance"/>
    <x v="119"/>
    <s v="NBN Assurance"/>
    <n v="1360"/>
  </r>
  <r>
    <s v="Cylas"/>
    <s v="Inv 1098"/>
    <d v="2018-03-29T00:00:00"/>
    <d v="2018-04-30T00:00:00"/>
    <s v="NBN Co"/>
    <s v="NBN A417"/>
    <x v="102"/>
    <s v="NBN Assurance"/>
    <n v="3743.08"/>
  </r>
  <r>
    <s v="KSJDA"/>
    <s v="Inv 18/1208"/>
    <d v="2018-03-28T00:00:00"/>
    <d v="2018-04-30T00:00:00"/>
    <s v="NBN Co"/>
    <s v="NBN A417"/>
    <x v="65"/>
    <s v="NBN Assurance"/>
    <n v="903"/>
  </r>
  <r>
    <s v="Polite Enterprises"/>
    <s v="Inv 11892"/>
    <d v="2018-04-03T00:00:00"/>
    <d v="2018-05-31T00:00:00"/>
    <s v="NBN Co"/>
    <s v="NBN A401"/>
    <x v="60"/>
    <s v="NBN New Devs"/>
    <n v="320"/>
  </r>
  <r>
    <s v="Craig Comms"/>
    <s v="Inv 1803851"/>
    <d v="2018-04-05T00:00:00"/>
    <d v="2018-05-31T00:00:00"/>
    <s v="NBN Co"/>
    <s v="NBN A401"/>
    <x v="26"/>
    <s v="NBN Minor Works"/>
    <n v="6779.9"/>
  </r>
  <r>
    <s v="Hills Council"/>
    <s v="Inv 988255"/>
    <d v="2018-04-12T00:00:00"/>
    <d v="2018-05-31T00:00:00"/>
    <s v="NBN Co"/>
    <s v="NBN A401"/>
    <x v="120"/>
    <s v="NBN New Devs"/>
    <n v="4410.54"/>
  </r>
  <r>
    <s v="Craig Comms"/>
    <s v="Inv 1803863"/>
    <d v="2018-04-11T00:00:00"/>
    <d v="2018-05-31T00:00:00"/>
    <s v="NBN Co"/>
    <s v="NBN A401"/>
    <x v="121"/>
    <s v="NBN New Devs"/>
    <n v="2095.98"/>
  </r>
  <r>
    <s v="Craig Comms"/>
    <s v="Inv 1803862"/>
    <d v="2018-04-11T00:00:00"/>
    <d v="2018-05-31T00:00:00"/>
    <s v="NBN Co"/>
    <s v="NBN A401"/>
    <x v="13"/>
    <s v="NBN New Devs"/>
    <n v="1555.96"/>
  </r>
  <r>
    <s v="Craig Comms"/>
    <s v="Inv 1803861"/>
    <d v="2018-04-11T00:00:00"/>
    <d v="2018-05-31T00:00:00"/>
    <s v="NBN Co"/>
    <s v="NBN A417"/>
    <x v="122"/>
    <s v="NBN New Devs"/>
    <n v="5178.1000000000004"/>
  </r>
  <r>
    <s v="Craig Comms"/>
    <s v="Inv 1803859"/>
    <d v="2018-04-11T00:00:00"/>
    <d v="2018-05-31T00:00:00"/>
    <s v="NBN Co"/>
    <s v="NBN A401"/>
    <x v="64"/>
    <s v="NBN New Devs"/>
    <n v="1546.58"/>
  </r>
  <r>
    <s v="Comms Connect"/>
    <s v="Inv 10387"/>
    <d v="2018-04-10T00:00:00"/>
    <d v="2018-05-31T00:00:00"/>
    <s v="NBN Co"/>
    <s v="NBN A401"/>
    <x v="123"/>
    <s v="NBN New Devs"/>
    <n v="3013.08"/>
  </r>
  <r>
    <s v="Craig Comms"/>
    <s v="Inv 1803864"/>
    <d v="2018-04-11T00:00:00"/>
    <d v="2018-05-31T00:00:00"/>
    <s v="NBN Co"/>
    <s v="NBN A417"/>
    <x v="27"/>
    <s v="NBN New Devs"/>
    <n v="5068.58"/>
  </r>
  <r>
    <s v="Craig Comms"/>
    <s v="Inv 1803865"/>
    <d v="2018-04-11T00:00:00"/>
    <d v="2018-05-31T00:00:00"/>
    <s v="AARNet"/>
    <s v="AARNet"/>
    <x v="0"/>
    <s v="AARNet"/>
    <n v="7312"/>
  </r>
  <r>
    <s v="Daen Connect"/>
    <s v="Inv 1"/>
    <d v="2018-04-10T00:00:00"/>
    <d v="2018-05-31T00:00:00"/>
    <s v="NBN Co"/>
    <s v="NBN A401"/>
    <x v="15"/>
    <s v="NBN Minor Works"/>
    <n v="546.48"/>
  </r>
  <r>
    <s v="Daen Connect"/>
    <s v="Inv 2"/>
    <d v="2018-04-10T00:00:00"/>
    <d v="2018-05-31T00:00:00"/>
    <s v="NBN Co"/>
    <s v="NBN A401"/>
    <x v="15"/>
    <s v="NBN Minor Works"/>
    <n v="546.48"/>
  </r>
  <r>
    <s v="Craig Comms"/>
    <s v="Inv 1803868"/>
    <d v="2018-04-16T00:00:00"/>
    <d v="2018-05-31T00:00:00"/>
    <s v="NBN Co"/>
    <s v="NBN A417"/>
    <x v="34"/>
    <s v="NBN New Devs"/>
    <n v="730.76"/>
  </r>
  <r>
    <s v="Comms Connect"/>
    <s v="Inv 10401"/>
    <d v="2018-04-20T00:00:00"/>
    <d v="2018-05-31T00:00:00"/>
    <s v="NBN Co"/>
    <s v="NBN A401"/>
    <x v="124"/>
    <s v="NBN New Devs"/>
    <n v="2323.3000000000002"/>
  </r>
  <r>
    <s v="Comms Connect"/>
    <s v="Inv 10388"/>
    <d v="2018-04-11T00:00:00"/>
    <d v="2018-05-31T00:00:00"/>
    <s v="NBN Co"/>
    <s v="NBN A417"/>
    <x v="122"/>
    <s v="NBN New Devs"/>
    <n v="6199.82"/>
  </r>
  <r>
    <s v="Altus"/>
    <s v="Inv 158472"/>
    <d v="2018-04-22T00:00:00"/>
    <d v="2018-05-31T00:00:00"/>
    <s v="NBN Co"/>
    <s v="NBN A401"/>
    <x v="125"/>
    <s v="NBN New Devs"/>
    <n v="682.92"/>
  </r>
  <r>
    <s v="Altus"/>
    <s v="Inv 157420"/>
    <d v="2018-04-15T00:00:00"/>
    <d v="2018-05-31T00:00:00"/>
    <s v="NBN Co"/>
    <s v="VPL New Devs"/>
    <x v="126"/>
    <s v="NBN New Devs"/>
    <n v="3101.94"/>
  </r>
  <r>
    <s v="Cylas"/>
    <s v="Inv 1100"/>
    <d v="2018-04-30T00:00:00"/>
    <d v="2018-05-31T00:00:00"/>
    <s v="NBN Co"/>
    <s v="VPL New Devs"/>
    <x v="127"/>
    <s v="NBN New Devs"/>
    <n v="11722.05"/>
  </r>
  <r>
    <s v="Cylas"/>
    <s v="Inv 1101"/>
    <d v="2018-04-30T00:00:00"/>
    <d v="2018-05-31T00:00:00"/>
    <s v="NBN Co"/>
    <s v="NBN A417"/>
    <x v="128"/>
    <s v="NBN New Devs"/>
    <n v="1431.08"/>
  </r>
  <r>
    <s v="Cylas"/>
    <s v="Inv 1102"/>
    <d v="2018-04-30T00:00:00"/>
    <d v="2018-05-31T00:00:00"/>
    <s v="NBN Co"/>
    <s v="VPL New Devs"/>
    <x v="126"/>
    <s v="NBN New Devs"/>
    <n v="2249.6"/>
  </r>
  <r>
    <s v="Cylas"/>
    <s v="Inv 1103"/>
    <d v="2018-04-30T00:00:00"/>
    <d v="2018-05-31T00:00:00"/>
    <s v="NBN Co"/>
    <s v="NBN A417"/>
    <x v="129"/>
    <s v="NBN New Devs"/>
    <n v="3269.94"/>
  </r>
  <r>
    <s v="Cylas"/>
    <s v="Inv 1104"/>
    <d v="2018-04-30T00:00:00"/>
    <d v="2018-05-31T00:00:00"/>
    <s v="NBN Co"/>
    <s v="NBN A401"/>
    <x v="105"/>
    <s v="NBN New Devs"/>
    <n v="1680.64"/>
  </r>
  <r>
    <s v="Cylas"/>
    <s v="Inv 1105"/>
    <d v="2018-04-30T00:00:00"/>
    <d v="2018-05-31T00:00:00"/>
    <s v="NBN Co"/>
    <s v="VPL New Devs"/>
    <x v="127"/>
    <s v="NBN New Devs"/>
    <n v="13429.89"/>
  </r>
  <r>
    <s v="Cylas"/>
    <s v="Inv 1106"/>
    <d v="2018-04-30T00:00:00"/>
    <d v="2018-05-31T00:00:00"/>
    <s v="NBN Co"/>
    <s v="NBN A417"/>
    <x v="128"/>
    <s v="NBN New Devs"/>
    <n v="9684.9"/>
  </r>
  <r>
    <s v="Cylas"/>
    <s v="Inv 1107"/>
    <d v="2018-04-30T00:00:00"/>
    <d v="2018-05-31T00:00:00"/>
    <s v="NBN Co"/>
    <s v="NBN A417"/>
    <x v="130"/>
    <s v="NBN New Devs"/>
    <n v="7231.46"/>
  </r>
  <r>
    <s v="Cylas"/>
    <s v="Inv 1108"/>
    <d v="2018-04-30T00:00:00"/>
    <d v="2018-05-31T00:00:00"/>
    <s v="NBN Co"/>
    <s v="VPL New Devs"/>
    <x v="126"/>
    <s v="NBN New Devs"/>
    <n v="7347.64"/>
  </r>
  <r>
    <s v="Cylas"/>
    <s v="Inv 1109"/>
    <d v="2018-04-30T00:00:00"/>
    <d v="2018-05-31T00:00:00"/>
    <s v="NBN Co"/>
    <s v="NBN A417"/>
    <x v="131"/>
    <s v="NBN New Devs"/>
    <n v="7894.5"/>
  </r>
  <r>
    <s v="Cylas"/>
    <s v="Inv 1110"/>
    <d v="2018-04-30T00:00:00"/>
    <d v="2018-05-31T00:00:00"/>
    <s v="NBN Co"/>
    <s v="NBN A417"/>
    <x v="132"/>
    <s v="NBN New Devs"/>
    <n v="9603.8700000000008"/>
  </r>
  <r>
    <s v="Cylas"/>
    <s v="Inv 1111"/>
    <d v="2018-04-30T00:00:00"/>
    <d v="2018-05-31T00:00:00"/>
    <s v="NBN Co"/>
    <s v="NBN A417"/>
    <x v="99"/>
    <s v="NBN New Devs"/>
    <n v="6574.86"/>
  </r>
  <r>
    <s v="Cylas"/>
    <s v="Inv 1112"/>
    <d v="2018-04-30T00:00:00"/>
    <d v="2018-05-31T00:00:00"/>
    <s v="NBN Co"/>
    <s v="NBN A417"/>
    <x v="133"/>
    <s v="NBN New Devs"/>
    <n v="2156.54"/>
  </r>
  <r>
    <s v="Comms Connect"/>
    <s v="Inv 10441"/>
    <d v="2018-04-30T00:00:00"/>
    <d v="2018-05-31T00:00:00"/>
    <s v="NBN Co"/>
    <s v="NBN A401"/>
    <x v="134"/>
    <s v="NBN New Devs"/>
    <n v="3773.27"/>
  </r>
  <r>
    <s v="Global Elite technologies   "/>
    <s v="Inv 117"/>
    <d v="2018-04-26T00:00:00"/>
    <d v="2018-05-31T00:00:00"/>
    <s v="NBN Co"/>
    <s v="NBN A417"/>
    <x v="128"/>
    <s v="NBN New Devs"/>
    <n v="2533.19"/>
  </r>
  <r>
    <s v="Global Elite technologies   "/>
    <s v="Inv 117"/>
    <d v="2018-04-26T00:00:00"/>
    <d v="2018-05-31T00:00:00"/>
    <s v="NBN Co"/>
    <s v="NBN A417"/>
    <x v="135"/>
    <s v="NBN New Devs"/>
    <n v="613.94000000000005"/>
  </r>
  <r>
    <s v="Global Elite technologies   "/>
    <s v="Inv 117"/>
    <d v="2018-04-26T00:00:00"/>
    <d v="2018-05-31T00:00:00"/>
    <s v="NBN Co"/>
    <s v="NBN A417"/>
    <x v="136"/>
    <s v="NBN New Devs"/>
    <n v="4066.58"/>
  </r>
  <r>
    <s v="Global Elite technologies   "/>
    <s v="Inv 117"/>
    <d v="2018-04-26T00:00:00"/>
    <d v="2018-05-31T00:00:00"/>
    <s v="NBN Co"/>
    <s v="NBN A401"/>
    <x v="97"/>
    <s v="NBN New Devs"/>
    <n v="2785.85"/>
  </r>
  <r>
    <s v="Hunter West Civil &amp; Data"/>
    <s v="Inv 0008"/>
    <d v="2018-05-03T00:00:00"/>
    <d v="2018-06-30T00:00:00"/>
    <s v="NBN Co"/>
    <s v="NBN A401"/>
    <x v="137"/>
    <s v="NBN New Devs"/>
    <n v="9927.23"/>
  </r>
  <r>
    <s v="Hunter West Civil &amp; Data"/>
    <s v="Inv 0009"/>
    <d v="2018-05-03T00:00:00"/>
    <d v="2018-06-30T00:00:00"/>
    <s v="NBN Co"/>
    <s v="NBN A417"/>
    <x v="138"/>
    <s v="NBN New Devs"/>
    <n v="1294.92"/>
  </r>
  <r>
    <s v="Hunter West Civil &amp; Data"/>
    <s v="Inv 0010"/>
    <d v="2018-05-03T00:00:00"/>
    <d v="2018-06-30T00:00:00"/>
    <s v="NBN Co"/>
    <s v="NBN A417"/>
    <x v="139"/>
    <s v="NBN New Devs"/>
    <n v="703.2"/>
  </r>
  <r>
    <s v="Nintey Nine Group"/>
    <s v="Inv 553"/>
    <d v="2018-05-12T00:00:00"/>
    <d v="2018-05-26T00:00:00"/>
    <s v="NBN Co"/>
    <s v="NBN Project Fusion"/>
    <x v="140"/>
    <s v="NBN Project Fusion"/>
    <n v="9760"/>
  </r>
  <r>
    <s v="Nintey Nine Group"/>
    <s v="Inv 552"/>
    <d v="2018-04-29T00:00:00"/>
    <d v="2018-05-13T00:00:00"/>
    <s v="NBN Co"/>
    <s v="NBN Project Fusion"/>
    <x v="141"/>
    <s v="NBN Project Fusion"/>
    <n v="3000"/>
  </r>
  <r>
    <s v="L&amp;M Trenchless"/>
    <s v="Inv 4157A"/>
    <d v="2018-05-15T00:00:00"/>
    <d v="2018-06-30T00:00:00"/>
    <s v="NBN Co"/>
    <s v="NBN A401"/>
    <x v="142"/>
    <s v="NBN New Devs"/>
    <n v="12047.7"/>
  </r>
  <r>
    <s v="L&amp;M Trenchless"/>
    <s v="Inv 4158A"/>
    <d v="2018-05-15T00:00:00"/>
    <d v="2018-06-30T00:00:00"/>
    <s v="NBN Co"/>
    <s v="NBN A401"/>
    <x v="142"/>
    <s v="NBN New Devs"/>
    <n v="1298.75"/>
  </r>
  <r>
    <s v="Altus"/>
    <s v="Inv 161363"/>
    <d v="2018-05-13T00:00:00"/>
    <d v="2018-06-30T00:00:00"/>
    <s v="NBN Co"/>
    <s v="VPL New Devs"/>
    <x v="143"/>
    <s v="NBN New Devs"/>
    <n v="1954.03"/>
  </r>
  <r>
    <s v="Nintey Nine Group"/>
    <s v="Inv 554"/>
    <d v="2018-05-18T00:00:00"/>
    <d v="2018-06-01T00:00:00"/>
    <s v="NBN Co"/>
    <s v="NBN Project Fusion"/>
    <x v="144"/>
    <s v="NBN Project Fusion"/>
    <n v="11080"/>
  </r>
  <r>
    <s v="Comms Connect"/>
    <s v="Inv 10498"/>
    <d v="2018-05-23T00:00:00"/>
    <d v="2018-06-30T00:00:00"/>
    <s v="NBN Co"/>
    <s v="NBN A401"/>
    <x v="145"/>
    <s v="NBN New Devs"/>
    <n v="5405.07"/>
  </r>
  <r>
    <s v="Nintey Nine Group"/>
    <s v="Inv 556"/>
    <d v="2018-05-24T00:00:00"/>
    <d v="2018-06-07T00:00:00"/>
    <s v="NBN Co"/>
    <s v="NBN Project Fusion"/>
    <x v="146"/>
    <s v="NBN Project Fusion"/>
    <n v="15304"/>
  </r>
  <r>
    <s v="Comms Connect"/>
    <s v="Inv 10497"/>
    <d v="2018-05-23T00:00:00"/>
    <d v="2018-06-30T00:00:00"/>
    <s v="NBN Co"/>
    <s v="NBN A401"/>
    <x v="147"/>
    <s v="NBN New Devs"/>
    <n v="8266.83"/>
  </r>
  <r>
    <s v="Qubicon"/>
    <s v="Inv 568"/>
    <d v="2018-05-21T00:00:00"/>
    <d v="2018-06-30T00:00:00"/>
    <s v="NBN Co"/>
    <s v="NBN A417"/>
    <x v="148"/>
    <s v="NBN New Devs"/>
    <n v="4548.67"/>
  </r>
  <r>
    <s v="Qubicon"/>
    <s v="Inv 569"/>
    <d v="2018-05-21T00:00:00"/>
    <d v="2018-06-30T00:00:00"/>
    <s v="NBN Co"/>
    <s v="NBN A401"/>
    <x v="149"/>
    <s v="NBN New Devs"/>
    <n v="1960"/>
  </r>
  <r>
    <s v="Corrosion Control Engineering"/>
    <s v="Inv CNI13357"/>
    <d v="2018-05-28T00:00:00"/>
    <d v="2018-06-30T00:00:00"/>
    <s v="NBN Co"/>
    <s v="NBN A417"/>
    <x v="150"/>
    <s v="NBN New Devs"/>
    <n v="1720"/>
  </r>
  <r>
    <s v="Cylas"/>
    <s v="Inv 1115"/>
    <d v="2018-05-30T00:00:00"/>
    <d v="2018-06-30T00:00:00"/>
    <s v="NBN Co"/>
    <s v="NBN A417"/>
    <x v="151"/>
    <s v="NBN New Devs"/>
    <n v="1704.24"/>
  </r>
  <r>
    <s v="Cylas"/>
    <s v="Inv 1116"/>
    <d v="2018-05-30T00:00:00"/>
    <d v="2018-06-30T00:00:00"/>
    <s v="NBN Co"/>
    <s v="NBN A417"/>
    <x v="148"/>
    <s v="NBN New Devs"/>
    <n v="4902.82"/>
  </r>
  <r>
    <s v="Cylas"/>
    <s v="Inv 1117"/>
    <d v="2018-05-30T00:00:00"/>
    <d v="2018-06-30T00:00:00"/>
    <s v="NBN Co"/>
    <s v="NBN A417"/>
    <x v="152"/>
    <s v="NBN New Devs"/>
    <n v="4761.7299999999996"/>
  </r>
  <r>
    <s v="Cylas"/>
    <s v="Inv 1118"/>
    <d v="2018-05-30T00:00:00"/>
    <d v="2018-06-30T00:00:00"/>
    <s v="NBN Co"/>
    <s v="NBN A417"/>
    <x v="153"/>
    <s v="NBN New Devs"/>
    <n v="4761.2"/>
  </r>
  <r>
    <s v="Cylas"/>
    <s v="Inv 1119"/>
    <d v="2018-05-30T00:00:00"/>
    <d v="2018-06-30T00:00:00"/>
    <s v="NBN Co"/>
    <s v="NBN A417"/>
    <x v="154"/>
    <s v="NBN New Devs"/>
    <n v="2111.52"/>
  </r>
  <r>
    <s v="Cylas"/>
    <s v="Inv 1120"/>
    <d v="2018-05-30T00:00:00"/>
    <d v="2018-06-30T00:00:00"/>
    <s v="NBN Co"/>
    <s v="NBN A417"/>
    <x v="148"/>
    <s v="NBN New Devs"/>
    <n v="1875.06"/>
  </r>
  <r>
    <s v="Cylas"/>
    <s v="Inv 1121"/>
    <d v="2018-05-30T00:00:00"/>
    <d v="2018-06-30T00:00:00"/>
    <s v="NBN Co"/>
    <s v="NBN A417"/>
    <x v="155"/>
    <s v="NBN New Devs"/>
    <n v="6152.49"/>
  </r>
  <r>
    <s v="Cylas"/>
    <s v="Inv 1122"/>
    <d v="2018-05-30T00:00:00"/>
    <d v="2018-06-30T00:00:00"/>
    <s v="NBN Co"/>
    <s v="NBN A417"/>
    <x v="156"/>
    <s v="NBN New Devs"/>
    <n v="5968.17"/>
  </r>
  <r>
    <s v="Cylas"/>
    <s v="Inv 1123"/>
    <d v="2018-05-30T00:00:00"/>
    <d v="2018-06-30T00:00:00"/>
    <s v="NBN Co"/>
    <s v="NBN A417"/>
    <x v="157"/>
    <s v="NBN New Devs"/>
    <n v="3925.55"/>
  </r>
  <r>
    <s v="Cylas"/>
    <s v="Inv 1124"/>
    <d v="2018-05-30T00:00:00"/>
    <d v="2018-06-30T00:00:00"/>
    <s v="NBN Co"/>
    <s v="NBN A417"/>
    <x v="158"/>
    <s v="NBN New Devs"/>
    <n v="4066.44"/>
  </r>
  <r>
    <s v="Cylas"/>
    <s v="Inv 1125"/>
    <d v="2018-05-30T00:00:00"/>
    <d v="2018-06-30T00:00:00"/>
    <s v="NBN Co"/>
    <s v="NBN A417"/>
    <x v="159"/>
    <s v="NBN New Devs"/>
    <n v="6326.5"/>
  </r>
  <r>
    <s v="Cylas"/>
    <s v="Inv 1126"/>
    <d v="2018-05-30T00:00:00"/>
    <d v="2018-06-30T00:00:00"/>
    <s v="NBN Co"/>
    <s v="NBN A417"/>
    <x v="131"/>
    <s v="NBN New Devs"/>
    <n v="1583.41"/>
  </r>
  <r>
    <s v="Cylas"/>
    <s v="Inv 1127"/>
    <d v="2018-05-30T00:00:00"/>
    <d v="2018-06-30T00:00:00"/>
    <s v="NBN Co"/>
    <s v="NBN A401"/>
    <x v="160"/>
    <s v="NBN New Devs"/>
    <n v="1826.69"/>
  </r>
  <r>
    <s v="Cylas"/>
    <s v="Inv 1128"/>
    <d v="2018-05-30T00:00:00"/>
    <d v="2018-06-30T00:00:00"/>
    <s v="NBN Co"/>
    <s v="NBN A417"/>
    <x v="157"/>
    <s v="NBN New Devs"/>
    <n v="726.33"/>
  </r>
  <r>
    <s v="Paramount Telecom"/>
    <s v="Inv 092"/>
    <d v="2018-05-25T00:00:00"/>
    <d v="2018-06-30T00:00:00"/>
    <s v="NBN Co"/>
    <s v="NBN A401"/>
    <x v="161"/>
    <s v="NBN New Devs"/>
    <n v="300"/>
  </r>
  <r>
    <s v="Paramount Telecom"/>
    <s v="Inv 092"/>
    <d v="2018-05-25T00:00:00"/>
    <d v="2018-06-30T00:00:00"/>
    <s v="NBN Co"/>
    <s v="NBN Minor Works"/>
    <x v="162"/>
    <s v="NBN Minor Works"/>
    <n v="600"/>
  </r>
  <r>
    <s v="Cylas"/>
    <s v="Inv 1129"/>
    <d v="2018-05-31T00:00:00"/>
    <d v="2018-06-30T00:00:00"/>
    <s v="NBN Co"/>
    <s v="VPL New Devs"/>
    <x v="143"/>
    <s v="NBN New Devs"/>
    <n v="7982.82"/>
  </r>
  <r>
    <s v="Cylas"/>
    <s v="Inv 1130"/>
    <d v="2018-05-31T00:00:00"/>
    <d v="2018-06-30T00:00:00"/>
    <s v="NBN Co"/>
    <s v="VPL New Devs"/>
    <x v="163"/>
    <s v="NBN New Devs"/>
    <n v="18732.73"/>
  </r>
  <r>
    <s v="Cylas"/>
    <s v="Inv 1131"/>
    <d v="2018-05-31T00:00:00"/>
    <d v="2018-06-30T00:00:00"/>
    <s v="NBN Co"/>
    <s v="NBN A417"/>
    <x v="151"/>
    <s v="NBN New Devs"/>
    <n v="657.18"/>
  </r>
  <r>
    <s v="Canterbury Concil"/>
    <s v="Inv 2048219"/>
    <d v="2018-05-31T00:00:00"/>
    <d v="2018-06-30T00:00:00"/>
    <s v="NBN Co"/>
    <s v="NBN A417"/>
    <x v="78"/>
    <s v="NBN New Devs"/>
    <n v="1051"/>
  </r>
  <r>
    <s v="Global Elite technologies   "/>
    <s v="Inv 118"/>
    <d v="2018-05-26T00:00:00"/>
    <d v="2018-06-30T00:00:00"/>
    <s v="NBN Co"/>
    <s v="NBN A417"/>
    <x v="164"/>
    <s v="NBN New Devs"/>
    <n v="1713.1"/>
  </r>
  <r>
    <s v="Global Elite technologies   "/>
    <s v="Inv 118"/>
    <d v="2018-05-26T00:00:00"/>
    <d v="2018-06-30T00:00:00"/>
    <s v="NBN Co"/>
    <s v="NBN A417"/>
    <x v="165"/>
    <s v="NBN New Devs"/>
    <n v="1203.8"/>
  </r>
  <r>
    <s v="Global Elite technologies   "/>
    <s v="Inv 118"/>
    <d v="2018-05-26T00:00:00"/>
    <d v="2018-06-30T00:00:00"/>
    <s v="NBN Co"/>
    <s v="VPL New Devs"/>
    <x v="166"/>
    <s v="NBN New Devs"/>
    <n v="443.04"/>
  </r>
  <r>
    <s v="Global Elite technologies   "/>
    <s v="Inv 118"/>
    <d v="2018-05-26T00:00:00"/>
    <d v="2018-06-30T00:00:00"/>
    <s v="NBN Co"/>
    <s v="NBN A401"/>
    <x v="167"/>
    <s v="NBN New Devs"/>
    <n v="1143.6099999999999"/>
  </r>
  <r>
    <s v="Global Elite technologies   "/>
    <s v="Inv 118"/>
    <d v="2018-05-26T00:00:00"/>
    <d v="2018-06-30T00:00:00"/>
    <s v="NBN Co"/>
    <s v="NBN A417"/>
    <x v="168"/>
    <s v="NBN New Devs"/>
    <n v="1225.45"/>
  </r>
  <r>
    <s v="Global Elite technologies   "/>
    <s v="Inv 118"/>
    <d v="2018-05-26T00:00:00"/>
    <d v="2018-06-30T00:00:00"/>
    <s v="NBN Co"/>
    <s v="NBN A417"/>
    <x v="169"/>
    <s v="NBN New Devs"/>
    <n v="490.78"/>
  </r>
  <r>
    <s v="Global Elite technologies   "/>
    <s v="Inv 118"/>
    <d v="2018-05-26T00:00:00"/>
    <d v="2018-06-30T00:00:00"/>
    <s v="NBN Co"/>
    <s v="NBN A417"/>
    <x v="170"/>
    <s v="NBN New Devs"/>
    <n v="976.93"/>
  </r>
  <r>
    <s v="Qubicon"/>
    <s v="Inv 570"/>
    <d v="2018-05-30T00:00:00"/>
    <d v="2018-06-30T00:00:00"/>
    <s v="NBN Co"/>
    <s v="NBN A401"/>
    <x v="171"/>
    <s v="NBN New Devs"/>
    <n v="1120"/>
  </r>
  <r>
    <s v="Nintey Nine Group"/>
    <s v="Inv 557"/>
    <d v="2018-06-05T00:00:00"/>
    <d v="2018-06-19T00:00:00"/>
    <s v="NBN Co"/>
    <s v="NBN Project Fusion"/>
    <x v="172"/>
    <s v="NBN Project Fusion"/>
    <n v="1782.5"/>
  </r>
  <r>
    <s v="Nintey Nine Group"/>
    <s v="Inv 557"/>
    <d v="2018-06-05T00:00:00"/>
    <d v="2018-06-19T00:00:00"/>
    <s v="NBN Co"/>
    <s v="NBN Project Fusion"/>
    <x v="173"/>
    <s v="NBN Project Fusion"/>
    <n v="4926.5"/>
  </r>
  <r>
    <s v="Nintey Nine Group"/>
    <s v="Inv 557"/>
    <d v="2018-06-05T00:00:00"/>
    <d v="2018-06-19T00:00:00"/>
    <s v="NBN Co"/>
    <s v="NBN Project Fusion"/>
    <x v="174"/>
    <s v="NBN Project Fusion"/>
    <n v="2088.5"/>
  </r>
  <r>
    <s v="Nintey Nine Group"/>
    <s v="Inv 557"/>
    <d v="2018-06-05T00:00:00"/>
    <d v="2018-06-19T00:00:00"/>
    <s v="NBN Co"/>
    <s v="NBN Project Fusion"/>
    <x v="175"/>
    <s v="NBN Project Fusion"/>
    <n v="2547.5"/>
  </r>
  <r>
    <s v="Nintey Nine Group"/>
    <s v="Inv 558"/>
    <d v="2018-06-06T00:00:00"/>
    <d v="2018-06-20T00:00:00"/>
    <s v="NBN Co"/>
    <s v="NBN Project Fusion"/>
    <x v="176"/>
    <s v="NBN Project Fusion"/>
    <n v="34356"/>
  </r>
  <r>
    <s v="Altus"/>
    <s v="Inv 164447"/>
    <d v="2018-06-03T00:00:00"/>
    <d v="2018-07-31T00:00:00"/>
    <s v="NBN Co"/>
    <s v="NBN A417"/>
    <x v="177"/>
    <s v="NBN New Devs"/>
    <n v="285"/>
  </r>
  <r>
    <s v="Nintey Nine Group"/>
    <s v="Inv 559"/>
    <d v="2018-06-12T00:00:00"/>
    <d v="2018-06-26T00:00:00"/>
    <s v="NBN Co"/>
    <s v="NBN Project Fusion"/>
    <x v="178"/>
    <s v="NBN Project Fusion"/>
    <n v="5136.5"/>
  </r>
  <r>
    <s v="Nintey Nine Group"/>
    <s v="Inv 560"/>
    <d v="2018-06-13T00:00:00"/>
    <d v="2018-06-27T00:00:00"/>
    <s v="NBN Co"/>
    <s v="NBN Project Fusion"/>
    <x v="179"/>
    <s v="NBN Project Fusion"/>
    <n v="9452"/>
  </r>
  <r>
    <s v="Craig Comms"/>
    <s v="Inv 1803941"/>
    <d v="2018-06-11T00:00:00"/>
    <d v="2018-07-31T00:00:00"/>
    <s v="NBN Co"/>
    <s v="VPL New Devs"/>
    <x v="163"/>
    <s v="NBN New Devs"/>
    <n v="8902.3799999999992"/>
  </r>
  <r>
    <s v="Nintey Nine Group"/>
    <s v="Inv 561"/>
    <d v="2018-06-17T00:00:00"/>
    <d v="2018-07-01T00:00:00"/>
    <s v="NBN Co"/>
    <s v="NBN Project Fusion"/>
    <x v="180"/>
    <s v="NBN Project Fusion"/>
    <n v="9325.25"/>
  </r>
  <r>
    <s v="Comms Connect"/>
    <s v="Inv 10445"/>
    <d v="2018-06-02T00:00:00"/>
    <d v="2018-07-31T00:00:00"/>
    <s v="NBN Co"/>
    <s v="NBN A401"/>
    <x v="181"/>
    <s v="NBN New Devs"/>
    <n v="2459.0700000000002"/>
  </r>
  <r>
    <s v="Comms Connect"/>
    <s v="Inv/CR 10583"/>
    <d v="2018-06-19T00:00:00"/>
    <d v="2018-07-31T00:00:00"/>
    <s v="NBN Co"/>
    <s v="NBN A401"/>
    <x v="181"/>
    <s v="NBN New Devs"/>
    <n v="-100.8"/>
  </r>
  <r>
    <s v="Nintey Nine Group"/>
    <s v="Inv 564"/>
    <d v="2018-06-21T00:00:00"/>
    <d v="2018-07-05T00:00:00"/>
    <s v="NBN Co"/>
    <s v="NBN Project Fusion"/>
    <x v="182"/>
    <s v="NBN Project Fusion"/>
    <n v="1467.5"/>
  </r>
  <r>
    <s v="Nintey Nine Group"/>
    <s v="Inv 563"/>
    <d v="2018-06-21T00:00:00"/>
    <d v="2018-07-05T00:00:00"/>
    <s v="NBN Co"/>
    <s v="NBN Project Fusion"/>
    <x v="183"/>
    <s v="NBN Project Fusion"/>
    <n v="1151"/>
  </r>
  <r>
    <s v="Nintey Nine Group"/>
    <s v="Inv 562"/>
    <d v="2018-06-21T00:00:00"/>
    <d v="2018-07-05T00:00:00"/>
    <s v="NBN Co"/>
    <s v="NBN Project Fusion"/>
    <x v="184"/>
    <s v="NBN Project Fusion"/>
    <n v="10256.5"/>
  </r>
  <r>
    <s v="Canterbury Concil"/>
    <s v="Inv 2048203"/>
    <d v="2018-06-22T00:00:00"/>
    <d v="2018-07-31T00:00:00"/>
    <s v="NBN Co"/>
    <s v="VPL New Devs"/>
    <x v="126"/>
    <s v="NBN New Devs"/>
    <n v="2695"/>
  </r>
  <r>
    <s v="Craig Comms"/>
    <s v="Inv 1803957"/>
    <d v="2018-06-22T00:00:00"/>
    <d v="2018-07-31T00:00:00"/>
    <s v="NBN Co"/>
    <s v="VPL New Devs"/>
    <x v="143"/>
    <s v="NBN New Devs"/>
    <n v="12873.26"/>
  </r>
  <r>
    <s v="Blacktown Council"/>
    <s v="PO 0460"/>
    <m/>
    <m/>
    <s v="NBN Co"/>
    <s v="NBN A417"/>
    <x v="185"/>
    <s v="NBN New Devs"/>
    <n v="1036.8"/>
  </r>
  <r>
    <s v="Nintey Nine Group"/>
    <s v="Inv 565"/>
    <d v="2018-06-27T00:00:00"/>
    <d v="2018-07-11T00:00:00"/>
    <s v="NBN Co"/>
    <s v="NBN Project Fusion"/>
    <x v="186"/>
    <s v="NBN Project Fusion"/>
    <n v="12840"/>
  </r>
  <r>
    <s v="Nintey Nine Group"/>
    <s v="Inv 566"/>
    <d v="2018-06-27T00:00:00"/>
    <d v="2018-07-11T00:00:00"/>
    <s v="NBN Co"/>
    <s v="NBN Project Fusion"/>
    <x v="187"/>
    <s v="NBN Project Fusion"/>
    <n v="8924"/>
  </r>
  <r>
    <s v="Nintey Nine Group"/>
    <s v="Inv 567"/>
    <d v="2018-06-27T00:00:00"/>
    <d v="2018-07-11T00:00:00"/>
    <s v="NBN Co"/>
    <s v="NBN Project Fusion"/>
    <x v="188"/>
    <s v="NBN Project Fusion"/>
    <n v="7472"/>
  </r>
  <r>
    <s v="Nintey Nine Group"/>
    <s v="Inv 568"/>
    <d v="2018-06-27T00:00:00"/>
    <d v="2018-07-11T00:00:00"/>
    <s v="NBN Co"/>
    <s v="NBN Project Fusion"/>
    <x v="189"/>
    <s v="NBN Project Fusion"/>
    <n v="13060"/>
  </r>
  <r>
    <s v="Hills Council"/>
    <s v="Inv 1017189"/>
    <d v="2018-06-28T00:00:00"/>
    <d v="2018-07-31T00:00:00"/>
    <s v="NBN Co"/>
    <s v="NBN A417"/>
    <x v="190"/>
    <s v="NBN New Devs"/>
    <n v="3361.68"/>
  </r>
  <r>
    <s v="Cylas"/>
    <s v="Inv 1144"/>
    <d v="2018-06-26T00:00:00"/>
    <d v="2018-07-31T00:00:00"/>
    <s v="NBN Co"/>
    <s v="NBN A417"/>
    <x v="150"/>
    <s v="NBN New Devs"/>
    <n v="913.46"/>
  </r>
  <r>
    <s v="Cylas"/>
    <s v="Inv 1143"/>
    <d v="2018-06-29T00:00:00"/>
    <d v="2018-07-31T00:00:00"/>
    <s v="NBN Co"/>
    <s v="NBN A417"/>
    <x v="185"/>
    <s v="NBN New Devs"/>
    <n v="7873.12"/>
  </r>
  <r>
    <s v="Cylas"/>
    <s v="Inv 1145"/>
    <d v="2018-06-29T00:00:00"/>
    <d v="2018-07-31T00:00:00"/>
    <s v="NBN Co"/>
    <s v="NBN A417"/>
    <x v="191"/>
    <s v="NBN New Devs"/>
    <n v="3901.61"/>
  </r>
  <r>
    <s v="Cylas"/>
    <s v="Inv 1146"/>
    <d v="2018-06-29T00:00:00"/>
    <d v="2018-07-31T00:00:00"/>
    <s v="NBN Co"/>
    <s v="NBN A417"/>
    <x v="192"/>
    <s v="NBN New Devs"/>
    <n v="4453.75"/>
  </r>
  <r>
    <s v="Cylas"/>
    <s v="Inv 1147"/>
    <d v="2018-06-29T00:00:00"/>
    <d v="2018-07-31T00:00:00"/>
    <s v="NBN Co"/>
    <s v="NBN A417"/>
    <x v="177"/>
    <s v="NBN New Devs"/>
    <n v="9455.19"/>
  </r>
  <r>
    <s v="Cylas"/>
    <s v="Inv 1148"/>
    <d v="2018-06-29T00:00:00"/>
    <d v="2018-07-31T00:00:00"/>
    <s v="NBN Co"/>
    <s v="NBN A417"/>
    <x v="193"/>
    <s v="NBN New Devs"/>
    <n v="3866.63"/>
  </r>
  <r>
    <s v="Cylas"/>
    <s v="Inv 1149"/>
    <d v="2018-06-29T00:00:00"/>
    <d v="2018-07-31T00:00:00"/>
    <s v="NBN Co"/>
    <s v="NBN A417"/>
    <x v="194"/>
    <s v="NBN New Devs"/>
    <n v="3140.46"/>
  </r>
  <r>
    <s v="Cylas"/>
    <s v="Inv 1150"/>
    <d v="2018-06-29T00:00:00"/>
    <d v="2018-07-31T00:00:00"/>
    <s v="NBN Co"/>
    <s v="NBN A417"/>
    <x v="195"/>
    <s v="NBN New Devs"/>
    <n v="3074"/>
  </r>
  <r>
    <s v="Cylas"/>
    <s v="Inv 1151"/>
    <d v="2018-06-29T00:00:00"/>
    <d v="2018-07-31T00:00:00"/>
    <s v="NBN Co"/>
    <s v="NBN A417"/>
    <x v="196"/>
    <s v="NBN New Devs"/>
    <n v="2974.72"/>
  </r>
  <r>
    <s v="Cylas"/>
    <s v="Inv 1152"/>
    <d v="2018-06-29T00:00:00"/>
    <d v="2018-07-31T00:00:00"/>
    <s v="NBN Co"/>
    <s v="NBN A417"/>
    <x v="197"/>
    <s v="NBN New Devs"/>
    <n v="9921.16"/>
  </r>
  <r>
    <s v="Cylas"/>
    <s v="Inv 1153"/>
    <d v="2018-06-29T00:00:00"/>
    <d v="2018-07-31T00:00:00"/>
    <s v="NBN Co"/>
    <s v="NBN A417"/>
    <x v="185"/>
    <s v="NBN New Devs"/>
    <n v="8652.34"/>
  </r>
  <r>
    <s v="Comms Connect"/>
    <s v="Inv 10622"/>
    <d v="2018-06-28T00:00:00"/>
    <d v="2018-07-31T00:00:00"/>
    <s v="NBN Co"/>
    <s v="NBN A401"/>
    <x v="198"/>
    <s v="NBN New Devs"/>
    <n v="3003.86"/>
  </r>
  <r>
    <s v="Comms Connect"/>
    <s v="inv 10615"/>
    <d v="2018-06-28T00:00:00"/>
    <d v="2018-07-31T00:00:00"/>
    <s v="NBN Co"/>
    <s v="NBN A417"/>
    <x v="199"/>
    <s v="NBN New Devs"/>
    <n v="4422.17"/>
  </r>
  <r>
    <s v="Michael Gale"/>
    <s v="Inv 116017"/>
    <d v="2018-06-24T00:00:00"/>
    <d v="2018-07-31T00:00:00"/>
    <s v="NBN Co"/>
    <s v="NBN A417"/>
    <x v="200"/>
    <s v="NBN New Devs"/>
    <n v="1502.68"/>
  </r>
  <r>
    <s v="Michael Gale"/>
    <s v="Inv 116018"/>
    <d v="2018-06-24T00:00:00"/>
    <d v="2018-07-31T00:00:00"/>
    <s v="NBN Co"/>
    <s v="NBN A417"/>
    <x v="201"/>
    <s v="NBN New Devs"/>
    <n v="1932.82"/>
  </r>
  <r>
    <s v="Michael Gale"/>
    <s v="Inv 116019"/>
    <d v="2018-06-24T00:00:00"/>
    <d v="2018-07-31T00:00:00"/>
    <s v="NBN Co"/>
    <s v="NBN A401"/>
    <x v="202"/>
    <s v="NBN New Devs"/>
    <n v="2229.52"/>
  </r>
  <r>
    <s v="LCC"/>
    <s v="Inv 10269"/>
    <d v="2018-07-01T00:00:00"/>
    <d v="2018-08-31T00:00:00"/>
    <s v="NBN Co"/>
    <s v="NBN A401"/>
    <x v="203"/>
    <s v="NBN New Devs"/>
    <n v="5530.26"/>
  </r>
  <r>
    <s v="LCC"/>
    <s v="Inv 10268"/>
    <d v="2018-07-01T00:00:00"/>
    <d v="2018-08-31T00:00:00"/>
    <s v="NBN Co"/>
    <s v="NBN A401"/>
    <x v="204"/>
    <s v="NBN New Devs"/>
    <n v="2366.54"/>
  </r>
  <r>
    <s v="Nintey Nine Group"/>
    <s v="Inv 569"/>
    <d v="2018-07-02T00:00:00"/>
    <d v="2018-07-16T00:00:00"/>
    <s v="NBN Co"/>
    <s v="NBN Project Fusion"/>
    <x v="205"/>
    <s v="NBN Project Fusion"/>
    <n v="20672"/>
  </r>
  <r>
    <s v="Global Elite technologies   "/>
    <s v="Inv 119"/>
    <d v="2018-06-26T00:00:00"/>
    <d v="2018-07-31T00:00:00"/>
    <s v="NBN Co"/>
    <s v="NBN A417"/>
    <x v="206"/>
    <s v="NBN New Devs"/>
    <n v="1221.19"/>
  </r>
  <r>
    <s v="Global Elite technologies   "/>
    <s v="Inv 119"/>
    <d v="2018-06-26T00:00:00"/>
    <d v="2018-07-31T00:00:00"/>
    <s v="NBN Co"/>
    <s v="NBN A417"/>
    <x v="207"/>
    <s v="NBN New Devs"/>
    <n v="3524.25"/>
  </r>
  <r>
    <s v="Global Elite technologies   "/>
    <s v="Inv 119"/>
    <d v="2018-06-26T00:00:00"/>
    <d v="2018-07-31T00:00:00"/>
    <s v="NBN Co"/>
    <s v="NBN A417"/>
    <x v="208"/>
    <s v="NBN New Devs"/>
    <n v="1434.4"/>
  </r>
  <r>
    <s v="Global Elite technologies   "/>
    <s v="Inv 119"/>
    <d v="2018-06-26T00:00:00"/>
    <d v="2018-07-31T00:00:00"/>
    <s v="NBN Co"/>
    <s v="NBN A417"/>
    <x v="209"/>
    <s v="NBN New Devs"/>
    <n v="7183.72"/>
  </r>
  <r>
    <s v="Global Elite technologies   "/>
    <s v="Inv 119"/>
    <d v="2018-06-26T00:00:00"/>
    <d v="2018-07-31T00:00:00"/>
    <s v="NBN Co"/>
    <s v="NBN A417"/>
    <x v="210"/>
    <s v="NBN New Devs"/>
    <n v="1285"/>
  </r>
  <r>
    <s v="Michael Gale"/>
    <s v="Inv 116105"/>
    <d v="2018-05-14T00:00:00"/>
    <d v="2018-06-30T00:00:00"/>
    <s v="NBN Co"/>
    <s v="NBN A417"/>
    <x v="164"/>
    <s v="NBN New Devs"/>
    <n v="1443.94"/>
  </r>
  <r>
    <s v="Michael Gale"/>
    <s v="Inv 116105"/>
    <d v="2018-05-14T00:00:00"/>
    <d v="2018-06-30T00:00:00"/>
    <s v="NBN Co"/>
    <s v="NBN A417"/>
    <x v="211"/>
    <s v="NBN New Devs"/>
    <n v="306.39999999999998"/>
  </r>
  <r>
    <s v="Michael Gale"/>
    <s v="Inv 116105"/>
    <d v="2018-05-14T00:00:00"/>
    <d v="2018-06-30T00:00:00"/>
    <s v="NBN Co"/>
    <s v="NBN A417"/>
    <x v="158"/>
    <s v="NBN New Devs"/>
    <n v="2423"/>
  </r>
  <r>
    <s v="Marshall Directional Drilling"/>
    <s v="Inv 1718"/>
    <d v="2018-07-04T00:00:00"/>
    <d v="2018-08-31T00:00:00"/>
    <s v="NBN Co"/>
    <s v="NBN A401"/>
    <x v="212"/>
    <s v="NBN New Devs"/>
    <n v="5714.37"/>
  </r>
  <r>
    <s v="Burwood Council"/>
    <s v="Inv 66128"/>
    <d v="2018-07-06T00:00:00"/>
    <d v="2018-08-31T00:00:00"/>
    <s v="NBN Co"/>
    <s v="NBN A417"/>
    <x v="153"/>
    <s v="NBN New Devs"/>
    <n v="1664"/>
  </r>
  <r>
    <s v="AusGrid"/>
    <s v="Inv 893 897 917"/>
    <d v="2018-07-16T00:00:00"/>
    <d v="2018-08-31T00:00:00"/>
    <s v="NBN Co"/>
    <s v="NBN A418"/>
    <x v="150"/>
    <s v="NBN New Devs"/>
    <n v="990"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  <r>
    <m/>
    <m/>
    <m/>
    <m/>
    <m/>
    <m/>
    <x v="213"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89">
  <r>
    <x v="0"/>
    <s v="Nth Coast"/>
    <s v="Inv 12261"/>
    <d v="2017-05-31T00:00:00"/>
    <d v="2017-05-18T00:00:00"/>
    <d v="2017-05-18T00:00:00"/>
    <m/>
    <m/>
    <d v="2017-06-30T00:00:00"/>
    <d v="2017-08-24T00:00:00"/>
    <m/>
    <x v="0"/>
    <s v="Aug-17"/>
    <s v="MW20264 - 2NLB-02 - AYCA-32ARIB - Dowling St "/>
    <s v="Nelson Bay"/>
    <n v="6033.93"/>
    <m/>
    <n v="6033.93"/>
    <n v="6637.3230000000012"/>
    <m/>
    <m/>
    <n v="0"/>
    <n v="6033.93"/>
    <n v="1"/>
    <s v="Invoiced"/>
    <d v="2017-06-01T00:00:00"/>
    <s v="Completed and handover forwarded"/>
    <s v="Mark Leal"/>
    <d v="2016-11-17T00:00:00"/>
    <d v="2016-11-25T00:00:00"/>
    <n v="8"/>
    <d v="2016-12-16T00:00:00"/>
    <n v="21"/>
  </r>
  <r>
    <x v="0"/>
    <s v="Sydney"/>
    <s v="Inv 12150 &amp; 12150b"/>
    <d v="2017-06-01T00:00:00"/>
    <d v="2017-06-13T00:00:00"/>
    <d v="2017-06-14T00:00:00"/>
    <d v="2017-06-26T00:00:00"/>
    <d v="2017-07-25T00:00:00"/>
    <d v="2017-07-14T00:00:00"/>
    <d v="2017-08-15T00:00:00"/>
    <s v="payment schedule received 14/8"/>
    <x v="1"/>
    <s v="Aug-17"/>
    <s v="MW20367 - AYCA-3H6ZBG - 2NRN-03 - 61 Smeaton Grange Rd,"/>
    <s v="Smeaton Grange"/>
    <n v="2081.7600000000002"/>
    <n v="6995.47"/>
    <n v="9077.23"/>
    <n v="9984.9529999999995"/>
    <n v="1574.16"/>
    <n v="3292.54"/>
    <n v="4866.7"/>
    <n v="4210.53"/>
    <n v="0.46385626452122508"/>
    <s v="Invoiced"/>
    <d v="2017-06-28T00:00:00"/>
    <s v="Completed and handover forwarded"/>
    <s v="John Luker"/>
    <d v="2017-01-23T00:00:00"/>
    <d v="2017-02-06T00:00:00"/>
    <n v="14"/>
    <d v="2017-02-21T00:00:00"/>
    <n v="15"/>
  </r>
  <r>
    <x v="1"/>
    <s v="Sydney"/>
    <s v="Inv 11969b"/>
    <d v="2017-02-28T00:00:00"/>
    <d v="2017-02-14T00:00:00"/>
    <d v="2017-05-02T00:00:00"/>
    <d v="2017-05-02T00:00:00"/>
    <d v="2017-05-09T00:00:00"/>
    <d v="2017-05-16T00:00:00"/>
    <d v="2017-05-25T00:00:00"/>
    <m/>
    <x v="0"/>
    <s v="May-17"/>
    <s v="2BLK-07  Huntingwood - Additional Variations"/>
    <s v="Huntingwood"/>
    <m/>
    <n v="766.97"/>
    <n v="766.97"/>
    <n v="843.66700000000014"/>
    <m/>
    <m/>
    <n v="0"/>
    <n v="766.97"/>
    <n v="1"/>
    <s v="Invoiced"/>
    <d v="2017-05-16T00:00:00"/>
    <s v="Completed and handover forwarded"/>
    <s v="Shaher Aslam / Jay Shrestha"/>
    <d v="2016-09-02T00:00:00"/>
    <d v="2016-09-22T00:00:00"/>
    <n v="20"/>
    <d v="2016-10-19T00:00:00"/>
    <n v="27"/>
  </r>
  <r>
    <x v="1"/>
    <s v="Sth Coast"/>
    <s v="Inv 13377"/>
    <d v="2018-03-15T00:00:00"/>
    <d v="2018-02-07T00:00:00"/>
    <d v="2018-02-07T00:00:00"/>
    <d v="2017-02-07T00:00:00"/>
    <d v="2018-02-20T00:00:00"/>
    <d v="2018-02-20T00:00:00"/>
    <d v="2018-03-15T00:00:00"/>
    <m/>
    <x v="2"/>
    <s v="Mar-18"/>
    <s v="MW20154 - 2WLG-01 &amp; 02 "/>
    <s v="Wollongong"/>
    <n v="5867.23"/>
    <n v="28433.11"/>
    <n v="34300.339999999997"/>
    <n v="37730.373999999996"/>
    <n v="254.54545454545456"/>
    <m/>
    <n v="254.54545454545456"/>
    <n v="34045.794545454541"/>
    <n v="0.99257892328340025"/>
    <s v="Invoiced"/>
    <d v="2018-02-21T00:00:00"/>
    <s v="Completed and handover forwarded"/>
    <s v="Milan Khanal"/>
    <m/>
    <m/>
    <m/>
    <m/>
    <m/>
  </r>
  <r>
    <x v="1"/>
    <s v="Sydney"/>
    <s v="Inv 12876"/>
    <d v="2017-11-29T00:00:00"/>
    <d v="2017-09-19T00:00:00"/>
    <d v="2017-09-19T00:00:00"/>
    <m/>
    <m/>
    <d v="2017-11-20T00:00:00"/>
    <d v="2017-12-05T00:00:00"/>
    <s v="Waiting on access to one site, Macquarie Street"/>
    <x v="3"/>
    <s v="Dec-17"/>
    <s v="MW20311 - 2LIV-04 - Liverpool various sites"/>
    <s v="Liverpool"/>
    <n v="1505.23"/>
    <m/>
    <n v="1505.23"/>
    <n v="1655.7530000000002"/>
    <m/>
    <m/>
    <n v="0"/>
    <n v="1505.23"/>
    <n v="1"/>
    <s v="Invoiced"/>
    <d v="2017-10-03T00:00:00"/>
    <s v="Completed and handover forwarded"/>
    <s v="Milan Khanal"/>
    <m/>
    <m/>
    <m/>
    <m/>
    <m/>
  </r>
  <r>
    <x v="1"/>
    <s v="Sth Coast"/>
    <s v="Inv 12812"/>
    <d v="2017-11-16T00:00:00"/>
    <d v="2017-08-10T00:00:00"/>
    <d v="2017-08-10T00:00:00"/>
    <m/>
    <m/>
    <d v="2017-08-31T00:00:00"/>
    <d v="2017-11-21T00:00:00"/>
    <m/>
    <x v="4"/>
    <s v="Nov-17"/>
    <s v="MW20425 - 2WLG - MPS-062-144-191-190-197-241 &amp; 2WLG-08 "/>
    <s v="Wollongong"/>
    <n v="8027.19"/>
    <m/>
    <n v="8027.19"/>
    <n v="8829.9089999999997"/>
    <m/>
    <m/>
    <n v="0"/>
    <n v="8027.19"/>
    <n v="1"/>
    <s v="Invoiced"/>
    <d v="2017-08-24T00:00:00"/>
    <s v="Completed and handover forwarded"/>
    <s v="Milan Khanal"/>
    <m/>
    <m/>
    <m/>
    <m/>
    <m/>
  </r>
  <r>
    <x v="0"/>
    <s v="Sydney"/>
    <s v="Inv 12352"/>
    <d v="2017-06-26T00:00:00"/>
    <d v="2017-06-27T00:00:00"/>
    <d v="2017-06-27T00:00:00"/>
    <d v="2017-06-27T00:00:00"/>
    <d v="2017-09-22T00:00:00"/>
    <d v="2017-08-08T00:00:00"/>
    <d v="2017-10-03T00:00:00"/>
    <s v="Waiting on Variation Approval submitted 2/7"/>
    <x v="1"/>
    <s v="Oct-17"/>
    <s v="MW20385 - AYCA-38OMCL - 6 Hepher Rd, Campbelltown"/>
    <s v="Campbelltown"/>
    <n v="10952.8"/>
    <n v="2567.12"/>
    <n v="13519.919999999998"/>
    <n v="14871.911999999998"/>
    <n v="1702.74"/>
    <m/>
    <n v="1702.74"/>
    <n v="11817.179999999998"/>
    <n v="0.87405694708252712"/>
    <s v="Invoiced"/>
    <d v="2017-07-11T00:00:00"/>
    <s v="Completed and handover forwarded"/>
    <s v="Michael Tram"/>
    <d v="2017-02-18T00:00:00"/>
    <d v="2017-03-14T00:00:00"/>
    <n v="24"/>
    <d v="2017-03-15T00:00:00"/>
    <n v="1"/>
  </r>
  <r>
    <x v="0"/>
    <s v="Central Coast"/>
    <s v="Inv 12641"/>
    <d v="2017-10-10T00:00:00"/>
    <d v="2017-07-17T00:00:00"/>
    <d v="2017-07-17T00:00:00"/>
    <d v="2017-08-14T00:00:00"/>
    <d v="2017-09-07T00:00:00"/>
    <d v="2017-08-08T00:00:00"/>
    <d v="2017-10-10T00:00:00"/>
    <m/>
    <x v="5"/>
    <s v="Oct-17"/>
    <s v="MW20441 - AYCA-3KSRGR - Norberta St, The Entrance - 1"/>
    <s v="Long Jetty"/>
    <n v="8188.78"/>
    <n v="496.57"/>
    <n v="8685.35"/>
    <n v="9553.885000000002"/>
    <m/>
    <m/>
    <n v="0"/>
    <n v="8685.35"/>
    <n v="1"/>
    <s v="Invoiced"/>
    <d v="2017-07-31T00:00:00"/>
    <s v="Completed and handover forwarded"/>
    <s v="Andrew Partalis"/>
    <d v="2017-02-25T00:00:00"/>
    <d v="2017-03-13T00:00:00"/>
    <n v="16"/>
    <d v="2017-03-29T00:00:00"/>
    <n v="16"/>
  </r>
  <r>
    <x v="0"/>
    <s v="Sydney"/>
    <s v="Inv 12262"/>
    <d v="2017-05-31T00:00:00"/>
    <d v="2017-05-30T00:00:00"/>
    <d v="2017-05-30T00:00:00"/>
    <d v="2017-06-01T00:00:00"/>
    <d v="2017-06-21T00:00:00"/>
    <d v="2017-08-08T00:00:00"/>
    <d v="2017-08-15T00:00:00"/>
    <m/>
    <x v="0"/>
    <s v="Aug-17"/>
    <s v="MW20386 - 2CBT-03 - AYCA-39MU9X - Macarthur Mazda"/>
    <s v="Campbelltown"/>
    <n v="7705.93"/>
    <n v="12720.52"/>
    <n v="20426.45"/>
    <n v="22469.095000000001"/>
    <m/>
    <m/>
    <n v="0"/>
    <n v="20426.45"/>
    <n v="1"/>
    <s v="Invoiced"/>
    <d v="2017-06-13T00:00:00"/>
    <s v="Completed and handover forwarded"/>
    <s v="Michael Tram"/>
    <d v="2017-02-18T00:00:00"/>
    <d v="2017-03-15T00:00:00"/>
    <n v="25"/>
    <d v="2017-03-10T00:00:00"/>
    <n v="-5"/>
  </r>
  <r>
    <x v="0"/>
    <s v="Sydney"/>
    <s v="Inv 12265"/>
    <d v="2017-05-31T00:00:00"/>
    <d v="2017-05-05T00:00:00"/>
    <d v="2017-05-05T00:00:00"/>
    <m/>
    <m/>
    <d v="2017-06-06T00:00:00"/>
    <d v="2017-07-28T00:00:00"/>
    <m/>
    <x v="0"/>
    <s v="Jul-17"/>
    <s v="MW20475 - 2ROU-03 - AYCA-3HUY3N- 4 Wickham Blvd"/>
    <s v="Rouse Hill"/>
    <n v="10233.06"/>
    <m/>
    <n v="10233.06"/>
    <n v="11256.366"/>
    <m/>
    <m/>
    <n v="0"/>
    <n v="10233.06"/>
    <n v="1"/>
    <s v="Invoiced"/>
    <d v="2017-05-19T00:00:00"/>
    <s v="Completed and handover forwarded"/>
    <s v="Andrew Mahassy"/>
    <d v="2017-03-15T00:00:00"/>
    <d v="2017-03-27T00:00:00"/>
    <n v="12"/>
    <d v="2017-03-29T00:00:00"/>
    <n v="2"/>
  </r>
  <r>
    <x v="0"/>
    <s v="Sydney"/>
    <s v="Inv 12353"/>
    <d v="2017-06-30T00:00:00"/>
    <d v="2017-06-05T00:00:00"/>
    <d v="2017-06-05T00:00:00"/>
    <d v="2017-06-25T00:00:00"/>
    <d v="2017-07-12T00:00:00"/>
    <d v="2017-06-16T00:00:00"/>
    <d v="2017-08-28T00:00:00"/>
    <s v="Waiting on Variation Approval"/>
    <x v="1"/>
    <s v="Aug-17"/>
    <s v="MW20442 - 2TGL-02 - AYCA-30RVNV - Rockpool – 1"/>
    <s v="Terrigal"/>
    <n v="1026.44"/>
    <n v="8543.546111367652"/>
    <n v="9569.9861113676525"/>
    <n v="10526.984722504418"/>
    <m/>
    <m/>
    <n v="0"/>
    <n v="9569.9861113676525"/>
    <n v="1"/>
    <s v="Invoiced"/>
    <d v="2017-06-19T00:00:00"/>
    <s v="Completed and handover forwarded"/>
    <s v="Andrew Partalis"/>
    <d v="2017-03-01T00:00:00"/>
    <d v="2017-03-10T00:00:00"/>
    <n v="9"/>
    <d v="2017-03-29T00:00:00"/>
    <n v="19"/>
  </r>
  <r>
    <x v="0"/>
    <s v="Central West"/>
    <s v="Inv 12691"/>
    <d v="2017-10-11T00:00:00"/>
    <d v="2017-07-31T00:00:00"/>
    <d v="2017-07-31T00:00:00"/>
    <d v="2017-09-05T00:00:00"/>
    <d v="2017-09-11T00:00:00"/>
    <d v="2017-09-08T00:00:00"/>
    <d v="2017-10-17T00:00:00"/>
    <m/>
    <x v="5"/>
    <s v="Oct-17"/>
    <s v="MW20318 - AYCA-35AM2J - NENSW0608 - Yarrandale Road"/>
    <s v="Dubbo"/>
    <n v="16626.7"/>
    <n v="8393.0685714285719"/>
    <n v="25019.768571428573"/>
    <n v="27521.745428571434"/>
    <n v="2317"/>
    <m/>
    <n v="2317"/>
    <n v="22702.768571428573"/>
    <n v="0.90739322814336865"/>
    <s v="Invoiced"/>
    <d v="2017-08-14T00:00:00"/>
    <s v="Completed and handover forwarded"/>
    <s v="Dave Yoemans"/>
    <d v="2016-12-14T00:00:00"/>
    <d v="2017-03-28T00:00:00"/>
    <n v="104"/>
    <d v="2016-12-07T00:00:00"/>
    <n v="-111"/>
  </r>
  <r>
    <x v="0"/>
    <s v="Sydney"/>
    <s v="Inv 12264"/>
    <d v="2017-05-31T00:00:00"/>
    <d v="2017-05-15T00:00:00"/>
    <d v="2017-05-15T00:00:00"/>
    <d v="2017-05-30T00:00:00"/>
    <d v="2017-06-26T00:00:00"/>
    <d v="2017-05-25T00:00:00"/>
    <d v="2017-07-28T00:00:00"/>
    <m/>
    <x v="0"/>
    <s v="Jul-17"/>
    <s v="MW20489 - AYCA-3ZU1PE - 89 Old Hume Highway, Camden"/>
    <s v="Camden"/>
    <n v="2091.71"/>
    <n v="1025.1428571428571"/>
    <n v="3116.8528571428569"/>
    <n v="3428.5381428571427"/>
    <m/>
    <m/>
    <n v="0"/>
    <n v="3116.8528571428569"/>
    <n v="1"/>
    <s v="Invoiced"/>
    <d v="2017-05-29T00:00:00"/>
    <s v="Completed and handover forwarded"/>
    <s v="Nabel Jaimon"/>
    <d v="2017-03-20T00:00:00"/>
    <d v="2017-04-07T00:00:00"/>
    <n v="18"/>
    <d v="2017-04-04T00:00:00"/>
    <n v="-3"/>
  </r>
  <r>
    <x v="0"/>
    <s v="Sydney"/>
    <s v="Inv 12637"/>
    <d v="2017-09-27T00:00:00"/>
    <d v="2017-08-11T00:00:00"/>
    <d v="2017-08-14T00:00:00"/>
    <m/>
    <m/>
    <d v="2017-08-28T00:00:00"/>
    <d v="2017-10-03T00:00:00"/>
    <m/>
    <x v="4"/>
    <s v="Oct-17"/>
    <s v="MW20491 - AYCA-3W8T05 - 2PAR-60 - Amos St "/>
    <s v="Parramatta"/>
    <n v="3449.71"/>
    <m/>
    <n v="3449.71"/>
    <n v="3794.6810000000005"/>
    <m/>
    <m/>
    <n v="0"/>
    <n v="3449.71"/>
    <n v="1"/>
    <s v="Invoiced"/>
    <d v="2017-08-28T00:00:00"/>
    <s v="Completed and handover forwarded"/>
    <s v="Nabel Jaimon"/>
    <d v="2017-03-20T00:00:00"/>
    <d v="2017-04-08T00:00:00"/>
    <n v="19"/>
    <d v="2017-04-05T00:00:00"/>
    <n v="-3"/>
  </r>
  <r>
    <x v="0"/>
    <s v="Sydney"/>
    <s v="Inv 12364"/>
    <d v="2017-07-03T00:00:00"/>
    <d v="2017-06-08T00:00:00"/>
    <d v="2017-06-08T00:00:00"/>
    <d v="2017-06-15T00:00:00"/>
    <d v="2017-07-11T00:00:00"/>
    <d v="2017-07-11T00:00:00"/>
    <d v="2017-08-15T00:00:00"/>
    <m/>
    <x v="1"/>
    <s v="Aug-17"/>
    <s v="MW20493 - 2KNS-02 - AYCA-1BR2R4 - Link Apartments Zetland - 1"/>
    <s v="Zetland"/>
    <n v="5062.76"/>
    <n v="3398.56"/>
    <n v="8461.32"/>
    <n v="9307.4520000000011"/>
    <m/>
    <m/>
    <n v="0"/>
    <n v="8461.32"/>
    <n v="1"/>
    <s v="Invoiced"/>
    <d v="2017-06-22T00:00:00"/>
    <s v="Completed and handover forwarded"/>
    <s v="Lindy Chan"/>
    <d v="2017-03-20T00:00:00"/>
    <d v="2017-04-07T00:00:00"/>
    <n v="18"/>
    <d v="2017-04-05T00:00:00"/>
    <n v="-2"/>
  </r>
  <r>
    <x v="0"/>
    <s v="Sydney"/>
    <s v="Inv 12354"/>
    <d v="2017-06-30T00:00:00"/>
    <d v="2017-06-14T00:00:00"/>
    <d v="2017-06-14T00:00:00"/>
    <d v="2017-06-22T00:00:00"/>
    <d v="2017-07-14T00:00:00"/>
    <d v="2017-09-07T00:00:00"/>
    <d v="2017-10-05T00:00:00"/>
    <s v="Waiting on Variation Approval"/>
    <x v="1"/>
    <s v="Oct-17"/>
    <s v="MW20477 - AYCA-40BZFT - 2HOM-01 - 51-55 Homebush Rd Strathfield"/>
    <s v="Strathfield"/>
    <n v="3433.24"/>
    <n v="6774.67"/>
    <n v="10207.91"/>
    <n v="11228.701000000001"/>
    <m/>
    <m/>
    <n v="0"/>
    <n v="10207.91"/>
    <n v="1"/>
    <s v="Invoiced"/>
    <d v="2017-06-28T00:00:00"/>
    <s v="Completed and handover forwarded"/>
    <s v="Lindy Chan"/>
    <d v="2017-03-17T00:00:00"/>
    <d v="2017-04-08T00:00:00"/>
    <n v="22"/>
    <d v="2017-03-31T00:00:00"/>
    <n v="-8"/>
  </r>
  <r>
    <x v="2"/>
    <s v="Sydney"/>
    <s v="Inv 12638"/>
    <d v="2017-09-27T00:00:00"/>
    <d v="2017-08-14T00:00:00"/>
    <d v="2017-08-14T00:00:00"/>
    <d v="2017-08-15T00:00:00"/>
    <d v="2017-09-04T00:00:00"/>
    <d v="2017-09-11T00:00:00"/>
    <d v="2017-09-27T00:00:00"/>
    <m/>
    <x v="4"/>
    <s v="Sep-17"/>
    <s v="MW20615 - AYCA-3ZMQUE - Grove Family Trust - 1"/>
    <s v="Lidcombe"/>
    <n v="1761.82"/>
    <n v="1647.1"/>
    <n v="3408.92"/>
    <n v="3749.8120000000004"/>
    <n v="235"/>
    <m/>
    <n v="235"/>
    <n v="3173.92"/>
    <n v="0.93106321063562658"/>
    <s v="Invoiced"/>
    <d v="2017-08-28T00:00:00"/>
    <s v="Completed and handover forwarded"/>
    <s v="Andrew Partalis"/>
    <m/>
    <m/>
    <m/>
    <m/>
    <m/>
  </r>
  <r>
    <x v="2"/>
    <s v="Sydney"/>
    <s v="Inv 12633"/>
    <d v="2017-09-27T00:00:00"/>
    <d v="2017-07-31T00:00:00"/>
    <d v="2017-07-31T00:00:00"/>
    <d v="2017-08-09T00:00:00"/>
    <d v="2017-09-04T00:00:00"/>
    <d v="2017-09-07T00:00:00"/>
    <d v="2017-09-28T00:00:00"/>
    <s v="Variation submitted 9/8/17"/>
    <x v="5"/>
    <s v="Sep-17"/>
    <s v="MW20620 - 2EPP-05 - AYCA-3071BP - Macquarie Park Village - 2 "/>
    <s v="Nth Ryde"/>
    <n v="44.62"/>
    <n v="1490.48"/>
    <n v="1535.1"/>
    <n v="1688.6100000000001"/>
    <m/>
    <m/>
    <n v="0"/>
    <n v="1535.1"/>
    <n v="1"/>
    <s v="Invoiced"/>
    <d v="2017-08-14T00:00:00"/>
    <s v="Completed and handover forwarded"/>
    <s v="Lindy Chan"/>
    <s v="Direct Award"/>
    <d v="2017-05-01T00:00:00"/>
    <m/>
    <m/>
    <m/>
  </r>
  <r>
    <x v="2"/>
    <s v="Sydney"/>
    <s v="Inv 12627"/>
    <d v="2017-09-22T00:00:00"/>
    <d v="2017-08-22T00:00:00"/>
    <d v="2017-08-22T00:00:00"/>
    <d v="2017-08-28T00:00:00"/>
    <d v="2017-09-06T00:00:00"/>
    <d v="2017-09-06T00:00:00"/>
    <d v="2017-09-27T00:00:00"/>
    <m/>
    <x v="4"/>
    <s v="Sep-17"/>
    <s v="MW20628 - AYCA-32PR0X - 2ROU-03 - 21 Hezlett Rd Kellyville 1"/>
    <s v="Kellyville"/>
    <n v="1520.83"/>
    <n v="6404.7449999999999"/>
    <n v="7925.5749999999998"/>
    <n v="8718.1324999999997"/>
    <n v="3682.66"/>
    <m/>
    <n v="3682.66"/>
    <n v="4242.915"/>
    <n v="0.5353447541661015"/>
    <s v="Invoiced"/>
    <d v="2017-09-05T00:00:00"/>
    <s v="Completed and handover forwarded"/>
    <s v="Andrew Partalis"/>
    <m/>
    <m/>
    <m/>
    <m/>
    <m/>
  </r>
  <r>
    <x v="2"/>
    <s v="Sydney"/>
    <s v="Inv 12635"/>
    <d v="2017-09-27T00:00:00"/>
    <d v="2017-07-12T00:00:00"/>
    <d v="2017-07-12T00:00:00"/>
    <d v="2017-08-09T00:00:00"/>
    <d v="2017-09-04T00:00:00"/>
    <d v="2017-09-07T00:00:00"/>
    <d v="2017-09-27T00:00:00"/>
    <s v="Variation submitted 9/8/17"/>
    <x v="5"/>
    <s v="Sep-17"/>
    <s v="MW20644 - AYCA-35B3X9 -  Renocorp Australia Pty Ltd - 1"/>
    <s v="Parramatta"/>
    <n v="628.32000000000005"/>
    <n v="4350.78"/>
    <n v="4979.0999999999995"/>
    <n v="5477.01"/>
    <m/>
    <m/>
    <n v="0"/>
    <n v="4979.0999999999995"/>
    <n v="1"/>
    <s v="Invoiced"/>
    <d v="2017-07-26T00:00:00"/>
    <s v="Completed and handover forwarded"/>
    <s v="Lindy Chan"/>
    <m/>
    <m/>
    <m/>
    <m/>
    <m/>
  </r>
  <r>
    <x v="2"/>
    <s v="Sydney"/>
    <s v="Inv 12874"/>
    <d v="2017-11-29T00:00:00"/>
    <d v="2017-09-25T00:00:00"/>
    <d v="2017-09-25T00:00:00"/>
    <d v="2017-09-27T00:00:00"/>
    <d v="2017-10-04T00:00:00"/>
    <d v="2017-10-03T00:00:00"/>
    <d v="2017-11-30T00:00:00"/>
    <m/>
    <x v="3"/>
    <s v="Nov-17"/>
    <s v="MW20798 - AYCA-2LT5GF - Castlereagh Street - 1"/>
    <s v="Liverpool"/>
    <n v="2015.36"/>
    <n v="13856.22"/>
    <n v="15871.58"/>
    <n v="17458.738000000001"/>
    <n v="3777.5600000000004"/>
    <m/>
    <n v="3777.5600000000004"/>
    <n v="12094.02"/>
    <n v="0.76199218981349059"/>
    <s v="Invoiced"/>
    <d v="2017-10-09T00:00:00"/>
    <s v="Completed and handover forwarded"/>
    <s v="Michael Tram"/>
    <s v="Direct Award"/>
    <d v="2017-05-26T00:00:00"/>
    <m/>
    <m/>
    <m/>
  </r>
  <r>
    <x v="2"/>
    <s v="Sydney"/>
    <s v="Inv 12614"/>
    <d v="2017-09-25T00:00:00"/>
    <d v="2017-07-18T00:00:00"/>
    <d v="2017-07-18T00:00:00"/>
    <d v="2017-08-09T00:00:00"/>
    <d v="2017-08-23T00:00:00"/>
    <d v="2017-09-07T00:00:00"/>
    <d v="2017-09-21T00:00:00"/>
    <s v="Variation submitted 9/8/17"/>
    <x v="5"/>
    <s v="Sep-17"/>
    <s v="MW20758 -  AYCA-3ETV2Y - 2BAN-64 - 21-25 Leonard Street - 1"/>
    <s v="Bankstown"/>
    <n v="2121.89"/>
    <n v="6429.99"/>
    <n v="8551.8799999999992"/>
    <n v="9407.0679999999993"/>
    <m/>
    <m/>
    <n v="0"/>
    <n v="8551.8799999999992"/>
    <n v="1"/>
    <s v="Invoiced"/>
    <d v="2017-08-01T00:00:00"/>
    <s v="Completed and handover forwarded"/>
    <s v="Andrew Partalis"/>
    <s v="Direct Award"/>
    <d v="2017-05-29T00:00:00"/>
    <m/>
    <m/>
    <m/>
  </r>
  <r>
    <x v="0"/>
    <s v="Central Coast"/>
    <s v="Inv 12260"/>
    <d v="2017-05-31T00:00:00"/>
    <d v="2017-05-15T00:00:00"/>
    <d v="2017-05-15T00:00:00"/>
    <d v="2017-06-01T00:00:00"/>
    <d v="2017-06-15T00:00:00"/>
    <d v="2017-05-29T00:00:00"/>
    <d v="2017-07-28T00:00:00"/>
    <m/>
    <x v="0"/>
    <s v="Jul-17"/>
    <s v="MW20552 - 2WYO-02 - AYCA-394Y1I - 13 Colonial St "/>
    <s v="Wadalba"/>
    <n v="3798.42"/>
    <n v="3110.87"/>
    <n v="6909.29"/>
    <n v="7600.219000000001"/>
    <m/>
    <m/>
    <n v="0"/>
    <n v="6909.29"/>
    <n v="1"/>
    <s v="Invoiced"/>
    <d v="2017-05-29T00:00:00"/>
    <s v="Completed and handover forwarded"/>
    <s v="Dave Yoemans"/>
    <d v="2016-08-29T00:00:00"/>
    <d v="2017-04-05T00:00:00"/>
    <n v="219"/>
    <m/>
    <m/>
  </r>
  <r>
    <x v="3"/>
    <s v="Sydney"/>
    <s v="Inv 12759"/>
    <d v="2017-10-30T00:00:00"/>
    <d v="2017-10-30T00:00:00"/>
    <d v="2017-10-30T00:00:00"/>
    <m/>
    <m/>
    <m/>
    <m/>
    <m/>
    <x v="6"/>
    <s v="Jan-00"/>
    <s v="ICQ-315 IPT2073 WSU Parramatta Square Western Lead-in"/>
    <s v="Parramatta"/>
    <n v="38717.01"/>
    <n v="29612.840000000004"/>
    <n v="68329.850000000006"/>
    <n v="75162.835000000006"/>
    <n v="27168.080000000002"/>
    <m/>
    <n v="27168.080000000002"/>
    <n v="41161.770000000004"/>
    <n v="0.60239807346276919"/>
    <s v="Invoiced"/>
    <d v="2017-11-13T00:00:00"/>
    <s v="Completed and handover forwarded"/>
    <s v="Matt Putland"/>
    <d v="2017-03-22T00:00:00"/>
    <d v="2017-04-10T00:00:00"/>
    <n v="19"/>
    <m/>
    <m/>
  </r>
  <r>
    <x v="1"/>
    <s v="Sydney"/>
    <s v="Inv 13533"/>
    <d v="2018-04-25T00:00:00"/>
    <d v="2018-03-29T00:00:00"/>
    <d v="2018-04-03T00:00:00"/>
    <d v="2018-03-26T00:00:00"/>
    <d v="2018-04-17T00:00:00"/>
    <d v="2018-04-19T00:00:00"/>
    <d v="2018-05-01T00:00:00"/>
    <m/>
    <x v="7"/>
    <s v="May-18"/>
    <s v="MW20495 - 2CBT-09 - MPS-01 - FTTN-FTTB Construction "/>
    <s v="Campbelltown"/>
    <n v="12264.47"/>
    <n v="10584.18"/>
    <n v="22848.65"/>
    <n v="25133.515000000003"/>
    <n v="12574.74"/>
    <m/>
    <n v="12574.74"/>
    <n v="10273.910000000002"/>
    <n v="0.44965063581436981"/>
    <m/>
    <m/>
    <m/>
    <s v="Anna Juranic"/>
    <d v="2017-03-23T00:00:00"/>
    <d v="2017-04-07T00:00:00"/>
    <n v="15"/>
    <d v="2017-04-10T00:00:00"/>
    <n v="3"/>
  </r>
  <r>
    <x v="0"/>
    <s v="Sydney"/>
    <s v="Inv 13693"/>
    <d v="2018-06-06T00:00:00"/>
    <d v="2018-05-02T00:00:00"/>
    <d v="2018-05-03T00:00:00"/>
    <d v="2018-05-08T00:00:00"/>
    <d v="2018-05-09T00:00:00"/>
    <d v="2018-05-17T00:00:00"/>
    <d v="2018-06-05T00:00:00"/>
    <m/>
    <x v="8"/>
    <s v="Jun-18"/>
    <s v="MW20507 - AYCA-2Y5DX4 - Bridgeland Investment"/>
    <s v="Epping"/>
    <n v="6265.77"/>
    <n v="7637.8819999999996"/>
    <n v="13903.652"/>
    <n v="15294.017200000002"/>
    <n v="3486.54"/>
    <m/>
    <n v="3486.54"/>
    <n v="10417.112000000001"/>
    <n v="0.74923566844164402"/>
    <m/>
    <m/>
    <m/>
    <s v="Andrew Partalis"/>
    <d v="2017-03-23T00:00:00"/>
    <d v="2017-04-08T00:00:00"/>
    <n v="16"/>
    <d v="2017-04-07T00:00:00"/>
    <n v="-1"/>
  </r>
  <r>
    <x v="3"/>
    <s v="Sydney"/>
    <s v="Inv 12362"/>
    <d v="2017-06-30T00:00:00"/>
    <d v="2017-08-07T00:00:00"/>
    <d v="2017-08-30T00:00:00"/>
    <m/>
    <m/>
    <m/>
    <m/>
    <m/>
    <x v="4"/>
    <s v="Jan-00"/>
    <s v="ICQ-459 NSW Health Auburn Hospital"/>
    <s v="Auburn"/>
    <n v="23006.15"/>
    <m/>
    <n v="23006.15"/>
    <n v="25306.765000000003"/>
    <n v="13667.57"/>
    <m/>
    <n v="13667.57"/>
    <n v="9338.5800000000017"/>
    <n v="0.40591667880110321"/>
    <s v="Invoiced"/>
    <d v="2017-09-13T00:00:00"/>
    <s v="Completed and handover forwarded"/>
    <s v="Matt Putland"/>
    <d v="2017-04-11T00:00:00"/>
    <d v="2017-04-13T00:00:00"/>
    <m/>
    <m/>
    <m/>
  </r>
  <r>
    <x v="2"/>
    <s v="Sydney"/>
    <s v="Inv 12267"/>
    <d v="2017-05-31T00:00:00"/>
    <d v="2017-05-25T00:00:00"/>
    <d v="2017-06-09T00:00:00"/>
    <m/>
    <m/>
    <d v="2017-06-09T00:00:00"/>
    <d v="2017-09-14T00:00:00"/>
    <s v="Waiting on Payment Claim approval"/>
    <x v="1"/>
    <s v="Sep-17"/>
    <s v="MW20555 - AYCA-2Q8I3Y -  2ROU-03 - 16-20 Withers Road – 3 "/>
    <s v="Rouse Hill"/>
    <n v="3030.14"/>
    <m/>
    <n v="3030.14"/>
    <n v="3333.154"/>
    <m/>
    <m/>
    <n v="0"/>
    <n v="3030.14"/>
    <n v="1"/>
    <s v="Invoiced"/>
    <d v="2017-06-23T00:00:00"/>
    <s v="Completed and handover forwarded"/>
    <s v="Ertan Cicek"/>
    <s v="Direct Award"/>
    <d v="2017-04-18T00:00:00"/>
    <m/>
    <d v="2017-04-22T00:00:00"/>
    <n v="4"/>
  </r>
  <r>
    <x v="2"/>
    <s v="Sydney"/>
    <s v="Inv 12267b"/>
    <d v="2017-06-30T00:00:00"/>
    <d v="2017-05-25T00:00:00"/>
    <d v="2017-06-09T00:00:00"/>
    <d v="2017-08-15T00:00:00"/>
    <d v="2017-08-28T00:00:00"/>
    <d v="2017-06-09T00:00:00"/>
    <d v="2017-09-14T00:00:00"/>
    <s v="Waiting on Payment Claim approval"/>
    <x v="1"/>
    <s v="Sep-17"/>
    <s v="MW20555 - AYCA-2Q8I3Y -  2ROU-03 - 16-20 Withers Road – 3 "/>
    <s v="Rouse Hill"/>
    <m/>
    <n v="1899.06"/>
    <n v="1899.06"/>
    <n v="2088.9659999999999"/>
    <m/>
    <m/>
    <n v="0"/>
    <n v="1899.06"/>
    <n v="1"/>
    <s v="Invoiced"/>
    <d v="2017-06-23T00:00:00"/>
    <s v="Completed and handover forwarded"/>
    <s v="Ertan Cicek"/>
    <s v="Direct Award"/>
    <d v="2017-04-18T00:00:00"/>
    <m/>
    <m/>
    <m/>
  </r>
  <r>
    <x v="0"/>
    <s v="Sydney"/>
    <s v="Inv 12355"/>
    <d v="2017-06-30T00:00:00"/>
    <d v="2017-06-08T00:00:00"/>
    <d v="2017-06-08T00:00:00"/>
    <m/>
    <m/>
    <d v="2017-07-11T00:00:00"/>
    <d v="2017-08-10T00:00:00"/>
    <s v="PC 33 days, Payment schedule 17days,  payment made on the 10/8/17"/>
    <x v="1"/>
    <s v="Aug-17"/>
    <s v="MW20532 - 2WYO-01 - AYCA-47OSBM - Pacific Business Centre"/>
    <s v="Wyong"/>
    <n v="10229.42"/>
    <m/>
    <n v="10229.42"/>
    <n v="11252.362000000001"/>
    <n v="549.22"/>
    <m/>
    <n v="549.22"/>
    <n v="9680.2000000000007"/>
    <n v="0.94630976145275103"/>
    <s v="Invoiced"/>
    <d v="2017-06-22T00:00:00"/>
    <s v="Completed and handover forwarded"/>
    <s v="Andrew Partalis"/>
    <s v="Direct Award"/>
    <d v="2017-04-26T00:00:00"/>
    <m/>
    <d v="2017-04-05T00:00:00"/>
    <n v="-21"/>
  </r>
  <r>
    <x v="0"/>
    <s v="Sth NSW"/>
    <s v="Inv 12266"/>
    <d v="2017-05-31T00:00:00"/>
    <d v="2017-05-26T00:00:00"/>
    <d v="2017-05-26T00:00:00"/>
    <d v="2017-06-25T00:00:00"/>
    <d v="2017-08-30T00:00:00"/>
    <d v="2017-06-14T00:00:00"/>
    <d v="2017-09-27T00:00:00"/>
    <m/>
    <x v="0"/>
    <s v="Sep-17"/>
    <s v="MW20543 - AYCA-3SR1C6 - 1140 Pemberton St Albury"/>
    <s v="Albury"/>
    <n v="4074.14"/>
    <n v="936.42678571428553"/>
    <n v="5010.5667857142853"/>
    <n v="5511.6234642857144"/>
    <m/>
    <m/>
    <n v="0"/>
    <n v="5010.5667857142853"/>
    <n v="1"/>
    <s v="Invoiced"/>
    <d v="2017-06-09T00:00:00"/>
    <s v="Completed and handover forwarded"/>
    <s v="Ertan Cicek"/>
    <d v="2017-04-04T00:00:00"/>
    <d v="2017-04-26T00:00:00"/>
    <n v="22"/>
    <d v="2017-04-14T00:00:00"/>
    <n v="-12"/>
  </r>
  <r>
    <x v="0"/>
    <s v="Sth Coast"/>
    <s v="Inv 12275"/>
    <d v="2017-05-31T00:00:00"/>
    <d v="2017-05-30T00:00:00"/>
    <d v="2017-05-30T00:00:00"/>
    <d v="2017-06-30T00:00:00"/>
    <d v="2017-07-25T00:00:00"/>
    <d v="2017-06-16T00:00:00"/>
    <d v="2017-08-29T00:00:00"/>
    <m/>
    <x v="0"/>
    <s v="Aug-17"/>
    <s v="MW20554 - 2DAP-02 - AYCA-2DO5HN - MNJG 145"/>
    <s v="Dapto"/>
    <n v="2277.5100000000002"/>
    <n v="2122.87"/>
    <n v="4400.38"/>
    <n v="4840.4180000000006"/>
    <n v="235"/>
    <m/>
    <n v="235"/>
    <n v="4165.38"/>
    <n v="0.94659552129588809"/>
    <s v="Invoiced"/>
    <d v="2017-06-13T00:00:00"/>
    <s v="Completed and handover forwarded"/>
    <s v="Ertan Cicek"/>
    <d v="2017-04-05T00:00:00"/>
    <d v="2017-04-26T00:00:00"/>
    <n v="21"/>
    <d v="2017-04-18T00:00:00"/>
    <n v="-8"/>
  </r>
  <r>
    <x v="0"/>
    <s v="Sth Coast"/>
    <s v="Inv 12272"/>
    <d v="2017-05-31T00:00:00"/>
    <d v="2017-05-02T00:00:00"/>
    <d v="2017-05-02T00:00:00"/>
    <m/>
    <m/>
    <d v="2017-05-15T00:00:00"/>
    <d v="2017-07-26T00:00:00"/>
    <s v="Payment schedule received 21/7,  payment made on the 26/7"/>
    <x v="0"/>
    <s v="Jul-17"/>
    <s v="MW20409 - AYCA-2ONMWX -  Brookwood Estate - 2"/>
    <s v="Jamberoo"/>
    <n v="2943.37"/>
    <m/>
    <n v="2943.37"/>
    <n v="3237.7070000000003"/>
    <m/>
    <m/>
    <n v="0"/>
    <n v="2943.37"/>
    <n v="1"/>
    <s v="Invoiced"/>
    <d v="2017-05-16T00:00:00"/>
    <s v="Completed and handover forwarded"/>
    <s v="Ertan Cicek"/>
    <d v="2017-02-14T00:00:00"/>
    <d v="2017-03-01T00:00:00"/>
    <n v="15"/>
    <d v="2017-03-02T00:00:00"/>
    <n v="1"/>
  </r>
  <r>
    <x v="2"/>
    <s v="Sydney"/>
    <s v="Inv 12363 &amp; b"/>
    <d v="2017-09-19T00:00:00"/>
    <d v="2017-06-14T00:00:00"/>
    <d v="2017-06-14T00:00:00"/>
    <d v="2017-08-10T00:00:00"/>
    <d v="2017-08-31T00:00:00"/>
    <d v="2017-07-11T00:00:00"/>
    <d v="2017-09-29T00:00:00"/>
    <m/>
    <x v="1"/>
    <s v="Sep-17"/>
    <s v="MW20649 - 2RCH-03 - AYCA-2MLHJO - Macquarie Street Subdivision"/>
    <s v="Richmond"/>
    <n v="621.32000000000005"/>
    <n v="340.31"/>
    <n v="961.63000000000011"/>
    <n v="1057.7930000000001"/>
    <m/>
    <m/>
    <n v="0"/>
    <n v="961.63000000000011"/>
    <n v="1"/>
    <s v="Invoiced"/>
    <d v="2017-06-28T00:00:00"/>
    <s v="Completed and handover forwarded"/>
    <s v="Ertan Cicek"/>
    <s v="Direct Award"/>
    <d v="2017-05-02T00:00:00"/>
    <m/>
    <m/>
    <m/>
  </r>
  <r>
    <x v="0"/>
    <s v="Nth Coast"/>
    <s v="Inv 12655"/>
    <d v="2017-10-03T00:00:00"/>
    <d v="2017-07-21T00:00:00"/>
    <d v="2017-07-21T00:00:00"/>
    <d v="2017-09-05T00:00:00"/>
    <d v="2017-09-18T00:00:00"/>
    <d v="2017-08-08T00:00:00"/>
    <d v="2017-10-05T00:00:00"/>
    <s v="Requested PC"/>
    <x v="5"/>
    <s v="Oct-17"/>
    <s v="MW20585 - AYCA-3KUUY6 - 2WOY-09 - Brittwood "/>
    <s v="Woy Woy"/>
    <n v="7728.82"/>
    <n v="12183.400428571427"/>
    <n v="19912.220428571425"/>
    <n v="21903.442471428571"/>
    <n v="9914.77"/>
    <m/>
    <n v="9914.77"/>
    <n v="9997.4504285714247"/>
    <n v="0.50207612277264646"/>
    <s v="Invoiced"/>
    <d v="2017-08-04T00:00:00"/>
    <s v="Completed and handover forwarded"/>
    <s v="Mark Leal"/>
    <d v="2017-04-10T00:00:00"/>
    <d v="2017-05-03T00:00:00"/>
    <n v="23"/>
    <d v="2017-04-26T00:00:00"/>
    <n v="-7"/>
  </r>
  <r>
    <x v="0"/>
    <s v="Sth Coast"/>
    <s v="Inv 12356"/>
    <d v="2017-06-30T00:00:00"/>
    <d v="2017-06-19T00:00:00"/>
    <d v="2017-06-25T00:00:00"/>
    <d v="2017-07-03T00:00:00"/>
    <d v="2017-09-05T00:00:00"/>
    <d v="2017-08-09T00:00:00"/>
    <d v="2017-09-27T00:00:00"/>
    <s v="Waiting on PC sent in 25/6, Variation 3/7"/>
    <x v="1"/>
    <s v="Sep-17"/>
    <s v="MW20612 - AYCA-3NXX2P - 7 Cascade Circuit Albion Park"/>
    <s v="Albion Park"/>
    <n v="4242.71"/>
    <n v="2751.05"/>
    <n v="6993.76"/>
    <n v="7693.1360000000004"/>
    <m/>
    <m/>
    <n v="0"/>
    <n v="6993.76"/>
    <n v="1"/>
    <s v="Invoiced"/>
    <d v="2017-07-09T00:00:00"/>
    <s v="Completed and handover forwarded"/>
    <s v="Ertan Cicek"/>
    <d v="2017-04-19T00:00:00"/>
    <d v="2017-05-05T00:00:00"/>
    <n v="16"/>
    <d v="2017-05-02T00:00:00"/>
    <n v="-3"/>
  </r>
  <r>
    <x v="2"/>
    <s v="Sydney"/>
    <s v="Inv 12332"/>
    <d v="2017-06-26T00:00:00"/>
    <d v="2017-05-31T00:00:00"/>
    <d v="2017-05-30T00:00:00"/>
    <m/>
    <m/>
    <d v="2017-06-07T00:00:00"/>
    <d v="2017-08-10T00:00:00"/>
    <s v="39 days for payment claim to come through"/>
    <x v="0"/>
    <s v="Aug-17"/>
    <s v="MW20673 - 2BLK-11 - AYCA-3RN6QW - 19-21 Irelands Road, Blacktown"/>
    <s v="Blacktown"/>
    <n v="1134.2699999999998"/>
    <m/>
    <n v="1134.2699999999998"/>
    <n v="1247.6969999999999"/>
    <m/>
    <m/>
    <n v="0"/>
    <n v="1134.2699999999998"/>
    <n v="1"/>
    <s v="Invoiced"/>
    <d v="2017-06-13T00:00:00"/>
    <s v="Completed and handover forwarded"/>
    <s v="Andrew Mahassy"/>
    <s v="Direct Award"/>
    <d v="2017-05-04T00:00:00"/>
    <m/>
    <m/>
    <m/>
  </r>
  <r>
    <x v="0"/>
    <s v="Central Coast"/>
    <s v="Inv 12498"/>
    <d v="2017-08-17T00:00:00"/>
    <d v="2017-07-03T00:00:00"/>
    <d v="2017-07-03T00:00:00"/>
    <m/>
    <m/>
    <d v="2017-08-08T00:00:00"/>
    <d v="2017-08-24T00:00:00"/>
    <m/>
    <x v="5"/>
    <s v="Aug-17"/>
    <s v="MW20613 - AYCA-3CGK8N - Tulkaba View – 1"/>
    <s v="Terabla"/>
    <n v="3471.5"/>
    <m/>
    <n v="3471.5"/>
    <n v="3818.65"/>
    <m/>
    <m/>
    <n v="0"/>
    <n v="3471.5"/>
    <n v="1"/>
    <s v="Invoiced"/>
    <d v="2017-07-17T00:00:00"/>
    <s v="Completed and handover forwarded"/>
    <s v="Mark Leal"/>
    <d v="2017-04-19T00:00:00"/>
    <d v="2017-05-05T00:00:00"/>
    <n v="16"/>
    <d v="2017-05-02T00:00:00"/>
    <n v="-3"/>
  </r>
  <r>
    <x v="2"/>
    <s v="Sydney"/>
    <s v="Inv 12357"/>
    <d v="2017-06-30T00:00:00"/>
    <d v="2017-06-02T00:00:00"/>
    <d v="2017-06-01T00:00:00"/>
    <m/>
    <m/>
    <d v="2017-06-13T00:00:00"/>
    <d v="2017-08-10T00:00:00"/>
    <s v="39 Days for payment claim approval"/>
    <x v="1"/>
    <s v="Aug-17"/>
    <s v="MW20682 - AYCA-3NDQ7T - 2ROU-04 - 67 Barry Street "/>
    <s v="Rouse Hill"/>
    <n v="345.37"/>
    <n v="139.95999999999998"/>
    <n v="485.33"/>
    <n v="533.86300000000006"/>
    <m/>
    <m/>
    <n v="0"/>
    <n v="485.33"/>
    <n v="1"/>
    <s v="Invoiced"/>
    <d v="2017-06-15T00:00:00"/>
    <s v="Completed and handover forwarded"/>
    <s v="Andrew Mahassy"/>
    <s v="Direct Award"/>
    <d v="2017-05-04T00:00:00"/>
    <m/>
    <m/>
    <m/>
  </r>
  <r>
    <x v="2"/>
    <s v="Sydney"/>
    <s v="Inv 12636"/>
    <d v="2017-10-27T00:00:00"/>
    <d v="2017-07-05T00:00:00"/>
    <d v="2017-07-05T00:00:00"/>
    <d v="2017-08-09T00:00:00"/>
    <d v="2017-09-11T00:00:00"/>
    <d v="2017-09-11T00:00:00"/>
    <d v="2017-09-28T00:00:00"/>
    <m/>
    <x v="5"/>
    <s v="Sep-17"/>
    <s v="MW20648-2KEL-03 -AYCA-3BH4IQ - Lot A, 8 Merriville Road - 1"/>
    <s v="Kellyville"/>
    <n v="1532.61"/>
    <n v="1946.79"/>
    <n v="3479.3999999999996"/>
    <n v="3827.3399999999997"/>
    <n v="935.3"/>
    <m/>
    <n v="935.3"/>
    <n v="2544.0999999999995"/>
    <n v="0.73118928550899576"/>
    <s v="Invoiced"/>
    <d v="2017-07-19T00:00:00"/>
    <s v="Completed and handover forwarded"/>
    <s v="Lindy Chan"/>
    <s v="Direct Award"/>
    <d v="2017-05-11T00:00:00"/>
    <m/>
    <m/>
    <m/>
  </r>
  <r>
    <x v="2"/>
    <s v="Sydney"/>
    <s v="Inv 12358"/>
    <d v="2017-06-30T00:00:00"/>
    <d v="2017-06-14T00:00:00"/>
    <d v="2017-06-14T00:00:00"/>
    <d v="2017-08-09T00:00:00"/>
    <d v="2017-08-14T00:00:00"/>
    <d v="2017-07-14T00:00:00"/>
    <d v="2017-08-24T00:00:00"/>
    <s v="Waiting on PC approval sent in 14/6, variation submitted 9/8/17"/>
    <x v="1"/>
    <s v="Aug-17"/>
    <s v="MW20652 - AYCA-1CI2SU - Jenkins - East, West &amp; South"/>
    <s v="Carlingford"/>
    <n v="1166.1099999999999"/>
    <n v="7788.37"/>
    <n v="8954.48"/>
    <n v="9849.9279999999999"/>
    <m/>
    <m/>
    <n v="0"/>
    <n v="8954.48"/>
    <n v="1"/>
    <s v="Invoiced"/>
    <d v="2017-06-28T00:00:00"/>
    <s v="Completed and handover forwarded"/>
    <s v="Michael Tram"/>
    <s v="Direct Award"/>
    <d v="2017-05-04T00:00:00"/>
    <m/>
    <m/>
    <m/>
  </r>
  <r>
    <x v="2"/>
    <s v="Sydney"/>
    <s v="Inv 12712"/>
    <d v="2017-10-18T00:00:00"/>
    <d v="2017-06-30T00:00:00"/>
    <d v="2017-07-01T00:00:00"/>
    <d v="2017-08-09T00:00:00"/>
    <d v="2017-09-07T00:00:00"/>
    <d v="2017-08-08T00:00:00"/>
    <d v="2017-10-24T00:00:00"/>
    <s v="Variation submitted 9/8/17"/>
    <x v="5"/>
    <s v="Oct-17"/>
    <s v="MW20669 - AYCA-47X9GS - Mackenzie Residences - Strathfield - 1 "/>
    <s v="Strathfield"/>
    <n v="1633.8"/>
    <n v="826.67"/>
    <n v="2460.4699999999998"/>
    <n v="2706.5169999999998"/>
    <m/>
    <m/>
    <n v="0"/>
    <n v="2460.4699999999998"/>
    <n v="1"/>
    <s v="Invoiced"/>
    <d v="2017-07-15T00:00:00"/>
    <s v="Completed and handover forwarded"/>
    <s v="Lindy Chan"/>
    <s v="Direct Award"/>
    <d v="2017-05-08T00:00:00"/>
    <m/>
    <m/>
    <m/>
  </r>
  <r>
    <x v="2"/>
    <s v="Sydney"/>
    <m/>
    <m/>
    <m/>
    <d v="2018-07-30T00:00:00"/>
    <m/>
    <m/>
    <m/>
    <m/>
    <m/>
    <x v="9"/>
    <s v="Jan-00"/>
    <s v="MW20698 - AYCA-1SQ3K5 - 189 Macquarie Street"/>
    <s v="Parramatta"/>
    <n v="1056.78"/>
    <m/>
    <n v="1056.78"/>
    <n v="1162.4580000000001"/>
    <n v="235"/>
    <m/>
    <n v="235"/>
    <n v="821.78"/>
    <n v="0.77762637445825999"/>
    <m/>
    <d v="2018-08-13T00:00:00"/>
    <m/>
    <s v="Lindy Chan"/>
    <s v="Direct Award"/>
    <d v="2017-05-08T00:00:00"/>
    <m/>
    <m/>
    <m/>
  </r>
  <r>
    <x v="2"/>
    <s v="Sydney"/>
    <s v="Inv 12600"/>
    <d v="2017-09-15T00:00:00"/>
    <d v="2017-07-11T00:00:00"/>
    <d v="2017-07-11T00:00:00"/>
    <d v="2017-08-09T00:00:00"/>
    <d v="2017-09-01T00:00:00"/>
    <d v="2017-08-08T00:00:00"/>
    <d v="2017-09-21T00:00:00"/>
    <m/>
    <x v="5"/>
    <s v="Sep-17"/>
    <s v="MW20686 - AYCA-1RBL6L - The North Village , Kellyville - 1"/>
    <s v="Kellyville"/>
    <n v="1317.54"/>
    <n v="7782.07"/>
    <n v="9099.61"/>
    <n v="10009.571000000002"/>
    <n v="2486.86"/>
    <m/>
    <n v="2486.86"/>
    <n v="6612.75"/>
    <n v="0.72670696876019958"/>
    <s v="Invoiced"/>
    <d v="2017-07-25T00:00:00"/>
    <s v="Completed and handover forwarded"/>
    <s v="Michael Tram"/>
    <s v="Direct Award"/>
    <d v="2017-05-11T00:00:00"/>
    <m/>
    <m/>
    <m/>
  </r>
  <r>
    <x v="2"/>
    <s v="Sydney"/>
    <s v="Inv 13121"/>
    <d v="2018-01-23T00:00:00"/>
    <d v="2017-11-23T00:00:00"/>
    <d v="2017-11-23T00:00:00"/>
    <d v="2017-12-04T00:00:00"/>
    <d v="2017-12-08T00:00:00"/>
    <d v="2017-12-14T00:00:00"/>
    <d v="2018-02-06T00:00:00"/>
    <m/>
    <x v="10"/>
    <s v="Feb-18"/>
    <s v="MW20692 - AYCA-2HTGPP - Scalabrini Village Residential"/>
    <s v="Drummoyne "/>
    <n v="2134.75"/>
    <n v="8039.13"/>
    <n v="10173.880000000001"/>
    <n v="11191.268000000002"/>
    <n v="7738.49"/>
    <m/>
    <n v="7738.49"/>
    <n v="2435.3900000000012"/>
    <n v="0.23937671763378388"/>
    <s v="Invoiced"/>
    <d v="2017-12-07T00:00:00"/>
    <s v="Completed and handover forwarded"/>
    <s v="Michael Tram"/>
    <s v="Direct Award"/>
    <d v="2017-05-26T00:00:00"/>
    <m/>
    <m/>
    <m/>
  </r>
  <r>
    <x v="2"/>
    <s v="Sydney"/>
    <s v="Inv 12361 &amp;12361b"/>
    <d v="2017-06-30T00:00:00"/>
    <d v="2017-07-01T00:00:00"/>
    <d v="2017-06-30T00:00:00"/>
    <d v="2017-08-09T00:00:00"/>
    <d v="2017-09-07T00:00:00"/>
    <d v="2017-08-08T00:00:00"/>
    <d v="2017-09-14T00:00:00"/>
    <s v="Variation Submitted 09/08/17"/>
    <x v="1"/>
    <s v="Sep-17"/>
    <s v="MW20699 - AYCA-3BSZ4M - 41 &amp; 55 Rynan Ave"/>
    <s v="Edmondson Park"/>
    <n v="254.28"/>
    <n v="780"/>
    <n v="1034.28"/>
    <n v="1137.7080000000001"/>
    <m/>
    <m/>
    <n v="0"/>
    <n v="1034.28"/>
    <n v="1"/>
    <s v="Invoiced"/>
    <d v="2017-07-14T00:00:00"/>
    <s v="Completed and handover forwarded"/>
    <s v="Andrew Mahassy"/>
    <s v="Direct Award"/>
    <d v="2017-05-08T00:00:00"/>
    <m/>
    <m/>
    <m/>
  </r>
  <r>
    <x v="2"/>
    <s v="Sydney"/>
    <s v="Inv 12873"/>
    <d v="2017-11-29T00:00:00"/>
    <d v="2017-08-09T00:00:00"/>
    <d v="2017-09-06T00:00:00"/>
    <m/>
    <m/>
    <d v="2017-09-20T00:00:00"/>
    <d v="2017-11-30T00:00:00"/>
    <m/>
    <x v="3"/>
    <s v="Nov-17"/>
    <s v="MW20727 - 2NRN-10 - AYCA-3UYW26 - P150 - Internals"/>
    <s v="Smeaton Grange"/>
    <n v="1120"/>
    <m/>
    <n v="1120"/>
    <n v="1232"/>
    <m/>
    <m/>
    <n v="0"/>
    <n v="1120"/>
    <n v="1"/>
    <s v="Invoiced"/>
    <d v="2017-09-20T00:00:00"/>
    <s v="Completed and handover forwarded"/>
    <s v="Nabeel Jaimon"/>
    <s v="Direct Award"/>
    <d v="2017-05-11T00:00:00"/>
    <m/>
    <d v="2017-05-30T00:00:00"/>
    <m/>
  </r>
  <r>
    <x v="0"/>
    <s v="Newcastle"/>
    <s v="Inv 12263"/>
    <d v="2017-05-31T00:00:00"/>
    <d v="2017-05-19T00:00:00"/>
    <d v="2017-05-30T00:00:00"/>
    <m/>
    <m/>
    <d v="2017-08-08T00:00:00"/>
    <d v="2017-08-24T00:00:00"/>
    <s v="Payment Claim submitted 9/9/17"/>
    <x v="0"/>
    <s v="Aug-17"/>
    <s v="MW20660 - AYCA-45D358 NSB Albuera Close SITE SURVEY"/>
    <s v="Matiland"/>
    <n v="2760"/>
    <m/>
    <n v="2760"/>
    <n v="3036.0000000000005"/>
    <m/>
    <m/>
    <n v="0"/>
    <n v="2760"/>
    <n v="1"/>
    <s v="Invoiced"/>
    <d v="2017-06-13T00:00:00"/>
    <s v="Completed and handover forwarded"/>
    <s v="Mark Leal"/>
    <d v="2017-05-10T00:00:00"/>
    <d v="2017-05-23T00:00:00"/>
    <n v="13"/>
    <m/>
    <m/>
  </r>
  <r>
    <x v="2"/>
    <s v="Sydney"/>
    <s v="Inv 12269"/>
    <d v="2017-05-31T00:00:00"/>
    <d v="2017-05-31T00:00:00"/>
    <d v="2017-05-31T00:00:00"/>
    <m/>
    <m/>
    <d v="2017-06-09T00:00:00"/>
    <d v="2017-08-15T00:00:00"/>
    <m/>
    <x v="0"/>
    <s v="Aug-17"/>
    <s v="MW20749 - 2KEL-07 - AYCA-3R9JM5 - 31 Memorial Av"/>
    <s v="Kellyville"/>
    <n v="465.57"/>
    <m/>
    <n v="465.57"/>
    <n v="512.12700000000007"/>
    <m/>
    <m/>
    <n v="0"/>
    <n v="465.57"/>
    <n v="1"/>
    <s v="Invoiced"/>
    <d v="2017-06-14T00:00:00"/>
    <s v="Completed and handover forwarded"/>
    <s v="Andrew Mahassy"/>
    <s v="Direct Award"/>
    <d v="2017-05-17T00:00:00"/>
    <m/>
    <m/>
    <m/>
  </r>
  <r>
    <x v="1"/>
    <s v="Sydney"/>
    <s v="Inv 12065b"/>
    <d v="2017-05-31T00:00:00"/>
    <d v="2017-03-31T00:00:00"/>
    <d v="2017-05-16T00:00:00"/>
    <d v="2017-07-07T00:00:00"/>
    <d v="2017-08-10T00:00:00"/>
    <d v="2017-04-20T00:00:00"/>
    <d v="2017-08-24T00:00:00"/>
    <s v="Up to V3 of Variation request, Chris A handling it now.  Submitted payment claim on the 10/8"/>
    <x v="0"/>
    <s v="Aug-17"/>
    <s v="MW20187 - 2CBT-01-14_10 &amp; 2CBT-04-14"/>
    <s v="Campbelltown"/>
    <n v="0"/>
    <n v="39403.65"/>
    <n v="39403.65"/>
    <n v="43344.015000000007"/>
    <m/>
    <m/>
    <n v="0"/>
    <n v="39403.65"/>
    <n v="1"/>
    <s v="Invoiced"/>
    <d v="2017-05-30T00:00:00"/>
    <s v="Completed and handover forwarded"/>
    <s v="Anna Juranic"/>
    <d v="2016-10-19T00:00:00"/>
    <d v="2016-11-21T00:00:00"/>
    <n v="33"/>
    <d v="2017-01-30T00:00:00"/>
    <n v="70"/>
  </r>
  <r>
    <x v="0"/>
    <s v="Sydney"/>
    <s v="Inv 12338"/>
    <d v="2017-06-27T00:00:00"/>
    <d v="2017-06-05T00:00:00"/>
    <d v="2017-06-05T00:00:00"/>
    <m/>
    <m/>
    <d v="2017-08-08T00:00:00"/>
    <d v="2017-08-22T00:00:00"/>
    <m/>
    <x v="1"/>
    <s v="Aug-17"/>
    <s v="MW20662 - 2KEL-08 - AYCA-42POJA - NSB - Memorial Ave Kelly Survey"/>
    <s v="Kellyville"/>
    <n v="2100"/>
    <m/>
    <n v="2100"/>
    <n v="2310"/>
    <m/>
    <m/>
    <n v="0"/>
    <n v="2100"/>
    <n v="1"/>
    <s v="Invoiced"/>
    <d v="2017-06-19T00:00:00"/>
    <s v="Completed and handover forwarded"/>
    <s v="Andrew Mahassy"/>
    <d v="2017-05-11T00:00:00"/>
    <d v="2017-05-25T00:00:00"/>
    <n v="14"/>
    <d v="2017-05-30T00:00:00"/>
    <n v="5"/>
  </r>
  <r>
    <x v="0"/>
    <s v="Sydney"/>
    <s v="Inv 12359"/>
    <d v="2017-06-30T00:00:00"/>
    <d v="2017-06-26T00:00:00"/>
    <d v="2017-06-30T00:00:00"/>
    <m/>
    <m/>
    <d v="2017-08-08T00:00:00"/>
    <d v="2017-08-29T00:00:00"/>
    <s v="Payment Claim submitted 9/9/17"/>
    <x v="1"/>
    <s v="Aug-17"/>
    <s v="MW20661 - 2LIV-04 - AYCA-476RM9 - 87-91 Campbell St NSB Survey"/>
    <s v="Liverpool"/>
    <n v="2100"/>
    <m/>
    <n v="2100"/>
    <n v="2310"/>
    <m/>
    <m/>
    <n v="0"/>
    <n v="2100"/>
    <n v="1"/>
    <s v="Invoiced"/>
    <d v="2017-07-14T00:00:00"/>
    <s v="Completed and handover forwarded"/>
    <s v="Andrew Mahassy"/>
    <d v="2017-05-11T00:00:00"/>
    <d v="2017-05-25T00:00:00"/>
    <n v="14"/>
    <d v="2017-05-30T00:00:00"/>
    <n v="5"/>
  </r>
  <r>
    <x v="0"/>
    <s v="Sth Coast"/>
    <s v="Inv 12049b"/>
    <d v="2017-08-17T00:00:00"/>
    <d v="2017-07-13T00:00:00"/>
    <d v="2017-07-18T00:00:00"/>
    <d v="2017-07-18T00:00:00"/>
    <d v="2017-08-11T00:00:00"/>
    <d v="2017-08-18T00:00:00"/>
    <d v="2017-09-19T00:00:00"/>
    <m/>
    <x v="5"/>
    <s v="Sep-17"/>
    <s v="MW20667 - AYCA-41NF6X - Non Standard Builds - Miller St    BUILD"/>
    <s v="Coniston"/>
    <n v="10585.7"/>
    <n v="2720.57"/>
    <n v="13306.27"/>
    <n v="14636.897000000001"/>
    <m/>
    <m/>
    <n v="0"/>
    <n v="13306.27"/>
    <n v="1"/>
    <s v="Invoiced"/>
    <d v="2017-08-01T00:00:00"/>
    <s v="Completed and handover forwarded"/>
    <s v="Andrew Mahassy"/>
    <d v="2017-05-15T00:00:00"/>
    <d v="2017-05-23T00:00:00"/>
    <n v="8"/>
    <d v="2017-05-30T00:00:00"/>
    <n v="7"/>
  </r>
  <r>
    <x v="0"/>
    <s v="Central Coast"/>
    <s v="Inv 12640"/>
    <d v="2017-10-11T00:00:00"/>
    <d v="2017-08-17T00:00:00"/>
    <d v="2017-08-17T00:00:00"/>
    <d v="2017-08-17T00:00:00"/>
    <d v="2017-09-11T00:00:00"/>
    <d v="2017-09-11T00:00:00"/>
    <d v="2017-10-17T00:00:00"/>
    <s v="Waiting on DY NBN"/>
    <x v="4"/>
    <s v="Oct-17"/>
    <s v="MW20604 - AYCA-46I5YX - 878 Pacific Hwy, Lisarow"/>
    <s v="Lisarow"/>
    <n v="6610.72"/>
    <n v="2460.3428571428572"/>
    <n v="9071.062857142857"/>
    <n v="9978.169142857143"/>
    <n v="6348.9"/>
    <m/>
    <n v="6348.9"/>
    <n v="2722.1628571428573"/>
    <n v="0.30009304312110852"/>
    <s v="Invoiced"/>
    <d v="2017-08-31T00:00:00"/>
    <s v="Completed and handover forwarded"/>
    <s v="Dave Yoemans"/>
    <d v="2017-05-19T00:00:00"/>
    <m/>
    <m/>
    <m/>
    <m/>
  </r>
  <r>
    <x v="1"/>
    <s v="Central Coast"/>
    <s v="Inv 12360a"/>
    <d v="2017-06-30T00:00:00"/>
    <d v="2017-06-26T00:00:00"/>
    <d v="2017-06-26T00:00:00"/>
    <d v="2017-07-20T00:00:00"/>
    <d v="2017-07-28T00:00:00"/>
    <d v="2017-07-20T00:00:00"/>
    <d v="2017-08-31T00:00:00"/>
    <s v="Waiting on Variation Approval"/>
    <x v="1"/>
    <s v="Aug-17"/>
    <s v="MW20679 - 2LJT-02 - MPS-012 - 3 Corella"/>
    <s v="Long Jetty"/>
    <n v="6239.62"/>
    <n v="-4880.3"/>
    <n v="1359.3199999999997"/>
    <n v="1495.2519999999997"/>
    <m/>
    <m/>
    <n v="0"/>
    <n v="1359.3199999999997"/>
    <n v="1"/>
    <s v="Invoiced"/>
    <d v="2017-07-10T00:00:00"/>
    <s v="Completed and handover forwarded"/>
    <s v="Jay Shrestha"/>
    <d v="2017-05-16T00:00:00"/>
    <d v="2017-05-23T00:00:00"/>
    <n v="7"/>
    <d v="2017-06-16T00:00:00"/>
    <n v="24"/>
  </r>
  <r>
    <x v="0"/>
    <s v="Sydney"/>
    <s v="Inv 13434"/>
    <d v="2018-03-27T00:00:00"/>
    <d v="2018-03-07T00:00:00"/>
    <d v="2018-03-08T00:00:00"/>
    <m/>
    <m/>
    <d v="2018-03-21T00:00:00"/>
    <d v="2018-03-28T00:00:00"/>
    <m/>
    <x v="11"/>
    <s v="Mar-18"/>
    <s v="MW21642- AYCA-48KUSD-2NRN-10 - 79-85 TURNER ROAD, GREGORY HILLS"/>
    <s v="Gregory Hills"/>
    <n v="2107.06"/>
    <m/>
    <n v="2107.06"/>
    <n v="2317.7660000000001"/>
    <n v="676.5"/>
    <m/>
    <n v="676.5"/>
    <n v="1430.56"/>
    <n v="0.67893652767363055"/>
    <s v="Invoiced"/>
    <d v="2018-03-22T00:00:00"/>
    <s v="Completed and handover forwarded"/>
    <s v="Andrew Mahassy"/>
    <d v="2017-11-23T00:00:00"/>
    <d v="2018-01-04T00:00:00"/>
    <n v="42"/>
    <d v="2018-01-10T00:00:00"/>
    <n v="6"/>
  </r>
  <r>
    <x v="2"/>
    <s v="Sydney"/>
    <s v="Inv 12588"/>
    <d v="2017-09-18T00:00:00"/>
    <d v="2017-08-04T00:00:00"/>
    <d v="2017-08-04T00:00:00"/>
    <d v="2017-08-09T00:00:00"/>
    <d v="2017-08-23T00:00:00"/>
    <d v="2017-09-04T00:00:00"/>
    <d v="2017-09-21T00:00:00"/>
    <s v="Variation submitted 9/08/17"/>
    <x v="4"/>
    <s v="Sep-17"/>
    <s v="MW20786 - 2LIV-03 - AYCA-47DIBW - Dale Development – 1"/>
    <s v="Liverpool"/>
    <n v="945.25"/>
    <n v="2842.35"/>
    <n v="3787.6"/>
    <n v="4166.3600000000006"/>
    <m/>
    <m/>
    <n v="0"/>
    <n v="3787.6"/>
    <n v="1"/>
    <s v="Invoiced"/>
    <d v="2017-08-18T00:00:00"/>
    <s v="Completed and handover forwarded"/>
    <s v="Andrew Mahassy"/>
    <s v="Direct Award"/>
    <d v="2017-05-25T00:00:00"/>
    <m/>
    <m/>
    <m/>
  </r>
  <r>
    <x v="2"/>
    <s v="Sydney"/>
    <s v="Inv 13399"/>
    <d v="2018-03-22T00:00:00"/>
    <d v="2018-02-26T00:00:00"/>
    <d v="2018-02-27T00:00:00"/>
    <d v="2018-02-27T00:00:00"/>
    <d v="2018-03-14T00:00:00"/>
    <d v="2018-03-12T00:00:00"/>
    <d v="2018-03-22T00:00:00"/>
    <s v="Waiting on PC and Variation submission"/>
    <x v="2"/>
    <s v="Mar-18"/>
    <s v="MW20767 - AYCA-1PM9JB - 2GRA-64 -  Merrylands Rd"/>
    <s v="Merrylands"/>
    <n v="982.6"/>
    <n v="14413.24"/>
    <n v="15395.84"/>
    <n v="16935.424000000003"/>
    <n v="5328.82"/>
    <m/>
    <n v="5328.82"/>
    <n v="10067.02"/>
    <n v="0.6538792297140007"/>
    <s v="Invoiced"/>
    <d v="2018-03-13T00:00:00"/>
    <s v="Completed and handover forwarded"/>
    <s v="Michael Tram"/>
    <s v="Direct Award"/>
    <d v="2017-05-25T00:00:00"/>
    <m/>
    <d v="2017-07-01T00:00:00"/>
    <n v="37"/>
  </r>
  <r>
    <x v="0"/>
    <s v="Sydney"/>
    <s v="Inv 12573"/>
    <d v="2017-09-11T00:00:00"/>
    <d v="2017-07-03T00:00:00"/>
    <d v="2017-07-03T00:00:00"/>
    <d v="2017-07-03T00:00:00"/>
    <d v="2017-08-18T00:00:00"/>
    <d v="2017-09-04T00:00:00"/>
    <d v="2017-09-21T00:00:00"/>
    <s v="Waiting for PC &amp; Variation approval"/>
    <x v="5"/>
    <s v="Sep-17"/>
    <s v="MW20725 - AYCA-3I8QKP - 6-8 Biara Street, Bargo – 11"/>
    <s v="Bargo"/>
    <n v="4091.52"/>
    <n v="1416.6946428571423"/>
    <n v="5508.2146428571423"/>
    <n v="6059.036107142857"/>
    <m/>
    <m/>
    <n v="0"/>
    <n v="5508.2146428571423"/>
    <n v="1"/>
    <s v="Invoiced"/>
    <d v="2017-07-17T00:00:00"/>
    <s v="Completed and handover forwarded"/>
    <s v="Ertan Cicek"/>
    <d v="2017-05-18T00:00:00"/>
    <d v="2017-05-26T00:00:00"/>
    <n v="8"/>
    <d v="2017-05-30T00:00:00"/>
    <n v="4"/>
  </r>
  <r>
    <x v="2"/>
    <s v="Sydney"/>
    <s v="Inv 12798"/>
    <d v="2017-11-09T00:00:00"/>
    <d v="2017-09-12T00:00:00"/>
    <d v="2017-09-12T00:00:00"/>
    <d v="2017-09-12T00:00:00"/>
    <d v="2017-10-03T00:00:00"/>
    <d v="2017-09-26T00:00:00"/>
    <d v="2017-11-23T00:00:00"/>
    <m/>
    <x v="3"/>
    <s v="Nov-17"/>
    <s v="MW20765 - 2HOR-63 - AYCA-2ZE1AV - 1 &amp; 1A Cowan Road, Mount Colah - Killara "/>
    <s v="Hornsby"/>
    <n v="1984.44"/>
    <n v="2687.91"/>
    <n v="4672.3500000000004"/>
    <n v="5139.5850000000009"/>
    <m/>
    <m/>
    <n v="0"/>
    <n v="4672.3500000000004"/>
    <n v="1"/>
    <s v="Invoiced"/>
    <d v="2017-09-26T00:00:00"/>
    <s v="Completed and handover forwarded"/>
    <s v="Andrew Partalis"/>
    <s v="Direct Award"/>
    <d v="2017-05-24T00:00:00"/>
    <m/>
    <m/>
    <m/>
  </r>
  <r>
    <x v="1"/>
    <s v="Sydney"/>
    <s v="Inv 12268"/>
    <d v="2017-05-31T00:00:00"/>
    <d v="2017-05-31T00:00:00"/>
    <d v="2017-05-16T00:00:00"/>
    <m/>
    <m/>
    <d v="2017-06-28T00:00:00"/>
    <d v="2017-07-28T00:00:00"/>
    <m/>
    <x v="0"/>
    <s v="Jul-17"/>
    <s v="MW20680 - 2BLK-02/07 - MPS-032 &amp; MPS-010"/>
    <s v="Blacktown"/>
    <n v="18758.95"/>
    <m/>
    <n v="18758.95"/>
    <n v="20634.845000000001"/>
    <n v="1501.72"/>
    <m/>
    <n v="1501.72"/>
    <n v="17257.23"/>
    <n v="0.91994647888074754"/>
    <s v="Invoiced"/>
    <d v="2017-05-30T00:00:00"/>
    <s v="Completed and handover forwarded"/>
    <s v="Jay Shrestha"/>
    <d v="2017-05-16T00:00:00"/>
    <d v="2017-05-25T00:00:00"/>
    <n v="9"/>
    <d v="2017-06-16T00:00:00"/>
    <n v="22"/>
  </r>
  <r>
    <x v="2"/>
    <s v="Sydney"/>
    <s v="Inv 12562"/>
    <d v="2017-09-07T00:00:00"/>
    <d v="2017-07-21T00:00:00"/>
    <d v="2017-07-21T00:00:00"/>
    <d v="2017-08-09T00:00:00"/>
    <d v="2017-08-18T00:00:00"/>
    <d v="2017-08-08T00:00:00"/>
    <d v="2017-09-12T00:00:00"/>
    <m/>
    <x v="5"/>
    <s v="Sep-17"/>
    <s v="MW20791 - 2RIV-01 - AYCA-3W8B3W - 43 Church St - 1"/>
    <s v="Riverstone"/>
    <n v="891.6"/>
    <n v="601.80999999999995"/>
    <n v="1493.4099999999999"/>
    <n v="1642.751"/>
    <m/>
    <m/>
    <n v="0"/>
    <n v="1493.4099999999999"/>
    <n v="1"/>
    <s v="Invoiced"/>
    <d v="2017-08-04T00:00:00"/>
    <s v="Completed and handover forwarded"/>
    <s v="Andrew Mahassy"/>
    <s v="Direct Award"/>
    <d v="2017-05-25T00:00:00"/>
    <m/>
    <m/>
    <m/>
  </r>
  <r>
    <x v="0"/>
    <s v="Newcastle"/>
    <s v="Inv 12586"/>
    <d v="2017-09-18T00:00:00"/>
    <d v="2017-07-04T00:00:00"/>
    <d v="2017-07-04T00:00:00"/>
    <m/>
    <m/>
    <d v="2017-08-08T00:00:00"/>
    <d v="2017-09-21T00:00:00"/>
    <m/>
    <x v="5"/>
    <s v="Sep-17"/>
    <s v="MW20719 - AYCA-3RWSQB - 26 Kalinya Close, Cameron Park – 1"/>
    <s v="Cameron Park"/>
    <n v="3684.78"/>
    <m/>
    <n v="3684.78"/>
    <n v="4053.2580000000007"/>
    <m/>
    <m/>
    <n v="0"/>
    <n v="3684.78"/>
    <n v="1"/>
    <s v="Invoiced"/>
    <d v="2017-07-18T00:00:00"/>
    <s v="Completed and handover forwarded"/>
    <s v="Mark Leal"/>
    <d v="2017-05-11T00:00:00"/>
    <d v="2017-05-29T00:00:00"/>
    <n v="18"/>
    <d v="2017-05-29T00:00:00"/>
    <n v="0"/>
  </r>
  <r>
    <x v="0"/>
    <s v="Sth NSW"/>
    <s v="Inv 12496"/>
    <d v="2017-08-17T00:00:00"/>
    <d v="2017-07-03T00:00:00"/>
    <d v="2017-07-03T00:00:00"/>
    <m/>
    <m/>
    <d v="2017-08-08T00:00:00"/>
    <d v="2017-08-24T00:00:00"/>
    <m/>
    <x v="5"/>
    <s v="Aug-17"/>
    <s v="MW20720 - AYCA-4BHWVV - Argyle Community Housing - 1 "/>
    <s v="Bowral"/>
    <n v="3135.04"/>
    <m/>
    <n v="3135.04"/>
    <n v="3448.5440000000003"/>
    <m/>
    <m/>
    <n v="0"/>
    <n v="3135.04"/>
    <n v="1"/>
    <s v="Invoiced"/>
    <d v="2017-07-17T00:00:00"/>
    <s v="Completed and handover forwarded"/>
    <s v="Nabel Jaimon"/>
    <d v="2017-05-21T00:00:00"/>
    <d v="2017-06-05T00:00:00"/>
    <n v="15"/>
    <d v="2017-05-31T00:00:00"/>
    <n v="-5"/>
  </r>
  <r>
    <x v="2"/>
    <s v="Sydney"/>
    <s v="Inv 12685"/>
    <d v="2017-10-10T00:00:00"/>
    <d v="2017-08-12T00:00:00"/>
    <d v="2017-08-14T00:00:00"/>
    <d v="2017-08-16T00:00:00"/>
    <d v="2017-08-25T00:00:00"/>
    <d v="2017-09-08T00:00:00"/>
    <d v="2017-10-12T00:00:00"/>
    <m/>
    <x v="4"/>
    <s v="Oct-17"/>
    <s v="MW20801 - 2RCH-05- AYCA-35BURW - 503-505 Londonderry Road "/>
    <s v="Londonderry"/>
    <n v="1539.68"/>
    <n v="2526.21"/>
    <n v="4065.8900000000003"/>
    <n v="4472.4790000000003"/>
    <m/>
    <m/>
    <n v="0"/>
    <n v="4065.8900000000003"/>
    <n v="1"/>
    <s v="Invoiced"/>
    <d v="2017-08-28T00:00:00"/>
    <s v="Completed and handover forwarded"/>
    <s v="Andrew Mahassy"/>
    <s v="Direct Award"/>
    <d v="2017-06-05T00:00:00"/>
    <m/>
    <m/>
    <m/>
  </r>
  <r>
    <x v="2"/>
    <s v="Sydney"/>
    <s v="Inv 12799"/>
    <d v="2017-11-13T00:00:00"/>
    <d v="2017-09-21T00:00:00"/>
    <d v="2017-09-25T00:00:00"/>
    <d v="2017-09-27T00:00:00"/>
    <d v="2017-10-02T00:00:00"/>
    <d v="2017-10-02T00:00:00"/>
    <d v="2017-11-16T00:00:00"/>
    <m/>
    <x v="3"/>
    <s v="Nov-17"/>
    <s v="MW20817 - 2LIV-12 - 2QUA – 02- 2PTH-02 - Glenfield_Margo_Jamison"/>
    <s v="Various"/>
    <n v="1876.95"/>
    <n v="2105.2800000000002"/>
    <n v="3982.2300000000005"/>
    <n v="4380.4530000000004"/>
    <m/>
    <m/>
    <n v="0"/>
    <n v="3982.2300000000005"/>
    <n v="1"/>
    <s v="Invoiced"/>
    <d v="2017-10-09T00:00:00"/>
    <s v="Completed and handover forwarded"/>
    <s v="Andrew Mahassy"/>
    <s v="Direct Award"/>
    <d v="2017-06-05T00:00:00"/>
    <m/>
    <m/>
    <m/>
  </r>
  <r>
    <x v="2"/>
    <s v="Sydney"/>
    <s v="Inv 12639"/>
    <d v="2017-09-27T00:00:00"/>
    <d v="2017-07-21T00:00:00"/>
    <d v="2017-07-21T00:00:00"/>
    <d v="2017-08-09T00:00:00"/>
    <d v="2017-08-31T00:00:00"/>
    <d v="2017-09-07T00:00:00"/>
    <d v="2017-09-27T00:00:00"/>
    <m/>
    <x v="5"/>
    <s v="Sep-17"/>
    <s v="MW20688 - AYCA-42LEI4 - MNR Investment Group Pty Ltd - 1 "/>
    <s v="Lidcombe"/>
    <n v="1706.42"/>
    <n v="2638"/>
    <n v="4344.42"/>
    <n v="4778.8620000000001"/>
    <m/>
    <m/>
    <n v="0"/>
    <n v="4344.42"/>
    <n v="1"/>
    <s v="Invoiced"/>
    <d v="2017-08-04T00:00:00"/>
    <s v="Completed and handover forwarded"/>
    <s v="Mary Angly"/>
    <s v="Direct Award"/>
    <d v="2017-06-06T00:00:00"/>
    <m/>
    <m/>
    <m/>
  </r>
  <r>
    <x v="2"/>
    <s v="Sydney"/>
    <s v="Inv 12499"/>
    <d v="2017-08-17T00:00:00"/>
    <d v="2017-07-21T00:00:00"/>
    <d v="2017-07-21T00:00:00"/>
    <d v="2017-08-10T00:00:00"/>
    <d v="2017-08-24T00:00:00"/>
    <d v="2017-08-09T00:00:00"/>
    <d v="2017-09-14T00:00:00"/>
    <m/>
    <x v="5"/>
    <s v="Sep-17"/>
    <s v="MW20876 - SOPR MWI - 2RIV-02 - 34-36 Schofields - North Park - 10"/>
    <s v="Schofields"/>
    <n v="815.12"/>
    <n v="142.16"/>
    <n v="957.28"/>
    <n v="1053.008"/>
    <m/>
    <m/>
    <n v="0"/>
    <n v="957.28"/>
    <n v="1"/>
    <s v="Invoiced"/>
    <d v="2017-08-04T00:00:00"/>
    <s v="Completed and handover forwarded"/>
    <s v="Andrew Mahassy"/>
    <s v="Direct Award"/>
    <d v="2017-06-20T00:00:00"/>
    <m/>
    <m/>
    <m/>
  </r>
  <r>
    <x v="2"/>
    <s v="Sydney"/>
    <s v="Inv 12590"/>
    <d v="2017-09-18T00:00:00"/>
    <d v="2017-07-04T00:00:00"/>
    <d v="2017-07-04T00:00:00"/>
    <d v="2017-08-09T00:00:00"/>
    <d v="2017-08-18T00:00:00"/>
    <d v="2017-09-04T00:00:00"/>
    <d v="2017-09-21T00:00:00"/>
    <m/>
    <x v="5"/>
    <s v="Sep-17"/>
    <s v="MW20877 - 2RIV-02 - 34-36 Schofields - North Park  - 9"/>
    <s v="Schofields"/>
    <n v="124.97"/>
    <n v="390"/>
    <n v="514.97"/>
    <n v="566.4670000000001"/>
    <m/>
    <m/>
    <n v="0"/>
    <n v="514.97"/>
    <n v="1"/>
    <s v="Invoiced"/>
    <d v="2017-07-18T00:00:00"/>
    <s v="Completed and handover forwarded"/>
    <s v="Andrew Mahassy"/>
    <s v="Direct Award"/>
    <d v="2017-06-20T00:00:00"/>
    <m/>
    <m/>
    <m/>
  </r>
  <r>
    <x v="2"/>
    <s v="Sydney"/>
    <s v="Inv 12568"/>
    <d v="2017-09-08T00:00:00"/>
    <d v="2017-07-21T00:00:00"/>
    <d v="2017-07-21T00:00:00"/>
    <d v="2017-08-09T00:00:00"/>
    <d v="2017-08-18T00:00:00"/>
    <d v="2017-08-08T00:00:00"/>
    <d v="2017-09-08T00:00:00"/>
    <m/>
    <x v="5"/>
    <s v="Sep-17"/>
    <s v="MW20882 - 2BLK-07 - AYCA-468EU5 - 299 Flushcombe - 1"/>
    <s v="Blacktown"/>
    <n v="288.08"/>
    <n v="692.46"/>
    <n v="980.54"/>
    <n v="1078.5940000000001"/>
    <m/>
    <m/>
    <n v="0"/>
    <n v="980.54"/>
    <n v="1"/>
    <s v="Invoiced"/>
    <d v="2017-08-04T00:00:00"/>
    <s v="Completed and handover forwarded"/>
    <s v="Andrew Mahassy"/>
    <s v="Direct Award"/>
    <d v="2017-06-16T00:00:00"/>
    <m/>
    <m/>
    <m/>
  </r>
  <r>
    <x v="2"/>
    <s v="Sydney"/>
    <s v="Inv 12606"/>
    <d v="2017-09-06T00:00:00"/>
    <d v="2017-07-12T00:00:00"/>
    <d v="2017-07-03T00:00:00"/>
    <d v="2017-08-09T00:00:00"/>
    <d v="2017-09-01T00:00:00"/>
    <d v="2017-08-08T00:00:00"/>
    <d v="2017-09-21T00:00:00"/>
    <s v="Variation Proposal Submitted 9/8/17"/>
    <x v="5"/>
    <s v="Sep-17"/>
    <s v="MW20898 - 2MIL-01 -AYCA-45L86C-Non Standard Builds - Zulu Road – Build"/>
    <s v="Edmonton"/>
    <n v="1026.45"/>
    <n v="112.25"/>
    <n v="1138.7"/>
    <n v="1252.5700000000002"/>
    <m/>
    <m/>
    <n v="0"/>
    <n v="1138.7"/>
    <n v="1"/>
    <s v="Invoiced"/>
    <d v="2017-07-17T00:00:00"/>
    <s v="Completed and handover forwarded"/>
    <s v="Andrew Mahassy"/>
    <s v="Direct Award"/>
    <d v="2017-06-19T00:00:00"/>
    <m/>
    <m/>
    <m/>
  </r>
  <r>
    <x v="2"/>
    <s v="Sydney"/>
    <s v="Inv 12744"/>
    <d v="2017-10-25T00:00:00"/>
    <d v="2017-08-01T00:00:00"/>
    <d v="2017-08-04T00:00:00"/>
    <d v="2017-08-09T00:00:00"/>
    <d v="2017-09-15T00:00:00"/>
    <d v="2017-09-07T00:00:00"/>
    <d v="2017-10-31T00:00:00"/>
    <m/>
    <x v="4"/>
    <s v="Oct-17"/>
    <s v="MW20897 - AYCA-3UMID0 - 2BLK-01 - 25 ALLAWAH ST, BLACKTOWN"/>
    <s v="Blacktown"/>
    <n v="182.87"/>
    <n v="375.17"/>
    <n v="558.04"/>
    <n v="613.84400000000005"/>
    <m/>
    <m/>
    <n v="0"/>
    <n v="558.04"/>
    <n v="1"/>
    <s v="Invoiced"/>
    <d v="2017-08-18T00:00:00"/>
    <s v="Completed and handover forwarded"/>
    <s v="Mark Leal"/>
    <s v="Direct Award"/>
    <d v="2017-06-20T00:00:00"/>
    <m/>
    <m/>
    <m/>
  </r>
  <r>
    <x v="0"/>
    <s v="Sydney"/>
    <s v="Inv 12872"/>
    <d v="2017-11-29T00:00:00"/>
    <d v="2017-09-04T00:00:00"/>
    <d v="2017-09-04T00:00:00"/>
    <m/>
    <m/>
    <d v="2017-09-18T00:00:00"/>
    <d v="2017-11-30T00:00:00"/>
    <m/>
    <x v="3"/>
    <s v="Nov-17"/>
    <s v="MW20705 - AYCA-3QCL7A - 48 Arnold Avenue Kellyville"/>
    <s v="Kellyville"/>
    <n v="2090.71"/>
    <m/>
    <n v="2090.71"/>
    <n v="2299.7810000000004"/>
    <m/>
    <m/>
    <n v="0"/>
    <n v="2090.71"/>
    <n v="1"/>
    <s v="Invoiced"/>
    <d v="2017-09-18T00:00:00"/>
    <s v="Completed and handover forwarded"/>
    <s v="Dave Yoemans"/>
    <d v="2017-05-15T00:00:00"/>
    <d v="2017-06-16T00:00:00"/>
    <n v="32"/>
    <d v="2017-07-30T00:00:00"/>
    <n v="44"/>
  </r>
  <r>
    <x v="2"/>
    <s v="Sydney"/>
    <s v="Inv 12686"/>
    <d v="2017-10-10T00:00:00"/>
    <d v="2017-08-13T00:00:00"/>
    <d v="2017-08-14T00:00:00"/>
    <d v="2017-08-15T00:00:00"/>
    <d v="2017-09-01T00:00:00"/>
    <d v="2017-08-28T00:00:00"/>
    <d v="2017-10-12T00:00:00"/>
    <m/>
    <x v="4"/>
    <s v="Oct-17"/>
    <s v="MW20875 - ACYA-3W8TJD - 31-33 Irelands Road Blacktown "/>
    <s v="Blacktown"/>
    <n v="300.05"/>
    <n v="3632.01"/>
    <n v="3932.0600000000004"/>
    <n v="4325.2660000000005"/>
    <n v="2573.9699999999998"/>
    <m/>
    <n v="2573.9699999999998"/>
    <n v="1358.0900000000006"/>
    <n v="0.34538893099291479"/>
    <s v="Invoiced"/>
    <d v="2017-08-28T00:00:00"/>
    <s v="Completed and handover forwarded"/>
    <s v="Andrew Mahassy"/>
    <s v="Direct Award"/>
    <d v="2017-06-28T00:00:00"/>
    <m/>
    <m/>
    <m/>
  </r>
  <r>
    <x v="0"/>
    <s v="Sydney"/>
    <s v="Inv 12871"/>
    <d v="2017-11-29T00:00:00"/>
    <d v="2017-10-05T00:00:00"/>
    <d v="2017-10-05T00:00:00"/>
    <d v="2017-10-16T00:00:00"/>
    <d v="2017-11-17T00:00:00"/>
    <d v="2017-10-20T00:00:00"/>
    <d v="2017-12-05T00:00:00"/>
    <m/>
    <x v="6"/>
    <s v="Dec-17"/>
    <s v="MW20677 - AYCA-3ENYEX - Cleopatra St Blackheath"/>
    <s v="Blackheath"/>
    <n v="2844.81"/>
    <n v="-106.5"/>
    <n v="2738.31"/>
    <n v="3012.1410000000001"/>
    <m/>
    <m/>
    <n v="0"/>
    <n v="2738.31"/>
    <n v="1"/>
    <s v="Invoiced"/>
    <d v="2017-10-19T00:00:00"/>
    <s v="Completed and handover forwarded"/>
    <s v="Mark Leal"/>
    <d v="2017-05-11T00:00:00"/>
    <d v="2017-05-15T00:00:00"/>
    <n v="4"/>
    <d v="2017-05-19T00:00:00"/>
    <n v="4"/>
  </r>
  <r>
    <x v="0"/>
    <s v="Sydney"/>
    <s v="Inv 12572"/>
    <d v="2017-09-11T00:00:00"/>
    <d v="2017-07-10T00:00:00"/>
    <d v="2017-07-11T00:00:00"/>
    <m/>
    <m/>
    <d v="2017-08-08T00:00:00"/>
    <d v="2017-09-21T00:00:00"/>
    <m/>
    <x v="5"/>
    <s v="Sep-17"/>
    <s v="MW20730 - AYCA-3ZFK8V - 2NRN-10 - 11-19 Waler "/>
    <s v="Narellan"/>
    <n v="12365.6"/>
    <m/>
    <n v="12365.6"/>
    <n v="13602.160000000002"/>
    <m/>
    <m/>
    <n v="0"/>
    <n v="12365.6"/>
    <n v="1"/>
    <s v="Invoiced"/>
    <d v="2017-07-25T00:00:00"/>
    <s v="Completed and handover forwarded"/>
    <s v="Andrew Partalis"/>
    <d v="2017-05-31T00:00:00"/>
    <d v="2017-07-03T00:00:00"/>
    <n v="33"/>
    <d v="2017-06-09T00:00:00"/>
    <n v="-24"/>
  </r>
  <r>
    <x v="2"/>
    <s v="Sydney"/>
    <m/>
    <m/>
    <m/>
    <d v="2018-05-30T00:00:00"/>
    <m/>
    <m/>
    <s v=" "/>
    <m/>
    <m/>
    <x v="8"/>
    <s v="Jan-00"/>
    <s v="MW20888 - 2HOR-62 - AYCA-39AB50 -2HOR-62 -JAAN – 1"/>
    <s v="Asquith"/>
    <n v="1035.19"/>
    <m/>
    <n v="1035.19"/>
    <n v="1138.7090000000001"/>
    <n v="2974.72"/>
    <m/>
    <n v="2974.72"/>
    <n v="-1939.5299999999997"/>
    <n v="-1.8735980834436188"/>
    <m/>
    <d v="2018-06-13T00:00:00"/>
    <m/>
    <s v="Andrew Partalis"/>
    <s v="Direct Award"/>
    <d v="2017-07-04T00:00:00"/>
    <m/>
    <m/>
    <m/>
  </r>
  <r>
    <x v="1"/>
    <s v="Sth NSW"/>
    <s v="Inv 12934"/>
    <d v="2017-12-07T00:00:00"/>
    <d v="2017-08-10T00:00:00"/>
    <d v="2017-10-23T00:00:00"/>
    <d v="2017-11-04T00:00:00"/>
    <d v="2017-11-24T00:00:00"/>
    <d v="2017-11-02T00:00:00"/>
    <d v="2017-12-13T00:00:00"/>
    <m/>
    <x v="6"/>
    <s v="Dec-17"/>
    <s v="MW20812 - 2WLG-01 - 2LIV-04 - Crown, Kembla, Macquarie, George"/>
    <s v="Wollongong / Liverpool"/>
    <n v="10612"/>
    <n v="9213"/>
    <n v="19825"/>
    <n v="21807.5"/>
    <n v="8083.95"/>
    <m/>
    <n v="8083.95"/>
    <n v="11741.05"/>
    <n v="0.592234552332913"/>
    <s v="Invoiced"/>
    <d v="2017-11-06T00:00:00"/>
    <s v="Completed and handover forwarded"/>
    <s v="Milan Khanal"/>
    <d v="2017-06-06T00:00:00"/>
    <d v="2017-07-06T00:00:00"/>
    <n v="30"/>
    <d v="2017-06-30T00:00:00"/>
    <n v="-6"/>
  </r>
  <r>
    <x v="1"/>
    <s v="Sth NSW"/>
    <s v="Inv 12687"/>
    <d v="2017-10-10T00:00:00"/>
    <d v="2017-08-07T00:00:00"/>
    <d v="2017-08-10T00:00:00"/>
    <m/>
    <m/>
    <d v="2017-09-19T00:00:00"/>
    <d v="2017-10-12T00:00:00"/>
    <m/>
    <x v="4"/>
    <s v="Oct-17"/>
    <s v="MW20828 - 2WLG-07 - MPS-889 - 438 Crown Street Wollongong."/>
    <s v="Wollongong"/>
    <n v="6272.99"/>
    <m/>
    <n v="6272.99"/>
    <n v="6900.2890000000007"/>
    <m/>
    <m/>
    <n v="0"/>
    <n v="6272.99"/>
    <n v="1"/>
    <s v="Invoiced"/>
    <d v="2017-08-24T00:00:00"/>
    <s v="Completed and handover forwarded"/>
    <s v="Milan Khanal"/>
    <d v="2017-06-06T00:00:00"/>
    <d v="2017-07-06T00:00:00"/>
    <n v="30"/>
    <d v="2017-06-30T00:00:00"/>
    <n v="-6"/>
  </r>
  <r>
    <x v="2"/>
    <s v="Sydney"/>
    <s v="Inv 12830"/>
    <d v="2017-11-16T00:00:00"/>
    <d v="2017-10-16T00:00:00"/>
    <d v="2017-10-16T00:00:00"/>
    <d v="2017-10-24T00:00:00"/>
    <d v="2017-10-24T00:00:00"/>
    <d v="2017-10-23T00:00:00"/>
    <d v="2017-11-21T00:00:00"/>
    <m/>
    <x v="6"/>
    <s v="Nov-17"/>
    <s v="MW20833 - 2RIV-02 - AYCA-334H1X - The Maples - 4"/>
    <s v="Schofields"/>
    <n v="2766.71"/>
    <n v="-1040.96"/>
    <n v="1725.75"/>
    <n v="1898.325"/>
    <m/>
    <m/>
    <n v="0"/>
    <n v="1725.75"/>
    <n v="1"/>
    <s v="Invoiced"/>
    <d v="2017-10-30T00:00:00"/>
    <s v="Completed and handover forwarded"/>
    <s v="Andrew Mahassy"/>
    <s v="Direct Award"/>
    <d v="2017-07-05T00:00:00"/>
    <m/>
    <m/>
    <m/>
  </r>
  <r>
    <x v="2"/>
    <s v="Sydney"/>
    <s v="Inv 12811"/>
    <d v="2017-11-16T00:00:00"/>
    <d v="2017-09-27T00:00:00"/>
    <d v="2017-09-27T00:00:00"/>
    <d v="2017-09-28T00:00:00"/>
    <d v="2017-10-03T00:00:00"/>
    <d v="2017-10-13T00:00:00"/>
    <d v="2017-11-21T00:00:00"/>
    <m/>
    <x v="3"/>
    <s v="Nov-17"/>
    <s v="MW20966 - 2BLK-11 - AYCA-3W8LJB - 42-44 Norfolk St"/>
    <s v="Blacktown"/>
    <n v="232.27"/>
    <n v="7875.13"/>
    <n v="8107.4000000000005"/>
    <n v="8918.1400000000012"/>
    <n v="5913.37"/>
    <m/>
    <n v="5913.37"/>
    <n v="2194.0300000000007"/>
    <n v="0.27062066753829839"/>
    <s v="Invoiced"/>
    <d v="2017-10-11T00:00:00"/>
    <s v="Completed and handover forwarded"/>
    <s v="Andrew Mahassy"/>
    <s v="Direct Award"/>
    <d v="2017-07-05T00:00:00"/>
    <m/>
    <m/>
    <m/>
  </r>
  <r>
    <x v="2"/>
    <s v="Sydney"/>
    <s v="Inv 12802"/>
    <d v="2017-11-13T00:00:00"/>
    <d v="2017-10-04T00:00:00"/>
    <d v="2017-10-06T00:00:00"/>
    <d v="2017-10-18T00:00:00"/>
    <d v="2017-10-25T00:00:00"/>
    <d v="2017-10-20T00:00:00"/>
    <d v="2017-11-16T00:00:00"/>
    <m/>
    <x v="6"/>
    <s v="Nov-17"/>
    <s v="MW20939 - AYCA-2Y4BYB -2PEN-64 - 344 GWH Wentworthville – 1- EXTERNAL"/>
    <s v="Wentworthville"/>
    <n v="1768.07"/>
    <n v="2146.79"/>
    <n v="3914.8599999999997"/>
    <n v="4306.3459999999995"/>
    <n v="2739.01"/>
    <m/>
    <n v="2739.01"/>
    <n v="1175.8499999999995"/>
    <n v="0.30035556827064047"/>
    <s v="Invoiced"/>
    <d v="2017-10-20T00:00:00"/>
    <s v="Completed and handover forwarded"/>
    <s v="Michael Tram"/>
    <s v="Direct Award"/>
    <d v="2017-07-06T00:00:00"/>
    <m/>
    <m/>
    <m/>
  </r>
  <r>
    <x v="0"/>
    <s v="Sydney"/>
    <s v="Inv 12803"/>
    <d v="2017-11-13T00:00:00"/>
    <d v="2017-09-25T00:00:00"/>
    <d v="2017-09-25T00:00:00"/>
    <d v="2017-09-27T00:00:00"/>
    <d v="2017-10-02T00:00:00"/>
    <d v="2017-10-04T00:00:00"/>
    <d v="2017-11-16T00:00:00"/>
    <m/>
    <x v="3"/>
    <s v="Nov-17"/>
    <s v="MW20806 - 2EPS-61 -AYCA-42J4C9– 54 Tyrone Place, Erskine Park - Loscam"/>
    <s v="Erskine Park"/>
    <n v="6073.69"/>
    <n v="3516.71"/>
    <n v="9590.4"/>
    <n v="10549.44"/>
    <n v="6233.7"/>
    <m/>
    <n v="6233.7"/>
    <n v="3356.7"/>
    <n v="0.35000625625625625"/>
    <s v="Invoiced"/>
    <d v="2017-10-09T00:00:00"/>
    <s v="Completed and handover forwarded"/>
    <s v="Andrew Mahassy"/>
    <d v="2017-06-13T00:00:00"/>
    <d v="2017-06-30T00:00:00"/>
    <n v="17"/>
    <d v="2017-07-28T00:00:00"/>
    <n v="28"/>
  </r>
  <r>
    <x v="0"/>
    <s v="Newcastle"/>
    <s v="Inv 12497"/>
    <d v="2017-10-03T00:00:00"/>
    <d v="2017-08-14T00:00:00"/>
    <d v="2017-08-14T00:00:00"/>
    <d v="2017-08-15T00:00:00"/>
    <d v="2017-09-15T00:00:00"/>
    <d v="2017-08-25T00:00:00"/>
    <d v="2017-10-05T00:00:00"/>
    <m/>
    <x v="4"/>
    <s v="Oct-17"/>
    <s v="MW20821 - AYCA-45D358 NSB Albuera Close -  BUILD"/>
    <s v="Morphet"/>
    <n v="7531.6314285714288"/>
    <n v="464.5"/>
    <n v="7996.1314285714288"/>
    <n v="8795.7445714285732"/>
    <n v="6043.99"/>
    <m/>
    <n v="6043.99"/>
    <n v="1952.1414285714291"/>
    <n v="0.24413573563787636"/>
    <s v="Invoiced"/>
    <d v="2017-08-28T00:00:00"/>
    <s v="Completed and handover forwarded"/>
    <s v="Mark Leal"/>
    <d v="2017-06-02T00:00:00"/>
    <d v="2017-07-11T00:00:00"/>
    <n v="39"/>
    <d v="2017-07-13T00:00:00"/>
    <n v="2"/>
  </r>
  <r>
    <x v="2"/>
    <s v="Sydney"/>
    <s v="Inv 12807"/>
    <d v="2017-11-14T00:00:00"/>
    <d v="2017-08-22T00:00:00"/>
    <d v="2017-08-22T00:00:00"/>
    <d v="2017-08-22T00:00:00"/>
    <d v="2017-10-06T00:00:00"/>
    <d v="2017-09-07T00:00:00"/>
    <d v="2017-11-16T00:00:00"/>
    <m/>
    <x v="4"/>
    <s v="Nov-17"/>
    <s v="MW20927 - 2ASH-61 - AYCA-482KZM - Lionsgate Projects – 1"/>
    <s v="Croydon park"/>
    <n v="3340.88"/>
    <n v="2772.83"/>
    <n v="6113.71"/>
    <n v="6725.0810000000001"/>
    <n v="4280.95"/>
    <m/>
    <n v="4280.95"/>
    <n v="1832.7600000000002"/>
    <n v="0.29977869411535718"/>
    <s v="Invoiced"/>
    <d v="2017-09-05T00:00:00"/>
    <s v="Completed and handover forwarded"/>
    <s v="Michael Tram"/>
    <s v="Direct Award"/>
    <d v="2017-07-11T00:00:00"/>
    <m/>
    <m/>
    <m/>
  </r>
  <r>
    <x v="2"/>
    <s v="Sydney"/>
    <s v="Inv 12501"/>
    <d v="2017-08-17T00:00:00"/>
    <d v="2017-08-16T00:00:00"/>
    <d v="2017-08-16T00:00:00"/>
    <d v="2017-08-16T00:00:00"/>
    <d v="2017-09-23T00:00:00"/>
    <d v="2017-10-16T00:00:00"/>
    <d v="2017-10-26T00:00:00"/>
    <m/>
    <x v="4"/>
    <s v="Oct-17"/>
    <s v="MW20894 - 2KEL-08 - AYCA-42POJA - NSB - Memorial Ave Kelly Build"/>
    <s v="Kellyville"/>
    <n v="10316"/>
    <n v="155.54"/>
    <n v="10471.540000000001"/>
    <n v="11518.694000000001"/>
    <m/>
    <m/>
    <n v="0"/>
    <n v="10471.540000000001"/>
    <n v="1"/>
    <s v="Invoiced"/>
    <d v="2017-08-30T00:00:00"/>
    <s v="Completed and handover forwarded"/>
    <s v="Andrew Mahassy"/>
    <s v="Direct Award"/>
    <d v="2017-06-14T00:00:00"/>
    <m/>
    <m/>
    <m/>
  </r>
  <r>
    <x v="0"/>
    <s v="Nth Coast"/>
    <s v="Inv 12828"/>
    <d v="2017-11-17T00:00:00"/>
    <d v="2017-08-27T00:00:00"/>
    <d v="2017-08-27T00:00:00"/>
    <m/>
    <m/>
    <d v="2017-11-01T00:00:00"/>
    <d v="2017-11-23T00:00:00"/>
    <m/>
    <x v="4"/>
    <s v="Nov-17"/>
    <s v="MW20946 - 2OBA-20 - AYCA-4DWSZZ-  81 Albatross Way - NSB - SURVEY"/>
    <s v="Old Bar"/>
    <n v="1430"/>
    <m/>
    <n v="1430"/>
    <n v="1573.0000000000002"/>
    <m/>
    <m/>
    <n v="0"/>
    <n v="1430"/>
    <n v="1"/>
    <s v="Invoiced"/>
    <d v="2017-09-10T00:00:00"/>
    <s v="Completed and handover forwarded"/>
    <s v="Mark Leal"/>
    <d v="2017-06-13T00:00:00"/>
    <d v="2017-07-17T00:00:00"/>
    <n v="34"/>
    <d v="2017-06-13T00:00:00"/>
    <n v="-34"/>
  </r>
  <r>
    <x v="2"/>
    <s v="Sydney"/>
    <s v="Inv 12875"/>
    <d v="2017-11-29T00:00:00"/>
    <d v="2017-08-29T00:00:00"/>
    <d v="2017-08-29T00:00:00"/>
    <d v="2017-09-14T00:00:00"/>
    <d v="2017-10-09T00:00:00"/>
    <d v="2017-10-31T00:00:00"/>
    <d v="2017-11-29T00:00:00"/>
    <m/>
    <x v="4"/>
    <s v="Nov-17"/>
    <s v="MW20983 - 2RYD-01 - AYCA-2ZD7NM - 86-94 Blaxland Rd "/>
    <s v="Parramatta Road"/>
    <n v="4035.55"/>
    <n v="1147.97"/>
    <n v="5183.5200000000004"/>
    <n v="5701.8720000000012"/>
    <m/>
    <m/>
    <n v="0"/>
    <n v="5183.5200000000004"/>
    <n v="1"/>
    <s v="Invoiced"/>
    <d v="2017-09-12T00:00:00"/>
    <s v="Completed and handover forwarded"/>
    <s v="Lindy Chan"/>
    <s v="Direct Award"/>
    <d v="2017-07-19T00:00:00"/>
    <m/>
    <m/>
    <m/>
  </r>
  <r>
    <x v="1"/>
    <s v="Central Coast"/>
    <s v="Inv 12985"/>
    <d v="2017-12-19T00:00:00"/>
    <d v="2017-11-04T00:00:00"/>
    <d v="2017-11-04T00:00:00"/>
    <d v="2017-11-17T00:00:00"/>
    <d v="2017-11-24T00:00:00"/>
    <d v="2017-12-04T00:00:00"/>
    <d v="2018-12-19T00:00:00"/>
    <m/>
    <x v="10"/>
    <s v="Dec-18"/>
    <s v="MW20718 - 2LJT-04-07-08 Unit 2, 234 The Entrance Road"/>
    <s v="Long Jetty"/>
    <n v="1829.49"/>
    <n v="11994.14"/>
    <n v="13823.63"/>
    <n v="15205.993"/>
    <m/>
    <m/>
    <n v="0"/>
    <n v="13823.63"/>
    <n v="1"/>
    <s v="Invoiced"/>
    <d v="2017-11-18T00:00:00"/>
    <s v="Completed and handover forwarded"/>
    <s v="Jay Shrestha"/>
    <m/>
    <m/>
    <m/>
    <m/>
    <m/>
  </r>
  <r>
    <x v="1"/>
    <s v="Central Coast"/>
    <s v="Inv 12933"/>
    <d v="2017-12-07T00:00:00"/>
    <d v="2017-09-26T00:00:00"/>
    <d v="2017-09-26T00:00:00"/>
    <d v="2017-11-04T00:00:00"/>
    <d v="2017-11-24T00:00:00"/>
    <d v="2017-11-03T00:00:00"/>
    <d v="2017-12-13T00:00:00"/>
    <m/>
    <x v="3"/>
    <s v="Dec-17"/>
    <s v="MW20736 - 2GOS-01-04 - 3-7 Wharf-East Gosford Public School-Unit 3 354 Mann."/>
    <s v="Gosford"/>
    <n v="1829.49"/>
    <n v="2155.37"/>
    <n v="3984.8599999999997"/>
    <n v="4383.3459999999995"/>
    <m/>
    <m/>
    <n v="0"/>
    <n v="3984.8599999999997"/>
    <n v="1"/>
    <s v="Invoiced"/>
    <d v="2017-10-10T00:00:00"/>
    <s v="Completed and handover forwarded"/>
    <s v="Jay Shrestha"/>
    <m/>
    <m/>
    <m/>
    <m/>
    <m/>
  </r>
  <r>
    <x v="1"/>
    <s v="Sydney"/>
    <s v="Inv 13028"/>
    <d v="2018-01-08T00:00:00"/>
    <d v="2017-11-27T00:00:00"/>
    <d v="2017-12-01T00:00:00"/>
    <d v="2017-11-27T00:00:00"/>
    <d v="2017-12-14T00:00:00"/>
    <d v="2017-12-13T00:00:00"/>
    <d v="2018-01-11T00:00:00"/>
    <m/>
    <x v="12"/>
    <s v="Jan-18"/>
    <s v="MW20764 - 2BLK-12-07 - Lot 21 Western MTQY/2 Rudders/Unit 40 - 15 Valediction"/>
    <s v="Blacktown"/>
    <n v="1829.49"/>
    <n v="37470.15"/>
    <n v="39299.64"/>
    <n v="43229.603999999999"/>
    <n v="9711.4490909090891"/>
    <m/>
    <n v="9711.4490909090891"/>
    <n v="29588.19090909091"/>
    <n v="0.75288707247931308"/>
    <s v="Invoiced"/>
    <d v="2017-12-15T00:00:00"/>
    <s v="Completed and handover forwarded"/>
    <s v="Jay Shrestha"/>
    <d v="2017-06-02T00:00:00"/>
    <d v="2017-07-24T00:00:00"/>
    <n v="52"/>
    <m/>
    <m/>
  </r>
  <r>
    <x v="2"/>
    <s v="Sydney"/>
    <s v="Inv 12826"/>
    <d v="2017-11-16T00:00:00"/>
    <d v="2017-10-02T00:00:00"/>
    <d v="2017-10-04T00:00:00"/>
    <d v="2017-10-16T00:00:00"/>
    <d v="2017-10-24T00:00:00"/>
    <d v="2017-10-13T00:00:00"/>
    <d v="2017-11-16T00:00:00"/>
    <m/>
    <x v="6"/>
    <s v="Nov-17"/>
    <s v="MW20951   - 2ROU-03 - AYCA-486V6Q  - Non Standard Builds - McCarthy Street "/>
    <s v="Kellyville"/>
    <n v="9841.41"/>
    <n v="4157.68"/>
    <n v="13999.09"/>
    <n v="15398.999000000002"/>
    <m/>
    <m/>
    <n v="0"/>
    <n v="13999.09"/>
    <n v="1"/>
    <s v="Invoiced"/>
    <d v="2017-10-18T00:00:00"/>
    <s v="Completed and handover forwarded"/>
    <s v="Andrew Mahassy"/>
    <s v="Direct Award"/>
    <d v="2017-07-25T00:00:00"/>
    <m/>
    <m/>
    <m/>
  </r>
  <r>
    <x v="2"/>
    <s v="ACT"/>
    <s v="Inv 12915"/>
    <d v="2017-12-04T00:00:00"/>
    <d v="2017-09-20T00:00:00"/>
    <d v="2017-09-25T00:00:00"/>
    <d v="2017-09-27T00:00:00"/>
    <d v="2017-11-17T00:00:00"/>
    <d v="2017-10-04T00:00:00"/>
    <d v="2017-12-07T00:00:00"/>
    <m/>
    <x v="3"/>
    <s v="Dec-17"/>
    <s v="MW21016 - AYCA-3UESPG -9CRC-06 -IVAR Villas Externals"/>
    <s v="Franklin"/>
    <n v="5109.41"/>
    <n v="883.35"/>
    <n v="5992.76"/>
    <n v="6592.036000000001"/>
    <m/>
    <m/>
    <n v="0"/>
    <n v="5992.76"/>
    <n v="1"/>
    <s v="Invoiced"/>
    <d v="2017-10-09T00:00:00"/>
    <s v="Completed and handover forwarded"/>
    <s v="Shaher Aslam"/>
    <s v="Direct Award"/>
    <d v="2017-07-21T00:00:00"/>
    <m/>
    <m/>
    <m/>
  </r>
  <r>
    <x v="2"/>
    <s v="ACT"/>
    <s v="Inv 12916"/>
    <d v="2017-12-04T00:00:00"/>
    <d v="2017-09-20T00:00:00"/>
    <d v="2017-09-25T00:00:00"/>
    <m/>
    <m/>
    <d v="2017-10-04T00:00:00"/>
    <d v="2017-12-07T00:00:00"/>
    <m/>
    <x v="3"/>
    <s v="Dec-17"/>
    <s v="MW21016 - AYCA-3UESPG -9CRC-06 -IVAR Villas Internals"/>
    <s v="Franklin"/>
    <n v="10627.34"/>
    <m/>
    <n v="10627.34"/>
    <n v="11690.074000000001"/>
    <m/>
    <m/>
    <n v="0"/>
    <n v="10627.34"/>
    <n v="1"/>
    <s v="Invoiced"/>
    <d v="2017-10-09T00:00:00"/>
    <s v="Completed and handover forwarded"/>
    <s v="Shaher Aslam"/>
    <s v="Direct Award"/>
    <d v="2017-07-22T00:00:00"/>
    <m/>
    <m/>
    <m/>
  </r>
  <r>
    <x v="2"/>
    <s v="Sydney"/>
    <s v="Inv 12829"/>
    <d v="2017-11-16T00:00:00"/>
    <d v="2017-10-10T00:00:00"/>
    <d v="2017-10-12T00:00:00"/>
    <d v="2017-10-17T00:00:00"/>
    <d v="2017-10-25T00:00:00"/>
    <d v="2017-10-20T00:00:00"/>
    <d v="2017-11-21T00:00:00"/>
    <m/>
    <x v="6"/>
    <s v="Nov-17"/>
    <s v="MW21067 - 2PTH-01 - AYCA-3VF189 - 293-295 Jamison - 1"/>
    <s v="Penrith"/>
    <n v="2496.87"/>
    <n v="-147.13999999999999"/>
    <n v="2349.73"/>
    <n v="2584.7030000000004"/>
    <n v="689.79"/>
    <m/>
    <n v="689.79"/>
    <n v="1659.94"/>
    <n v="0.70643861209585779"/>
    <s v="Invoiced"/>
    <d v="2017-10-26T00:00:00"/>
    <s v="Completed and handover forwarded"/>
    <s v="Michael Tram"/>
    <s v="Direct Award"/>
    <d v="2017-07-24T00:00:00"/>
    <m/>
    <m/>
    <m/>
  </r>
  <r>
    <x v="2"/>
    <s v="Newcastle"/>
    <s v="Inv 12653"/>
    <d v="2017-10-03T00:00:00"/>
    <d v="2017-08-20T00:00:00"/>
    <d v="2017-08-25T00:00:00"/>
    <d v="2017-09-19T00:00:00"/>
    <d v="2017-09-22T00:00:00"/>
    <d v="2017-09-06T00:00:00"/>
    <d v="2017-10-05T00:00:00"/>
    <m/>
    <x v="4"/>
    <s v="Oct-17"/>
    <s v="MW21052 - 2MAI-11 - AYCA-3OLAP3-WA Brown INTERNAL"/>
    <s v="Morphet"/>
    <n v="3600"/>
    <n v="5391.9"/>
    <n v="8991.9"/>
    <n v="9891.09"/>
    <n v="6294.34"/>
    <m/>
    <n v="6294.34"/>
    <n v="2697.5599999999995"/>
    <n v="0.29999888788798801"/>
    <s v="Invoiced"/>
    <d v="2017-09-08T00:00:00"/>
    <s v="Completed and handover forwarded"/>
    <s v="Shaher Aslam"/>
    <s v="Direct Award"/>
    <d v="2017-07-21T00:00:00"/>
    <m/>
    <m/>
    <m/>
  </r>
  <r>
    <x v="2"/>
    <s v="Newcastle"/>
    <s v="Inv 13318"/>
    <d v="2018-03-06T00:00:00"/>
    <d v="2018-02-06T00:00:00"/>
    <d v="2018-02-06T00:00:00"/>
    <d v="2018-02-21T00:00:00"/>
    <d v="2018-02-27T00:00:00"/>
    <d v="2018-02-20T00:00:00"/>
    <d v="2018-03-02T00:00:00"/>
    <m/>
    <x v="2"/>
    <s v="Mar-18"/>
    <s v="MW21054 - 2MAI-11 - AYCA-2NU9NV - Northwood Retirement Village - 1 - INTERNAL"/>
    <s v="Rutherford"/>
    <n v="5760"/>
    <n v="-5760"/>
    <n v="288"/>
    <n v="316.8"/>
    <m/>
    <m/>
    <n v="0"/>
    <n v="288"/>
    <n v="1"/>
    <s v="Invoiced"/>
    <d v="2018-02-20T00:00:00"/>
    <s v="Completed and handover forwarded"/>
    <s v="Shaher Aslam"/>
    <s v="Direct Award"/>
    <d v="2017-07-21T00:00:00"/>
    <m/>
    <m/>
    <m/>
  </r>
  <r>
    <x v="2"/>
    <s v="Sydney"/>
    <s v="Inv 13114"/>
    <d v="2018-01-30T00:00:00"/>
    <d v="2017-12-13T00:00:00"/>
    <d v="2017-12-13T00:00:00"/>
    <d v="2017-12-21T00:00:00"/>
    <d v="2017-01-03T00:00:00"/>
    <d v="2018-01-03T00:00:00"/>
    <d v="2018-01-25T00:00:00"/>
    <m/>
    <x v="12"/>
    <s v="Jan-18"/>
    <s v="MW21026 - 2HOR-62 - AYCA-3TQB8K - MOUNT COLAH GARDENS - 2 - EXTERNAL"/>
    <s v="Mt Colah"/>
    <n v="2338.56"/>
    <n v="1630.43"/>
    <n v="3968.99"/>
    <n v="4365.8890000000001"/>
    <n v="2919.77"/>
    <m/>
    <n v="2919.77"/>
    <n v="1049.2199999999998"/>
    <n v="0.26435440754448863"/>
    <s v="Invoiced"/>
    <d v="2017-12-27T00:00:00"/>
    <s v="Completed and handover forwarded"/>
    <s v="Andrew Partalis"/>
    <s v="Direct Award"/>
    <d v="2017-07-19T00:00:00"/>
    <m/>
    <m/>
    <m/>
  </r>
  <r>
    <x v="1"/>
    <s v="Sydney"/>
    <s v="Inv 12652"/>
    <d v="2017-10-03T00:00:00"/>
    <d v="2017-08-22T00:00:00"/>
    <d v="2017-08-22T00:00:00"/>
    <d v="2017-08-28T00:00:00"/>
    <d v="2017-09-06T00:00:00"/>
    <d v="2017-09-06T00:00:00"/>
    <d v="2017-10-05T00:00:00"/>
    <m/>
    <x v="4"/>
    <s v="Oct-17"/>
    <s v="MW21062 - 2REV-20  - AYCA-4IDMPC- 9 Fitzpatrick St - 1"/>
    <s v="Milpera"/>
    <n v="8099.36"/>
    <n v="-3540"/>
    <n v="4559.3599999999997"/>
    <n v="5015.2960000000003"/>
    <n v="1725.57"/>
    <m/>
    <n v="1725.57"/>
    <n v="2833.79"/>
    <n v="0.62153240805727128"/>
    <s v="Invoiced"/>
    <d v="2017-09-05T00:00:00"/>
    <s v="Completed and handover forwarded"/>
    <s v="Shaher Aslan"/>
    <d v="2017-08-03T00:00:00"/>
    <d v="2017-08-10T00:00:00"/>
    <n v="7"/>
    <d v="2017-08-18T00:00:00"/>
    <n v="8"/>
  </r>
  <r>
    <x v="2"/>
    <s v="Sydney"/>
    <s v="Inv 13025 &amp; 13151"/>
    <d v="2018-01-10T00:00:00"/>
    <d v="2017-12-01T00:00:00"/>
    <d v="2017-12-01T00:00:00"/>
    <d v="2017-12-05T00:00:00"/>
    <d v="2017-12-12T00:00:00"/>
    <d v="2017-12-15T00:00:00"/>
    <d v="2017-12-26T00:00:00"/>
    <m/>
    <x v="12"/>
    <s v="Dec-17"/>
    <s v="MW21031 - 2KEL-07 -AYCA-36X4LO - 7 Fairway Drive"/>
    <s v="Kellyville"/>
    <n v="7372.49"/>
    <n v="6818.21"/>
    <n v="14190.7"/>
    <n v="15609.770000000002"/>
    <m/>
    <m/>
    <n v="0"/>
    <n v="14190.7"/>
    <n v="1"/>
    <s v="Invoiced"/>
    <d v="2017-12-15T00:00:00"/>
    <s v="Completed and handover forwarded"/>
    <s v="Andrew Mahassy"/>
    <s v="Direct Award"/>
    <d v="2017-07-19T00:00:00"/>
    <m/>
    <m/>
    <m/>
  </r>
  <r>
    <x v="2"/>
    <s v="Sydney"/>
    <s v="Inv 12654"/>
    <d v="2017-10-03T00:00:00"/>
    <d v="2017-08-24T00:00:00"/>
    <d v="2017-08-24T00:00:00"/>
    <d v="2017-09-06T00:00:00"/>
    <d v="2017-09-15T00:00:00"/>
    <d v="2017-12-11T00:00:00"/>
    <d v="2017-10-05T00:00:00"/>
    <m/>
    <x v="4"/>
    <s v="Oct-17"/>
    <s v="MW21034 - 2LIV-04 - AYCA-2XM8XA - Castlereagh Projects PTY LTD - 1- EXTERNAL"/>
    <s v="Liverpool"/>
    <n v="1096.17"/>
    <n v="-1.1200000000000001"/>
    <n v="1095.0500000000002"/>
    <n v="1204.5550000000003"/>
    <m/>
    <m/>
    <n v="0"/>
    <n v="1095.0500000000002"/>
    <n v="1"/>
    <s v="Invoiced"/>
    <d v="2017-09-07T00:00:00"/>
    <s v="Completed and handover forwarded"/>
    <s v="Nabeel Jaimon"/>
    <s v="Direct Award"/>
    <d v="2017-07-19T00:00:00"/>
    <m/>
    <m/>
    <m/>
  </r>
  <r>
    <x v="2"/>
    <s v="Sydney"/>
    <s v="Inv 12689"/>
    <d v="2017-01-11T00:00:00"/>
    <d v="2017-08-28T00:00:00"/>
    <d v="2017-08-28T00:00:00"/>
    <d v="2017-09-06T00:00:00"/>
    <d v="2017-09-15T00:00:00"/>
    <d v="2017-09-11T00:00:00"/>
    <d v="2017-10-17T00:00:00"/>
    <m/>
    <x v="4"/>
    <s v="Oct-17"/>
    <s v="MW20941 - AYCA-2KQ04J -2KEL-01 - 112 Hambledon"/>
    <s v="Schofields"/>
    <n v="2908.06"/>
    <n v="-95.96"/>
    <n v="2812.1"/>
    <n v="3093.31"/>
    <n v="1039.3"/>
    <m/>
    <n v="1039.3"/>
    <n v="1772.8"/>
    <n v="0.63041854841577472"/>
    <s v="Invoiced"/>
    <d v="2017-09-11T00:00:00"/>
    <s v="Completed and handover forwarded"/>
    <s v="Ertan Cicek "/>
    <s v="Direct Award"/>
    <d v="2017-07-26T00:00:00"/>
    <m/>
    <m/>
    <m/>
  </r>
  <r>
    <x v="0"/>
    <s v="Sydney"/>
    <s v="Inv 12574"/>
    <d v="2017-09-11T00:00:00"/>
    <d v="2017-07-31T00:00:00"/>
    <d v="2017-07-31T00:00:00"/>
    <d v="2017-08-15T00:00:00"/>
    <d v="2017-09-04T00:00:00"/>
    <d v="2017-08-15T00:00:00"/>
    <d v="2017-09-19T00:00:00"/>
    <m/>
    <x v="5"/>
    <s v="Sep-17"/>
    <s v="MW20627 - AYCA-40UYFT - 2PKE-06 - Berkeley "/>
    <s v="Port Kembla"/>
    <n v="8858.31"/>
    <n v="512.57000000000005"/>
    <n v="9370.8799999999992"/>
    <n v="10307.968000000001"/>
    <n v="2095.98"/>
    <m/>
    <n v="2095.98"/>
    <n v="7274.9"/>
    <n v="0.776330504712471"/>
    <s v="Invoiced"/>
    <d v="2017-08-14T00:00:00"/>
    <s v="Completed and handover forwarded"/>
    <s v="Nabeel Jaimon"/>
    <d v="2017-05-01T00:00:00"/>
    <d v="2017-05-10T00:00:00"/>
    <n v="9"/>
    <d v="2017-05-10T00:00:00"/>
    <n v="0"/>
  </r>
  <r>
    <x v="2"/>
    <s v="Sydney"/>
    <s v="Inv 12608"/>
    <d v="2017-09-25T00:00:00"/>
    <d v="2017-08-01T00:00:00"/>
    <d v="2017-08-01T00:00:00"/>
    <d v="2017-08-15T00:00:00"/>
    <d v="2017-09-01T00:00:00"/>
    <d v="2017-08-14T00:00:00"/>
    <d v="2017-09-19T00:00:00"/>
    <m/>
    <x v="4"/>
    <s v="Sep-17"/>
    <s v="MW21024 - AYCA-4JN54Z - 2NRN-05 - Elderslie - TH5"/>
    <s v="Elderslie"/>
    <n v="1561.37"/>
    <n v="698.01"/>
    <n v="2259.38"/>
    <n v="2485.3180000000002"/>
    <m/>
    <m/>
    <n v="0"/>
    <n v="2259.38"/>
    <n v="1"/>
    <s v="Invoiced"/>
    <d v="2017-08-15T00:00:00"/>
    <s v="Completed and handover forwarded"/>
    <s v="Andrew Mahassy"/>
    <s v="Direct Award"/>
    <d v="2017-07-26T00:00:00"/>
    <m/>
    <m/>
    <m/>
  </r>
  <r>
    <x v="0"/>
    <s v="Sth Coast"/>
    <s v="Inv 12805"/>
    <d v="2017-11-14T00:00:00"/>
    <d v="2017-09-25T00:00:00"/>
    <d v="2017-09-25T00:00:00"/>
    <d v="2017-09-27T00:00:00"/>
    <d v="2017-10-04T00:00:00"/>
    <d v="2017-10-13T00:00:00"/>
    <d v="2017-11-16T00:00:00"/>
    <m/>
    <x v="3"/>
    <s v="Nov-17"/>
    <s v="MW20844 - 2TAH-02 - AYCA-3YUT4L - Brundah Road - 1"/>
    <s v="Thirlmere"/>
    <n v="6869.8742857142852"/>
    <n v="8608.4699999999993"/>
    <n v="15478.344285714284"/>
    <n v="17026.178714285714"/>
    <n v="6117.91"/>
    <m/>
    <n v="6117.91"/>
    <n v="9360.4342857142838"/>
    <n v="0.60474389979511467"/>
    <s v="Invoiced"/>
    <d v="2017-10-09T00:00:00"/>
    <s v="Completed and handover forwarded"/>
    <s v="Ertan Cicek "/>
    <d v="2017-07-07T00:00:00"/>
    <d v="2017-08-14T00:00:00"/>
    <n v="38"/>
    <d v="2017-08-25T00:00:00"/>
    <n v="11"/>
  </r>
  <r>
    <x v="2"/>
    <s v="Sydney"/>
    <s v="Inv 12787"/>
    <d v="2017-11-07T00:00:00"/>
    <d v="2017-08-01T00:00:00"/>
    <d v="2017-08-01T00:00:00"/>
    <d v="2017-08-09T00:00:00"/>
    <d v="2017-08-18T00:00:00"/>
    <d v="2017-09-06T00:00:00"/>
    <d v="2017-11-09T00:00:00"/>
    <s v="Vriation Submitted 9/08/17"/>
    <x v="4"/>
    <s v="Nov-17"/>
    <s v="MW20797 - SOPR MWI  - 2RYD-03 - AYCA-1SUDYS – 15 Porter Street, Ryde - La Pearl - 1"/>
    <s v="Ryde"/>
    <n v="226.41"/>
    <n v="2148.5500000000002"/>
    <n v="2374.96"/>
    <n v="2612.4560000000001"/>
    <m/>
    <m/>
    <n v="0"/>
    <n v="2374.96"/>
    <n v="1"/>
    <s v="Invoiced"/>
    <d v="2017-08-15T00:00:00"/>
    <s v="Completed and handover forwarded"/>
    <s v="Lindy Chan"/>
    <s v="Direct Award"/>
    <d v="2017-05-30T00:00:00"/>
    <m/>
    <m/>
    <m/>
  </r>
  <r>
    <x v="0"/>
    <s v="Sydney"/>
    <s v="Inv 12690"/>
    <d v="2017-10-11T00:00:00"/>
    <d v="2017-09-10T00:00:00"/>
    <d v="2017-09-11T00:00:00"/>
    <d v="2017-09-20T00:00:00"/>
    <d v="2017-09-28T00:00:00"/>
    <d v="2017-09-26T00:00:00"/>
    <d v="2017-10-10T00:00:00"/>
    <m/>
    <x v="3"/>
    <s v="Oct-17"/>
    <s v="MW21021 - 2MGO-20 -AYCA-45UVAF - Non Standard Builds - 15 Baldi "/>
    <s v="Silverdale"/>
    <n v="18063.68"/>
    <n v="5154.37"/>
    <n v="23218.05"/>
    <n v="25539.855"/>
    <m/>
    <m/>
    <n v="0"/>
    <n v="23218.05"/>
    <n v="1"/>
    <s v="Invoiced"/>
    <d v="2017-09-25T00:00:00"/>
    <s v="Completed and handover forwarded"/>
    <s v="Andrew Mahassy"/>
    <d v="2017-07-31T00:00:00"/>
    <d v="2017-08-14T00:00:00"/>
    <n v="14"/>
    <d v="2017-08-31T00:00:00"/>
    <n v="17"/>
  </r>
  <r>
    <x v="2"/>
    <s v="Sydney"/>
    <s v="Inv 13122"/>
    <d v="2018-01-30T00:00:00"/>
    <d v="2017-12-01T00:00:00"/>
    <d v="2017-12-01T00:00:00"/>
    <d v="2017-12-04T00:00:00"/>
    <d v="2017-12-20T00:00:00"/>
    <d v="2017-12-13T00:00:00"/>
    <d v="2018-01-29T00:00:00"/>
    <m/>
    <x v="12"/>
    <s v="Jan-18"/>
    <s v="MW21104 - AYCA-3UHHF8-2LIV-12-25 Glenfield Road "/>
    <s v="Liverpool"/>
    <n v="8071.38"/>
    <n v="14816.270000000002"/>
    <n v="22887.65"/>
    <n v="25176.415000000005"/>
    <n v="11278.4"/>
    <m/>
    <n v="11278.4"/>
    <n v="11609.250000000002"/>
    <n v="0.50722769703311621"/>
    <s v="Invoiced"/>
    <d v="2017-12-15T00:00:00"/>
    <s v="Completed and handover forwarded"/>
    <s v="Shaher Aslan"/>
    <s v="Direct Award"/>
    <d v="2017-08-08T00:00:00"/>
    <m/>
    <d v="2017-09-29T00:00:00"/>
    <m/>
  </r>
  <r>
    <x v="2"/>
    <s v="Sydney"/>
    <s v="Inv 13279"/>
    <d v="2018-02-22T00:00:00"/>
    <d v="2017-12-27T00:00:00"/>
    <d v="2017-11-27T00:00:00"/>
    <d v="2018-01-16T00:00:00"/>
    <d v="2018-02-07T00:00:00"/>
    <d v="2017-12-11T00:00:00"/>
    <d v="2018-02-27T00:00:00"/>
    <m/>
    <x v="10"/>
    <s v="Feb-18"/>
    <s v="MW21108 - AYCA-4D6F80 - 2NEW-03 - CASA - Terraces - Estate"/>
    <s v="Erskinwille"/>
    <n v="7693.89"/>
    <n v="11728.23"/>
    <n v="19422.12"/>
    <n v="21364.332000000002"/>
    <n v="6867.81"/>
    <m/>
    <n v="6867.81"/>
    <n v="12554.309999999998"/>
    <n v="0.64639236087512575"/>
    <s v="Invoiced"/>
    <d v="2017-12-11T00:00:00"/>
    <s v="Completed and handover forwarded"/>
    <s v="Shaher Aslan"/>
    <s v="Direct Award"/>
    <d v="2017-08-08T00:00:00"/>
    <m/>
    <m/>
    <m/>
  </r>
  <r>
    <x v="0"/>
    <s v="Sydney"/>
    <s v="Inv 13249"/>
    <d v="2018-02-19T00:00:00"/>
    <d v="2018-10-10T00:00:00"/>
    <d v="2018-01-10T00:00:00"/>
    <d v="2017-01-10T00:00:00"/>
    <d v="2018-01-24T00:00:00"/>
    <d v="2018-01-22T00:00:00"/>
    <d v="2018-02-20T00:00:00"/>
    <m/>
    <x v="13"/>
    <s v="Feb-18"/>
    <s v="MW20777 - 2HBD-21 - AYCA-46PUI1 - 724 Pittwater Rd"/>
    <s v="Brookvale"/>
    <n v="2139.2800000000002"/>
    <n v="3780.43"/>
    <n v="5919.71"/>
    <n v="6511.6810000000005"/>
    <n v="1612.32"/>
    <m/>
    <n v="1612.32"/>
    <n v="4307.3900000000003"/>
    <n v="0.72763530645926922"/>
    <s v="Invoiced"/>
    <d v="2018-01-24T00:00:00"/>
    <s v="Completed and handover forwarded"/>
    <s v="Andrew Partalis"/>
    <d v="2017-05-30T00:00:00"/>
    <d v="2017-08-04T00:00:00"/>
    <n v="66"/>
    <d v="2017-10-27T00:00:00"/>
    <n v="84"/>
  </r>
  <r>
    <x v="2"/>
    <s v="Sydney"/>
    <s v="Inv 12836"/>
    <d v="2017-11-29T00:00:00"/>
    <d v="2017-09-25T00:00:00"/>
    <d v="2017-09-25T00:00:00"/>
    <d v="2017-10-17T00:00:00"/>
    <d v="2017-11-01T00:00:00"/>
    <d v="2017-10-03T00:00:00"/>
    <d v="2017-10-17T00:00:00"/>
    <m/>
    <x v="3"/>
    <s v="Oct-17"/>
    <s v="MW21065 - AYCA-3JKNRK -2ROU-02 -15-19 Hillview - 2B"/>
    <s v="Kellyville"/>
    <n v="271.88"/>
    <n v="393.66"/>
    <n v="665.54"/>
    <n v="732.09400000000005"/>
    <m/>
    <m/>
    <n v="0"/>
    <n v="665.54"/>
    <n v="1"/>
    <s v="Invoiced"/>
    <d v="2017-10-09T00:00:00"/>
    <s v="Completed and handover forwarded"/>
    <s v="Ertan Cicek "/>
    <s v="Direct Award"/>
    <d v="2017-08-03T00:00:00"/>
    <m/>
    <m/>
    <m/>
  </r>
  <r>
    <x v="2"/>
    <s v="Sydney"/>
    <s v="Inv 12713"/>
    <d v="2017-10-18T00:00:00"/>
    <d v="2017-09-14T00:00:00"/>
    <d v="2017-09-25T00:00:00"/>
    <m/>
    <m/>
    <d v="2017-09-26T00:00:00"/>
    <d v="2017-10-24T00:00:00"/>
    <m/>
    <x v="3"/>
    <s v="Oct-17"/>
    <s v="MW21095 - AYCA-4K6BDG - Melito Drive Internals"/>
    <s v="Liverpool"/>
    <n v="560"/>
    <m/>
    <n v="560"/>
    <n v="616"/>
    <m/>
    <m/>
    <n v="0"/>
    <n v="560"/>
    <n v="1"/>
    <s v="Invoiced"/>
    <d v="2017-10-09T00:00:00"/>
    <s v="Completed and handover forwarded"/>
    <s v="Shaher Aslan"/>
    <s v="Direct Award"/>
    <d v="2017-08-04T00:00:00"/>
    <m/>
    <d v="2017-10-18T00:00:00"/>
    <m/>
  </r>
  <r>
    <x v="0"/>
    <s v="Nth Coast"/>
    <s v="Inv 12634"/>
    <d v="2017-09-27T00:00:00"/>
    <d v="2017-07-20T00:00:00"/>
    <d v="2017-07-20T00:00:00"/>
    <d v="2017-07-20T00:00:00"/>
    <d v="2017-09-20T00:00:00"/>
    <d v="2017-08-08T00:00:00"/>
    <d v="2017-09-27T00:00:00"/>
    <m/>
    <x v="5"/>
    <s v="Sep-17"/>
    <s v="MW20436 - AYCA-3B8YY0 - Warrana Place – 2"/>
    <s v="Taree"/>
    <n v="10810.68"/>
    <n v="3518.7182857142861"/>
    <n v="14329.398285714287"/>
    <n v="15762.338114285718"/>
    <n v="10142.709999999999"/>
    <m/>
    <n v="10142.709999999999"/>
    <n v="4186.6882857142882"/>
    <n v="0.29217474469170229"/>
    <s v="Invoiced"/>
    <d v="2017-08-03T00:00:00"/>
    <s v="Completed and handover forwarded"/>
    <s v="Andrew Partalis"/>
    <d v="2017-03-07T00:00:00"/>
    <d v="2017-03-23T00:00:00"/>
    <n v="16"/>
    <d v="2017-03-22T00:00:00"/>
    <n v="-1"/>
  </r>
  <r>
    <x v="2"/>
    <s v="Sydney"/>
    <s v="Inv 13317"/>
    <d v="2018-03-02T00:00:00"/>
    <d v="2018-01-15T00:00:00"/>
    <d v="2018-01-15T00:00:00"/>
    <d v="2018-01-16T00:00:00"/>
    <d v="2018-02-19T00:00:00"/>
    <d v="2018-02-21T00:00:00"/>
    <d v="2018-03-06T00:00:00"/>
    <m/>
    <x v="13"/>
    <s v="Mar-18"/>
    <s v="MW21056 - 2KNS-04 - AYCA-4BYB3Q -33 Dunning Ave - 1- EXTERNAL"/>
    <s v="Rosebery"/>
    <n v="751.67"/>
    <n v="16052.96"/>
    <n v="16804.629999999997"/>
    <n v="18485.092999999997"/>
    <n v="8499.5"/>
    <m/>
    <n v="8499.5"/>
    <n v="8305.1299999999974"/>
    <n v="0.49421677240141548"/>
    <s v="Invoiced"/>
    <d v="2018-01-29T00:00:00"/>
    <s v="Completed and handover forwarded"/>
    <s v="Lindy Chan"/>
    <s v="Direct Award"/>
    <d v="2017-08-10T00:00:00"/>
    <m/>
    <m/>
    <m/>
  </r>
  <r>
    <x v="2"/>
    <s v="Sydney"/>
    <d v="1935-11-27T00:00:00"/>
    <d v="2018-01-19T00:00:00"/>
    <d v="2017-12-15T00:00:00"/>
    <d v="2017-12-18T00:00:00"/>
    <d v="2017-12-21T00:00:00"/>
    <d v="2017-01-02T00:00:00"/>
    <d v="2018-01-03T00:00:00"/>
    <d v="2018-01-25T00:00:00"/>
    <m/>
    <x v="12"/>
    <s v="Jan-18"/>
    <s v="MW21120 - 2EDG-62 - AYCA-4GJD8J - 10 COURT ROAD - External"/>
    <s v="Double Bay"/>
    <n v="875.4"/>
    <n v="1139.2"/>
    <n v="2014.6"/>
    <n v="2216.06"/>
    <n v="1523.39"/>
    <m/>
    <n v="1523.39"/>
    <n v="491.20999999999981"/>
    <n v="0.24382507693834995"/>
    <s v="Invoiced"/>
    <d v="2018-01-01T00:00:00"/>
    <s v="Completed and handover forwarded"/>
    <s v="Andrew Mahassy"/>
    <s v="Direct Award"/>
    <d v="2017-08-15T00:00:00"/>
    <m/>
    <m/>
    <m/>
  </r>
  <r>
    <x v="0"/>
    <s v="Newcastle"/>
    <s v="Inv 12870"/>
    <d v="2017-11-29T00:00:00"/>
    <d v="2017-08-27T00:00:00"/>
    <d v="2017-08-27T00:00:00"/>
    <m/>
    <m/>
    <d v="2017-09-10T00:00:00"/>
    <d v="2017-11-30T00:00:00"/>
    <m/>
    <x v="4"/>
    <s v="Nov-17"/>
    <s v="MW20949 - AYCA-4F1FWW_AYCA-4GRO21 -2MAI-06 -  NSB 13 Vantage 55 Kingston"/>
    <s v="Maitland"/>
    <n v="1905.5"/>
    <m/>
    <n v="1905.5"/>
    <n v="2096.0500000000002"/>
    <m/>
    <m/>
    <n v="0"/>
    <n v="1905.5"/>
    <n v="1"/>
    <s v="Invoiced"/>
    <d v="2017-09-10T00:00:00"/>
    <s v="Completed and handover forwarded"/>
    <s v="Mark Leal"/>
    <d v="2017-07-17T00:00:00"/>
    <d v="2017-08-14T00:00:00"/>
    <n v="28"/>
    <d v="2017-08-30T00:00:00"/>
    <n v="16"/>
  </r>
  <r>
    <x v="0"/>
    <s v="Sydney"/>
    <s v="Inv 12797"/>
    <d v="2017-11-13T00:00:00"/>
    <d v="2017-09-15T00:00:00"/>
    <d v="2017-09-15T00:00:00"/>
    <d v="2017-09-27T00:00:00"/>
    <d v="2017-10-03T00:00:00"/>
    <d v="2017-09-27T00:00:00"/>
    <d v="2017-11-16T00:00:00"/>
    <m/>
    <x v="3"/>
    <s v="Nov-17"/>
    <s v="MW21085 - 2ROU-02 - AYCA-47PV52 - Non Standard Builds - 22-24 Barry Road "/>
    <s v="Kellyville"/>
    <n v="17870.099999999999"/>
    <n v="-184.09"/>
    <n v="17686.009999999998"/>
    <n v="19454.611000000001"/>
    <n v="4410.54"/>
    <m/>
    <n v="4410.54"/>
    <n v="13275.469999999998"/>
    <n v="0.7506198402013794"/>
    <s v="Invoiced"/>
    <d v="2017-09-29T00:00:00"/>
    <s v="Completed and handover forwarded"/>
    <s v="Andrew Mahassy"/>
    <d v="2017-08-09T00:00:00"/>
    <d v="2017-08-17T00:00:00"/>
    <n v="8"/>
    <m/>
    <m/>
  </r>
  <r>
    <x v="0"/>
    <s v="Sydney"/>
    <s v="Inv 12688"/>
    <d v="2017-10-11T00:00:00"/>
    <d v="2017-09-14T00:00:00"/>
    <d v="2017-09-14T00:00:00"/>
    <m/>
    <m/>
    <d v="2017-09-26T00:00:00"/>
    <d v="2017-10-17T00:00:00"/>
    <m/>
    <x v="3"/>
    <s v="Oct-17"/>
    <s v="MW21095 - AYCA-4K6BDG - Melito Drive Externals"/>
    <s v="Liverpool"/>
    <n v="8291.4699999999993"/>
    <m/>
    <n v="8291.4699999999993"/>
    <n v="9120.6170000000002"/>
    <n v="4155.96"/>
    <m/>
    <n v="4155.96"/>
    <n v="4135.5099999999993"/>
    <n v="0.49876680492120212"/>
    <s v="Invoiced"/>
    <d v="2017-09-28T00:00:00"/>
    <s v="Completed and handover forwarded"/>
    <s v="Shaher Aslan"/>
    <d v="2017-08-29T00:00:00"/>
    <d v="2017-08-29T00:00:00"/>
    <m/>
    <d v="2017-10-18T00:00:00"/>
    <m/>
  </r>
  <r>
    <x v="0"/>
    <s v="Newcastle"/>
    <s v="Inv 12589"/>
    <d v="2017-09-15T00:00:00"/>
    <d v="2017-07-25T00:00:00"/>
    <d v="2017-07-25T00:00:00"/>
    <m/>
    <m/>
    <d v="2017-09-07T00:00:00"/>
    <d v="2017-09-21T00:00:00"/>
    <m/>
    <x v="5"/>
    <s v="Sep-17"/>
    <s v="MW20814 - 2NLB-05  - AYCA-4E7Y0D - Albatross Ave and Cu, Survey"/>
    <s v="Salamanda Bay"/>
    <n v="1365"/>
    <m/>
    <n v="1365"/>
    <n v="1501.5000000000002"/>
    <m/>
    <m/>
    <n v="0"/>
    <n v="1365"/>
    <n v="1"/>
    <s v="Invoiced"/>
    <d v="2017-08-08T00:00:00"/>
    <s v="Completed and handover forwarded"/>
    <s v="Mark Leal"/>
    <d v="2017-06-13T00:00:00"/>
    <d v="2017-07-17T00:00:00"/>
    <n v="34"/>
    <d v="2017-06-13T00:00:00"/>
    <n v="-34"/>
  </r>
  <r>
    <x v="0"/>
    <s v="Sth Coast"/>
    <s v="Inv 12684"/>
    <d v="2017-10-10T00:00:00"/>
    <d v="2017-08-05T00:00:00"/>
    <d v="2017-08-07T00:00:00"/>
    <d v="2017-08-07T00:00:00"/>
    <d v="2017-08-31T00:00:00"/>
    <d v="2017-09-15T00:00:00"/>
    <d v="2017-10-10T00:00:00"/>
    <m/>
    <x v="4"/>
    <s v="Oct-17"/>
    <s v="MW20729 - COR-04 - AYCA-4D6AY6 - 94 POPES RD"/>
    <s v="Wonoona"/>
    <n v="10398.84"/>
    <n v="13152.88"/>
    <n v="23551.72"/>
    <n v="25906.892000000003"/>
    <n v="10667.8"/>
    <m/>
    <n v="10667.8"/>
    <n v="12883.920000000002"/>
    <n v="0.54704794384444111"/>
    <s v="Invoiced"/>
    <d v="2017-08-21T00:00:00"/>
    <s v="Completed and handover forwarded"/>
    <s v="Ertan Cicek "/>
    <d v="2017-05-18T00:00:00"/>
    <d v="2017-05-26T00:00:00"/>
    <n v="8"/>
    <d v="2017-05-26T00:00:00"/>
    <n v="0"/>
  </r>
  <r>
    <x v="2"/>
    <s v="Sydney"/>
    <s v="Inv 12827"/>
    <d v="2017-11-17T00:00:00"/>
    <d v="2017-08-31T00:00:00"/>
    <d v="2017-08-31T00:00:00"/>
    <d v="2017-09-05T00:00:00"/>
    <d v="2017-09-13T00:00:00"/>
    <d v="2017-11-01T00:00:00"/>
    <d v="2017-11-15T00:00:00"/>
    <m/>
    <x v="4"/>
    <s v="Nov-17"/>
    <s v="MW20858 - 2ROU-03 - AYCA-3R9WD2 - 2 Foxall Rd"/>
    <s v="Kellyville"/>
    <n v="350.24"/>
    <n v="-95.96"/>
    <n v="254.28000000000003"/>
    <n v="279.70800000000003"/>
    <m/>
    <m/>
    <n v="0"/>
    <n v="254.28000000000003"/>
    <n v="1"/>
    <s v="Invoiced"/>
    <d v="2017-09-14T00:00:00"/>
    <s v="Completed and handover forwarded"/>
    <s v="Andrew Mahassy"/>
    <s v="Direct Award"/>
    <d v="2017-06-16T00:00:00"/>
    <m/>
    <d v="2017-07-20T00:00:00"/>
    <n v="34"/>
  </r>
  <r>
    <x v="2"/>
    <s v="Sydney"/>
    <s v="Inv 12804"/>
    <d v="2017-11-14T00:00:00"/>
    <d v="2017-09-03T00:00:00"/>
    <d v="2017-09-04T00:00:00"/>
    <d v="2017-09-11T00:00:00"/>
    <d v="2017-09-14T00:00:00"/>
    <d v="2017-11-01T00:00:00"/>
    <d v="2017-11-16T00:00:00"/>
    <m/>
    <x v="3"/>
    <s v="Nov-17"/>
    <s v="MW21092 - AYCA-1NGPGW - 2BRG-03 - Gledswood"/>
    <s v="Kellyville"/>
    <n v="12757.7"/>
    <n v="668.4"/>
    <n v="13426.1"/>
    <n v="14768.710000000001"/>
    <n v="10608.279999999999"/>
    <m/>
    <n v="10608.279999999999"/>
    <n v="2817.8200000000015"/>
    <n v="0.2098762857419505"/>
    <s v="Invoiced"/>
    <d v="2017-09-18T00:00:00"/>
    <s v="Completed and handover forwarded"/>
    <s v="Andrew Mahassy"/>
    <s v="Direct Award"/>
    <d v="2017-08-22T00:00:00"/>
    <m/>
    <d v="2017-08-31T00:00:00"/>
    <n v="9"/>
  </r>
  <r>
    <x v="0"/>
    <s v="Sth Coast"/>
    <s v="Inv 13118"/>
    <d v="2018-01-23T00:00:00"/>
    <d v="2017-12-15T00:00:00"/>
    <d v="2017-12-18T00:00:00"/>
    <d v="2017-12-21T00:00:00"/>
    <d v="2018-01-10T00:00:00"/>
    <d v="2018-01-09T00:00:00"/>
    <d v="2018-01-23T00:00:00"/>
    <m/>
    <x v="12"/>
    <s v="Jan-18"/>
    <s v="MW21006 - AYCA-49DNJ1 - 2NWR-02 - Nowra BP &amp; McDonalds - 1-  INTERNAL AND EXTERNAL"/>
    <s v="Nowra"/>
    <n v="6352.19"/>
    <n v="5603.16"/>
    <n v="11955.349999999999"/>
    <n v="13150.885"/>
    <n v="4349.75"/>
    <m/>
    <n v="4349.75"/>
    <n v="7605.5999999999985"/>
    <n v="0.63616707164574848"/>
    <s v="Invoiced"/>
    <d v="2018-01-01T00:00:00"/>
    <s v="Completed and handover forwarded"/>
    <s v="Nabeel Jaimon"/>
    <d v="2017-07-17T00:00:00"/>
    <m/>
    <m/>
    <d v="2017-11-01T00:00:00"/>
    <m/>
  </r>
  <r>
    <x v="0"/>
    <s v="Sth Coast"/>
    <s v="Inv 13031"/>
    <d v="2018-01-10T00:00:00"/>
    <d v="2017-10-30T00:00:00"/>
    <d v="2017-10-31T00:00:00"/>
    <d v="2017-11-26T00:00:00"/>
    <d v="2017-12-13T00:00:00"/>
    <d v="2018-11-25T00:00:00"/>
    <d v="2018-01-16T00:00:00"/>
    <m/>
    <x v="6"/>
    <s v="Jan-18"/>
    <s v="MW21074 - 2ABN-01 - AYCA-461JCF - 8 Creole Road"/>
    <s v="Wollongong"/>
    <n v="5449.38"/>
    <n v="785.90892857142853"/>
    <n v="6235.2889285714282"/>
    <n v="6858.8178214285717"/>
    <m/>
    <m/>
    <n v="0"/>
    <n v="6235.2889285714282"/>
    <n v="1"/>
    <s v="Invoiced"/>
    <d v="2017-11-14T00:00:00"/>
    <s v="Completed and handover forwarded"/>
    <s v="Dave Yoemans"/>
    <d v="2017-08-11T00:00:00"/>
    <d v="2017-10-13T00:00:00"/>
    <n v="63"/>
    <d v="2017-10-13T00:00:00"/>
    <n v="0"/>
  </r>
  <r>
    <x v="2"/>
    <s v="Sth Coast"/>
    <s v="Inv 12814"/>
    <d v="2017-11-16T00:00:00"/>
    <d v="2017-09-12T00:00:00"/>
    <d v="2017-09-12T00:00:00"/>
    <d v="2017-10-04T00:00:00"/>
    <d v="2017-10-25T00:00:00"/>
    <d v="2017-09-26T00:00:00"/>
    <d v="2017-11-21T00:00:00"/>
    <m/>
    <x v="3"/>
    <s v="Nov-17"/>
    <s v="MW21223 - AYCA-2568YW - 25 29 Harbour St"/>
    <s v="Wollongong"/>
    <n v="1143.67"/>
    <n v="27049.75"/>
    <n v="28193.42"/>
    <n v="31012.761999999999"/>
    <n v="11125.84"/>
    <m/>
    <n v="11125.84"/>
    <n v="17067.579999999998"/>
    <n v="0.60537458740372752"/>
    <s v="Invoiced"/>
    <d v="2017-09-26T00:00:00"/>
    <s v="Completed and handover forwarded"/>
    <s v="Shaher Aslan"/>
    <s v="Direct Award"/>
    <d v="2017-09-05T00:00:00"/>
    <m/>
    <d v="2017-09-15T00:00:00"/>
    <n v="10"/>
  </r>
  <r>
    <x v="2"/>
    <s v="Sydney"/>
    <s v="Inv 12878"/>
    <d v="2017-11-29T00:00:00"/>
    <d v="2017-10-16T00:00:00"/>
    <d v="2017-10-16T00:00:00"/>
    <d v="2017-10-17T00:00:00"/>
    <d v="2017-11-17T00:00:00"/>
    <d v="2017-11-01T00:00:00"/>
    <d v="2017-12-05T00:00:00"/>
    <m/>
    <x v="6"/>
    <s v="Dec-17"/>
    <s v="MW21250 - AYCA-4BEC9X-2LIV-68-The Birdwood"/>
    <s v="Liverpool"/>
    <n v="1627.43"/>
    <n v="5149.76"/>
    <n v="6777.1900000000005"/>
    <n v="7454.9090000000015"/>
    <n v="4549.53"/>
    <m/>
    <n v="4549.53"/>
    <n v="2227.6600000000008"/>
    <n v="0.32869965280595653"/>
    <s v="Invoiced"/>
    <d v="2017-10-30T00:00:00"/>
    <s v="Completed and handover forwarded"/>
    <s v="Shaher Aslan"/>
    <s v="Direct Award"/>
    <d v="2017-09-05T00:00:00"/>
    <m/>
    <d v="2017-09-29T00:00:00"/>
    <n v="24"/>
  </r>
  <r>
    <x v="2"/>
    <s v="Sydney"/>
    <s v="Inv 12800"/>
    <d v="2017-11-13T00:00:00"/>
    <d v="2017-10-06T00:00:00"/>
    <d v="2017-10-06T00:00:00"/>
    <m/>
    <m/>
    <d v="2017-10-25T00:00:00"/>
    <d v="2017-11-16T00:00:00"/>
    <m/>
    <x v="6"/>
    <s v="Nov-17"/>
    <s v="MW21221 - 2CRO-01 - AYCA-1UEMOR - Shearwater Landing"/>
    <s v="Kurnell"/>
    <n v="980.54"/>
    <m/>
    <n v="980.54"/>
    <n v="1078.5940000000001"/>
    <m/>
    <m/>
    <n v="0"/>
    <n v="980.54"/>
    <n v="1"/>
    <s v="Invoiced"/>
    <d v="2017-10-20T00:00:00"/>
    <s v="Completed and handover forwarded"/>
    <s v="Ertan Cicek "/>
    <s v="Direct Award"/>
    <d v="2017-09-01T00:00:00"/>
    <m/>
    <d v="2017-09-22T00:00:00"/>
    <n v="21"/>
  </r>
  <r>
    <x v="0"/>
    <s v="Sydney"/>
    <s v="Inv 13431"/>
    <d v="2018-03-27T00:00:00"/>
    <d v="2018-03-08T00:00:00"/>
    <d v="2018-03-08T00:00:00"/>
    <d v="2018-03-09T00:00:00"/>
    <d v="2018-03-14T00:00:00"/>
    <d v="2018-03-21T00:00:00"/>
    <d v="2018-03-27T00:00:00"/>
    <m/>
    <x v="11"/>
    <s v="Mar-18"/>
    <s v="MW21493 - AYCA-3O0SC6 - 2PTH-02 - Hope Gardens - 1"/>
    <s v="Hope Gardens"/>
    <n v="741.95"/>
    <n v="7519.2900000000009"/>
    <n v="8261.2400000000016"/>
    <n v="9087.3640000000032"/>
    <n v="5244.89"/>
    <m/>
    <n v="5244.89"/>
    <n v="3016.3500000000013"/>
    <n v="0.36512073248083832"/>
    <s v="Invoiced"/>
    <d v="2018-03-22T00:00:00"/>
    <s v="Completed and handover forwarded"/>
    <s v="Ertan Cicek"/>
    <d v="2017-11-08T00:00:00"/>
    <d v="2017-11-15T00:00:00"/>
    <n v="7"/>
    <d v="2017-12-15T00:00:00"/>
    <n v="30"/>
  </r>
  <r>
    <x v="2"/>
    <s v="Sydney"/>
    <s v="Inv 13316"/>
    <d v="2018-03-01T00:00:00"/>
    <d v="2018-01-23T00:00:00"/>
    <d v="2018-01-24T00:00:00"/>
    <m/>
    <m/>
    <d v="2018-02-07T00:00:00"/>
    <d v="2018-03-01T00:00:00"/>
    <m/>
    <x v="13"/>
    <s v="Mar-18"/>
    <s v="MW21153 - 2NRN-03 - AYCA-4EAKM1 - 63 SGR - 1 - INTERNAL"/>
    <s v="Smeaton Grange"/>
    <n v="1680"/>
    <m/>
    <n v="1680"/>
    <n v="1848.0000000000002"/>
    <m/>
    <m/>
    <n v="0"/>
    <n v="1680"/>
    <n v="1"/>
    <s v="Invoiced"/>
    <d v="2018-02-07T00:00:00"/>
    <s v="Completed and handover forwarded"/>
    <s v="Nabeel Jaimon"/>
    <s v="Direct Award"/>
    <d v="2017-08-22T00:00:00"/>
    <m/>
    <d v="2017-10-11T00:00:00"/>
    <n v="50"/>
  </r>
  <r>
    <x v="0"/>
    <s v="Sydney"/>
    <s v="Inv 12587"/>
    <d v="2017-09-18T00:00:00"/>
    <d v="2017-08-09T00:00:00"/>
    <d v="2017-08-09T00:00:00"/>
    <m/>
    <m/>
    <d v="2017-09-07T00:00:00"/>
    <d v="2017-09-21T00:00:00"/>
    <s v="Aug-17"/>
    <x v="4"/>
    <s v="Sep-17"/>
    <s v="MW20728 - 2NRN-10 - AYCA-3UYW26 - P150 – Externals"/>
    <s v="Smeaton Grange"/>
    <n v="5825.12"/>
    <m/>
    <n v="5825.12"/>
    <n v="6407.6320000000005"/>
    <m/>
    <m/>
    <n v="0"/>
    <n v="5825.12"/>
    <n v="1"/>
    <s v="Invoiced"/>
    <d v="2017-08-23T00:00:00"/>
    <s v="Completed and handover forwarded"/>
    <s v="Nabeel Jaimon"/>
    <d v="2017-05-22T00:00:00"/>
    <d v="2017-06-14T00:00:00"/>
    <m/>
    <d v="2017-05-30T00:00:00"/>
    <m/>
  </r>
  <r>
    <x v="0"/>
    <s v="Nth Coast"/>
    <s v="Inv 12813"/>
    <d v="2017-11-16T00:00:00"/>
    <d v="2017-09-26T00:00:00"/>
    <d v="2017-09-26T00:00:00"/>
    <m/>
    <m/>
    <d v="2017-10-13T00:00:00"/>
    <d v="2017-11-21T00:00:00"/>
    <m/>
    <x v="3"/>
    <s v="Nov-17"/>
    <s v="MW21209 - AYCA-4K7VB2 -2TWH-05 - River Views – 1"/>
    <s v="Tweed Heads"/>
    <n v="6516"/>
    <m/>
    <n v="6516"/>
    <n v="7167.6"/>
    <n v="2013"/>
    <m/>
    <n v="2013"/>
    <n v="4503"/>
    <n v="0.69106813996316763"/>
    <s v="Invoiced"/>
    <d v="2017-10-10T00:00:00"/>
    <s v="Completed and handover forwarded"/>
    <s v="Shaher Aslan"/>
    <d v="2017-09-01T00:00:00"/>
    <d v="2017-09-08T00:00:00"/>
    <n v="7"/>
    <d v="2017-09-08T00:00:00"/>
    <n v="0"/>
  </r>
  <r>
    <x v="2"/>
    <s v="Sydney"/>
    <s v="Inv 13281"/>
    <d v="2018-02-22T00:00:00"/>
    <d v="2018-01-29T00:00:00"/>
    <d v="2018-01-30T00:00:00"/>
    <m/>
    <m/>
    <d v="2018-02-12T00:00:00"/>
    <d v="2018-02-27T00:00:00"/>
    <m/>
    <x v="13"/>
    <s v="Feb-18"/>
    <s v="MW21261 - AYCA-30PYA6 - 2MIL-01 - CEO St Francis College - 1"/>
    <s v="Miller"/>
    <n v="280"/>
    <m/>
    <n v="280"/>
    <n v="308"/>
    <m/>
    <m/>
    <n v="0"/>
    <n v="280"/>
    <n v="1"/>
    <s v="Invoiced"/>
    <d v="2018-02-13T00:00:00"/>
    <s v="Completed and handover forwarded"/>
    <s v="Nabeel Jaimon"/>
    <s v="Driect Award"/>
    <d v="2017-09-08T00:00:00"/>
    <m/>
    <d v="2017-11-22T00:00:00"/>
    <n v="75"/>
  </r>
  <r>
    <x v="2"/>
    <s v="Sydney"/>
    <s v="Inv 13302"/>
    <d v="2018-03-02T00:00:00"/>
    <d v="2017-12-16T00:00:00"/>
    <d v="2017-12-18T00:00:00"/>
    <d v="2018-01-09T00:00:00"/>
    <d v="2018-02-12T00:00:00"/>
    <d v="2017-01-02T00:00:00"/>
    <d v="2018-03-01T00:00:00"/>
    <m/>
    <x v="12"/>
    <s v="Mar-18"/>
    <s v="MW21244 - AYCA-4J7JTW - 2LIV-03 - Passefield St"/>
    <s v="Liverpool"/>
    <n v="2643.57"/>
    <n v="3359.82"/>
    <n v="6003.39"/>
    <n v="6603.7290000000012"/>
    <n v="4295.7000000000007"/>
    <m/>
    <n v="4295.7000000000007"/>
    <n v="1707.6899999999996"/>
    <n v="0.28445428332991851"/>
    <s v="Invoiced"/>
    <d v="2018-01-01T00:00:00"/>
    <s v="Completed and handover forwarded"/>
    <s v="Shaher Aslan"/>
    <s v="Driect Award"/>
    <d v="2017-09-07T00:00:00"/>
    <m/>
    <d v="2017-09-22T00:00:00"/>
    <n v="15"/>
  </r>
  <r>
    <x v="2"/>
    <s v="Sydney"/>
    <s v="Inv 13244"/>
    <d v="2018-02-16T00:00:00"/>
    <d v="2017-12-05T00:00:00"/>
    <d v="2017-12-05T00:00:00"/>
    <m/>
    <m/>
    <d v="2017-12-22T00:00:00"/>
    <d v="2018-01-05T00:00:00"/>
    <m/>
    <x v="12"/>
    <s v="Jan-18"/>
    <s v="MW21281 - AYCA-3K4RCM - 2RIV-03 - Marsden Park Tonzat Development - 2"/>
    <s v="Marsden Park"/>
    <n v="1960"/>
    <m/>
    <n v="1960"/>
    <n v="2156"/>
    <n v="1465.4545454545455"/>
    <m/>
    <n v="1465.4545454545455"/>
    <n v="494.5454545454545"/>
    <n v="0.25231910946196656"/>
    <s v="Invoiced"/>
    <d v="2017-12-19T00:00:00"/>
    <s v="Completed and handover forwarded"/>
    <s v="Michael Tram"/>
    <s v="Driect Award"/>
    <d v="2017-09-08T00:00:00"/>
    <m/>
    <d v="2017-10-12T00:00:00"/>
    <n v="34"/>
  </r>
  <r>
    <x v="0"/>
    <s v="Central West"/>
    <s v="Inv 12984"/>
    <d v="2017-12-18T00:00:00"/>
    <d v="2017-10-31T00:00:00"/>
    <d v="2017-10-31T00:00:00"/>
    <d v="2017-11-08T00:00:00"/>
    <d v="2017-11-21T00:00:00"/>
    <d v="2017-11-24T00:00:00"/>
    <d v="2017-12-18T00:00:00"/>
    <m/>
    <x v="6"/>
    <s v="Dec-17"/>
    <s v="MW21072 - 2PKS-20 - AYCA-49I4SO - 72 Brolgan Road "/>
    <s v="Parkes"/>
    <n v="7731.53"/>
    <n v="1439.14"/>
    <n v="9170.67"/>
    <n v="10087.737000000001"/>
    <n v="2570.91"/>
    <m/>
    <n v="2570.91"/>
    <n v="6599.76"/>
    <n v="0.71965952324094096"/>
    <s v="Invoiced"/>
    <d v="2017-11-14T00:00:00"/>
    <s v="Completed and handover forwarded"/>
    <s v="Dave Yoemans"/>
    <d v="2017-08-11T00:00:00"/>
    <d v="2017-09-14T00:00:00"/>
    <n v="34"/>
    <d v="2017-10-13T00:00:00"/>
    <n v="29"/>
  </r>
  <r>
    <x v="2"/>
    <s v="Sydney"/>
    <s v="Inv 13082"/>
    <d v="2018-01-17T00:00:00"/>
    <d v="2017-12-03T00:00:00"/>
    <d v="2017-12-04T00:00:00"/>
    <d v="2017-12-04T00:00:00"/>
    <d v="2017-12-12T00:00:00"/>
    <d v="2017-12-14T00:00:00"/>
    <d v="2018-01-18T00:00:00"/>
    <m/>
    <x v="12"/>
    <s v="Jan-18"/>
    <s v="MW21293 - 2LIV-63 - AYCA-4GNO0E - Coopers Paddock - 1-  INTERNAL "/>
    <s v="Liverpool"/>
    <n v="1400"/>
    <n v="1060.6857142857141"/>
    <n v="2460.6857142857143"/>
    <n v="2706.7542857142857"/>
    <n v="1387.2727272727273"/>
    <m/>
    <n v="1387.2727272727273"/>
    <n v="1073.4129870129871"/>
    <n v="0.43622514682846297"/>
    <s v="Invoiced"/>
    <d v="2017-12-18T00:00:00"/>
    <s v="Completed and handover forwarded"/>
    <s v="Michael Tram"/>
    <s v="Driect Award"/>
    <d v="2017-09-12T00:00:00"/>
    <m/>
    <d v="2017-11-11T00:00:00"/>
    <n v="60"/>
  </r>
  <r>
    <x v="0"/>
    <s v="Newcastle"/>
    <s v="Inv 12884"/>
    <d v="2017-11-30T00:00:00"/>
    <d v="2017-10-17T00:00:00"/>
    <d v="2017-10-17T00:00:00"/>
    <d v="2017-10-17T00:00:00"/>
    <d v="2017-11-17T00:00:00"/>
    <d v="2017-11-01T00:00:00"/>
    <d v="2017-12-05T00:00:00"/>
    <m/>
    <x v="6"/>
    <s v="Dec-17"/>
    <s v="MW20905 - 2NLT-09 - AYCA-47ENGU - 16 WALL – 1"/>
    <s v="Wallsend"/>
    <n v="5557.33"/>
    <n v="6059.7460000000001"/>
    <n v="11617.076000000001"/>
    <n v="12778.783600000002"/>
    <m/>
    <m/>
    <n v="0"/>
    <n v="11617.076000000001"/>
    <n v="1"/>
    <s v="Invoiced"/>
    <d v="2017-10-31T00:00:00"/>
    <s v="Completed and handover forwarded"/>
    <s v="Mark Leal"/>
    <d v="2017-06-26T00:00:00"/>
    <m/>
    <m/>
    <d v="2017-11-01T00:00:00"/>
    <m/>
  </r>
  <r>
    <x v="0"/>
    <s v="Sydney"/>
    <m/>
    <m/>
    <m/>
    <d v="2018-05-30T00:00:00"/>
    <m/>
    <m/>
    <m/>
    <m/>
    <m/>
    <x v="8"/>
    <s v="Jan-00"/>
    <s v="MW21097 - 2LIV-04 - AYCA-476RM9 - NSB - 87-91 Campbell St Build"/>
    <s v="Liverpool"/>
    <n v="8773.94"/>
    <m/>
    <n v="8773.94"/>
    <n v="9651.3340000000007"/>
    <n v="300"/>
    <m/>
    <n v="300"/>
    <n v="8473.94"/>
    <n v="0.96580783547642224"/>
    <m/>
    <d v="2018-06-13T00:00:00"/>
    <m/>
    <s v="Andrew Mahassy"/>
    <d v="2017-08-22T00:00:00"/>
    <m/>
    <m/>
    <d v="2017-09-30T00:00:00"/>
    <m/>
  </r>
  <r>
    <x v="2"/>
    <s v="ACT"/>
    <s v="Inv 13192"/>
    <d v="2018-02-07T00:00:00"/>
    <d v="2017-10-23T00:00:00"/>
    <d v="2017-10-23T00:00:00"/>
    <d v="2017-11-22T00:00:00"/>
    <d v="2017-12-20T00:00:00"/>
    <d v="2017-11-02T00:00:00"/>
    <d v="2018-02-08T00:00:00"/>
    <m/>
    <x v="6"/>
    <s v="Feb-18"/>
    <s v="MW21284 - 9DKI-07 - AYCA-3ZXA9V - 10 BAKEWELL ST -  COOMBS"/>
    <s v="Deakin"/>
    <n v="8321.6"/>
    <n v="12809.51"/>
    <n v="21131.11"/>
    <n v="23244.221000000001"/>
    <m/>
    <m/>
    <n v="0"/>
    <n v="21131.11"/>
    <n v="1"/>
    <s v="Invoiced"/>
    <d v="2017-11-06T00:00:00"/>
    <s v="Completed and handover forwarded"/>
    <s v="Shaher Aslan"/>
    <s v="Driect Award"/>
    <d v="2017-09-12T00:00:00"/>
    <m/>
    <d v="2017-09-22T00:00:00"/>
    <n v="10"/>
  </r>
  <r>
    <x v="0"/>
    <s v="Sth NSW"/>
    <s v="Inv 13386"/>
    <d v="2018-03-19T00:00:00"/>
    <d v="2018-02-08T00:00:00"/>
    <d v="2018-02-13T00:00:00"/>
    <d v="2018-03-06T00:00:00"/>
    <d v="2018-03-14T00:00:00"/>
    <d v="2018-02-26T00:00:00"/>
    <d v="2018-03-20T00:00:00"/>
    <m/>
    <x v="2"/>
    <s v="Mar-18"/>
    <s v="MW21073 - 2WAG-05 AYCA-48HYBB - 89 Hammond Ave"/>
    <s v="Wagga Wagga"/>
    <n v="6447.82"/>
    <n v="2330.9699999999998"/>
    <n v="8778.7899999999991"/>
    <n v="9656.6689999999999"/>
    <m/>
    <m/>
    <n v="0"/>
    <n v="8778.7899999999991"/>
    <n v="1"/>
    <m/>
    <d v="2018-02-27T00:00:00"/>
    <m/>
    <s v="Dave Yoemans"/>
    <d v="2017-08-11T00:00:00"/>
    <d v="2017-09-14T00:00:00"/>
    <m/>
    <d v="2017-10-13T00:00:00"/>
    <n v="29"/>
  </r>
  <r>
    <x v="0"/>
    <s v="Sth Coast"/>
    <s v="Inv 12877"/>
    <d v="2017-11-29T00:00:00"/>
    <d v="2017-10-12T00:00:00"/>
    <d v="2017-10-12T00:00:00"/>
    <d v="2017-10-24T00:00:00"/>
    <d v="2017-11-16T00:00:00"/>
    <d v="2017-10-26T00:00:00"/>
    <d v="2017-12-05T00:00:00"/>
    <m/>
    <x v="6"/>
    <s v="Dec-17"/>
    <s v="MW20865 - 2NWR-03 - AYCA-2K3SGD - Elian Crescent 1."/>
    <s v="Nowra"/>
    <n v="8598.36"/>
    <n v="2094.25"/>
    <n v="10692.61"/>
    <n v="11761.871000000001"/>
    <n v="1480"/>
    <m/>
    <n v="1480"/>
    <n v="9212.61"/>
    <n v="0.86158664722644895"/>
    <s v="Invoiced"/>
    <d v="2017-10-26T00:00:00"/>
    <s v="Completed and handover forwarded"/>
    <s v="Ertan Cicek "/>
    <d v="2017-09-05T00:00:00"/>
    <d v="2017-09-18T00:00:00"/>
    <n v="13"/>
    <d v="2017-09-25T00:00:00"/>
    <n v="7"/>
  </r>
  <r>
    <x v="0"/>
    <s v="Sydney"/>
    <s v="Inv 12825"/>
    <d v="2017-11-16T00:00:00"/>
    <d v="2017-10-04T00:00:00"/>
    <d v="2017-10-06T00:00:00"/>
    <d v="2017-10-17T00:00:00"/>
    <d v="2017-10-25T00:00:00"/>
    <d v="2017-10-13T00:00:00"/>
    <d v="2017-11-21T00:00:00"/>
    <m/>
    <x v="6"/>
    <s v="Nov-17"/>
    <s v="MW21015 - AYCA-1Z6XAC -1-9 Florence Street &amp; 19-23 Quinn Street "/>
    <s v="Pendle Hill"/>
    <n v="37391.760000000002"/>
    <n v="-1916.7276785714289"/>
    <n v="35475.032321428575"/>
    <n v="39022.535553571433"/>
    <n v="27764.9"/>
    <m/>
    <n v="27764.9"/>
    <n v="7710.1323214285731"/>
    <n v="0.21733968419167002"/>
    <s v="Invoiced"/>
    <d v="2017-10-20T00:00:00"/>
    <s v="Completed and handover forwarded"/>
    <s v="Michael Tram"/>
    <d v="2017-08-15T00:00:00"/>
    <d v="2017-09-25T00:00:00"/>
    <n v="41"/>
    <d v="2017-11-01T00:00:00"/>
    <n v="37"/>
  </r>
  <r>
    <x v="4"/>
    <s v="Sydney"/>
    <s v="Inv 12631"/>
    <d v="2017-09-26T00:00:00"/>
    <d v="2017-09-26T00:00:00"/>
    <d v="2017-09-26T00:00:00"/>
    <m/>
    <m/>
    <d v="2017-09-26T00:00:00"/>
    <d v="2017-10-26T00:00:00"/>
    <m/>
    <x v="3"/>
    <s v="Oct-17"/>
    <s v="2RIV-02-AYCA-1XO4MJ,  Hub install for Craig Comms"/>
    <s v="Rouse Hill"/>
    <n v="1475"/>
    <m/>
    <n v="1475"/>
    <n v="1622.5000000000002"/>
    <m/>
    <m/>
    <n v="0"/>
    <n v="1475"/>
    <n v="1"/>
    <s v="Invoiced"/>
    <d v="2017-10-10T00:00:00"/>
    <s v="Completed and handover forwarded"/>
    <s v="Craig Smith (Craig Comms)"/>
    <m/>
    <m/>
    <m/>
    <m/>
    <m/>
  </r>
  <r>
    <x v="2"/>
    <s v="Sth NSW"/>
    <s v="Inv 13300"/>
    <d v="2018-03-01T00:00:00"/>
    <d v="2018-01-29T00:00:00"/>
    <d v="2018-01-30T00:00:00"/>
    <d v="2018-01-30T00:00:00"/>
    <d v="2018-02-09T00:00:00"/>
    <d v="2018-02-09T00:00:00"/>
    <d v="2018-03-01T00:00:00"/>
    <m/>
    <x v="13"/>
    <s v="Mar-18"/>
    <s v="MW21324 - AYCA-4L3K9Q - 2GLB-01 - Kidd Crt - 1 "/>
    <s v="Goulburn"/>
    <n v="560.70000000000005"/>
    <n v="1627.9699999999998"/>
    <n v="2188.67"/>
    <n v="2407.5370000000003"/>
    <m/>
    <m/>
    <n v="0"/>
    <n v="2188.67"/>
    <n v="1"/>
    <s v="Invoiced"/>
    <d v="2018-02-13T00:00:00"/>
    <s v="Completed and handover forwarded"/>
    <s v="Ertan Cicek "/>
    <s v="Direct Award"/>
    <d v="2017-09-20T00:00:00"/>
    <m/>
    <d v="2017-10-26T00:00:00"/>
    <n v="36"/>
  </r>
  <r>
    <x v="2"/>
    <s v="Sydney"/>
    <s v="Inv 13301"/>
    <d v="2018-03-06T00:00:00"/>
    <d v="2018-01-17T00:00:00"/>
    <d v="2018-01-18T00:00:00"/>
    <d v="2017-01-18T00:00:00"/>
    <d v="2018-02-19T00:00:00"/>
    <d v="2018-02-01T00:00:00"/>
    <d v="2018-02-15T00:00:00"/>
    <m/>
    <x v="13"/>
    <s v="Feb-18"/>
    <s v="MW21369 - AYCA-4EEPL6 - 2KNS-03 - Rosebery Park - 3 "/>
    <s v="Rosebery"/>
    <n v="2155.7399999999998"/>
    <n v="6398.35"/>
    <n v="8554.09"/>
    <n v="9409.4990000000016"/>
    <n v="2427.2600000000002"/>
    <m/>
    <n v="2427.2600000000002"/>
    <n v="6126.83"/>
    <n v="0.71624567896760494"/>
    <m/>
    <d v="2018-02-01T00:00:00"/>
    <m/>
    <s v="Lindy Chan"/>
    <s v="Direct Award"/>
    <d v="2017-09-26T00:00:00"/>
    <m/>
    <d v="2017-09-29T00:00:00"/>
    <n v="3"/>
  </r>
  <r>
    <x v="0"/>
    <s v="Sydney"/>
    <s v="Inv 13515"/>
    <d v="2018-04-20T00:00:00"/>
    <d v="2018-03-09T00:00:00"/>
    <d v="2018-03-13T00:00:00"/>
    <d v="2018-03-13T00:00:00"/>
    <d v="2018-04-13T00:00:00"/>
    <d v="2018-03-26T00:00:00"/>
    <d v="2018-04-24T00:00:00"/>
    <m/>
    <x v="11"/>
    <s v="Apr-18"/>
    <s v="MW21911-AYCA-4YPSLH-2ROU-02-6/4 COMMMERCIAL RD, ROUSE HILL"/>
    <s v="Rouse Hill"/>
    <n v="680.36"/>
    <n v="512.55999999999995"/>
    <n v="1192.92"/>
    <n v="1312.2120000000002"/>
    <m/>
    <m/>
    <n v="0"/>
    <n v="1192.92"/>
    <n v="1"/>
    <m/>
    <d v="2018-03-27T00:00:00"/>
    <m/>
    <s v="Ertan Cicek"/>
    <s v="Direct Award"/>
    <d v="2018-02-22T00:00:00"/>
    <m/>
    <m/>
    <n v="-43153"/>
  </r>
  <r>
    <x v="2"/>
    <s v="Sydney"/>
    <s v="Inv 13024"/>
    <d v="2018-01-08T00:00:00"/>
    <d v="2017-11-14T00:00:00"/>
    <d v="2017-11-16T00:00:00"/>
    <d v="2017-11-16T00:00:00"/>
    <d v="2017-11-24T00:00:00"/>
    <d v="2017-11-30T00:00:00"/>
    <d v="2018-01-11T00:00:00"/>
    <m/>
    <x v="10"/>
    <s v="Jan-18"/>
    <s v="MW21314 - 2BLK-10 - AYCA-4NCJ90 - Fine Property Group - 1- EXTERNAL"/>
    <s v="Doonside"/>
    <n v="1080.54"/>
    <n v="473.56"/>
    <n v="1554.1"/>
    <n v="1709.51"/>
    <m/>
    <m/>
    <n v="0"/>
    <n v="1554.1"/>
    <n v="1"/>
    <m/>
    <d v="2017-11-30T00:00:00"/>
    <m/>
    <s v="Lindy Chan"/>
    <s v="Direct Award"/>
    <d v="2017-09-27T00:00:00"/>
    <m/>
    <d v="2017-10-21T00:00:00"/>
    <n v="24"/>
  </r>
  <r>
    <x v="0"/>
    <s v="West NSW"/>
    <s v="Inv 12914"/>
    <d v="2017-12-04T00:00:00"/>
    <d v="2017-10-12T00:00:00"/>
    <d v="2017-10-12T00:00:00"/>
    <m/>
    <m/>
    <d v="2017-11-24T00:00:00"/>
    <d v="2017-12-07T00:00:00"/>
    <m/>
    <x v="6"/>
    <s v="Dec-17"/>
    <s v="MW21032 - AYCA-4L57RB - 2MDG-01 -NSB - Bateman Ave Mudgee"/>
    <s v="Mudgee"/>
    <n v="1760"/>
    <m/>
    <n v="1760"/>
    <n v="1936.0000000000002"/>
    <m/>
    <m/>
    <n v="0"/>
    <n v="1760"/>
    <n v="1"/>
    <s v="Invoiced"/>
    <d v="2017-10-26T00:00:00"/>
    <s v="Completed and handover forwarded"/>
    <s v="Mark Leal"/>
    <d v="2017-09-08T00:00:00"/>
    <d v="2017-09-28T00:00:00"/>
    <n v="20"/>
    <d v="2017-10-07T00:00:00"/>
    <n v="9"/>
  </r>
  <r>
    <x v="2"/>
    <s v="Sydney"/>
    <s v="Inv 13117"/>
    <d v="2018-01-23T00:00:00"/>
    <d v="2017-12-12T00:00:00"/>
    <d v="2017-12-13T00:00:00"/>
    <d v="2017-12-18T00:00:00"/>
    <d v="2017-12-20T00:00:00"/>
    <d v="2017-01-02T00:00:00"/>
    <d v="2018-01-23T00:00:00"/>
    <m/>
    <x v="12"/>
    <s v="Jan-18"/>
    <s v="MW21381 - 2LIV-03 - AYCA-4B5X29 - 209-213 Memorial Ave - 1- EXTERNAL"/>
    <s v="Liverpool"/>
    <n v="5179.88"/>
    <n v="-125.23"/>
    <n v="5054.6500000000005"/>
    <n v="5560.1150000000007"/>
    <n v="931.3609090909091"/>
    <m/>
    <n v="931.3609090909091"/>
    <n v="4123.2890909090911"/>
    <n v="0.81574176073696314"/>
    <m/>
    <d v="2017-12-27T00:00:00"/>
    <m/>
    <s v="Lindy Chan"/>
    <s v="Direct Award"/>
    <d v="2017-09-29T00:00:00"/>
    <m/>
    <d v="2017-10-31T00:00:00"/>
    <n v="32"/>
  </r>
  <r>
    <x v="2"/>
    <s v="Sydney"/>
    <s v="Inv 13283"/>
    <d v="2018-02-22T00:00:00"/>
    <d v="2018-01-10T00:00:00"/>
    <d v="2018-01-10T00:00:00"/>
    <d v="2018-01-25T00:00:00"/>
    <d v="2018-02-07T00:00:00"/>
    <d v="2018-01-19T00:00:00"/>
    <d v="2018-02-27T00:00:00"/>
    <m/>
    <x v="13"/>
    <s v="Feb-18"/>
    <s v="MW21384 - 2PEN-65  - AYCA-4LWMQ0 - 271 Dunmore Street - 1- EXTERNAL"/>
    <s v="Pendle Hill"/>
    <n v="2140.21"/>
    <n v="3046.46"/>
    <n v="5186.67"/>
    <n v="5705.3370000000004"/>
    <n v="3121.35"/>
    <m/>
    <n v="3121.35"/>
    <n v="2065.3200000000002"/>
    <n v="0.39819768753361984"/>
    <m/>
    <d v="2018-01-24T00:00:00"/>
    <m/>
    <s v="Lindy Chan"/>
    <s v="Direct Award"/>
    <d v="2017-09-29T00:00:00"/>
    <m/>
    <d v="2017-10-31T00:00:00"/>
    <n v="32"/>
  </r>
  <r>
    <x v="2"/>
    <s v="Sydney"/>
    <s v="Inv 13685"/>
    <d v="2018-05-30T00:00:00"/>
    <d v="2018-04-17T00:00:00"/>
    <d v="2018-04-18T00:00:00"/>
    <d v="2028-04-24T00:00:00"/>
    <d v="2018-05-23T00:00:00"/>
    <d v="2018-05-02T00:00:00"/>
    <d v="2018-05-31T00:00:00"/>
    <m/>
    <x v="7"/>
    <s v="May-18"/>
    <s v="MW20116 - AYCA-3I8XUO - 2RDL-60 - Highgardens – 1- EXTERNAL"/>
    <s v="Eastwood"/>
    <n v="1559.83"/>
    <n v="13890.210000000001"/>
    <n v="15450.04"/>
    <n v="16995.044000000002"/>
    <n v="9603.8700000000008"/>
    <m/>
    <n v="9603.8700000000008"/>
    <n v="5846.17"/>
    <n v="0.37839190060349359"/>
    <m/>
    <d v="2018-05-02T00:00:00"/>
    <m/>
    <s v="Lindy Chan"/>
    <s v="Direct Award"/>
    <d v="2017-10-09T00:00:00"/>
    <m/>
    <d v="2017-11-14T00:00:00"/>
    <n v="36"/>
  </r>
  <r>
    <x v="2"/>
    <s v="Sydney"/>
    <s v="Inv 12932"/>
    <d v="2017-12-21T00:00:00"/>
    <d v="2017-10-16T00:00:00"/>
    <d v="2017-10-16T00:00:00"/>
    <d v="2017-11-17T00:00:00"/>
    <d v="2017-12-04T00:00:00"/>
    <d v="2017-10-23T00:00:00"/>
    <d v="2017-11-06T00:00:00"/>
    <m/>
    <x v="6"/>
    <s v="Nov-17"/>
    <s v="MW20106 - 2ROU-02 - AYCA-30C7IB - Hillview Rise - 6"/>
    <s v="Eastwood"/>
    <n v="742.2"/>
    <n v="321.29000000000002"/>
    <n v="1063.49"/>
    <n v="1169.8390000000002"/>
    <m/>
    <m/>
    <n v="0"/>
    <n v="1063.49"/>
    <n v="1"/>
    <s v="Invoiced"/>
    <d v="2017-10-30T00:00:00"/>
    <s v="Completed and handover forwarded"/>
    <s v="Lindy Chan"/>
    <s v="Direct Award"/>
    <d v="2017-10-09T00:00:00"/>
    <m/>
    <d v="2017-11-14T00:00:00"/>
    <n v="36"/>
  </r>
  <r>
    <x v="2"/>
    <s v="Sydney"/>
    <s v="Inv 13193"/>
    <d v="2017-02-06T00:00:00"/>
    <d v="2018-01-12T00:00:00"/>
    <d v="2018-01-12T00:00:00"/>
    <d v="2018-01-12T00:00:00"/>
    <d v="2018-01-16T00:00:00"/>
    <d v="2018-01-25T00:00:00"/>
    <d v="2018-02-06T00:00:00"/>
    <m/>
    <x v="13"/>
    <s v="Feb-18"/>
    <s v="MW20115 - 2PTH-02 - AYCA-4OSDE9 - ONYX - 1- EXTERNAL"/>
    <s v="Penrith"/>
    <n v="684.18"/>
    <n v="1930.07"/>
    <n v="2614.25"/>
    <n v="2875.6750000000002"/>
    <m/>
    <m/>
    <n v="0"/>
    <n v="2614.25"/>
    <n v="1"/>
    <m/>
    <d v="2018-01-26T00:00:00"/>
    <m/>
    <s v="Andrew Partalis"/>
    <s v="Direct Award"/>
    <d v="2017-10-10T00:00:00"/>
    <m/>
    <d v="2017-11-14T00:00:00"/>
    <n v="35"/>
  </r>
  <r>
    <x v="2"/>
    <s v="Sydney"/>
    <s v="Inv 12806"/>
    <d v="2017-11-14T00:00:00"/>
    <d v="2017-10-16T00:00:00"/>
    <d v="2017-10-16T00:00:00"/>
    <m/>
    <m/>
    <d v="2017-10-23T00:00:00"/>
    <d v="2017-11-16T00:00:00"/>
    <m/>
    <x v="6"/>
    <s v="Nov-17"/>
    <s v="MW21430 - 2RIV-02 - AYCA-3347PM - The Maples - 3 "/>
    <s v="Schofields"/>
    <n v="697.93"/>
    <m/>
    <n v="697.93"/>
    <n v="767.72299999999996"/>
    <m/>
    <m/>
    <n v="0"/>
    <n v="697.93"/>
    <n v="1"/>
    <s v="Invoiced"/>
    <d v="2017-10-30T00:00:00"/>
    <s v="Completed and handover forwarded"/>
    <s v="Andrew Mahassy"/>
    <s v="Direct Award"/>
    <d v="2017-10-03T00:00:00"/>
    <m/>
    <d v="2017-11-11T00:00:00"/>
    <n v="39"/>
  </r>
  <r>
    <x v="2"/>
    <s v="Sydney"/>
    <s v="Inv 13048"/>
    <d v="2018-01-12T00:00:00"/>
    <d v="2017-11-24T00:00:00"/>
    <d v="2017-11-24T00:00:00"/>
    <d v="2017-11-24T00:00:00"/>
    <d v="2017-12-20T00:00:00"/>
    <d v="2017-12-08T00:00:00"/>
    <d v="2018-01-16T00:00:00"/>
    <m/>
    <x v="10"/>
    <s v="Jan-18"/>
    <s v="MW21425 - 2LIV-04 - AYCA-2IQYU1 - Macquaire St Development – 1-EXTERNAL"/>
    <s v="Liverpool"/>
    <n v="787.99"/>
    <n v="3543.3989999999999"/>
    <n v="4331.3890000000001"/>
    <n v="4764.527900000001"/>
    <n v="2729.39"/>
    <m/>
    <n v="2729.39"/>
    <n v="1601.9990000000003"/>
    <n v="0.36985802937579615"/>
    <m/>
    <d v="2017-12-08T00:00:00"/>
    <m/>
    <s v="Lindy Chan"/>
    <s v="Direct Award"/>
    <d v="2017-10-03T00:00:00"/>
    <m/>
    <d v="2017-11-14T00:00:00"/>
    <n v="42"/>
  </r>
  <r>
    <x v="2"/>
    <s v="Sydney"/>
    <s v="Inv 13369"/>
    <d v="2018-03-15T00:00:00"/>
    <d v="2018-02-08T00:00:00"/>
    <d v="2018-02-08T00:00:00"/>
    <d v="2018-02-08T00:00:00"/>
    <d v="2018-02-21T00:00:00"/>
    <d v="2018-02-20T00:00:00"/>
    <d v="2018-03-15T00:00:00"/>
    <m/>
    <x v="2"/>
    <s v="Mar-18"/>
    <s v="MW21385 - 2BLK-10 - AYCA-4A93XN - 43 Graham St - Doonside - 1"/>
    <s v="Doonside"/>
    <n v="550.82000000000005"/>
    <n v="2183.1"/>
    <n v="2733.92"/>
    <n v="3007.3120000000004"/>
    <m/>
    <m/>
    <n v="0"/>
    <n v="2733.92"/>
    <n v="1"/>
    <m/>
    <d v="2018-02-22T00:00:00"/>
    <m/>
    <s v="Andrew Mahassy\Ertan Cicek "/>
    <s v="Direct Award"/>
    <d v="2017-10-04T00:00:00"/>
    <m/>
    <d v="2017-10-31T00:00:00"/>
    <n v="27"/>
  </r>
  <r>
    <x v="2"/>
    <s v="Sydney"/>
    <s v="Inv 13022"/>
    <d v="2017-01-08T00:00:00"/>
    <d v="2017-11-23T00:00:00"/>
    <d v="2017-11-23T00:00:00"/>
    <d v="2017-11-23T00:00:00"/>
    <d v="2017-11-28T00:00:00"/>
    <d v="2017-12-12T00:00:00"/>
    <d v="2017-12-28T00:00:00"/>
    <m/>
    <x v="10"/>
    <s v="Dec-17"/>
    <s v="MW21426 - 2PTH-05 - AYCA-3QAOV2 - Meyer Timber NSW - 1-EXTERNAL and INTERNAL"/>
    <s v="Penrith"/>
    <n v="1098.26"/>
    <n v="994.09"/>
    <n v="2092.35"/>
    <n v="2301.585"/>
    <n v="1331.8"/>
    <m/>
    <n v="1331.8"/>
    <n v="760.55"/>
    <n v="0.3634908117666738"/>
    <s v="Invoiced"/>
    <d v="2017-12-07T00:00:00"/>
    <s v="Completed and handover forwarded"/>
    <s v="Nabeel Jaimon"/>
    <s v="Direct Award"/>
    <d v="2017-10-04T00:00:00"/>
    <m/>
    <d v="2017-11-14T00:00:00"/>
    <n v="41"/>
  </r>
  <r>
    <x v="0"/>
    <s v="Sth NSW"/>
    <s v="Inv 12988"/>
    <d v="2018-12-21T00:00:00"/>
    <d v="2017-11-21T00:00:00"/>
    <d v="2017-11-21T00:00:00"/>
    <d v="2017-11-21T00:00:00"/>
    <d v="2017-11-28T00:00:00"/>
    <d v="2017-12-06T00:00:00"/>
    <d v="2017-12-21T00:00:00"/>
    <m/>
    <x v="10"/>
    <s v="Dec-17"/>
    <s v="MW21080 - AYCA-2K262F - 2MSV-05 - Rochester Park - 1"/>
    <s v="Moss Vale"/>
    <n v="5689.31"/>
    <n v="1388.17"/>
    <n v="7077.4800000000005"/>
    <n v="7785.228000000001"/>
    <m/>
    <m/>
    <n v="0"/>
    <n v="7077.4800000000005"/>
    <n v="1"/>
    <s v="Invoiced"/>
    <d v="2017-12-05T00:00:00"/>
    <s v="Completed and handover forwarded"/>
    <s v="Ertan Cicek "/>
    <d v="2017-09-18T00:00:00"/>
    <d v="2017-10-24T00:00:00"/>
    <m/>
    <d v="2017-11-23T00:00:00"/>
    <n v="30"/>
  </r>
  <r>
    <x v="0"/>
    <s v="Sth NSW"/>
    <s v="Inv 12983"/>
    <d v="2018-12-18T00:00:00"/>
    <d v="2017-11-17T00:00:00"/>
    <d v="2017-11-17T00:00:00"/>
    <d v="2017-11-22T00:00:00"/>
    <d v="2017-11-28T00:00:00"/>
    <d v="2017-12-04T00:00:00"/>
    <d v="2017-12-12T00:00:00"/>
    <m/>
    <x v="10"/>
    <s v="Dec-17"/>
    <s v="MW21400 - 2MTT-02 - AYCA-4JV9PM - Wattle St Colo Vale - 1"/>
    <s v="Colo Vale"/>
    <n v="6328.8649999999998"/>
    <n v="14364.323571428573"/>
    <n v="20693.188571428575"/>
    <n v="22762.507428571433"/>
    <m/>
    <m/>
    <n v="0"/>
    <n v="20693.188571428575"/>
    <n v="1"/>
    <s v="Invoiced"/>
    <d v="2017-12-01T00:00:00"/>
    <s v="Completed and handover forwarded"/>
    <s v="Ertan Cicek "/>
    <d v="2017-10-02T00:00:00"/>
    <m/>
    <m/>
    <m/>
    <m/>
  </r>
  <r>
    <x v="0"/>
    <s v="Sth NSW"/>
    <s v="Inv 13299"/>
    <d v="2018-02-22T00:00:00"/>
    <d v="2018-01-22T00:00:00"/>
    <d v="2018-01-22T00:00:00"/>
    <d v="2018-01-22T00:00:00"/>
    <d v="2018-02-07T00:00:00"/>
    <d v="2018-02-07T00:00:00"/>
    <d v="2018-02-27T00:00:00"/>
    <m/>
    <x v="13"/>
    <s v="Feb-18"/>
    <s v="MW21398 - 2MSV-03 - AYCA-3MIX48 - Sutherland Park Estate - 1"/>
    <s v="Moss Vale"/>
    <n v="8670.86"/>
    <n v="4015.54"/>
    <n v="12686.400000000001"/>
    <n v="13955.040000000003"/>
    <m/>
    <m/>
    <n v="0"/>
    <n v="12686.400000000001"/>
    <n v="1"/>
    <m/>
    <d v="2018-02-05T00:00:00"/>
    <m/>
    <s v="Ertan Cicek "/>
    <d v="2017-10-02T00:00:00"/>
    <m/>
    <m/>
    <m/>
    <m/>
  </r>
  <r>
    <x v="1"/>
    <s v="ACT"/>
    <s v="Inv 13326"/>
    <d v="2018-02-06T00:00:00"/>
    <d v="2018-01-31T00:00:00"/>
    <d v="2018-01-25T00:00:00"/>
    <d v="2018-01-31T00:00:00"/>
    <d v="2018-02-12T00:00:00"/>
    <d v="2018-02-02T00:00:00"/>
    <d v="2018-03-08T00:00:00"/>
    <m/>
    <x v="13"/>
    <s v="Mar-18"/>
    <s v="MW21423 - 9QBN-03 - 16 Ellerton Drive Queanbeyan NSW"/>
    <s v="Queanbeyan"/>
    <n v="1281.43"/>
    <n v="69306.039999999994"/>
    <n v="70587.469999999987"/>
    <n v="77646.21699999999"/>
    <m/>
    <m/>
    <n v="0"/>
    <n v="70587.469999999987"/>
    <n v="1"/>
    <m/>
    <d v="2018-02-08T00:00:00"/>
    <m/>
    <s v="Linda Stahlgren Bouveng"/>
    <d v="2017-09-29T00:00:00"/>
    <d v="2017-10-16T00:00:00"/>
    <m/>
    <m/>
    <m/>
  </r>
  <r>
    <x v="2"/>
    <s v="Sydney"/>
    <s v="Inv 13202"/>
    <d v="2018-02-07T00:00:00"/>
    <d v="2017-12-12T00:00:00"/>
    <d v="2017-12-13T00:00:00"/>
    <d v="2018-01-12T00:00:00"/>
    <d v="2018-01-24T00:00:00"/>
    <d v="2018-01-02T00:00:00"/>
    <d v="2018-02-08T00:00:00"/>
    <m/>
    <x v="12"/>
    <s v="Feb-18"/>
    <s v="MW20150 - 2BLK-06 - AYCA-3W8B2F - 6 Old Church Lane "/>
    <s v="Blacktown"/>
    <n v="2633.83"/>
    <n v="-2118.86"/>
    <n v="514.9699999999998"/>
    <n v="566.46699999999987"/>
    <m/>
    <m/>
    <n v="0"/>
    <n v="514.9699999999998"/>
    <n v="1"/>
    <m/>
    <d v="2017-12-27T00:00:00"/>
    <m/>
    <s v="Andrew Mahassy"/>
    <s v="Direct Award"/>
    <d v="2017-10-14T00:00:00"/>
    <m/>
    <d v="2017-11-14T00:00:00"/>
    <n v="31"/>
  </r>
  <r>
    <x v="0"/>
    <s v="Sydney"/>
    <s v="Inv 13278"/>
    <d v="2018-02-22T00:00:00"/>
    <d v="2017-12-21T00:00:00"/>
    <d v="2017-12-22T00:00:00"/>
    <d v="2018-01-09T00:00:00"/>
    <d v="2018-02-07T00:00:00"/>
    <d v="2018-01-08T00:00:00"/>
    <d v="2018-02-27T00:00:00"/>
    <m/>
    <x v="12"/>
    <s v="Feb-18"/>
    <s v="MW21145 - AYCA-4KU6BE -OOMWI - 2WET-20 - Seniors Housing"/>
    <s v="Bossley Park"/>
    <n v="2751.085"/>
    <n v="1880.81"/>
    <n v="4631.8950000000004"/>
    <n v="5095.0845000000008"/>
    <n v="1316.57"/>
    <m/>
    <n v="1316.57"/>
    <n v="3315.3250000000007"/>
    <n v="0.71575996433425204"/>
    <m/>
    <d v="2018-01-05T00:00:00"/>
    <m/>
    <s v="Michael Tram"/>
    <d v="2017-09-18T00:00:00"/>
    <d v="2017-10-13T00:00:00"/>
    <m/>
    <d v="2017-10-14T00:00:00"/>
    <m/>
  </r>
  <r>
    <x v="2"/>
    <s v="Sydney"/>
    <s v="Inv 12801"/>
    <d v="2017-11-13T00:00:00"/>
    <d v="2017-10-16T00:00:00"/>
    <d v="2017-10-16T00:00:00"/>
    <d v="2017-10-24T00:00:00"/>
    <d v="2017-10-31T00:00:00"/>
    <d v="2017-10-23T00:00:00"/>
    <d v="2017-11-16T00:00:00"/>
    <m/>
    <x v="6"/>
    <s v="Nov-17"/>
    <s v="MW21205 - 2RIV-02 - AYCA-3349N6 - Schofields Farm Road - The Maples 2"/>
    <s v="Schofields"/>
    <n v="1740.59"/>
    <n v="-95.96"/>
    <n v="1644.6299999999999"/>
    <n v="1809.0930000000001"/>
    <n v="637.19090909090903"/>
    <m/>
    <n v="637.19090909090903"/>
    <n v="1007.4390909090909"/>
    <n v="0.6125627593495746"/>
    <s v="Invoiced"/>
    <d v="2017-10-30T00:00:00"/>
    <s v="Completed and handover forwarded"/>
    <s v="Andrew Mahassy"/>
    <s v="Direct Award"/>
    <d v="2017-08-24T00:00:00"/>
    <m/>
    <d v="2017-09-15T00:00:00"/>
    <n v="22"/>
  </r>
  <r>
    <x v="0"/>
    <s v="Nth Coast"/>
    <s v="Inv 13006"/>
    <d v="2017-12-21T00:00:00"/>
    <d v="2017-11-22T00:00:00"/>
    <d v="2017-11-22T00:00:00"/>
    <m/>
    <m/>
    <d v="2017-12-06T00:00:00"/>
    <d v="2017-12-20T00:00:00"/>
    <m/>
    <x v="10"/>
    <s v="Dec-17"/>
    <s v="MW21041 - 2OBA-20 - AYCA-4L6PEC - NSB - Old Bar Survey"/>
    <s v="Old Bar"/>
    <n v="1430"/>
    <m/>
    <n v="1430"/>
    <n v="1573.0000000000002"/>
    <m/>
    <m/>
    <n v="0"/>
    <n v="1430"/>
    <n v="1"/>
    <s v="Invoiced"/>
    <d v="2017-12-06T00:00:00"/>
    <s v="Completed and handover forwarded"/>
    <s v="Mark Leal"/>
    <d v="2017-09-08T00:00:00"/>
    <m/>
    <n v="-42986"/>
    <m/>
    <m/>
  </r>
  <r>
    <x v="0"/>
    <s v="Sydney"/>
    <m/>
    <m/>
    <m/>
    <d v="2018-05-30T00:00:00"/>
    <m/>
    <m/>
    <m/>
    <m/>
    <m/>
    <x v="8"/>
    <s v="Jan-00"/>
    <s v="MW21325 - 2NRL-20 - AYCA-2QFUTJ - Camden Day Hospital - 1"/>
    <s v="Elderslie"/>
    <n v="2322.6892857142852"/>
    <m/>
    <n v="2322.6892857142852"/>
    <n v="2554.9582142857139"/>
    <m/>
    <m/>
    <n v="0"/>
    <n v="2322.6892857142852"/>
    <n v="1"/>
    <m/>
    <d v="2018-06-13T00:00:00"/>
    <s v="Completed and handover forwarded"/>
    <s v="Nabeel Jaimon"/>
    <d v="2017-09-29T00:00:00"/>
    <d v="2017-10-18T00:00:00"/>
    <n v="19"/>
    <d v="2017-10-26T00:00:00"/>
    <n v="8"/>
  </r>
  <r>
    <x v="0"/>
    <s v="West NSW"/>
    <s v="Inv 13119"/>
    <d v="2018-01-23T00:00:00"/>
    <d v="2017-12-20T00:00:00"/>
    <d v="2017-12-20T00:00:00"/>
    <m/>
    <m/>
    <d v="2018-01-08T00:00:00"/>
    <d v="2018-01-23T00:00:00"/>
    <m/>
    <x v="12"/>
    <s v="Jan-18"/>
    <s v="MW21270 - 2BTH-01 - AYCA-47Y3BF - Arndilly"/>
    <s v="Bathurst"/>
    <n v="6664.39"/>
    <m/>
    <n v="6664.39"/>
    <n v="7330.8290000000006"/>
    <m/>
    <m/>
    <n v="0"/>
    <n v="6664.39"/>
    <n v="1"/>
    <m/>
    <d v="2018-01-03T00:00:00"/>
    <m/>
    <m/>
    <m/>
    <m/>
    <m/>
    <m/>
    <m/>
  </r>
  <r>
    <x v="2"/>
    <s v="Nth Coast"/>
    <s v="Inv 13414"/>
    <d v="2018-03-27T00:00:00"/>
    <d v="2018-02-23T00:00:00"/>
    <d v="2018-02-28T00:00:00"/>
    <d v="2018-03-01T00:00:00"/>
    <d v="2018-03-07T00:00:00"/>
    <d v="2018-03-16T00:00:00"/>
    <d v="2018-03-27T00:00:00"/>
    <m/>
    <x v="2"/>
    <s v="Mar-18"/>
    <s v="MW20843 - 2KCL-02 - AYCA-4EIN5M - 171 Casuarina Way Pty Ltd – 1- EXTERNAL"/>
    <s v="Casuarina"/>
    <n v="1790.44"/>
    <n v="4547.3999999999996"/>
    <n v="6337.84"/>
    <n v="6971.6240000000007"/>
    <n v="5237.6000000000004"/>
    <m/>
    <n v="5237.6000000000004"/>
    <n v="1100.2399999999998"/>
    <n v="0.17359857617106139"/>
    <m/>
    <d v="2018-03-14T00:00:00"/>
    <m/>
    <s v="Andrew Partalis"/>
    <m/>
    <m/>
    <m/>
    <m/>
    <m/>
  </r>
  <r>
    <x v="0"/>
    <s v="Sth NSW"/>
    <s v="Inv 13584"/>
    <d v="2018-05-10T00:00:00"/>
    <d v="2018-02-25T00:00:00"/>
    <d v="2018-02-28T00:00:00"/>
    <d v="2018-03-22T00:00:00"/>
    <d v="2018-04-20T00:00:00"/>
    <d v="2018-03-12T00:00:00"/>
    <d v="2018-05-03T00:00:00"/>
    <m/>
    <x v="2"/>
    <s v="May-18"/>
    <s v="MW21289 -  2WAG-05 - AYCA-45YGSM - 138 Elizabeth Avenue Forest Hill"/>
    <s v="Wagga Wagga"/>
    <n v="12652.97"/>
    <n v="1876.25"/>
    <n v="14529.22"/>
    <n v="15982.142"/>
    <m/>
    <m/>
    <n v="0"/>
    <n v="14529.22"/>
    <n v="1"/>
    <m/>
    <d v="2018-03-14T00:00:00"/>
    <m/>
    <s v="Dave Yoemans"/>
    <d v="2017-09-18T00:00:00"/>
    <d v="2017-10-18T00:00:00"/>
    <n v="30"/>
    <d v="2017-11-30T00:00:00"/>
    <n v="43"/>
  </r>
  <r>
    <x v="0"/>
    <s v="Sth NSW"/>
    <s v="Inv 13587"/>
    <d v="2018-05-10T00:00:00"/>
    <d v="2018-01-23T00:00:00"/>
    <d v="2018-01-23T00:00:00"/>
    <m/>
    <m/>
    <d v="2018-02-07T00:00:00"/>
    <d v="2018-05-08T00:00:00"/>
    <m/>
    <x v="13"/>
    <s v="May-18"/>
    <s v="MW21287 - AYCA-4BSSM6 - 2WAG-10 - 10 Fisher Place Lloyd"/>
    <s v="Wagga Wagga"/>
    <n v="4882.83"/>
    <m/>
    <n v="4882.83"/>
    <n v="5371.1130000000003"/>
    <m/>
    <m/>
    <n v="0"/>
    <n v="4882.83"/>
    <n v="1"/>
    <m/>
    <d v="2018-02-06T00:00:00"/>
    <m/>
    <s v="Dave Yoemans"/>
    <d v="2017-09-19T00:00:00"/>
    <d v="2017-10-18T00:00:00"/>
    <n v="29"/>
    <d v="2017-11-30T00:00:00"/>
    <n v="43"/>
  </r>
  <r>
    <x v="0"/>
    <s v="Sth NSW"/>
    <s v="Inv 13027"/>
    <d v="2018-01-30T00:00:00"/>
    <d v="2017-12-04T00:00:00"/>
    <d v="2017-12-04T00:00:00"/>
    <d v="2017-12-04T00:00:00"/>
    <d v="2017-12-13T00:00:00"/>
    <d v="2017-12-14T00:00:00"/>
    <d v="2018-01-30T00:00:00"/>
    <m/>
    <x v="12"/>
    <s v="Jan-18"/>
    <s v="MW21285 - 2MSV-04 - AYCA-496F3H - 8 Bendooley Street Bowral"/>
    <s v="Bowral"/>
    <n v="4895.03"/>
    <n v="10424.728000000001"/>
    <n v="15319.758000000002"/>
    <n v="16851.733800000002"/>
    <n v="7890.75"/>
    <m/>
    <n v="7890.75"/>
    <n v="7429.0080000000016"/>
    <n v="0.48492985333058136"/>
    <s v="Invoiced"/>
    <d v="2017-12-18T00:00:00"/>
    <s v="Completed and handover forwarded"/>
    <s v="Dave Yoemans"/>
    <d v="2017-09-18T00:00:00"/>
    <d v="2017-10-18T00:00:00"/>
    <n v="30"/>
    <d v="2017-11-30T00:00:00"/>
    <n v="43"/>
  </r>
  <r>
    <x v="2"/>
    <s v="Sydney"/>
    <s v="Inv 13026"/>
    <d v="2018-01-08T00:00:00"/>
    <d v="2017-12-05T00:00:00"/>
    <d v="2017-12-05T00:00:00"/>
    <d v="2017-12-05T00:00:00"/>
    <d v="2017-12-12T00:00:00"/>
    <d v="2017-12-19T00:00:00"/>
    <d v="2018-01-11T00:00:00"/>
    <m/>
    <x v="12"/>
    <s v="Jan-18"/>
    <s v="MW21386 - AYCA-3BBYF2 - 2PTH-05 - 40-50 Union Rd, Penrith  EXTERNAL"/>
    <s v="Penrith"/>
    <n v="1126.31"/>
    <n v="2848.31"/>
    <n v="3974.62"/>
    <n v="4372.0820000000003"/>
    <n v="2621.77"/>
    <m/>
    <n v="2621.77"/>
    <n v="1352.85"/>
    <n v="0.34037216136385362"/>
    <s v="Invoiced"/>
    <d v="2017-12-19T00:00:00"/>
    <s v="Completed and handover forwarded"/>
    <s v="Andrew Partalis"/>
    <s v="Direct Award"/>
    <d v="2017-10-18T00:00:00"/>
    <m/>
    <d v="2017-11-22T00:00:00"/>
    <n v="35"/>
  </r>
  <r>
    <x v="0"/>
    <s v="Sydney"/>
    <s v="Inv 13233"/>
    <d v="2018-02-15T00:00:00"/>
    <d v="2017-12-21T00:00:00"/>
    <d v="2017-12-22T00:00:00"/>
    <d v="2018-01-10T00:00:00"/>
    <d v="2018-01-24T00:00:00"/>
    <d v="2018-01-12T00:00:00"/>
    <d v="2018-02-15T00:00:00"/>
    <m/>
    <x v="12"/>
    <s v="Feb-18"/>
    <s v="MW21373 - 2WET-65 - AYCA-4O5GBC - 106 - 108 Chifley St - Smithfield - 1- EXTERNAL"/>
    <s v="Smithfield"/>
    <n v="5336.9454285714291"/>
    <n v="9985.27"/>
    <n v="15322.21542857143"/>
    <n v="16854.436971428575"/>
    <n v="4774.4799999999996"/>
    <m/>
    <n v="4774.4799999999996"/>
    <n v="10547.73542857143"/>
    <n v="0.68839493072933844"/>
    <m/>
    <d v="2018-01-05T00:00:00"/>
    <m/>
    <s v="Lindy Chan"/>
    <d v="2017-09-29T00:00:00"/>
    <d v="2017-10-19T00:00:00"/>
    <n v="20"/>
    <d v="2017-10-26T00:00:00"/>
    <n v="7"/>
  </r>
  <r>
    <x v="2"/>
    <s v="Sydney"/>
    <s v="Inv 13697"/>
    <d v="2018-06-06T00:00:00"/>
    <d v="2018-05-17T00:00:00"/>
    <d v="2018-05-17T00:00:00"/>
    <d v="2018-05-18T00:00:00"/>
    <d v="2018-05-30T00:00:00"/>
    <d v="2018-05-30T00:00:00"/>
    <d v="2018-06-07T00:00:00"/>
    <m/>
    <x v="8"/>
    <s v="Jun-18"/>
    <s v="MW20917 - AYCA-3A485K -2LID-03 -  Lidbury Street Berala - 1 - EXTERNAL"/>
    <s v="Berala"/>
    <n v="82.91"/>
    <n v="6597.0000000000009"/>
    <n v="6679.9100000000008"/>
    <n v="7347.9010000000017"/>
    <n v="4651.88"/>
    <m/>
    <n v="4651.88"/>
    <n v="2028.0300000000007"/>
    <n v="0.30360139582718937"/>
    <m/>
    <d v="2018-05-31T00:00:00"/>
    <m/>
    <s v="Lindy Chan"/>
    <s v="Direct Award"/>
    <d v="2017-10-19T00:00:00"/>
    <m/>
    <d v="2017-11-22T00:00:00"/>
    <n v="34"/>
  </r>
  <r>
    <x v="2"/>
    <s v="Sydney"/>
    <s v="Inv 13023"/>
    <d v="2018-01-08T00:00:00"/>
    <d v="2017-11-30T00:00:00"/>
    <d v="2017-11-30T00:00:00"/>
    <d v="2017-12-01T00:00:00"/>
    <d v="2017-12-12T00:00:00"/>
    <d v="2017-12-13T00:00:00"/>
    <d v="2017-12-28T00:00:00"/>
    <m/>
    <x v="10"/>
    <s v="Dec-17"/>
    <s v="MW21452 - AYCA-4FFBGM - 2PIT-01 - The Oaks Development"/>
    <s v="Pitt Town"/>
    <n v="5919.34"/>
    <n v="3816.2100000000009"/>
    <n v="9735.5500000000011"/>
    <n v="10709.105000000001"/>
    <n v="6437.11"/>
    <m/>
    <n v="6437.11"/>
    <n v="3298.4400000000014"/>
    <n v="0.33880366286445052"/>
    <s v="Invoiced"/>
    <d v="2017-12-14T00:00:00"/>
    <s v="Completed and handover forwarded"/>
    <s v="Andrew Mahassy"/>
    <s v="Direct Award"/>
    <d v="2017-10-19T00:00:00"/>
    <m/>
    <d v="2017-11-22T00:00:00"/>
    <n v="34"/>
  </r>
  <r>
    <x v="0"/>
    <s v="Central Coast"/>
    <s v="Inv 13466"/>
    <d v="2018-04-09T00:00:00"/>
    <d v="2018-03-19T00:00:00"/>
    <d v="2018-03-19T00:00:00"/>
    <m/>
    <m/>
    <d v="2018-04-03T00:00:00"/>
    <d v="2018-04-10T00:00:00"/>
    <m/>
    <x v="11"/>
    <s v="Apr-18"/>
    <s v="MW21271 - AYCA-45TAFX  - 2MRS-03-Cooranbong - 1"/>
    <s v="Morriset"/>
    <n v="8383.48"/>
    <m/>
    <n v="8383.48"/>
    <n v="9221.8279999999995"/>
    <n v="4446.68"/>
    <m/>
    <n v="4446.68"/>
    <n v="3936.7999999999993"/>
    <n v="0.46959019404829494"/>
    <m/>
    <d v="2018-04-02T00:00:00"/>
    <m/>
    <s v="Ertan Cicek "/>
    <d v="2017-11-13T00:00:00"/>
    <d v="2018-02-06T00:00:00"/>
    <n v="85"/>
    <d v="2018-03-02T00:00:00"/>
    <n v="24"/>
  </r>
  <r>
    <x v="0"/>
    <s v="Sydney"/>
    <s v="Inv 13150"/>
    <d v="2018-01-30T00:00:00"/>
    <d v="2017-12-18T00:00:00"/>
    <d v="2017-12-18T00:00:00"/>
    <m/>
    <m/>
    <d v="2018-01-02T00:00:00"/>
    <d v="2018-01-16T00:00:00"/>
    <m/>
    <x v="12"/>
    <s v="Jan-18"/>
    <s v="MW21392 - 2MIL-20 - AYCA-4NGNW3 - LOT 421 &amp; 422, 10-12 PROGRESS CIRCUIT"/>
    <s v="Miller"/>
    <n v="2044.5"/>
    <m/>
    <n v="2044.5"/>
    <n v="2248.9500000000003"/>
    <m/>
    <m/>
    <n v="0"/>
    <n v="2044.5"/>
    <n v="1"/>
    <m/>
    <d v="2018-01-01T00:00:00"/>
    <m/>
    <s v="Nabeel Jaimon"/>
    <d v="2017-10-02T00:00:00"/>
    <d v="2017-10-20T00:00:00"/>
    <n v="18"/>
    <d v="2017-10-31T00:00:00"/>
    <n v="11"/>
  </r>
  <r>
    <x v="0"/>
    <s v="Sydney"/>
    <s v="Inv 13201"/>
    <d v="2018-02-07T00:00:00"/>
    <d v="2017-12-21T00:00:00"/>
    <d v="2017-12-22T00:00:00"/>
    <d v="2018-01-12T00:00:00"/>
    <d v="2018-01-25T00:00:00"/>
    <d v="2018-01-12T00:00:00"/>
    <d v="2018-02-08T00:00:00"/>
    <m/>
    <x v="12"/>
    <s v="Feb-18"/>
    <s v="MW21322 - 2SHH-02 - AYCA-4FHB4D - 3 Bellbird Close Barrack Heights"/>
    <s v="Barrack Heights"/>
    <n v="5773.02"/>
    <n v="4353.71"/>
    <n v="10126.73"/>
    <n v="11139.403"/>
    <n v="3289.75"/>
    <m/>
    <n v="3289.75"/>
    <n v="6836.98"/>
    <n v="0.67514192636714909"/>
    <m/>
    <d v="2018-01-05T00:00:00"/>
    <m/>
    <s v="Dave Yoemans"/>
    <d v="2017-09-18T00:00:00"/>
    <d v="2017-10-23T00:00:00"/>
    <n v="35"/>
    <d v="2017-11-30T00:00:00"/>
    <n v="38"/>
  </r>
  <r>
    <x v="0"/>
    <s v="West NSW"/>
    <m/>
    <m/>
    <m/>
    <d v="2018-07-30T00:00:00"/>
    <m/>
    <m/>
    <m/>
    <m/>
    <m/>
    <x v="9"/>
    <s v="Jan-00"/>
    <s v="MW21395 - 2BTH-01 - AYCA-4LYVIU - Arndilly - 2"/>
    <s v="Bathurst"/>
    <n v="4802.37"/>
    <m/>
    <n v="4802.37"/>
    <n v="5282.607"/>
    <m/>
    <m/>
    <n v="0"/>
    <n v="4802.37"/>
    <n v="1"/>
    <m/>
    <d v="2018-08-13T00:00:00"/>
    <m/>
    <s v="Mark Leal"/>
    <d v="2017-09-27T00:00:00"/>
    <d v="2017-10-23T00:00:00"/>
    <n v="26"/>
    <d v="2017-11-01T00:00:00"/>
    <n v="9"/>
  </r>
  <r>
    <x v="0"/>
    <s v="West NSW"/>
    <s v="Inv 13116"/>
    <d v="2018-01-23T00:00:00"/>
    <d v="2017-12-14T00:00:00"/>
    <d v="2017-12-22T00:00:00"/>
    <m/>
    <m/>
    <d v="2018-01-04T00:00:00"/>
    <d v="2018-01-23T00:00:00"/>
    <m/>
    <x v="12"/>
    <s v="Jan-18"/>
    <s v="MW21416 - 2ORG-05 - AYCA-4H25NY - 12 Wakeford – 1"/>
    <s v="Orange"/>
    <n v="8637.2000000000007"/>
    <m/>
    <n v="8637.2000000000007"/>
    <n v="9500.9200000000019"/>
    <m/>
    <m/>
    <n v="0"/>
    <n v="8637.2000000000007"/>
    <n v="1"/>
    <m/>
    <d v="2018-01-05T00:00:00"/>
    <m/>
    <s v="Ertan Cicek "/>
    <d v="2017-10-02T00:00:00"/>
    <d v="2017-10-23T00:00:00"/>
    <n v="21"/>
    <d v="2017-11-01T00:00:00"/>
    <n v="9"/>
  </r>
  <r>
    <x v="2"/>
    <s v="Sydney"/>
    <s v="Inv 13232"/>
    <d v="2018-02-15T00:00:00"/>
    <d v="2018-01-11T00:00:00"/>
    <d v="2018-01-11T00:00:00"/>
    <d v="2018-01-12T00:00:00"/>
    <d v="2018-01-24T00:00:00"/>
    <d v="2018-01-23T00:00:00"/>
    <d v="2018-02-15T00:00:00"/>
    <m/>
    <x v="13"/>
    <s v="Feb-18"/>
    <s v="MW21457 - AYCA-4QLE5J -2NEW-63 -Ara on Park - 1-EXTERNAL"/>
    <s v="Eskineville"/>
    <n v="2012.61"/>
    <n v="6714.56"/>
    <n v="8727.17"/>
    <n v="9599.8870000000006"/>
    <n v="2603.91"/>
    <m/>
    <n v="2603.91"/>
    <n v="6123.26"/>
    <n v="0.70163180045765128"/>
    <m/>
    <d v="2018-01-25T00:00:00"/>
    <m/>
    <s v="Lindy Chan"/>
    <s v="Direct Award"/>
    <d v="2017-10-24T00:00:00"/>
    <m/>
    <d v="2017-11-29T00:00:00"/>
    <n v="36"/>
  </r>
  <r>
    <x v="2"/>
    <s v="Sydney"/>
    <s v="Inv 13019"/>
    <d v="2017-12-22T00:00:00"/>
    <d v="2017-11-03T00:00:00"/>
    <d v="2017-11-07T00:00:00"/>
    <d v="2017-11-08T00:00:00"/>
    <d v="2017-11-16T00:00:00"/>
    <d v="2017-12-11T00:00:00"/>
    <d v="2018-01-09T00:00:00"/>
    <m/>
    <x v="10"/>
    <s v="Jan-18"/>
    <s v="MW21458 - 2LID-07 - AYCA-4DZEDU-2LID-07-Auburn Vista - 1 - EXTERNAL"/>
    <s v="Aubrn"/>
    <n v="1680"/>
    <n v="7008.33"/>
    <n v="8688.33"/>
    <n v="9557.1630000000005"/>
    <n v="127.27272727272728"/>
    <m/>
    <n v="127.27272727272728"/>
    <n v="8561.057272727272"/>
    <n v="0.98535130142700289"/>
    <s v="Invoiced"/>
    <d v="2017-11-21T00:00:00"/>
    <s v="Completed and handover forwarded"/>
    <s v="Ertan Cicek "/>
    <s v="Direct Award"/>
    <d v="2017-10-24T00:00:00"/>
    <m/>
    <d v="2017-11-29T00:00:00"/>
    <n v="36"/>
  </r>
  <r>
    <x v="2"/>
    <s v="Sydney"/>
    <s v="Inv 13120"/>
    <d v="2018-01-23T00:00:00"/>
    <d v="2017-11-29T00:00:00"/>
    <d v="2017-11-30T00:00:00"/>
    <d v="2017-12-01T00:00:00"/>
    <d v="2017-12-20T00:00:00"/>
    <d v="2017-12-12T00:00:00"/>
    <d v="2018-01-23T00:00:00"/>
    <m/>
    <x v="10"/>
    <s v="Jan-18"/>
    <s v="MW21471 - 2KIL-63 - AYCA-2T1HEY -RIDGE CENTRE - 1-E XTERNAL "/>
    <s v="Gordon"/>
    <n v="1686.02"/>
    <n v="3182.07"/>
    <n v="4868.09"/>
    <n v="5354.8990000000003"/>
    <n v="3014.2"/>
    <m/>
    <n v="3014.2"/>
    <n v="1853.8900000000003"/>
    <n v="0.38082492312179939"/>
    <s v="Invoiced"/>
    <d v="2017-12-14T00:00:00"/>
    <s v="Completed and handover forwarded"/>
    <s v="Lindy Chan"/>
    <s v="Direct Award"/>
    <d v="2017-10-24T00:00:00"/>
    <m/>
    <d v="2017-11-30T00:00:00"/>
    <n v="37"/>
  </r>
  <r>
    <x v="2"/>
    <s v="Sydney"/>
    <s v="Inv 13328"/>
    <d v="2018-03-07T00:00:00"/>
    <d v="2017-11-07T00:00:00"/>
    <d v="2017-11-07T00:00:00"/>
    <d v="2017-01-16T00:00:00"/>
    <d v="2018-02-27T00:00:00"/>
    <d v="2017-11-21T00:00:00"/>
    <d v="2018-03-08T00:00:00"/>
    <m/>
    <x v="10"/>
    <s v="Mar-18"/>
    <s v="MW21483 - 2ASH-05  - AYCA-2Y1KQS - Charles Banks  1- EXTERNAL"/>
    <s v="Canterbury"/>
    <n v="2604.61"/>
    <n v="11602.07"/>
    <n v="14206.68"/>
    <n v="15627.348000000002"/>
    <n v="5541.28"/>
    <m/>
    <n v="5541.28"/>
    <n v="8665.4000000000015"/>
    <n v="0.60995250121773714"/>
    <s v="Invoiced"/>
    <d v="2017-11-21T00:00:00"/>
    <s v="Completed and handover forwarded"/>
    <s v="Andrew Partalis"/>
    <s v="Direct Award"/>
    <d v="2017-10-25T00:00:00"/>
    <m/>
    <d v="2017-11-22T00:00:00"/>
    <n v="28"/>
  </r>
  <r>
    <x v="2"/>
    <s v="Nth West "/>
    <s v="Inv 12986"/>
    <d v="2017-12-28T00:00:00"/>
    <d v="2017-11-24T00:00:00"/>
    <d v="2017-11-27T00:00:00"/>
    <d v="2017-11-27T00:00:00"/>
    <d v="2017-12-08T00:00:00"/>
    <d v="2017-12-08T00:00:00"/>
    <d v="2017-12-28T00:00:00"/>
    <m/>
    <x v="10"/>
    <s v="Dec-17"/>
    <s v="MW21484 - AYCA-2CO7SU - 2ARM-04 - Brown - 1"/>
    <s v="Armidale"/>
    <n v="1586.84"/>
    <n v="5543.8700000000017"/>
    <n v="7130.7100000000019"/>
    <n v="7843.7810000000027"/>
    <n v="4794.1000000000004"/>
    <m/>
    <n v="4794.1000000000004"/>
    <n v="2336.6100000000015"/>
    <n v="0.3276826571267098"/>
    <s v="Invoiced"/>
    <d v="2017-12-11T00:00:00"/>
    <s v="Completed and handover forwarded"/>
    <s v="Mark Leal"/>
    <s v="Direct Award"/>
    <d v="2017-10-31T00:00:00"/>
    <m/>
    <d v="2017-11-30T00:00:00"/>
    <n v="30"/>
  </r>
  <r>
    <x v="2"/>
    <s v="ACT"/>
    <s v="Inv 13248"/>
    <d v="2018-02-19T00:00:00"/>
    <d v="2018-01-17T00:00:00"/>
    <d v="2018-01-17T00:00:00"/>
    <d v="2018-01-17T00:00:00"/>
    <d v="2018-01-29T00:00:00"/>
    <d v="2018-01-29T00:00:00"/>
    <d v="2018-02-20T00:00:00"/>
    <m/>
    <x v="13"/>
    <s v="Feb-18"/>
    <s v="MW21467 - 9QBN-03- AYCA-4QEPB9- Ian &amp; Cathy Darman - 1- EXTERNAL"/>
    <s v="Queanbeyan"/>
    <n v="1139.1099999999999"/>
    <n v="2470.5100000000002"/>
    <n v="3609.62"/>
    <n v="3970.5820000000003"/>
    <m/>
    <m/>
    <n v="0"/>
    <n v="3609.62"/>
    <n v="1"/>
    <s v="Invoiced"/>
    <d v="2018-01-31T00:00:00"/>
    <s v="Completed and handover forwarded"/>
    <s v="Nabeel Jaimon"/>
    <s v="Direct Award"/>
    <d v="2017-10-31T00:00:00"/>
    <m/>
    <d v="2017-11-29T00:00:00"/>
    <n v="29"/>
  </r>
  <r>
    <x v="2"/>
    <s v="Newcastle"/>
    <s v="Inv 13030"/>
    <d v="2018-01-12T00:00:00"/>
    <d v="2017-11-17T00:00:00"/>
    <d v="2017-11-17T00:00:00"/>
    <d v="2017-12-06T00:00:00"/>
    <d v="2017-12-08T00:00:00"/>
    <d v="2017-12-12T00:00:00"/>
    <d v="2018-01-16T00:00:00"/>
    <m/>
    <x v="10"/>
    <s v="Jan-18"/>
    <s v="MW21478-AYCA-4PIZ8V  -2MYF-02 - The Furnace - 1 – EXTERNAL    "/>
    <s v="Mayfield"/>
    <n v="750.2"/>
    <n v="4376.74"/>
    <n v="5126.9399999999996"/>
    <n v="5639.634"/>
    <n v="1746.62"/>
    <m/>
    <n v="1746.62"/>
    <n v="3380.3199999999997"/>
    <n v="0.65932505549118969"/>
    <m/>
    <d v="2017-12-01T00:00:00"/>
    <m/>
    <s v="Andrew Partalis"/>
    <s v="Direct Award"/>
    <d v="2017-11-02T00:00:00"/>
    <m/>
    <d v="2017-11-22T00:00:00"/>
    <n v="20"/>
  </r>
  <r>
    <x v="0"/>
    <s v="West NSW"/>
    <s v="Inv 13164"/>
    <d v="2018-01-31T00:00:00"/>
    <d v="2017-12-14T00:00:00"/>
    <d v="2017-12-25T00:00:00"/>
    <m/>
    <m/>
    <d v="2018-01-04T00:00:00"/>
    <d v="2018-01-18T00:00:00"/>
    <m/>
    <x v="12"/>
    <s v="Jan-18"/>
    <s v="MW21438 - 2ORG-01 - AYCA-4J2IIB - Majestic Way - 1"/>
    <s v="Orange"/>
    <n v="5568.32"/>
    <m/>
    <n v="5568.32"/>
    <n v="6125.152"/>
    <m/>
    <m/>
    <n v="0"/>
    <n v="5568.32"/>
    <n v="1"/>
    <m/>
    <d v="2018-01-08T00:00:00"/>
    <m/>
    <s v="Mark Leal"/>
    <d v="2017-10-17T00:00:00"/>
    <d v="2017-11-06T00:00:00"/>
    <n v="20"/>
    <d v="2017-11-14T00:00:00"/>
    <n v="8"/>
  </r>
  <r>
    <x v="0"/>
    <s v="Nth Coast"/>
    <s v="Inv 13152"/>
    <d v="2018-01-30T00:00:00"/>
    <d v="2017-12-14T00:00:00"/>
    <d v="2017-12-14T00:00:00"/>
    <m/>
    <m/>
    <d v="2017-01-04T00:00:00"/>
    <d v="2018-01-29T00:00:00"/>
    <m/>
    <x v="12"/>
    <s v="Jan-18"/>
    <s v="MW21459 -  AYCA-4DWSZZ -2OBA-20 -NSB - 81 Albatross Way"/>
    <s v="Old Bar"/>
    <n v="13975.96"/>
    <m/>
    <n v="13975.96"/>
    <n v="15373.556"/>
    <m/>
    <m/>
    <n v="0"/>
    <n v="13975.96"/>
    <n v="1"/>
    <m/>
    <d v="2017-12-28T00:00:00"/>
    <m/>
    <s v="Mark Leal"/>
    <d v="2017-10-30T00:00:00"/>
    <d v="2017-11-06T00:00:00"/>
    <n v="7"/>
    <d v="2017-11-30T00:00:00"/>
    <n v="24"/>
  </r>
  <r>
    <x v="2"/>
    <s v="Sth Coast"/>
    <s v="Inv 13273"/>
    <d v="2018-02-22T00:00:00"/>
    <d v="2017-12-19T00:00:00"/>
    <d v="2017-12-20T00:00:00"/>
    <d v="2018-01-09T00:00:00"/>
    <d v="2018-01-23T00:00:00"/>
    <d v="2017-01-04T00:00:00"/>
    <d v="2018-02-27T00:00:00"/>
    <m/>
    <x v="12"/>
    <s v="Feb-18"/>
    <s v="MW20076 - 2NWR-03 - AYCA-4SHR9U -2NWR-03 -Sequacious - 1"/>
    <s v="South Nowra"/>
    <n v="1215.49"/>
    <n v="650.54"/>
    <n v="1866.03"/>
    <n v="2052.6330000000003"/>
    <m/>
    <m/>
    <n v="0"/>
    <n v="1866.03"/>
    <n v="1"/>
    <m/>
    <d v="2018-01-03T00:00:00"/>
    <m/>
    <s v="Sogand Mohtat"/>
    <s v="Direct Award"/>
    <d v="2017-11-09T00:00:00"/>
    <m/>
    <d v="2017-12-15T00:00:00"/>
    <n v="36"/>
  </r>
  <r>
    <x v="0"/>
    <s v="Sydney"/>
    <s v="Inv 13277"/>
    <d v="2018-03-02T00:00:00"/>
    <d v="2018-01-23T00:00:00"/>
    <d v="2018-01-24T00:00:00"/>
    <d v="2017-01-25T00:00:00"/>
    <d v="2018-01-31T00:00:00"/>
    <d v="2018-02-06T00:00:00"/>
    <d v="2018-03-06T00:00:00"/>
    <m/>
    <x v="13"/>
    <s v="Mar-18"/>
    <s v="MW21464 - 2NRN-03 - AYCA-4EAKM1-63 SGR - 1- EXTERNAL"/>
    <s v="Smeaton Grange"/>
    <n v="4263.5600000000004"/>
    <n v="4345.3999999999996"/>
    <n v="8608.9599999999991"/>
    <n v="9469.8559999999998"/>
    <n v="2292.46"/>
    <m/>
    <n v="2292.46"/>
    <n v="6316.4999999999991"/>
    <n v="0.7337123183288109"/>
    <m/>
    <d v="2018-02-07T00:00:00"/>
    <m/>
    <s v="Nabeel Jaimon"/>
    <d v="2017-10-30T00:00:00"/>
    <d v="2017-11-09T00:00:00"/>
    <n v="10"/>
    <d v="2017-11-30T00:00:00"/>
    <n v="21"/>
  </r>
  <r>
    <x v="0"/>
    <s v="Sth NSW"/>
    <s v="Inv 13387"/>
    <d v="2018-03-19T00:00:00"/>
    <d v="2018-02-16T00:00:00"/>
    <d v="2018-02-21T00:00:00"/>
    <d v="2018-02-21T00:00:00"/>
    <d v="2018-02-27T00:00:00"/>
    <d v="2018-03-05T00:00:00"/>
    <d v="2018-03-20T00:00:00"/>
    <m/>
    <x v="2"/>
    <s v="Mar-18"/>
    <s v="MW21909 - AYCA-32NN4T -2MSV-05 -Blue Gum Rd Estate – 1"/>
    <s v="Moss Vale"/>
    <n v="22553.22"/>
    <n v="2677.9657142857141"/>
    <n v="25231.185714285715"/>
    <n v="27754.30428571429"/>
    <m/>
    <m/>
    <n v="0"/>
    <n v="25231.185714285715"/>
    <n v="1"/>
    <m/>
    <d v="2018-03-07T00:00:00"/>
    <m/>
    <s v="Mark Leal"/>
    <d v="2017-10-24T00:00:00"/>
    <d v="2017-11-10T00:00:00"/>
    <n v="17"/>
    <d v="2017-11-17T00:00:00"/>
    <n v="7"/>
  </r>
  <r>
    <x v="0"/>
    <s v="Nth Coast"/>
    <s v="Inv 12986"/>
    <d v="2017-12-21T00:00:00"/>
    <d v="2017-11-26T00:00:00"/>
    <d v="2017-11-27T00:00:00"/>
    <m/>
    <m/>
    <d v="2017-12-07T00:00:00"/>
    <d v="2017-12-21T00:00:00"/>
    <m/>
    <x v="10"/>
    <s v="Dec-17"/>
    <s v="MW21311 - 2WAU-21 - AYCA-4N13KQ - 127 Cameron St"/>
    <s v="Wauchope"/>
    <n v="8488.5"/>
    <m/>
    <n v="8488.5"/>
    <n v="9337.35"/>
    <n v="6106.05"/>
    <m/>
    <n v="6106.05"/>
    <n v="2382.4499999999998"/>
    <n v="0.28066796253755077"/>
    <s v="Invoiced"/>
    <d v="2017-12-11T00:00:00"/>
    <s v="Completed and handover forwarded"/>
    <s v="Mark Leal"/>
    <d v="2017-10-23T00:00:00"/>
    <d v="2017-11-10T00:00:00"/>
    <n v="18"/>
    <d v="2017-11-18T00:00:00"/>
    <n v="8"/>
  </r>
  <r>
    <x v="0"/>
    <s v="Sydney"/>
    <s v="Inv 13047"/>
    <d v="2018-01-16T00:00:00"/>
    <d v="2017-12-05T00:00:00"/>
    <d v="2017-12-05T00:00:00"/>
    <m/>
    <m/>
    <d v="2017-12-15T00:00:00"/>
    <d v="2018-01-16T00:00:00"/>
    <m/>
    <x v="12"/>
    <s v="Jan-18"/>
    <s v="MW21488 - 2ROU-03 - AYCA-4877L8 - Non Standard Builds - Windon Avenue"/>
    <s v="Rouse Hill"/>
    <n v="2284.9699999999998"/>
    <m/>
    <n v="2284.9699999999998"/>
    <n v="2513.4670000000001"/>
    <m/>
    <m/>
    <n v="0"/>
    <n v="2284.9699999999998"/>
    <n v="1"/>
    <s v="Invoiced"/>
    <d v="2017-12-19T00:00:00"/>
    <s v="Completed and handover forwarded"/>
    <s v="Andrew Mahassy"/>
    <d v="2017-11-04T00:00:00"/>
    <d v="2017-11-10T00:00:00"/>
    <n v="6"/>
    <d v="2017-11-30T00:00:00"/>
    <n v="20"/>
  </r>
  <r>
    <x v="0"/>
    <s v="Sydney"/>
    <s v="Inv 12068"/>
    <d v="2018-01-16T00:00:00"/>
    <d v="2017-11-30T00:00:00"/>
    <d v="2017-11-30T00:00:00"/>
    <m/>
    <m/>
    <d v="2017-12-12T00:00:00"/>
    <d v="2018-01-18T00:00:00"/>
    <m/>
    <x v="10"/>
    <s v="Jan-18"/>
    <s v="MW21516 - AYCA-4TB2X9 - NSB - Wirrinya Pl Grasmere - SURVEY"/>
    <s v="Narellan"/>
    <n v="800"/>
    <m/>
    <n v="800"/>
    <n v="880.00000000000011"/>
    <m/>
    <m/>
    <n v="0"/>
    <n v="800"/>
    <n v="1"/>
    <s v="Invoiced"/>
    <d v="2017-12-14T00:00:00"/>
    <s v="Completed and handover forwarded"/>
    <s v="Andrew Mahassy"/>
    <d v="2017-10-24T00:00:00"/>
    <d v="2017-11-13T00:00:00"/>
    <n v="20"/>
    <d v="2017-11-20T00:00:00"/>
    <n v="7"/>
  </r>
  <r>
    <x v="0"/>
    <s v="Sth NSW"/>
    <s v="Inv 13098"/>
    <d v="2018-01-23T00:00:00"/>
    <d v="2017-12-07T00:00:00"/>
    <d v="2017-12-11T00:00:00"/>
    <m/>
    <m/>
    <d v="2017-12-19T00:00:00"/>
    <d v="2018-01-21T00:00:00"/>
    <m/>
    <x v="12"/>
    <s v="Jan-18"/>
    <s v="MW21495 -AYCA-4UUWX6 - NSB - 13 Popes Rd Woonona - SURVEY "/>
    <s v="Woonona"/>
    <n v="1350"/>
    <m/>
    <n v="1350"/>
    <n v="1485.0000000000002"/>
    <m/>
    <m/>
    <n v="0"/>
    <n v="1350"/>
    <n v="1"/>
    <m/>
    <d v="2017-12-25T00:00:00"/>
    <m/>
    <s v="Andrew Mahassy"/>
    <d v="2017-11-04T00:00:00"/>
    <d v="2017-11-16T00:00:00"/>
    <n v="12"/>
    <d v="2017-11-30T00:00:00"/>
    <n v="14"/>
  </r>
  <r>
    <x v="0"/>
    <s v="Sth NSW"/>
    <s v="Inv 13400"/>
    <d v="2018-03-22T00:00:00"/>
    <d v="2018-02-21T00:00:00"/>
    <d v="2018-02-21T00:00:00"/>
    <d v="2018-02-21T00:00:00"/>
    <d v="2018-02-27T00:00:00"/>
    <d v="2018-03-05T00:00:00"/>
    <d v="2018-03-22T00:00:00"/>
    <m/>
    <x v="2"/>
    <s v="Mar-18"/>
    <s v="MW21380 - 2YON-01 - AYCA-4MRFUW - 1 Patterson Avenue, Young – 1"/>
    <s v="Young"/>
    <n v="12059.12"/>
    <n v="3133.8257142857137"/>
    <n v="15192.945714285714"/>
    <n v="16712.240285714288"/>
    <m/>
    <m/>
    <n v="0"/>
    <n v="15192.945714285714"/>
    <n v="1"/>
    <m/>
    <d v="2018-03-07T00:00:00"/>
    <m/>
    <s v="Mark Leal"/>
    <d v="2017-09-29T00:00:00"/>
    <d v="2017-11-17T00:00:00"/>
    <n v="49"/>
    <d v="2017-12-03T00:00:00"/>
    <n v="16"/>
  </r>
  <r>
    <x v="0"/>
    <s v="Newcastle"/>
    <s v="Inv 13021"/>
    <d v="2018-01-08T00:00:00"/>
    <d v="2017-11-30T00:00:00"/>
    <d v="2017-11-30T00:00:00"/>
    <m/>
    <m/>
    <d v="2017-12-13T00:00:00"/>
    <d v="2017-12-28T00:00:00"/>
    <m/>
    <x v="10"/>
    <s v="Dec-17"/>
    <s v="MW21123 - 2TAR -02 - AYCA-4LIG38 - Non Standard Builds Survey"/>
    <s v="Thornton"/>
    <n v="1670"/>
    <m/>
    <n v="1670"/>
    <n v="1837.0000000000002"/>
    <m/>
    <m/>
    <n v="0"/>
    <n v="1670"/>
    <n v="1"/>
    <s v="Invoiced"/>
    <d v="2017-12-14T00:00:00"/>
    <s v="Completed and handover forwarded"/>
    <s v="Mark Leal"/>
    <d v="2017-09-15T00:00:00"/>
    <d v="2017-11-17T00:00:00"/>
    <n v="63"/>
    <d v="2017-11-30T00:00:00"/>
    <n v="13"/>
  </r>
  <r>
    <x v="5"/>
    <s v="Sydney"/>
    <s v="Inv 12851"/>
    <d v="2017-11-22T00:00:00"/>
    <d v="2017-09-06T00:00:00"/>
    <d v="2017-11-23T00:00:00"/>
    <m/>
    <m/>
    <m/>
    <m/>
    <m/>
    <x v="10"/>
    <s v="Jan-00"/>
    <s v="2DAL-23-MPS-003 FttB Build"/>
    <s v="Sydney"/>
    <n v="12629.08"/>
    <m/>
    <n v="12629.08"/>
    <n v="13891.988000000001"/>
    <n v="2300"/>
    <m/>
    <n v="2300"/>
    <n v="10329.08"/>
    <n v="0.81788063738609618"/>
    <s v="Invoiced"/>
    <d v="2017-12-07T00:00:00"/>
    <s v="Completed and handover forwarded"/>
    <s v="Sam Harwood"/>
    <s v="N/A"/>
    <s v="N/A"/>
    <s v="N/A"/>
    <s v="N/A"/>
    <s v="N/A"/>
  </r>
  <r>
    <x v="5"/>
    <s v="Sydney"/>
    <s v="Inv 12852"/>
    <d v="2017-11-22T00:00:00"/>
    <d v="2017-09-06T00:00:00"/>
    <d v="2017-11-23T00:00:00"/>
    <m/>
    <m/>
    <m/>
    <m/>
    <m/>
    <x v="10"/>
    <s v="Jan-00"/>
    <s v="2DAL-23-MPS-004 FttB Build"/>
    <s v="Sydney"/>
    <n v="8851.2800000000007"/>
    <m/>
    <n v="8851.2800000000007"/>
    <n v="9736.4080000000013"/>
    <n v="1736.5"/>
    <m/>
    <n v="1736.5"/>
    <n v="7114.7800000000007"/>
    <n v="0.80381368570421452"/>
    <s v="Invoiced"/>
    <d v="2017-12-07T00:00:00"/>
    <s v="Completed and handover forwarded"/>
    <s v="Sam Harwood"/>
    <s v="N/A"/>
    <s v="N/A"/>
    <s v="N/A"/>
    <s v="N/A"/>
    <s v="N/A"/>
  </r>
  <r>
    <x v="5"/>
    <s v="Sydney"/>
    <s v="Inv 12853"/>
    <d v="2017-11-22T00:00:00"/>
    <d v="2017-09-06T00:00:00"/>
    <d v="2017-11-23T00:00:00"/>
    <m/>
    <m/>
    <m/>
    <m/>
    <m/>
    <x v="10"/>
    <s v="Jan-00"/>
    <s v="2DAL-24-MPS-008 FttB Build"/>
    <s v="Sydney"/>
    <n v="11338.68"/>
    <m/>
    <n v="11338.68"/>
    <n v="12472.548000000001"/>
    <n v="1700"/>
    <m/>
    <n v="1700"/>
    <n v="9638.68"/>
    <n v="0.8500707313373338"/>
    <s v="Invoiced"/>
    <d v="2017-12-07T00:00:00"/>
    <s v="Completed and handover forwarded"/>
    <s v="Sam Harwood"/>
    <s v="N/A"/>
    <s v="N/A"/>
    <s v="N/A"/>
    <s v="N/A"/>
    <s v="N/A"/>
  </r>
  <r>
    <x v="0"/>
    <s v="Sydney"/>
    <s v="Inv 13588"/>
    <d v="2018-05-10T00:00:00"/>
    <d v="2018-03-19T00:00:00"/>
    <d v="2018-03-19T00:00:00"/>
    <d v="2018-03-21T00:00:00"/>
    <d v="2018-04-04T00:00:00"/>
    <d v="2018-04-05T00:00:00"/>
    <d v="2018-05-08T00:00:00"/>
    <m/>
    <x v="11"/>
    <s v="May-18"/>
    <s v="MW21821-AYCA-52OMAH-2NRN-10-18 Bluett Dr, Smeaton Grange Externals"/>
    <s v="Smeaton Grange"/>
    <n v="7704.13"/>
    <n v="1721.05"/>
    <n v="9425.18"/>
    <n v="10367.698"/>
    <m/>
    <m/>
    <n v="0"/>
    <n v="9425.18"/>
    <n v="1"/>
    <m/>
    <d v="2018-04-02T00:00:00"/>
    <m/>
    <s v="Ertan Cicek "/>
    <d v="2018-02-12T00:00:00"/>
    <d v="2018-02-19T00:00:00"/>
    <n v="7"/>
    <d v="2018-03-19T00:00:00"/>
    <n v="28"/>
  </r>
  <r>
    <x v="2"/>
    <s v="Sydney"/>
    <m/>
    <m/>
    <d v="2018-06-06T00:00:00"/>
    <d v="2018-06-07T00:00:00"/>
    <d v="2018-06-06T00:00:00"/>
    <m/>
    <d v="2018-06-21T00:00:00"/>
    <d v="2018-07-05T00:00:00"/>
    <m/>
    <x v="14"/>
    <s v="Jul-18"/>
    <s v="MW21524 -  AYCA-47C97W-2BLK-01 -51 Kildare Rd Blacktown"/>
    <s v="Blacktown"/>
    <n v="1711.6"/>
    <n v="1825.26"/>
    <n v="3536.8599999999997"/>
    <n v="3890.5459999999998"/>
    <n v="1221.19"/>
    <m/>
    <n v="1221.19"/>
    <n v="2315.6699999999996"/>
    <n v="0.65472481240422287"/>
    <m/>
    <d v="2018-06-21T00:00:00"/>
    <m/>
    <s v="Ertan Cicek"/>
    <s v="Direct Award"/>
    <d v="2017-12-07T00:00:00"/>
    <m/>
    <d v="2017-12-15T00:00:00"/>
    <n v="8"/>
  </r>
  <r>
    <x v="2"/>
    <s v="Sydney"/>
    <s v="Inv 13519"/>
    <d v="2018-04-20T00:00:00"/>
    <d v="2018-02-14T00:00:00"/>
    <d v="2018-02-15T00:00:00"/>
    <d v="2018-03-22T00:00:00"/>
    <d v="2018-04-13T00:00:00"/>
    <d v="2018-02-28T00:00:00"/>
    <d v="2018-04-24T00:00:00"/>
    <m/>
    <x v="2"/>
    <s v="Apr-18"/>
    <s v="MW21521-AYCA-1OHQX6 -2ROU-02-Lake Promenade - Building C- EXTERNAL"/>
    <s v="Rouse Hill"/>
    <n v="3895.2"/>
    <n v="8849.84"/>
    <n v="12745.04"/>
    <n v="14019.544000000002"/>
    <n v="3361.68"/>
    <m/>
    <n v="3361.68"/>
    <n v="9383.36"/>
    <n v="0.73623621424491414"/>
    <m/>
    <d v="2018-03-01T00:00:00"/>
    <m/>
    <s v="Lindy Chan"/>
    <s v="Direct Award"/>
    <d v="2017-12-08T00:00:00"/>
    <m/>
    <d v="2017-12-15T00:00:00"/>
    <n v="7"/>
  </r>
  <r>
    <x v="2"/>
    <s v="Sydney"/>
    <m/>
    <m/>
    <m/>
    <d v="2018-07-30T00:00:00"/>
    <m/>
    <m/>
    <m/>
    <m/>
    <m/>
    <x v="9"/>
    <s v="Jan-00"/>
    <s v="MW21570-AYCA-1L7010  - 2LID-08 - Mixed Use Development - Tower A and B"/>
    <s v="Auburn"/>
    <n v="2066.42"/>
    <m/>
    <n v="2066.42"/>
    <n v="2273.0620000000004"/>
    <n v="4673.01"/>
    <m/>
    <n v="4673.01"/>
    <n v="-2606.59"/>
    <n v="-1.2614037804512153"/>
    <m/>
    <d v="2018-08-13T00:00:00"/>
    <m/>
    <s v="Ertan Cicek "/>
    <s v="Direct Award"/>
    <d v="2017-12-12T00:00:00"/>
    <m/>
    <d v="2018-01-04T00:00:00"/>
    <n v="23"/>
  </r>
  <r>
    <x v="2"/>
    <s v="Sydney"/>
    <s v="Inv 13274"/>
    <d v="2018-02-22T00:00:00"/>
    <d v="2018-01-12T00:00:00"/>
    <d v="2018-01-12T00:00:00"/>
    <d v="2017-01-15T00:00:00"/>
    <d v="2018-02-07T00:00:00"/>
    <d v="2018-01-29T00:00:00"/>
    <d v="2018-02-27T00:00:00"/>
    <m/>
    <x v="13"/>
    <s v="Feb-18"/>
    <s v="MW21549-2LIV-03-AYCA-48U5AE-Flat Building - 1"/>
    <s v="Liverpool"/>
    <n v="1093.2"/>
    <n v="4076.63"/>
    <n v="5169.83"/>
    <n v="5686.8130000000001"/>
    <m/>
    <m/>
    <n v="0"/>
    <n v="5169.83"/>
    <n v="1"/>
    <m/>
    <d v="2018-01-26T00:00:00"/>
    <m/>
    <s v="Ertan Cicek "/>
    <s v="Direct Award"/>
    <d v="2017-12-12T00:00:00"/>
    <m/>
    <d v="2017-12-15T00:00:00"/>
    <n v="3"/>
  </r>
  <r>
    <x v="2"/>
    <s v="Sth Coast"/>
    <s v="Inv 13276"/>
    <d v="2018-02-22T00:00:00"/>
    <d v="2018-01-12T00:00:00"/>
    <d v="2018-01-12T00:00:00"/>
    <d v="2018-01-12T00:00:00"/>
    <d v="2018-01-29T00:00:00"/>
    <d v="2018-01-31T00:00:00"/>
    <d v="2018-02-27T00:00:00"/>
    <m/>
    <x v="13"/>
    <s v="Feb-18"/>
    <s v="MW21539 - AYCA-4SJ1RQ - 2WLG-05 - 18 Armstrong St West Wollongong NSW 2500 -INTERNAL"/>
    <s v="Wollongong"/>
    <n v="339.17"/>
    <n v="2680.5549999999998"/>
    <n v="3019.7249999999999"/>
    <n v="3321.6975000000002"/>
    <n v="1266"/>
    <m/>
    <n v="1266"/>
    <n v="1753.7249999999999"/>
    <n v="0.58075652584258497"/>
    <m/>
    <d v="2018-01-26T00:00:00"/>
    <m/>
    <s v="Nabeel Jaimon"/>
    <s v="Direct Award"/>
    <d v="2017-12-12T00:00:00"/>
    <m/>
    <d v="2017-12-15T00:00:00"/>
    <n v="3"/>
  </r>
  <r>
    <x v="2"/>
    <s v="Sydney"/>
    <s v="Inv 13329"/>
    <d v="2018-08-07T00:00:00"/>
    <d v="2018-02-02T00:00:00"/>
    <d v="2018-02-02T00:00:00"/>
    <d v="2018-02-06T00:00:00"/>
    <d v="2018-02-27T00:00:00"/>
    <d v="2018-02-15T00:00:00"/>
    <d v="2018-03-08T00:00:00"/>
    <m/>
    <x v="2"/>
    <s v="Mar-18"/>
    <s v="MW21537-AYCA-424B5V- 2LID-05- 9-13 GELIBOLU PARADE, AUBURN"/>
    <s v="Auburn"/>
    <n v="436.29"/>
    <n v="5127.37"/>
    <n v="5563.66"/>
    <n v="6120.0260000000007"/>
    <n v="2088.0500000000002"/>
    <m/>
    <n v="2088.0500000000002"/>
    <n v="3475.6099999999997"/>
    <n v="0.62469848984301701"/>
    <m/>
    <d v="2018-02-16T00:00:00"/>
    <m/>
    <s v="Ertan Cicek "/>
    <s v="Direct Award"/>
    <d v="2017-12-12T00:00:00"/>
    <m/>
    <d v="2017-12-15T00:00:00"/>
    <n v="3"/>
  </r>
  <r>
    <x v="2"/>
    <s v="Sydney"/>
    <s v="Inv 13234"/>
    <d v="2018-02-15T00:00:00"/>
    <d v="2018-01-10T00:00:00"/>
    <d v="2018-01-10T00:00:00"/>
    <d v="2018-01-10T00:00:00"/>
    <d v="2018-01-24T00:00:00"/>
    <d v="2018-01-22T00:00:00"/>
    <d v="2018-02-15T00:00:00"/>
    <m/>
    <x v="13"/>
    <s v="Feb-18"/>
    <s v="MW21540-AYCA-3DOI9R -2LIV-02- 166/176-178 Terminus ST ,Liverpool "/>
    <s v="Liverpool"/>
    <n v="1441.28"/>
    <n v="3767.91"/>
    <n v="5209.1899999999996"/>
    <n v="5730.1090000000004"/>
    <n v="1325"/>
    <m/>
    <n v="1325"/>
    <n v="3884.1899999999996"/>
    <n v="0.74564183683067808"/>
    <m/>
    <d v="2018-01-24T00:00:00"/>
    <m/>
    <s v="Ertan Cicek "/>
    <s v="Direct Award"/>
    <d v="2017-12-12T00:00:00"/>
    <m/>
    <d v="2017-12-15T00:00:00"/>
    <n v="3"/>
  </r>
  <r>
    <x v="0"/>
    <s v="Central Coast"/>
    <s v="Inv 13520"/>
    <d v="2018-04-20T00:00:00"/>
    <d v="2018-03-27T00:00:00"/>
    <d v="2018-03-27T00:00:00"/>
    <d v="2018-04-05T00:00:00"/>
    <d v="2018-04-13T00:00:00"/>
    <d v="2018-04-12T00:00:00"/>
    <d v="2018-04-24T00:00:00"/>
    <m/>
    <x v="11"/>
    <s v="Apr-18"/>
    <s v="MW21473 - AYCA-3TNJ90-64 - 2ERN-03 - James Sea Drive, Green Point"/>
    <s v="Green Point"/>
    <n v="5531.99"/>
    <n v="5861.7517292798038"/>
    <n v="11393.741729279804"/>
    <n v="12533.115902207785"/>
    <n v="5884.29"/>
    <m/>
    <n v="5884.29"/>
    <n v="5509.4517292798037"/>
    <n v="0.48355069477496881"/>
    <m/>
    <d v="2018-04-10T00:00:00"/>
    <m/>
    <s v="Dave Yoemans"/>
    <d v="2017-11-03T00:00:00"/>
    <d v="2018-01-23T00:00:00"/>
    <n v="81"/>
    <d v="2018-01-16T00:00:00"/>
    <n v="-7"/>
  </r>
  <r>
    <x v="2"/>
    <s v="Sydney"/>
    <s v="Inv 13246"/>
    <d v="2018-02-20T00:00:00"/>
    <d v="2017-12-14T00:00:00"/>
    <d v="2018-01-15T00:00:00"/>
    <d v="2018-01-15T00:00:00"/>
    <d v="2018-01-29T00:00:00"/>
    <d v="2018-01-30T00:00:00"/>
    <d v="2018-02-20T00:00:00"/>
    <m/>
    <x v="13"/>
    <s v="Feb-18"/>
    <s v="MW21538-2PAR-63-AYCA-44DU8G 8-10 FRASER ST, WESTMEAD"/>
    <s v="Westmead"/>
    <n v="624.42999999999995"/>
    <n v="1621.32"/>
    <n v="2245.75"/>
    <n v="2470.3250000000003"/>
    <n v="1359.64"/>
    <m/>
    <n v="1359.64"/>
    <n v="886.1099999999999"/>
    <n v="0.39457196927529775"/>
    <m/>
    <d v="2018-01-29T00:00:00"/>
    <m/>
    <s v="Ertan Cicek "/>
    <s v="Direct Award"/>
    <d v="2017-12-13T00:00:00"/>
    <m/>
    <d v="2017-12-15T00:00:00"/>
    <n v="2"/>
  </r>
  <r>
    <x v="2"/>
    <s v="Sydney"/>
    <s v="Inv 13282"/>
    <d v="2018-02-22T00:00:00"/>
    <d v="2018-01-29T00:00:00"/>
    <d v="2018-01-30T00:00:00"/>
    <m/>
    <m/>
    <d v="2018-02-12T00:00:00"/>
    <d v="2018-02-27T00:00:00"/>
    <m/>
    <x v="13"/>
    <s v="Feb-18"/>
    <s v="MW21613-AYCA-4M07QT- 2CBT-06-12 Capertee St Ruse"/>
    <s v="Ruse"/>
    <n v="1120"/>
    <m/>
    <n v="1120"/>
    <n v="1232"/>
    <m/>
    <m/>
    <n v="0"/>
    <n v="1120"/>
    <n v="1"/>
    <m/>
    <d v="2018-02-13T00:00:00"/>
    <m/>
    <s v="Nabeel Jaimon"/>
    <s v="Direct Award"/>
    <d v="2017-12-15T00:00:00"/>
    <m/>
    <d v="2018-01-09T00:00:00"/>
    <n v="25"/>
  </r>
  <r>
    <x v="2"/>
    <s v="Sydney"/>
    <s v="Inv 13371"/>
    <d v="2018-03-13T00:00:00"/>
    <d v="2018-02-01T00:00:00"/>
    <d v="2018-02-01T00:00:00"/>
    <d v="2018-02-08T00:00:00"/>
    <d v="2018-02-27T00:00:00"/>
    <d v="2018-02-14T00:00:00"/>
    <d v="2018-03-13T00:00:00"/>
    <m/>
    <x v="2"/>
    <s v="Mar-18"/>
    <s v="MW21591 - AYCA-3KWVLI - 2ROU-03 - 4 Curtis Road, Kellyville - 1"/>
    <s v="Kellyville"/>
    <n v="2663.97"/>
    <n v="9309.69"/>
    <n v="11973.66"/>
    <n v="13171.026000000002"/>
    <n v="7068"/>
    <m/>
    <n v="7068"/>
    <n v="4905.66"/>
    <n v="0.40970430094056454"/>
    <m/>
    <d v="2018-02-15T00:00:00"/>
    <m/>
    <s v="Sogand Mohtat"/>
    <s v="Direct Award"/>
    <d v="2017-12-16T00:00:00"/>
    <m/>
    <d v="2017-12-15T00:00:00"/>
    <n v="-1"/>
  </r>
  <r>
    <x v="0"/>
    <s v="Sydney"/>
    <s v="Inv 13314"/>
    <d v="2018-03-02T00:00:00"/>
    <d v="2017-12-18T00:00:00"/>
    <d v="2018-02-07T00:00:00"/>
    <m/>
    <m/>
    <d v="2018-02-21T00:00:00"/>
    <d v="2018-03-01T00:00:00"/>
    <m/>
    <x v="2"/>
    <s v="Mar-18"/>
    <s v="MW21506 - AYCA-4TCZPJ-2MIL-20-LOT 421 &amp; 422, PROGRESS CIRCUIT"/>
    <s v="Miller"/>
    <n v="3069.5"/>
    <m/>
    <n v="3069.5"/>
    <n v="3376.4500000000003"/>
    <m/>
    <m/>
    <n v="0"/>
    <n v="3069.5"/>
    <n v="1"/>
    <m/>
    <d v="2018-02-21T00:00:00"/>
    <m/>
    <s v="Nabeel Jaimon"/>
    <d v="2017-11-16T00:00:00"/>
    <d v="2018-02-12T00:00:00"/>
    <n v="88"/>
    <d v="2018-03-02T00:00:00"/>
    <n v="18"/>
  </r>
  <r>
    <x v="0"/>
    <s v="Sydney"/>
    <s v="Inv 13523"/>
    <d v="2018-04-24T00:00:00"/>
    <d v="2018-03-27T00:00:00"/>
    <d v="2018-03-28T00:00:00"/>
    <d v="2018-04-05T00:00:00"/>
    <d v="2018-04-13T00:00:00"/>
    <d v="2018-04-11T00:00:00"/>
    <d v="2018-04-24T00:00:00"/>
    <m/>
    <x v="11"/>
    <s v="Apr-18"/>
    <s v="MW21472 -  AYCA-4G5CSP - 2GRK-01 - 20 Stanley Street Wyongah"/>
    <s v="Wyongah"/>
    <n v="6634.97"/>
    <n v="4736.189029988177"/>
    <n v="11371.159029988177"/>
    <n v="12508.274932986997"/>
    <n v="1651.66"/>
    <m/>
    <n v="1651.66"/>
    <n v="9719.4990299881774"/>
    <n v="0.85475007467187647"/>
    <m/>
    <d v="2018-04-11T00:00:00"/>
    <m/>
    <s v="Dave Yoemans"/>
    <d v="2017-11-04T00:00:00"/>
    <d v="2017-12-18T00:00:00"/>
    <n v="44"/>
    <d v="2017-12-30T00:00:00"/>
    <n v="12"/>
  </r>
  <r>
    <x v="2"/>
    <s v="Sydney"/>
    <s v="Inv 13153"/>
    <d v="2018-01-30T00:00:00"/>
    <d v="2017-12-19T00:00:00"/>
    <d v="2017-12-20T00:00:00"/>
    <d v="2017-12-21T00:00:00"/>
    <d v="2018-01-04T00:00:00"/>
    <d v="2017-01-09T00:00:00"/>
    <d v="2018-01-29T00:00:00"/>
    <m/>
    <x v="12"/>
    <s v="Jan-18"/>
    <s v="MW21505-AYCA-2AS459-2LID-05 -22-26 Ann Street Lidcombe"/>
    <s v="Lidcombe"/>
    <n v="2993.87"/>
    <n v="10583.11"/>
    <n v="13576.98"/>
    <n v="14934.678"/>
    <n v="9312.630000000001"/>
    <m/>
    <n v="9312.630000000001"/>
    <n v="4264.3499999999985"/>
    <n v="0.31408678513189225"/>
    <m/>
    <d v="2018-01-03T00:00:00"/>
    <m/>
    <s v="Andrew Partalis"/>
    <s v="Direct Award"/>
    <d v="2017-11-09T00:00:00"/>
    <m/>
    <d v="2017-12-15T00:00:00"/>
    <n v="36"/>
  </r>
  <r>
    <x v="0"/>
    <s v="Sydney"/>
    <s v="Inv 13522"/>
    <d v="2018-04-20T00:00:00"/>
    <d v="2018-04-04T00:00:00"/>
    <d v="2018-04-04T00:00:00"/>
    <d v="2018-04-09T00:00:00"/>
    <d v="2018-04-17T00:00:00"/>
    <d v="2018-04-16T00:00:00"/>
    <d v="2018-04-24T00:00:00"/>
    <m/>
    <x v="7"/>
    <s v="Apr-18"/>
    <s v="MW21756-AYCA-3K4RCM-2RIV-03-Marsden Park Tonzat Development - 2"/>
    <s v="Riverstone"/>
    <n v="21847.48"/>
    <n v="7995.6857142857134"/>
    <n v="29843.165714285715"/>
    <n v="32827.482285714286"/>
    <n v="9927.23"/>
    <m/>
    <n v="9927.23"/>
    <n v="19915.935714285715"/>
    <n v="0.66735331985078572"/>
    <m/>
    <d v="2018-04-18T00:00:00"/>
    <m/>
    <s v="Andrew Mahassy"/>
    <d v="2018-01-15T00:00:00"/>
    <d v="2018-01-25T00:00:00"/>
    <n v="10"/>
    <d v="2018-01-25T00:00:00"/>
    <n v="0"/>
  </r>
  <r>
    <x v="2"/>
    <s v="Sydney"/>
    <s v="Inv 13320"/>
    <d v="2018-03-20T00:00:00"/>
    <d v="2018-03-02T00:00:00"/>
    <d v="2018-03-02T00:00:00"/>
    <d v="2018-03-05T00:00:00"/>
    <d v="2018-03-14T00:00:00"/>
    <d v="2018-03-15T00:00:00"/>
    <d v="2018-03-20T00:00:00"/>
    <m/>
    <x v="11"/>
    <s v="Mar-18"/>
    <s v="MW21453 - AYCA-2RVC4H - 2LIV-04 - 100 Macquarie Street Liverpool - 1- EXTERNAL"/>
    <s v="Liverpool"/>
    <n v="9149.8799999999992"/>
    <n v="11162.67"/>
    <n v="20312.55"/>
    <n v="22343.805"/>
    <n v="2645.01"/>
    <m/>
    <n v="2645.01"/>
    <n v="17667.54"/>
    <n v="0.86978444360752349"/>
    <m/>
    <d v="2018-03-16T00:00:00"/>
    <m/>
    <s v="Nabeel Jaimon"/>
    <s v="Direct Award"/>
    <d v="2017-10-19T00:00:00"/>
    <m/>
    <d v="2017-11-22T00:00:00"/>
    <n v="34"/>
  </r>
  <r>
    <x v="2"/>
    <s v="Sydney"/>
    <s v="Inv 13532"/>
    <d v="2018-04-26T00:00:00"/>
    <d v="2018-02-13T00:00:00"/>
    <d v="2018-02-13T00:00:00"/>
    <d v="2018-02-13T00:00:00"/>
    <d v="2018-04-20T00:00:00"/>
    <d v="2018-02-23T00:00:00"/>
    <d v="2018-04-26T00:00:00"/>
    <m/>
    <x v="2"/>
    <s v="Apr-18"/>
    <s v="MW21639-AYCA-4SZLC6 -2PTH-02- William Younis - 1"/>
    <s v="Penrith"/>
    <n v="391.14"/>
    <n v="2114.7199999999998"/>
    <n v="2505.8599999999997"/>
    <n v="2756.4459999999999"/>
    <n v="893.6"/>
    <m/>
    <n v="893.6"/>
    <n v="1612.2599999999998"/>
    <n v="0.64339588005714599"/>
    <m/>
    <d v="2018-02-27T00:00:00"/>
    <m/>
    <s v="Ertan Cicek "/>
    <s v="Direct Award"/>
    <d v="2017-12-21T00:00:00"/>
    <m/>
    <d v="2017-12-30T00:00:00"/>
    <n v="9"/>
  </r>
  <r>
    <x v="2"/>
    <s v="Sydney"/>
    <s v="Inv 13505"/>
    <d v="2018-04-19T00:00:00"/>
    <d v="2018-03-04T00:00:00"/>
    <d v="2018-03-07T00:00:00"/>
    <d v="2018-03-07T00:00:00"/>
    <d v="2018-04-13T00:00:00"/>
    <d v="2018-03-20T00:00:00"/>
    <d v="2018-04-03T00:00:00"/>
    <m/>
    <x v="11"/>
    <s v="Apr-18"/>
    <s v="MW20778 - AYCA-40UXV5 - 163 Parker St, South Penrith Ext"/>
    <s v="Penrith"/>
    <n v="1571.26"/>
    <n v="96407.250000021595"/>
    <n v="97978.51000002159"/>
    <n v="107776.36100002375"/>
    <n v="26378.379999999997"/>
    <m/>
    <n v="26378.379999999997"/>
    <n v="71600.1300000216"/>
    <n v="0.73077381968766231"/>
    <m/>
    <d v="2018-03-21T00:00:00"/>
    <m/>
    <s v="Andrew Partalis"/>
    <s v="Direct Award"/>
    <d v="2017-05-25T00:00:00"/>
    <m/>
    <d v="2018-01-17T00:00:00"/>
    <n v="237"/>
  </r>
  <r>
    <x v="2"/>
    <s v="Sydney"/>
    <s v="Inv 13432"/>
    <d v="2018-03-27T00:00:00"/>
    <d v="2018-03-02T00:00:00"/>
    <d v="2018-03-07T00:00:00"/>
    <d v="2018-03-06T00:00:00"/>
    <d v="2018-03-14T00:00:00"/>
    <d v="2018-03-21T00:00:00"/>
    <d v="2018-03-27T00:00:00"/>
    <m/>
    <x v="11"/>
    <s v="Mar-18"/>
    <s v="MW21652-AYCA-2ILOMV - 2ASH-05-INFINTY - 1"/>
    <s v="Ashfield"/>
    <n v="1516.81"/>
    <n v="12893.51"/>
    <n v="14410.32"/>
    <n v="15851.352000000001"/>
    <n v="7676.2"/>
    <m/>
    <n v="7676.2"/>
    <n v="6734.12"/>
    <n v="0.46731231506309368"/>
    <m/>
    <d v="2018-03-21T00:00:00"/>
    <m/>
    <s v="Ertan Cicek "/>
    <s v="Direct Award"/>
    <d v="2018-01-04T00:00:00"/>
    <m/>
    <d v="2018-02-19T00:00:00"/>
    <n v="46"/>
  </r>
  <r>
    <x v="2"/>
    <s v="Sydney"/>
    <s v="Inv 13275"/>
    <d v="2018-02-22T00:00:00"/>
    <d v="2018-01-22T00:00:00"/>
    <d v="2018-01-22T00:00:00"/>
    <d v="2018-01-23T00:00:00"/>
    <d v="2018-02-07T00:00:00"/>
    <d v="2018-02-07T00:00:00"/>
    <d v="2018-02-27T00:00:00"/>
    <m/>
    <x v="13"/>
    <s v="Feb-18"/>
    <s v="MW21611-AYCA-3K2CFZ -2CBT-05-Modco Boarding House 1"/>
    <s v="Campbelltown"/>
    <n v="1863.69"/>
    <n v="1955.78"/>
    <n v="3819.4700000000003"/>
    <n v="4201.4170000000004"/>
    <n v="798.75"/>
    <m/>
    <n v="798.75"/>
    <n v="3020.7200000000003"/>
    <n v="0.79087412651493538"/>
    <m/>
    <d v="2018-02-05T00:00:00"/>
    <m/>
    <s v="Ertan Cicek "/>
    <s v="Direct Award"/>
    <d v="2017-01-04T00:00:00"/>
    <m/>
    <d v="2017-01-29T00:00:00"/>
    <n v="25"/>
  </r>
  <r>
    <x v="2"/>
    <s v="Sydney"/>
    <s v="Inv 13447"/>
    <d v="2018-04-04T00:00:00"/>
    <d v="2018-03-08T00:00:00"/>
    <d v="2018-03-07T00:00:00"/>
    <d v="2018-03-09T00:00:00"/>
    <d v="2018-03-26T00:00:00"/>
    <d v="2018-03-22T00:00:00"/>
    <d v="2018-04-03T00:00:00"/>
    <m/>
    <x v="11"/>
    <s v="Apr-18"/>
    <s v="MW21718-AYCA-4TB2X9- 2NRL-22-NSB - Wirrinya Pl Grasme"/>
    <s v="Grasmere"/>
    <n v="4429.6000000000004"/>
    <n v="6859.5199999999986"/>
    <n v="11289.119999999999"/>
    <n v="12418.031999999999"/>
    <m/>
    <m/>
    <n v="0"/>
    <n v="11289.119999999999"/>
    <n v="1"/>
    <m/>
    <d v="2018-03-21T00:00:00"/>
    <m/>
    <s v="Ertan Cicek "/>
    <s v="Direct Award"/>
    <d v="2018-01-09T00:00:00"/>
    <m/>
    <d v="2018-02-27T00:00:00"/>
    <n v="49"/>
  </r>
  <r>
    <x v="2"/>
    <s v="Sydney"/>
    <s v="Inv 13280"/>
    <d v="2018-02-22T00:00:00"/>
    <d v="2018-01-22T00:00:00"/>
    <d v="2018-01-22T00:00:00"/>
    <d v="2018-01-23T00:00:00"/>
    <d v="2018-02-06T00:00:00"/>
    <d v="2018-02-01T00:00:00"/>
    <d v="2018-02-22T00:00:00"/>
    <m/>
    <x v="13"/>
    <s v="Feb-18"/>
    <s v="MW21706 - AYCA-4IYJ4J -2PTH-02 - CRONIN EQUITY PTY LTD - 1"/>
    <s v="Penrith"/>
    <n v="616.64"/>
    <n v="-131.31"/>
    <n v="485.33"/>
    <n v="533.86300000000006"/>
    <m/>
    <m/>
    <n v="0"/>
    <n v="485.33"/>
    <n v="1"/>
    <m/>
    <d v="2018-02-05T00:00:00"/>
    <m/>
    <s v="Ertan Cicek "/>
    <s v="Direct Award"/>
    <d v="2018-01-04T00:00:00"/>
    <m/>
    <d v="2018-01-30T00:00:00"/>
    <n v="26"/>
  </r>
  <r>
    <x v="2"/>
    <s v="Sydney"/>
    <s v="Inv 13446"/>
    <d v="2018-04-04T00:00:00"/>
    <d v="2018-03-13T00:00:00"/>
    <d v="2018-03-13T00:00:00"/>
    <d v="2018-03-14T00:00:00"/>
    <m/>
    <d v="2018-03-23T00:00:00"/>
    <d v="2018-04-04T00:00:00"/>
    <m/>
    <x v="11"/>
    <s v="Apr-18"/>
    <s v="MW21947-AYCA-54T32P-2MIL-01-Ryan &amp; Burrows Avenue"/>
    <s v="Miller"/>
    <n v="3241.78"/>
    <n v="220.64"/>
    <n v="3462.42"/>
    <n v="3808.6620000000003"/>
    <n v="1560.1"/>
    <m/>
    <n v="1560.1"/>
    <n v="1902.3200000000002"/>
    <n v="0.54941919235679093"/>
    <m/>
    <d v="2018-03-27T00:00:00"/>
    <m/>
    <s v="Andrew Mahassy"/>
    <s v="Direct Award"/>
    <d v="2018-02-22T00:00:00"/>
    <m/>
    <d v="2018-04-30T00:00:00"/>
    <n v="67"/>
  </r>
  <r>
    <x v="2"/>
    <s v="Sydney"/>
    <m/>
    <m/>
    <m/>
    <d v="2018-08-30T00:00:00"/>
    <m/>
    <m/>
    <m/>
    <m/>
    <m/>
    <x v="15"/>
    <s v="Jan-00"/>
    <s v="MW21705-AYCA-468RZY-2LID-04-23 RAILWAY PARADE - externals"/>
    <s v="Lidcombe"/>
    <n v="671.72"/>
    <m/>
    <n v="671.72"/>
    <n v="738.89200000000005"/>
    <m/>
    <m/>
    <n v="0"/>
    <n v="671.72"/>
    <n v="1"/>
    <m/>
    <d v="2018-09-13T00:00:00"/>
    <m/>
    <s v="Nabeel Jaimon"/>
    <s v="Direct Award"/>
    <d v="2018-01-04T00:00:00"/>
    <m/>
    <d v="2018-02-15T00:00:00"/>
    <n v="42"/>
  </r>
  <r>
    <x v="2"/>
    <s v="Sydney"/>
    <m/>
    <m/>
    <m/>
    <d v="2018-08-30T00:00:00"/>
    <m/>
    <m/>
    <m/>
    <m/>
    <m/>
    <x v="15"/>
    <s v="Jan-00"/>
    <s v="MW21699-AYCA-3E5O97-2ROU-03-Hancy - 1"/>
    <s v="Kellyville"/>
    <n v="3447.12"/>
    <m/>
    <n v="3447.12"/>
    <n v="3791.8320000000003"/>
    <m/>
    <m/>
    <n v="0"/>
    <n v="3447.12"/>
    <n v="1"/>
    <m/>
    <d v="2018-09-13T00:00:00"/>
    <m/>
    <s v="Ertan Cicek "/>
    <s v="Direct Award"/>
    <d v="2018-01-04T00:00:00"/>
    <m/>
    <d v="2018-02-15T00:00:00"/>
    <n v="42"/>
  </r>
  <r>
    <x v="2"/>
    <s v="Sydney"/>
    <s v="Inv 13448"/>
    <d v="2018-04-05T00:00:00"/>
    <d v="2018-03-19T00:00:00"/>
    <d v="2018-03-19T00:00:00"/>
    <d v="2018-03-20T00:00:00"/>
    <d v="2018-03-22T00:00:00"/>
    <d v="2018-03-29T00:00:00"/>
    <d v="2018-04-05T00:00:00"/>
    <m/>
    <x v="11"/>
    <s v="Apr-18"/>
    <s v="MW21924-AYCA-41E0L5-2ROU-33-33 FOXALL RD, KELLYVILLE"/>
    <s v="Kellyville"/>
    <n v="2397.62"/>
    <n v="717.29"/>
    <n v="3114.91"/>
    <n v="3426.4010000000003"/>
    <m/>
    <m/>
    <n v="0"/>
    <n v="3114.91"/>
    <n v="1"/>
    <m/>
    <d v="2018-04-02T00:00:00"/>
    <m/>
    <s v="Sogand Mohtat"/>
    <s v="Direct Award"/>
    <d v="2018-03-05T00:00:00"/>
    <m/>
    <d v="2018-03-28T00:00:00"/>
    <n v="23"/>
  </r>
  <r>
    <x v="2"/>
    <s v="Sydney"/>
    <s v="Inv 13464"/>
    <d v="2018-04-09T00:00:00"/>
    <d v="2018-03-19T00:00:00"/>
    <d v="2018-03-19T00:00:00"/>
    <d v="2018-03-21T00:00:00"/>
    <d v="2018-04-04T00:00:00"/>
    <d v="2018-03-29T00:00:00"/>
    <d v="2018-04-10T00:00:00"/>
    <m/>
    <x v="11"/>
    <s v="Apr-18"/>
    <s v="MW21959-AYCA-52OMAH-2NRN-10-18 Bluett Dr Smeaton Grang Int"/>
    <s v="Smeaton Grange"/>
    <n v="1400"/>
    <n v="1500.7"/>
    <n v="2900.7"/>
    <n v="3190.77"/>
    <m/>
    <m/>
    <n v="0"/>
    <n v="2900.7"/>
    <n v="1"/>
    <m/>
    <d v="2018-04-02T00:00:00"/>
    <m/>
    <s v="Ertan Cicek"/>
    <s v="Direct Award"/>
    <d v="2018-02-27T00:00:00"/>
    <m/>
    <d v="2018-03-02T00:00:00"/>
    <n v="3"/>
  </r>
  <r>
    <x v="2"/>
    <s v="Sydney"/>
    <s v="inv 13612"/>
    <d v="2018-05-17T00:00:00"/>
    <d v="2018-04-21T00:00:00"/>
    <d v="2018-04-23T00:00:00"/>
    <d v="2018-05-01T00:00:00"/>
    <d v="2018-05-10T00:00:00"/>
    <d v="2018-05-04T00:00:00"/>
    <d v="2018-05-17T00:00:00"/>
    <m/>
    <x v="7"/>
    <s v="May-18"/>
    <s v="MW21724-AYCA-3TP6RP-2SIL-04-Majors Bay Mortlake Residential "/>
    <s v="Mortlake"/>
    <n v="5248.59"/>
    <n v="7137.58"/>
    <n v="12386.17"/>
    <n v="13624.787000000002"/>
    <n v="3269.94"/>
    <m/>
    <n v="3269.94"/>
    <n v="9116.23"/>
    <n v="0.73600071692863889"/>
    <m/>
    <d v="2018-05-07T00:00:00"/>
    <m/>
    <s v="Ertan Cicek "/>
    <s v="Direct Award"/>
    <d v="2018-01-09T00:00:00"/>
    <m/>
    <d v="2018-02-15T00:00:00"/>
    <n v="37"/>
  </r>
  <r>
    <x v="2"/>
    <s v="Sydney"/>
    <m/>
    <m/>
    <m/>
    <d v="2018-08-30T00:00:00"/>
    <m/>
    <m/>
    <m/>
    <m/>
    <m/>
    <x v="15"/>
    <s v="Jan-00"/>
    <s v="MW21728-AYCA-4HTS7R-2RIV-03-875 RICHMOND RD, MARSDEN PARK"/>
    <s v="Marsden Park"/>
    <n v="731.99"/>
    <m/>
    <n v="731.99"/>
    <n v="805.18900000000008"/>
    <m/>
    <m/>
    <n v="0"/>
    <n v="731.99"/>
    <n v="1"/>
    <m/>
    <d v="2018-09-13T00:00:00"/>
    <m/>
    <s v="Ertan Cicek "/>
    <s v="Direct Award"/>
    <d v="2018-01-09T00:00:00"/>
    <m/>
    <d v="2018-02-27T00:00:00"/>
    <n v="49"/>
  </r>
  <r>
    <x v="0"/>
    <s v="Sydney"/>
    <m/>
    <m/>
    <d v="2018-01-10T00:00:00"/>
    <d v="2018-02-13T00:00:00"/>
    <d v="2018-02-13T00:00:00"/>
    <d v="2018-03-06T00:00:00"/>
    <d v="2018-02-23T00:00:00"/>
    <d v="2018-03-15T00:00:00"/>
    <m/>
    <x v="2"/>
    <s v="Mar-18"/>
    <s v="MW21408 - AYCA-4GCT7O - 2ROC-04 - Baxter International Hotel - 1 "/>
    <s v="Mascot"/>
    <n v="5871.23"/>
    <n v="3879.7714285714283"/>
    <n v="9751.0014285714278"/>
    <n v="10726.101571428571"/>
    <m/>
    <m/>
    <n v="0"/>
    <n v="9751.0014285714278"/>
    <n v="1"/>
    <m/>
    <d v="2018-02-27T00:00:00"/>
    <m/>
    <s v="Ertan Cicek "/>
    <d v="2017-11-16T00:00:00"/>
    <d v="2018-02-12T00:00:00"/>
    <n v="88"/>
    <d v="2018-03-02T00:00:00"/>
    <n v="18"/>
  </r>
  <r>
    <x v="0"/>
    <s v="Newcastle"/>
    <s v="Inv 13327"/>
    <d v="2018-02-07T00:00:00"/>
    <d v="2018-01-12T00:00:00"/>
    <d v="2018-02-07T00:00:00"/>
    <d v="2018-02-07T00:00:00"/>
    <d v="2018-02-27T00:00:00"/>
    <d v="2018-02-20T00:00:00"/>
    <d v="2018-03-08T00:00:00"/>
    <m/>
    <x v="2"/>
    <s v="Mar-18"/>
    <s v="MW21512 - AYCA-4IUR86 -2NLT-09 - Clarendene - 1"/>
    <s v="Wallsend"/>
    <n v="6924.34"/>
    <n v="3879.77"/>
    <n v="10804.11"/>
    <n v="11884.521000000002"/>
    <n v="3626.8"/>
    <m/>
    <n v="3626.8"/>
    <n v="7177.31"/>
    <n v="0.66431293276355019"/>
    <m/>
    <d v="2018-02-21T00:00:00"/>
    <m/>
    <s v="Andrew Partalis"/>
    <d v="2017-11-14T00:00:00"/>
    <d v="2018-02-06T00:00:00"/>
    <n v="84"/>
    <d v="2018-03-02T00:00:00"/>
    <n v="24"/>
  </r>
  <r>
    <x v="2"/>
    <s v="Sth Coast"/>
    <s v="Inv 13247"/>
    <d v="2018-02-19T00:00:00"/>
    <d v="2018-01-12T00:00:00"/>
    <d v="2018-01-12T00:00:00"/>
    <d v="2018-01-30T00:00:00"/>
    <d v="2018-02-07T00:00:00"/>
    <d v="2018-01-31T00:00:00"/>
    <d v="2018-02-20T00:00:00"/>
    <s v="Jan-18"/>
    <x v="13"/>
    <s v="Feb-18"/>
    <s v="MW21552 - AYCA-4SJ1RQ - 2KNS-21 - 18 Armstrong St West Wollongong, Externals"/>
    <s v="Wollongong"/>
    <n v="339.17"/>
    <n v="1627.9699999999998"/>
    <n v="1967.1399999999999"/>
    <n v="2163.8539999999998"/>
    <n v="1075.44"/>
    <m/>
    <n v="1075.44"/>
    <n v="891.69999999999982"/>
    <n v="0.45329768089713995"/>
    <m/>
    <d v="2018-01-26T00:00:00"/>
    <m/>
    <s v="Nabeel Jaimon"/>
    <s v="Direct Award"/>
    <d v="2017-12-12T00:00:00"/>
    <m/>
    <d v="2017-12-15T00:00:00"/>
    <n v="3"/>
  </r>
  <r>
    <x v="2"/>
    <s v="Sydney"/>
    <s v="Inv 13315"/>
    <d v="2018-03-01T00:00:00"/>
    <d v="2018-01-25T00:00:00"/>
    <d v="2018-01-25T00:00:00"/>
    <m/>
    <m/>
    <d v="2018-02-07T00:00:00"/>
    <d v="2018-03-01T00:00:00"/>
    <m/>
    <x v="13"/>
    <s v="Mar-18"/>
    <s v="MW21328 - AYCA-40UXV5 - 2PTH-02 - 163 Parker St - South Penrith - 1-  INTERNAL"/>
    <s v="Penrith"/>
    <n v="2880"/>
    <m/>
    <n v="2880"/>
    <n v="3168.0000000000005"/>
    <m/>
    <m/>
    <n v="0"/>
    <n v="2880"/>
    <n v="1"/>
    <m/>
    <d v="2018-02-08T00:00:00"/>
    <m/>
    <s v="Andrew Partalis"/>
    <s v="Direct Award"/>
    <d v="2017-09-22T00:00:00"/>
    <m/>
    <d v="2018-01-17T00:00:00"/>
    <n v="117"/>
  </r>
  <r>
    <x v="2"/>
    <s v="Sydney"/>
    <s v="Inv 13534"/>
    <d v="2018-04-26T00:00:00"/>
    <d v="2018-03-18T00:00:00"/>
    <d v="2018-03-20T00:00:00"/>
    <d v="2018-03-22T00:00:00"/>
    <d v="2018-04-20T00:00:00"/>
    <d v="2018-04-03T00:00:00"/>
    <d v="2018-04-26T00:00:00"/>
    <m/>
    <x v="11"/>
    <s v="Apr-18"/>
    <s v="MW21620- AYCA-4SM2C7 - 2LIV-03-60-62 Passefield Street, Liverpool"/>
    <s v="Liverpool"/>
    <n v="582.23"/>
    <n v="6807.3099999999995"/>
    <n v="7389.5399999999991"/>
    <n v="8128.4939999999997"/>
    <n v="459.6"/>
    <m/>
    <n v="459.6"/>
    <n v="6929.9399999999987"/>
    <n v="0.93780397697285622"/>
    <m/>
    <d v="2018-04-03T00:00:00"/>
    <m/>
    <s v="Andrew Mahassy"/>
    <s v="Direct Award"/>
    <d v="2017-12-21T00:00:00"/>
    <m/>
    <d v="2018-01-30T00:00:00"/>
    <n v="40"/>
  </r>
  <r>
    <x v="2"/>
    <s v="Sydney"/>
    <m/>
    <m/>
    <m/>
    <d v="2018-08-30T00:00:00"/>
    <m/>
    <m/>
    <m/>
    <m/>
    <m/>
    <x v="15"/>
    <s v="Jan-00"/>
    <s v="MW21638- AYCA-3NFID7-2PTH-04 - Tench Ave Jamisontown 1 "/>
    <s v="Penrith"/>
    <n v="2209.46"/>
    <m/>
    <n v="2209.46"/>
    <n v="2430.4060000000004"/>
    <m/>
    <m/>
    <n v="0"/>
    <n v="2209.46"/>
    <n v="1"/>
    <m/>
    <d v="2018-09-13T00:00:00"/>
    <m/>
    <s v="Ertan Cicek "/>
    <s v="Direct Award"/>
    <d v="2017-12-19T00:00:00"/>
    <m/>
    <d v="2018-01-30T00:00:00"/>
    <n v="42"/>
  </r>
  <r>
    <x v="2"/>
    <s v="Sydney"/>
    <s v="Inv 13319"/>
    <d v="2017-06-06T00:00:00"/>
    <d v="2018-02-01T00:00:00"/>
    <d v="2018-02-01T00:00:00"/>
    <d v="2018-02-01T00:00:00"/>
    <d v="2018-02-07T00:00:00"/>
    <d v="2018-02-23T00:00:00"/>
    <d v="2018-03-06T00:00:00"/>
    <m/>
    <x v="2"/>
    <s v="Mar-18"/>
    <s v="MW21551 -AYCA-4EN7KA -  2KNS-04 - Lewis &amp; Co - 1"/>
    <s v="Alexandria"/>
    <n v="1838.95"/>
    <n v="13797.3"/>
    <n v="15636.25"/>
    <n v="17199.875"/>
    <n v="10452.950000000001"/>
    <m/>
    <n v="10452.950000000001"/>
    <n v="5183.2999999999993"/>
    <n v="0.33149252538172513"/>
    <m/>
    <d v="2018-02-15T00:00:00"/>
    <m/>
    <s v="Lindy Chan"/>
    <s v="Direct Award"/>
    <d v="2017-12-15T00:00:00"/>
    <m/>
    <d v="2017-12-15T00:00:00"/>
    <n v="0"/>
  </r>
  <r>
    <x v="2"/>
    <s v="Sydney"/>
    <m/>
    <m/>
    <m/>
    <d v="2018-08-30T00:00:00"/>
    <m/>
    <m/>
    <m/>
    <m/>
    <m/>
    <x v="15"/>
    <s v="Jan-00"/>
    <s v="MW21791-AYCA-468RZY-2LID-04-23 Railway Parade - Internals"/>
    <s v="Lidcombe"/>
    <n v="1400"/>
    <m/>
    <n v="1400"/>
    <n v="1540.0000000000002"/>
    <m/>
    <m/>
    <n v="0"/>
    <n v="1400"/>
    <n v="1"/>
    <m/>
    <d v="2018-09-13T00:00:00"/>
    <m/>
    <s v="Nabeel Jaimon"/>
    <s v="Direct Award"/>
    <d v="2018-02-01T00:00:00"/>
    <m/>
    <d v="2018-03-01T00:00:00"/>
    <n v="28"/>
  </r>
  <r>
    <x v="2"/>
    <s v="Sydney"/>
    <s v="Inv 13465"/>
    <d v="2018-04-09T00:00:00"/>
    <d v="2018-03-21T00:00:00"/>
    <d v="2018-03-21T00:00:00"/>
    <d v="2018-03-22T00:00:00"/>
    <d v="2018-04-03T00:00:00"/>
    <d v="2018-04-04T00:00:00"/>
    <d v="2018-04-10T00:00:00"/>
    <m/>
    <x v="11"/>
    <s v="Apr-18"/>
    <s v="MW21178 - 2LID-06 - AYCA-32WJ4A - John St - 2 - INTERNAL"/>
    <s v="Lidcombe"/>
    <n v="2240"/>
    <n v="2401.12"/>
    <n v="4641.12"/>
    <n v="5105.232"/>
    <n v="3248.8"/>
    <m/>
    <n v="3248.8"/>
    <n v="1392.3199999999997"/>
    <n v="0.29999655255627944"/>
    <m/>
    <d v="2018-04-04T00:00:00"/>
    <m/>
    <s v="Lindy Chan"/>
    <s v="Direct Award"/>
    <d v="2017-08-23T00:00:00"/>
    <m/>
    <d v="2017-11-03T00:00:00"/>
    <n v="72"/>
  </r>
  <r>
    <x v="0"/>
    <s v="Sydney"/>
    <s v="Inv 13367"/>
    <d v="2018-03-13T00:00:00"/>
    <d v="2018-02-13T00:00:00"/>
    <d v="2018-02-13T00:00:00"/>
    <m/>
    <m/>
    <d v="2018-02-23T00:00:00"/>
    <d v="2018-02-27T00:00:00"/>
    <m/>
    <x v="2"/>
    <s v="Feb-18"/>
    <s v="MW21703 - AYCA-41SAXG - 2MIL-04 - Stage 2 Lagana"/>
    <s v="Miller"/>
    <n v="1404.18"/>
    <m/>
    <n v="1404.18"/>
    <n v="1544.5980000000002"/>
    <m/>
    <m/>
    <n v="0"/>
    <n v="1404.18"/>
    <n v="1"/>
    <m/>
    <d v="2018-02-27T00:00:00"/>
    <m/>
    <s v="Andrew Mahassy"/>
    <d v="2018-01-18T00:00:00"/>
    <d v="2018-02-06T00:00:00"/>
    <n v="19"/>
    <d v="2018-01-30T00:00:00"/>
    <n v="-7"/>
  </r>
  <r>
    <x v="2"/>
    <s v="ACT"/>
    <s v="Inv 13388"/>
    <d v="2018-03-19T00:00:00"/>
    <d v="2018-02-09T00:00:00"/>
    <d v="2018-02-09T00:00:00"/>
    <d v="2018-02-13T00:00:00"/>
    <d v="2018-03-07T00:00:00"/>
    <d v="2018-02-21T00:00:00"/>
    <d v="2018-03-20T00:00:00"/>
    <m/>
    <x v="2"/>
    <s v="Mar-18"/>
    <s v="MW21583 - AYCA-497W67- 9BLC-04- Hillside Villas Block"/>
    <s v="Lawson"/>
    <n v="1800.84"/>
    <n v="4436.93"/>
    <n v="6237.77"/>
    <n v="6861.5470000000014"/>
    <m/>
    <m/>
    <n v="0"/>
    <n v="6237.77"/>
    <n v="1"/>
    <m/>
    <d v="2018-02-23T00:00:00"/>
    <m/>
    <s v="Ertan Cicek "/>
    <s v="Direct Award"/>
    <d v="2018-12-13T00:00:00"/>
    <m/>
    <d v="2018-01-15T00:00:00"/>
    <n v="-332"/>
  </r>
  <r>
    <x v="0"/>
    <s v="Sth NSW"/>
    <s v="Inv 13370"/>
    <d v="2018-03-15T00:00:00"/>
    <d v="2018-02-21T00:00:00"/>
    <d v="2018-02-23T00:00:00"/>
    <d v="2018-02-21T00:00:00"/>
    <d v="2018-02-27T00:00:00"/>
    <d v="2018-03-07T00:00:00"/>
    <d v="2018-03-15T00:00:00"/>
    <m/>
    <x v="2"/>
    <s v="Mar-18"/>
    <s v="MW21507 - AYCA-4Q1LKQ - 2WAG-05 - The Mill Commercial Development - 1"/>
    <s v="Wagga Wagga"/>
    <n v="3800.34"/>
    <n v="6538.04"/>
    <n v="10338.380000000001"/>
    <n v="11372.218000000003"/>
    <m/>
    <m/>
    <n v="0"/>
    <n v="10338.380000000001"/>
    <n v="1"/>
    <m/>
    <d v="2018-03-09T00:00:00"/>
    <m/>
    <s v="Mark Leal"/>
    <d v="2017-11-15T00:00:00"/>
    <d v="2018-02-13T00:00:00"/>
    <n v="90"/>
    <d v="2018-01-09T00:00:00"/>
    <n v="-35"/>
  </r>
  <r>
    <x v="2"/>
    <s v="Sydney"/>
    <s v="Inv 13477"/>
    <d v="2018-02-11T00:00:00"/>
    <d v="2018-03-21T00:00:00"/>
    <d v="2018-03-21T00:00:00"/>
    <d v="2018-03-22T00:00:00"/>
    <d v="2018-04-03T00:00:00"/>
    <d v="2018-04-05T00:00:00"/>
    <d v="2018-04-10T00:00:00"/>
    <m/>
    <x v="11"/>
    <s v="Apr-18"/>
    <s v="MW21397 - AYCA-32WJ4A - 2LID-06 -  John St - 2- EXTERNAL"/>
    <s v="Lidcombe"/>
    <n v="847"/>
    <n v="5043.7950000000001"/>
    <n v="5890.7950000000001"/>
    <n v="6479.8745000000008"/>
    <n v="3585.33"/>
    <m/>
    <n v="3585.33"/>
    <n v="2305.4650000000001"/>
    <n v="0.39136737910587621"/>
    <m/>
    <d v="2018-04-04T00:00:00"/>
    <m/>
    <s v="Lindy Chan"/>
    <s v="Direct Award"/>
    <d v="2017-09-26T00:00:00"/>
    <m/>
    <d v="2017-11-01T00:00:00"/>
    <n v="36"/>
  </r>
  <r>
    <x v="2"/>
    <s v="Sydney"/>
    <m/>
    <m/>
    <d v="2018-06-27T00:00:00"/>
    <d v="2018-06-27T00:00:00"/>
    <d v="2018-06-27T00:00:00"/>
    <m/>
    <d v="2018-07-11T00:00:00"/>
    <d v="2018-07-25T00:00:00"/>
    <m/>
    <x v="14"/>
    <s v="Jul-18"/>
    <s v="MW21819-AYCA-4KXY8F-2BTH-02-1 Wark Parade, Windradyne"/>
    <s v="Camden"/>
    <n v="1240.76"/>
    <n v="10448.27"/>
    <n v="11689.03"/>
    <n v="12857.933000000001"/>
    <m/>
    <m/>
    <n v="0"/>
    <n v="11689.03"/>
    <n v="1"/>
    <m/>
    <d v="2018-07-11T00:00:00"/>
    <m/>
    <s v="Ertan Cicek "/>
    <s v="Direct Award"/>
    <d v="2018-02-20T00:00:00"/>
    <m/>
    <d v="2018-03-22T00:00:00"/>
    <n v="30"/>
  </r>
  <r>
    <x v="2"/>
    <s v="Sydney"/>
    <s v="Inv 13504"/>
    <d v="2018-04-20T00:00:00"/>
    <d v="2018-03-22T00:00:00"/>
    <d v="2018-03-22T00:00:00"/>
    <d v="2018-03-27T00:00:00"/>
    <d v="2018-04-03T00:00:00"/>
    <d v="2018-04-10T00:00:00"/>
    <d v="2018-04-24T00:00:00"/>
    <m/>
    <x v="11"/>
    <s v="Apr-18"/>
    <s v="MW21637-AYCA-4OHMS3 - 2BLK-07 -35 Holbeche road, Arndell Park - EXT"/>
    <s v="Arndell Park"/>
    <n v="1586.44"/>
    <n v="127.89"/>
    <n v="1714.3300000000002"/>
    <n v="1885.7630000000004"/>
    <n v="703.2"/>
    <m/>
    <n v="703.2"/>
    <n v="1011.1300000000001"/>
    <n v="0.5898105965595889"/>
    <m/>
    <d v="2018-04-05T00:00:00"/>
    <m/>
    <s v="Ertan Cicek "/>
    <s v="Direct Award"/>
    <d v="2017-12-20T00:00:00"/>
    <m/>
    <d v="2018-01-30T00:00:00"/>
    <n v="41"/>
  </r>
  <r>
    <x v="2"/>
    <s v="Sydney"/>
    <m/>
    <m/>
    <m/>
    <d v="2018-07-30T00:00:00"/>
    <m/>
    <m/>
    <m/>
    <m/>
    <m/>
    <x v="9"/>
    <s v="Jan-00"/>
    <s v="MW21884-AYCA-47OO3O- 2LIV-03- 188-190 Moore st, Liverpool"/>
    <s v="Liverpool"/>
    <n v="857.61"/>
    <m/>
    <n v="857.61"/>
    <n v="943.37100000000009"/>
    <m/>
    <m/>
    <n v="0"/>
    <n v="857.61"/>
    <n v="1"/>
    <m/>
    <d v="2018-08-13T00:00:00"/>
    <m/>
    <s v="Ertan Cicek "/>
    <s v="Direct Award"/>
    <d v="2018-02-20T00:00:00"/>
    <m/>
    <d v="2018-03-22T00:00:00"/>
    <n v="30"/>
  </r>
  <r>
    <x v="2"/>
    <s v="Sydney"/>
    <m/>
    <m/>
    <m/>
    <d v="2018-07-30T00:00:00"/>
    <m/>
    <m/>
    <m/>
    <m/>
    <m/>
    <x v="9"/>
    <s v="Jan-00"/>
    <s v="MW21876-AYCA-21PVTM - 2BLK-03 - 5 Second Avenue, Blacktown"/>
    <s v="Blacktown"/>
    <n v="592.62"/>
    <m/>
    <n v="592.62"/>
    <n v="651.88200000000006"/>
    <m/>
    <m/>
    <n v="0"/>
    <n v="592.62"/>
    <n v="1"/>
    <m/>
    <d v="2018-08-13T00:00:00"/>
    <m/>
    <s v="Ertan Cicek "/>
    <s v="Direct Award"/>
    <d v="2018-02-20T00:00:00"/>
    <m/>
    <d v="2018-03-22T00:00:00"/>
    <n v="30"/>
  </r>
  <r>
    <x v="1"/>
    <s v="Sydney"/>
    <s v="Inv 13433"/>
    <d v="2018-03-27T00:00:00"/>
    <d v="2018-03-06T00:00:00"/>
    <d v="2018-03-08T00:00:00"/>
    <m/>
    <m/>
    <d v="2018-03-21T00:00:00"/>
    <d v="2017-03-27T00:00:00"/>
    <m/>
    <x v="11"/>
    <s v="Mar-17"/>
    <s v="MW21979-2RIV-03 - Schofield Rd, Schofield, NSW - Held Orders x 2"/>
    <s v="Schofields"/>
    <n v="15585.13"/>
    <m/>
    <n v="15585.13"/>
    <n v="17143.643"/>
    <m/>
    <m/>
    <n v="0"/>
    <n v="15585.13"/>
    <n v="1"/>
    <m/>
    <d v="2018-03-22T00:00:00"/>
    <m/>
    <s v="Erwin Kurniawan"/>
    <d v="2018-02-20T00:00:00"/>
    <d v="2018-03-07T00:00:00"/>
    <n v="15"/>
    <d v="2018-03-23T00:00:00"/>
    <n v="16"/>
  </r>
  <r>
    <x v="1"/>
    <s v="Sydney"/>
    <s v="Inv 13463"/>
    <d v="2018-04-09T00:00:00"/>
    <d v="2018-03-06T00:00:00"/>
    <d v="2018-03-16T00:00:00"/>
    <d v="2018-03-22T00:00:00"/>
    <d v="2018-03-29T00:00:00"/>
    <d v="2018-03-28T00:00:00"/>
    <d v="2018-04-10T00:00:00"/>
    <m/>
    <x v="11"/>
    <s v="Apr-18"/>
    <s v="MW21977-2RIV-03 - South St, Schofield NSW - Held Orders x 4"/>
    <s v="Schofields"/>
    <n v="36173.660000000003"/>
    <n v="12357.71"/>
    <n v="48531.37"/>
    <n v="53384.507000000005"/>
    <m/>
    <m/>
    <n v="0"/>
    <n v="48531.37"/>
    <n v="1"/>
    <m/>
    <d v="2018-03-30T00:00:00"/>
    <m/>
    <s v="Erwin Kurniawan"/>
    <d v="2018-02-22T00:00:00"/>
    <d v="2018-03-07T00:00:00"/>
    <n v="13"/>
    <d v="2018-03-23T00:00:00"/>
    <n v="16"/>
  </r>
  <r>
    <x v="2"/>
    <s v="Sydney"/>
    <s v="Inv 13521"/>
    <d v="2018-05-20T00:00:00"/>
    <d v="2018-03-27T00:00:00"/>
    <d v="2018-03-27T00:00:00"/>
    <d v="2018-03-27T00:00:00"/>
    <d v="2018-04-13T00:00:00"/>
    <d v="2018-04-11T00:00:00"/>
    <d v="2018-04-24T00:00:00"/>
    <m/>
    <x v="11"/>
    <s v="Apr-18"/>
    <s v="MW21523 - 2EPP-62 - AYCA-20PHAM-20-28 CAMBRIDGE ST EPPING"/>
    <s v="Epping"/>
    <n v="1252.5899999999999"/>
    <n v="11986.45"/>
    <n v="13239.04"/>
    <n v="14562.944000000001"/>
    <n v="4395.1400000000003"/>
    <m/>
    <n v="4395.1400000000003"/>
    <n v="8843.9000000000015"/>
    <n v="0.66801671420284259"/>
    <m/>
    <d v="2018-04-10T00:00:00"/>
    <m/>
    <s v="Ertan Cicek"/>
    <s v="Direct Award"/>
    <d v="2017-12-06T00:00:00"/>
    <m/>
    <d v="2017-12-15T00:00:00"/>
    <n v="9"/>
  </r>
  <r>
    <x v="2"/>
    <s v="Sydney"/>
    <m/>
    <m/>
    <d v="2018-06-22T00:00:00"/>
    <d v="2018-06-22T00:00:00"/>
    <d v="2018-02-26T00:00:00"/>
    <m/>
    <d v="2018-07-06T00:00:00"/>
    <d v="2018-07-20T00:00:00"/>
    <m/>
    <x v="14"/>
    <s v="Jul-18"/>
    <s v="MW21820-AYCA-4W4BKH-2HOM-02-38 Weeroona Rd, Strathfield Ext"/>
    <s v="Strathfield"/>
    <n v="5741.5"/>
    <n v="5141.04"/>
    <n v="10882.54"/>
    <n v="11970.794000000002"/>
    <n v="3623.46"/>
    <m/>
    <n v="3623.46"/>
    <n v="7259.0800000000008"/>
    <n v="0.66703912873281423"/>
    <m/>
    <d v="2018-07-06T00:00:00"/>
    <m/>
    <s v="Nabeel Jaimon"/>
    <s v="Direct Award"/>
    <d v="2018-02-20T00:00:00"/>
    <m/>
    <d v="2018-03-22T00:00:00"/>
    <n v="30"/>
  </r>
  <r>
    <x v="2"/>
    <s v="Sydney"/>
    <m/>
    <m/>
    <d v="2018-06-22T00:00:00"/>
    <d v="2018-06-22T00:00:00"/>
    <d v="2018-06-22T00:00:00"/>
    <m/>
    <d v="2018-07-06T00:00:00"/>
    <d v="2018-07-20T00:00:00"/>
    <m/>
    <x v="14"/>
    <s v="Jul-18"/>
    <s v="MW21857-AYCA-442ZEA- 2PAR-63-2 Good st, Westmead"/>
    <s v="Westmead"/>
    <n v="1825.19"/>
    <n v="11374.176475000002"/>
    <n v="13199.366475000003"/>
    <n v="14519.303122500003"/>
    <n v="7231.46"/>
    <n v="903.19549999999992"/>
    <n v="8134.6554999999998"/>
    <n v="5064.7109750000027"/>
    <n v="0.38370864121340353"/>
    <m/>
    <d v="2018-07-06T00:00:00"/>
    <m/>
    <s v="Ertan Cicek "/>
    <s v="Direct Award"/>
    <d v="2018-02-22T00:00:00"/>
    <m/>
    <d v="2018-03-22T00:00:00"/>
    <n v="28"/>
  </r>
  <r>
    <x v="2"/>
    <s v="Sydney"/>
    <s v="Inv 13518"/>
    <d v="2018-04-20T00:00:00"/>
    <d v="2018-03-27T00:00:00"/>
    <d v="2018-03-27T00:00:00"/>
    <d v="2018-04-04T00:00:00"/>
    <d v="2018-04-13T00:00:00"/>
    <d v="2018-04-12T00:00:00"/>
    <d v="2018-04-24T00:00:00"/>
    <m/>
    <x v="11"/>
    <s v="Apr-18"/>
    <s v="MW21651-AYCA-21BAAK-2BAN-64-Stacey Apartments - 1"/>
    <s v="Bankstown"/>
    <n v="2761.16"/>
    <n v="17495.46"/>
    <n v="20256.62"/>
    <n v="22282.281999999999"/>
    <n v="12308.759999999998"/>
    <m/>
    <n v="12308.759999999998"/>
    <n v="7947.8600000000006"/>
    <n v="0.39235864621047345"/>
    <m/>
    <d v="2018-04-10T00:00:00"/>
    <m/>
    <s v="Ertan Cicek "/>
    <s v="Direct Award"/>
    <d v="2018-01-04T00:00:00"/>
    <m/>
    <d v="2018-02-13T00:00:00"/>
    <n v="40"/>
  </r>
  <r>
    <x v="6"/>
    <s v="NSW"/>
    <s v="Inv 13285"/>
    <d v="2018-02-23T00:00:00"/>
    <d v="2018-02-23T00:00:00"/>
    <d v="2018-02-23T00:00:00"/>
    <m/>
    <m/>
    <m/>
    <d v="2018-05-01T00:00:00"/>
    <m/>
    <x v="2"/>
    <s v="May-18"/>
    <s v="MW22112 - INC000006813370 – UNIT 1 15 DALGETTY ST, NARRANDERA "/>
    <s v="Narrandera"/>
    <n v="1197.6428571428571"/>
    <m/>
    <n v="1197.6428571428571"/>
    <n v="1317.4071428571428"/>
    <m/>
    <n v="450"/>
    <n v="450"/>
    <n v="747.64285714285711"/>
    <n v="0.62426194310252281"/>
    <m/>
    <d v="2018-03-09T00:00:00"/>
    <m/>
    <s v="Tony Gabriel"/>
    <m/>
    <m/>
    <m/>
    <m/>
    <m/>
  </r>
  <r>
    <x v="6"/>
    <s v="NSW"/>
    <s v="Inv 13284"/>
    <d v="2018-02-23T00:00:00"/>
    <d v="2018-02-23T00:00:00"/>
    <d v="2018-02-23T00:00:00"/>
    <m/>
    <m/>
    <m/>
    <d v="2018-05-01T00:00:00"/>
    <m/>
    <x v="2"/>
    <s v="May-18"/>
    <s v="MW22109 - INC000007052036 – 29 Grosvenor St, Narrandera"/>
    <s v="Narrandera"/>
    <n v="512.57000000000005"/>
    <m/>
    <n v="512.57000000000005"/>
    <n v="563.82700000000011"/>
    <m/>
    <n v="150"/>
    <n v="150"/>
    <n v="362.57000000000005"/>
    <n v="0.707357043915953"/>
    <m/>
    <d v="2018-03-09T00:00:00"/>
    <m/>
    <s v="Tony Gabriel"/>
    <m/>
    <m/>
    <m/>
    <m/>
    <m/>
  </r>
  <r>
    <x v="6"/>
    <s v="NSW"/>
    <s v="Inv 13264"/>
    <d v="2018-02-22T00:00:00"/>
    <d v="2018-02-22T00:00:00"/>
    <d v="2018-02-22T00:00:00"/>
    <m/>
    <m/>
    <m/>
    <d v="2018-05-24T00:00:00"/>
    <m/>
    <x v="2"/>
    <s v="May-18"/>
    <s v="MW22270 - INC000007238836 - Lot 4, 100 Beach Rd, Batemans Bay, NSW"/>
    <s v="Batemans Bay"/>
    <n v="128.14285714285717"/>
    <m/>
    <n v="128.14285714285717"/>
    <n v="140.95714285714288"/>
    <m/>
    <n v="50"/>
    <n v="50"/>
    <n v="78.142857142857167"/>
    <n v="0.60981047937569688"/>
    <m/>
    <d v="2018-03-08T00:00:00"/>
    <m/>
    <s v="Tony Gabriel"/>
    <m/>
    <m/>
    <m/>
    <m/>
    <m/>
  </r>
  <r>
    <x v="6"/>
    <s v="NSW"/>
    <s v="Inv 13286"/>
    <d v="2018-02-23T00:00:00"/>
    <d v="2018-02-23T00:00:00"/>
    <d v="2018-02-23T00:00:00"/>
    <m/>
    <m/>
    <m/>
    <d v="2018-05-01T00:00:00"/>
    <m/>
    <x v="2"/>
    <s v="May-18"/>
    <s v="MW22118 - INC000007003327 – UNIT 4 14 WEWAK ST, ASHMONT "/>
    <s v="Ashmont"/>
    <n v="256.29000000000002"/>
    <m/>
    <n v="256.29000000000002"/>
    <n v="281.91900000000004"/>
    <m/>
    <n v="100"/>
    <n v="100"/>
    <n v="156.29000000000002"/>
    <n v="0.6098170041749581"/>
    <m/>
    <d v="2018-03-09T00:00:00"/>
    <m/>
    <s v="Tony Gabriel"/>
    <m/>
    <m/>
    <m/>
    <m/>
    <m/>
  </r>
  <r>
    <x v="7"/>
    <s v="NSW"/>
    <s v="Inv 13292"/>
    <d v="2018-02-26T00:00:00"/>
    <d v="2018-02-26T00:00:00"/>
    <d v="2018-02-26T00:00:00"/>
    <m/>
    <m/>
    <m/>
    <d v="2018-05-24T00:00:00"/>
    <m/>
    <x v="2"/>
    <s v="May-18"/>
    <s v="MW22127 - INC000007272347 – 21 APEX AV, MOUNT VICTORIA"/>
    <s v="Mount Victoria"/>
    <n v="768.86"/>
    <m/>
    <n v="768.86"/>
    <n v="845.74600000000009"/>
    <m/>
    <n v="264.84000000000003"/>
    <n v="264.84000000000003"/>
    <n v="504.02"/>
    <n v="0.65554197123013291"/>
    <m/>
    <d v="2018-03-12T00:00:00"/>
    <m/>
    <s v="Tony Gabriel"/>
    <m/>
    <m/>
    <m/>
    <m/>
    <m/>
  </r>
  <r>
    <x v="6"/>
    <s v="ACT"/>
    <s v="Inv 13287"/>
    <d v="2018-02-23T00:00:00"/>
    <d v="2018-02-23T00:00:00"/>
    <d v="2018-02-23T00:00:00"/>
    <m/>
    <m/>
    <m/>
    <d v="2018-05-01T00:00:00"/>
    <m/>
    <x v="2"/>
    <s v="May-18"/>
    <s v="MW22124 - INC000007034536 - Unit 129, 2 Windjana Street, Harrison, ACT 2914"/>
    <s v="Harrison"/>
    <n v="1153.29"/>
    <m/>
    <n v="1153.29"/>
    <n v="1268.6190000000001"/>
    <m/>
    <n v="495"/>
    <n v="495"/>
    <n v="658.29"/>
    <n v="0.57079312228494128"/>
    <m/>
    <d v="2018-03-09T00:00:00"/>
    <m/>
    <s v="Tony Gabriel"/>
    <m/>
    <m/>
    <m/>
    <m/>
    <m/>
  </r>
  <r>
    <x v="7"/>
    <s v="NSW"/>
    <s v="Inv 13288"/>
    <d v="2018-02-23T00:00:00"/>
    <d v="2018-02-23T00:00:00"/>
    <d v="2018-02-23T00:00:00"/>
    <m/>
    <m/>
    <m/>
    <d v="2018-05-01T00:00:00"/>
    <m/>
    <x v="2"/>
    <s v="May-18"/>
    <s v="MW22125 - INC000007203040 – 6 EDWARDS ST, KATOOMBA "/>
    <s v="Katoomba"/>
    <n v="1473.64"/>
    <m/>
    <n v="1473.64"/>
    <n v="1621.0040000000001"/>
    <m/>
    <n v="132.42000000000002"/>
    <n v="132.42000000000002"/>
    <n v="1341.22"/>
    <n v="0.91014087565484103"/>
    <m/>
    <d v="2018-03-09T00:00:00"/>
    <m/>
    <s v="Tony Gabriel"/>
    <m/>
    <m/>
    <m/>
    <m/>
    <m/>
  </r>
  <r>
    <x v="7"/>
    <s v="NSW"/>
    <s v="Inv 13289"/>
    <d v="2018-02-23T00:00:00"/>
    <d v="2018-02-23T00:00:00"/>
    <d v="2018-02-23T00:00:00"/>
    <m/>
    <m/>
    <m/>
    <d v="2018-05-01T00:00:00"/>
    <m/>
    <x v="2"/>
    <s v="May-18"/>
    <s v="MW22168 - INC000007130519 – 17 APEX AV, MOUNT VICTORIA"/>
    <s v="Mount Victoria"/>
    <n v="320.36"/>
    <m/>
    <n v="320.36"/>
    <n v="352.39600000000007"/>
    <m/>
    <n v="110.35"/>
    <n v="110.35"/>
    <n v="210.01000000000002"/>
    <n v="0.65554376326632546"/>
    <m/>
    <d v="2018-03-09T00:00:00"/>
    <m/>
    <s v="Tony Gabriel"/>
    <m/>
    <m/>
    <m/>
    <m/>
    <m/>
  </r>
  <r>
    <x v="7"/>
    <s v="NSW"/>
    <s v="Inv 13290"/>
    <d v="2018-02-23T00:00:00"/>
    <d v="2018-02-23T00:00:00"/>
    <d v="2018-02-23T00:00:00"/>
    <m/>
    <m/>
    <m/>
    <d v="2018-05-01T00:00:00"/>
    <m/>
    <x v="2"/>
    <s v="May-18"/>
    <s v="MW22129 - INC000007193370 – 2-4 GORDON RD, LEURA"/>
    <s v="Leura"/>
    <n v="320.36"/>
    <m/>
    <n v="320.36"/>
    <n v="352.39600000000007"/>
    <m/>
    <n v="110.35"/>
    <n v="110.35"/>
    <n v="210.01000000000002"/>
    <n v="0.65554376326632546"/>
    <m/>
    <d v="2018-03-09T00:00:00"/>
    <m/>
    <s v="Tony Gabriel"/>
    <m/>
    <m/>
    <m/>
    <m/>
    <m/>
  </r>
  <r>
    <x v="7"/>
    <s v="NSW"/>
    <s v="Inv 13312"/>
    <d v="2018-03-02T00:00:00"/>
    <d v="2018-03-02T00:00:00"/>
    <d v="2018-03-02T00:00:00"/>
    <m/>
    <m/>
    <m/>
    <d v="2018-05-01T00:00:00"/>
    <m/>
    <x v="11"/>
    <s v="May-18"/>
    <s v="MW22130 - INC000007103438 – 8 EASTVIEW AV, LEURA"/>
    <s v="Leura"/>
    <n v="640.71"/>
    <m/>
    <n v="640.71"/>
    <n v="704.78100000000006"/>
    <m/>
    <n v="220.7"/>
    <n v="220.7"/>
    <n v="420.01000000000005"/>
    <n v="0.65553838710180901"/>
    <m/>
    <d v="2018-03-16T00:00:00"/>
    <m/>
    <s v="Tony Gabriel"/>
    <m/>
    <m/>
    <m/>
    <m/>
    <m/>
  </r>
  <r>
    <x v="1"/>
    <s v="Sth Coast"/>
    <s v="Inv 13829"/>
    <d v="2018-07-06T00:00:00"/>
    <d v="2018-06-14T00:00:00"/>
    <d v="2018-06-15T00:00:00"/>
    <d v="2018-06-15T00:00:00"/>
    <d v="2018-06-27T00:00:00"/>
    <d v="2018-07-02T00:00:00"/>
    <d v="2018-07-05T00:00:00"/>
    <m/>
    <x v="14"/>
    <s v="Jul-18"/>
    <s v="MW21390 - AYCA-4QG9AV - NSB - 33 Shoalhaven St Kiama Surevy &amp; Build"/>
    <s v="Kiama"/>
    <n v="1919"/>
    <n v="5178.72"/>
    <n v="7097.72"/>
    <n v="7807.4920000000011"/>
    <n v="1120"/>
    <n v="2043.8035299999997"/>
    <n v="3163.8035299999997"/>
    <n v="3933.9164700000006"/>
    <n v="0.55425072699402067"/>
    <m/>
    <d v="2018-06-29T00:00:00"/>
    <m/>
    <s v="Andrew Mahassy"/>
    <d v="2017-12-10T00:00:00"/>
    <d v="2018-02-23T00:00:00"/>
    <n v="75"/>
    <d v="2018-02-16T00:00:00"/>
    <n v="-7"/>
  </r>
  <r>
    <x v="2"/>
    <s v="Newcastle"/>
    <s v="Inv 13616"/>
    <d v="2018-05-15T00:00:00"/>
    <d v="2018-04-19T00:00:00"/>
    <d v="2018-04-19T00:00:00"/>
    <d v="2018-04-18T00:00:00"/>
    <d v="2018-05-03T00:00:00"/>
    <d v="2018-05-03T00:00:00"/>
    <d v="2018-05-17T00:00:00"/>
    <m/>
    <x v="7"/>
    <s v="May-18"/>
    <s v="MW21921-AYCA-4MOKVP-2TAR-01-22 Elwell CL, Beresfield &amp; MW21053 - AYCA-38QQO3- 2MAI-04 - Walka Grange - 8 Internals"/>
    <s v="Beresfield"/>
    <n v="2010.27"/>
    <n v="14142.210000000001"/>
    <n v="16152.480000000001"/>
    <n v="17767.728000000003"/>
    <n v="11377.92"/>
    <m/>
    <n v="11377.92"/>
    <n v="4774.5600000000013"/>
    <n v="0.2955929987221777"/>
    <m/>
    <d v="2018-05-03T00:00:00"/>
    <m/>
    <s v="Mark Leal"/>
    <s v="Direct Award"/>
    <d v="2018-02-23T00:00:00"/>
    <m/>
    <d v="2018-03-28T00:00:00"/>
    <n v="33"/>
  </r>
  <r>
    <x v="2"/>
    <s v="Sydney"/>
    <m/>
    <m/>
    <m/>
    <d v="2018-07-30T00:00:00"/>
    <m/>
    <m/>
    <m/>
    <m/>
    <m/>
    <x v="9"/>
    <s v="Jan-00"/>
    <s v="MW21875 - AYCA-42N8QF-  2PEN-67- Macklin 38 "/>
    <s v="Pendle Hill"/>
    <n v="515.58000000000004"/>
    <m/>
    <n v="515.58000000000004"/>
    <n v="567.13800000000015"/>
    <m/>
    <m/>
    <n v="0"/>
    <n v="515.58000000000004"/>
    <n v="1"/>
    <m/>
    <d v="2018-08-13T00:00:00"/>
    <m/>
    <s v="Ertan Cicek"/>
    <s v="Direct Award"/>
    <d v="2018-02-23T00:00:00"/>
    <m/>
    <d v="2018-03-22T00:00:00"/>
    <n v="27"/>
  </r>
  <r>
    <x v="1"/>
    <s v="Sth Coast"/>
    <s v="Inv 13543"/>
    <d v="2018-04-27T00:00:00"/>
    <d v="2018-04-09T00:00:00"/>
    <d v="2018-04-10T00:00:00"/>
    <m/>
    <m/>
    <d v="2018-04-23T00:00:00"/>
    <d v="2018-05-01T00:00:00"/>
    <m/>
    <x v="7"/>
    <s v="May-18"/>
    <s v="MW21946-2COR-04-AYCA-4XKUSR-13 Popes Rd, Woonona"/>
    <s v="Woonona"/>
    <n v="9706.1"/>
    <m/>
    <n v="9706.1"/>
    <n v="10676.710000000001"/>
    <m/>
    <m/>
    <n v="0"/>
    <n v="9706.1"/>
    <n v="1"/>
    <m/>
    <d v="2018-04-24T00:00:00"/>
    <m/>
    <s v="Andrew Mahassy"/>
    <d v="2018-02-20T00:00:00"/>
    <m/>
    <m/>
    <d v="2018-03-30T00:00:00"/>
    <m/>
  </r>
  <r>
    <x v="7"/>
    <s v="NSW"/>
    <s v="Inv 13291"/>
    <d v="2018-02-26T00:00:00"/>
    <d v="2018-02-26T00:00:00"/>
    <d v="2018-02-28T00:00:00"/>
    <m/>
    <m/>
    <m/>
    <d v="2018-05-01T00:00:00"/>
    <m/>
    <x v="2"/>
    <s v="May-18"/>
    <s v="MW22126 - 02470125 - Lot 1, 42 Oxley Drive, Bowral, NSW 2576 (ROBINWOOD COTTAGE)"/>
    <s v="Bowral"/>
    <n v="3625.46"/>
    <m/>
    <n v="3625.46"/>
    <n v="3988.0060000000003"/>
    <n v="2952.6"/>
    <n v="132.42000000000002"/>
    <n v="3085.02"/>
    <n v="540.44000000000005"/>
    <n v="0.14906798033904664"/>
    <m/>
    <d v="2018-03-14T00:00:00"/>
    <m/>
    <s v="Tony Gabriel"/>
    <s v="Direct Award"/>
    <d v="2018-02-26T00:00:00"/>
    <m/>
    <d v="2018-03-20T00:00:00"/>
    <n v="22"/>
  </r>
  <r>
    <x v="2"/>
    <s v="Sth Coast"/>
    <m/>
    <m/>
    <m/>
    <d v="2018-07-30T00:00:00"/>
    <m/>
    <m/>
    <m/>
    <m/>
    <m/>
    <x v="9"/>
    <s v="Jan-00"/>
    <s v="MW21827-AYCA-4O03IQ-2COR-09-17 Ryan Street, Balgownie"/>
    <s v="Balgownie"/>
    <n v="1924.61"/>
    <m/>
    <n v="1924.61"/>
    <n v="2117.0709999999999"/>
    <m/>
    <m/>
    <n v="0"/>
    <n v="1924.61"/>
    <n v="1"/>
    <m/>
    <d v="2018-08-13T00:00:00"/>
    <m/>
    <s v="Nabeel Jaimon"/>
    <s v="Direct Award"/>
    <d v="2018-02-26T00:00:00"/>
    <m/>
    <d v="2018-03-20T00:00:00"/>
    <n v="22"/>
  </r>
  <r>
    <x v="2"/>
    <s v="Sydney"/>
    <s v="Inv 13618"/>
    <d v="2018-05-17T00:00:00"/>
    <d v="2018-04-28T00:00:00"/>
    <d v="2018-04-30T00:00:00"/>
    <d v="2018-05-01T00:00:00"/>
    <d v="2018-05-10T00:00:00"/>
    <d v="2018-05-10T00:00:00"/>
    <d v="2018-05-17T00:00:00"/>
    <m/>
    <x v="7"/>
    <s v="May-18"/>
    <s v="MW21861-AYCA-4GPKZN-2RED-03-713-717 Elizabeth St, Waterloo"/>
    <s v="Waterloo"/>
    <n v="1568.02"/>
    <n v="18711.260000000002"/>
    <n v="20279.280000000002"/>
    <n v="22307.208000000006"/>
    <n v="13649.17"/>
    <m/>
    <n v="13649.17"/>
    <n v="6630.1100000000024"/>
    <n v="0.3269401083273174"/>
    <m/>
    <d v="2018-05-14T00:00:00"/>
    <m/>
    <s v="Ertan Cicek"/>
    <s v="Direct Award"/>
    <d v="2018-02-27T00:00:00"/>
    <m/>
    <d v="2018-02-28T00:00:00"/>
    <n v="1"/>
  </r>
  <r>
    <x v="7"/>
    <s v="NSW"/>
    <s v="Inv 13293"/>
    <d v="2018-02-27T00:00:00"/>
    <d v="2018-03-01T00:00:00"/>
    <d v="2018-03-01T00:00:00"/>
    <m/>
    <m/>
    <m/>
    <d v="2018-05-01T00:00:00"/>
    <m/>
    <x v="11"/>
    <s v="May-18"/>
    <s v="MW22128 - INC000006963999 – LOT 24, 69 VICTORIA ST, KATOOMBA NSW 2780"/>
    <s v="Katoomba"/>
    <n v="2498.79"/>
    <m/>
    <n v="2498.79"/>
    <n v="2748.6690000000003"/>
    <m/>
    <n v="732.93000000000006"/>
    <n v="732.93000000000006"/>
    <n v="1765.86"/>
    <n v="0.70668603604144398"/>
    <m/>
    <d v="2018-03-15T00:00:00"/>
    <m/>
    <s v="Tony Gabriel"/>
    <m/>
    <m/>
    <m/>
    <m/>
    <m/>
  </r>
  <r>
    <x v="2"/>
    <s v="Sydney"/>
    <s v="Inv 13617"/>
    <d v="2018-05-17T00:00:00"/>
    <d v="2018-04-28T00:00:00"/>
    <d v="2018-04-30T00:00:00"/>
    <d v="2018-05-03T00:00:00"/>
    <d v="2018-05-10T00:00:00"/>
    <d v="2018-05-09T00:00:00"/>
    <d v="2018-05-17T00:00:00"/>
    <m/>
    <x v="7"/>
    <s v="May-18"/>
    <s v="MW21967-AYCA-4UKN6A-2WET-65-727 The Horsley Dr, Smithfield"/>
    <s v="Smithfield"/>
    <n v="674.33"/>
    <n v="2407.5039999999999"/>
    <n v="3081.8339999999998"/>
    <n v="3390.0174000000002"/>
    <n v="613.94000000000005"/>
    <m/>
    <n v="613.94000000000005"/>
    <n v="2467.8939999999998"/>
    <n v="0.8007874531853435"/>
    <m/>
    <d v="2018-05-14T00:00:00"/>
    <m/>
    <s v="Ertan Cicek"/>
    <s v="Direct Award"/>
    <d v="2018-02-28T00:00:00"/>
    <m/>
    <d v="2018-04-05T00:00:00"/>
    <n v="36"/>
  </r>
  <r>
    <x v="7"/>
    <s v="NSW"/>
    <s v="Inv 13311"/>
    <d v="2018-03-02T00:00:00"/>
    <d v="2018-03-02T00:00:00"/>
    <d v="2018-03-02T00:00:00"/>
    <m/>
    <m/>
    <m/>
    <d v="2018-05-22T00:00:00"/>
    <m/>
    <x v="11"/>
    <s v="May-18"/>
    <s v="MW22061 - INC000007044511 - Lot 857, 93 Leumeah Street, Sanctuary Point, NSW 2540"/>
    <s v="Sanctuary Point"/>
    <n v="3281.35"/>
    <m/>
    <n v="3281.35"/>
    <n v="3609.4850000000001"/>
    <n v="2590"/>
    <n v="375.19"/>
    <n v="2965.19"/>
    <n v="316.15999999999985"/>
    <n v="9.6350587410669347E-2"/>
    <m/>
    <d v="2018-03-16T00:00:00"/>
    <m/>
    <s v="Tony Gabriel"/>
    <m/>
    <m/>
    <m/>
    <m/>
    <m/>
  </r>
  <r>
    <x v="7"/>
    <s v="NSW"/>
    <s v="Inv 13313"/>
    <d v="2018-03-02T00:00:00"/>
    <d v="2018-03-02T00:00:00"/>
    <d v="2018-03-02T00:00:00"/>
    <m/>
    <m/>
    <m/>
    <d v="2018-05-01T00:00:00"/>
    <m/>
    <x v="11"/>
    <s v="May-18"/>
    <s v="MW22131 - INC000007112970 – 201 KATOOMBA ST, KATOOMBA"/>
    <s v="Katoomba"/>
    <n v="256.27999999999997"/>
    <m/>
    <n v="256.27999999999997"/>
    <n v="281.90800000000002"/>
    <m/>
    <n v="88.28"/>
    <n v="88.28"/>
    <n v="167.99999999999997"/>
    <n v="0.6555330107694709"/>
    <m/>
    <d v="2018-03-16T00:00:00"/>
    <m/>
    <s v="Tony Gabriel"/>
    <m/>
    <m/>
    <m/>
    <m/>
    <m/>
  </r>
  <r>
    <x v="7"/>
    <s v="NSW"/>
    <s v="Inv 13586"/>
    <d v="2018-03-06T00:00:00"/>
    <d v="2018-03-06T00:00:00"/>
    <d v="2018-03-06T00:00:00"/>
    <m/>
    <m/>
    <m/>
    <d v="2018-05-10T00:00:00"/>
    <m/>
    <x v="11"/>
    <s v="May-18"/>
    <s v="MW22234 - INC000007115529 – UNIT 1 95 LURLINE ST, KATOOMBA"/>
    <s v="Katoomba"/>
    <n v="512.55999999999995"/>
    <m/>
    <n v="512.55999999999995"/>
    <n v="563.81600000000003"/>
    <m/>
    <n v="176.56"/>
    <n v="176.56"/>
    <n v="335.99999999999994"/>
    <n v="0.6555330107694709"/>
    <m/>
    <d v="2018-03-20T00:00:00"/>
    <m/>
    <s v="Tony Gabriel"/>
    <m/>
    <m/>
    <m/>
    <m/>
    <m/>
  </r>
  <r>
    <x v="7"/>
    <s v="NSW"/>
    <s v="Inv 13322"/>
    <d v="2018-03-06T00:00:00"/>
    <d v="2018-03-06T00:00:00"/>
    <d v="2018-02-16T00:00:00"/>
    <m/>
    <m/>
    <m/>
    <d v="2018-05-15T00:00:00"/>
    <m/>
    <x v="2"/>
    <s v="May-18"/>
    <s v="MW22233 - INC000007194856 – 31 SUNBEAM AV, BLACKHEATH "/>
    <s v="Blackheath"/>
    <n v="128.13999999999999"/>
    <m/>
    <n v="128.13999999999999"/>
    <n v="140.95400000000001"/>
    <m/>
    <n v="44.14"/>
    <n v="44.14"/>
    <n v="83.999999999999986"/>
    <n v="0.6555330107694709"/>
    <m/>
    <d v="2018-03-02T00:00:00"/>
    <m/>
    <s v="Tony Gabriel"/>
    <m/>
    <m/>
    <m/>
    <m/>
    <m/>
  </r>
  <r>
    <x v="2"/>
    <s v="Sydney"/>
    <s v="Inv 113752"/>
    <d v="2018-06-20T00:00:00"/>
    <d v="2018-05-28T00:00:00"/>
    <d v="2018-05-29T00:00:00"/>
    <d v="2018-05-31T00:00:00"/>
    <d v="2018-06-05T00:00:00"/>
    <d v="2018-06-08T00:00:00"/>
    <d v="2018-06-19T00:00:00"/>
    <m/>
    <x v="8"/>
    <s v="Jun-18"/>
    <s v="MW21970-AYCA-4YZGFK-2PEN-66-51 Boronia St, South Wentworthville"/>
    <s v="Wentworthville"/>
    <n v="1021.38"/>
    <n v="3224.76"/>
    <n v="4246.1400000000003"/>
    <n v="4670.7540000000008"/>
    <n v="2111.52"/>
    <m/>
    <n v="2111.52"/>
    <n v="2134.6200000000003"/>
    <n v="0.50272011756560075"/>
    <m/>
    <d v="2018-06-12T00:00:00"/>
    <m/>
    <s v="Ertan Cicek"/>
    <s v="Direct Award"/>
    <d v="2018-03-02T00:00:00"/>
    <m/>
    <d v="2018-04-06T00:00:00"/>
    <n v="35"/>
  </r>
  <r>
    <x v="2"/>
    <s v="Sydney"/>
    <s v="Inv 13503"/>
    <d v="2018-04-19T00:00:00"/>
    <d v="2018-03-26T00:00:00"/>
    <d v="2018-03-27T00:00:00"/>
    <d v="2018-04-04T00:00:00"/>
    <d v="2018-04-06T00:00:00"/>
    <d v="2018-04-12T00:00:00"/>
    <d v="2018-04-26T00:00:00"/>
    <m/>
    <x v="11"/>
    <s v="Apr-18"/>
    <s v="MW21704 - AYCA-4RDSRL - 2BLK-12-bedford gardens - 1"/>
    <s v="Blacktown"/>
    <n v="1195.8499999999999"/>
    <n v="3999.57"/>
    <n v="5195.42"/>
    <n v="5714.9620000000004"/>
    <n v="1294.92"/>
    <m/>
    <n v="1294.92"/>
    <n v="3900.5"/>
    <n v="0.75075739786196305"/>
    <m/>
    <d v="2018-04-10T00:00:00"/>
    <m/>
    <s v="Ertan Cicek "/>
    <s v="Direct Award"/>
    <d v="2018-01-05T00:00:00"/>
    <m/>
    <d v="2018-01-30T00:00:00"/>
    <n v="25"/>
  </r>
  <r>
    <x v="1"/>
    <s v="Sydney"/>
    <m/>
    <m/>
    <m/>
    <d v="2018-07-30T00:00:00"/>
    <m/>
    <m/>
    <m/>
    <m/>
    <m/>
    <x v="9"/>
    <s v="Jan-00"/>
    <s v="MW21456 - 2BLK-07-16 - 51 Huntingwood Drive"/>
    <s v="Huntingwood"/>
    <n v="30428.35"/>
    <m/>
    <n v="30428.35"/>
    <n v="33471.184999999998"/>
    <n v="9404.68"/>
    <m/>
    <n v="9404.68"/>
    <n v="21023.67"/>
    <n v="0.69092376024332569"/>
    <m/>
    <d v="2018-08-13T00:00:00"/>
    <m/>
    <s v="Greg Moeller"/>
    <d v="2017-11-27T00:00:00"/>
    <d v="2018-03-28T00:00:00"/>
    <m/>
    <d v="2018-04-30T00:00:00"/>
    <n v="33"/>
  </r>
  <r>
    <x v="6"/>
    <s v="NSW"/>
    <s v="Inv 13323"/>
    <d v="2018-03-06T00:00:00"/>
    <d v="2018-03-06T00:00:00"/>
    <d v="2018-03-06T00:00:00"/>
    <m/>
    <m/>
    <m/>
    <d v="2018-05-01T00:00:00"/>
    <m/>
    <x v="11"/>
    <s v="May-18"/>
    <s v="MW22132 - INC000007252034 - Lot 166, 11 Poulton St, Ashmont, NSW"/>
    <s v="Ashmont"/>
    <n v="640.70000000000005"/>
    <m/>
    <n v="640.70000000000005"/>
    <n v="704.7700000000001"/>
    <m/>
    <n v="250"/>
    <n v="250"/>
    <n v="390.70000000000005"/>
    <n v="0.60980177930388635"/>
    <m/>
    <d v="2018-03-20T00:00:00"/>
    <m/>
    <s v="Tony Gabriel"/>
    <m/>
    <m/>
    <m/>
    <m/>
    <m/>
  </r>
  <r>
    <x v="7"/>
    <s v="NSW"/>
    <s v="Inv 13325"/>
    <d v="2018-03-06T00:00:00"/>
    <d v="2018-03-06T00:00:00"/>
    <d v="2018-03-06T00:00:00"/>
    <m/>
    <m/>
    <m/>
    <d v="2018-05-01T00:00:00"/>
    <m/>
    <x v="11"/>
    <s v="May-18"/>
    <s v="MW22123 - INC000007062621 – 195 LURLINE ST, KATOOMBA"/>
    <s v="Katoomba"/>
    <n v="704.77"/>
    <m/>
    <n v="704.77"/>
    <n v="775.24700000000007"/>
    <m/>
    <n v="242.77"/>
    <n v="242.77"/>
    <n v="462"/>
    <n v="0.6555330107694709"/>
    <m/>
    <d v="2018-03-20T00:00:00"/>
    <m/>
    <s v="Tony Gabriel"/>
    <m/>
    <m/>
    <m/>
    <m/>
    <m/>
  </r>
  <r>
    <x v="7"/>
    <s v="NSW"/>
    <s v="Inv 13324"/>
    <d v="2018-03-06T00:00:00"/>
    <d v="2018-03-06T00:00:00"/>
    <d v="2018-03-06T00:00:00"/>
    <m/>
    <m/>
    <m/>
    <d v="2018-05-01T00:00:00"/>
    <m/>
    <x v="11"/>
    <s v="May-18"/>
    <s v="MW22122 - INC000007203801 – 22 SUNBEAM AV, BLACKHEATH"/>
    <s v="Blackheath"/>
    <n v="256.27999999999997"/>
    <m/>
    <n v="256.27999999999997"/>
    <n v="281.90800000000002"/>
    <m/>
    <n v="88.28"/>
    <n v="88.28"/>
    <n v="167.99999999999997"/>
    <n v="0.6555330107694709"/>
    <m/>
    <d v="2018-03-20T00:00:00"/>
    <m/>
    <s v="Tony Gabriel"/>
    <m/>
    <m/>
    <m/>
    <m/>
    <m/>
  </r>
  <r>
    <x v="7"/>
    <s v="NSW"/>
    <s v="Inv 13331"/>
    <d v="2018-03-07T00:00:00"/>
    <d v="2018-03-07T00:00:00"/>
    <d v="2018-03-07T00:00:00"/>
    <m/>
    <m/>
    <m/>
    <d v="2018-05-01T00:00:00"/>
    <m/>
    <x v="11"/>
    <s v="May-18"/>
    <s v="MW22120 - INC000007212301 – 73 RIDGE ST, LAWSON"/>
    <s v="Lawson"/>
    <n v="128.13999999999999"/>
    <m/>
    <n v="128.13999999999999"/>
    <n v="140.95400000000001"/>
    <m/>
    <n v="44.14"/>
    <n v="44.14"/>
    <n v="83.999999999999986"/>
    <n v="0.6555330107694709"/>
    <m/>
    <d v="2018-03-21T00:00:00"/>
    <m/>
    <s v="Tony Gabriel"/>
    <m/>
    <m/>
    <m/>
    <m/>
    <m/>
  </r>
  <r>
    <x v="7"/>
    <s v="NSW"/>
    <s v="Inv 13330"/>
    <d v="2018-03-07T00:00:00"/>
    <d v="2018-03-07T00:00:00"/>
    <d v="2018-03-07T00:00:00"/>
    <m/>
    <m/>
    <m/>
    <d v="2018-05-01T00:00:00"/>
    <m/>
    <x v="11"/>
    <s v="May-18"/>
    <s v="MW22110 - INC000007232295 – 13 KUNDIBAR ST, KATOOMBA"/>
    <s v="Katoomba"/>
    <n v="256.27999999999997"/>
    <m/>
    <n v="256.27999999999997"/>
    <n v="281.90800000000002"/>
    <m/>
    <n v="88.28"/>
    <n v="88.28"/>
    <n v="167.99999999999997"/>
    <n v="0.6555330107694709"/>
    <m/>
    <d v="2018-03-21T00:00:00"/>
    <m/>
    <s v="Tony Gabriel"/>
    <m/>
    <m/>
    <m/>
    <m/>
    <m/>
  </r>
  <r>
    <x v="7"/>
    <s v="NSW"/>
    <s v="Inv 13332"/>
    <d v="2018-03-07T00:00:00"/>
    <d v="2018-03-07T00:00:00"/>
    <d v="2018-03-07T00:00:00"/>
    <m/>
    <m/>
    <m/>
    <d v="2018-05-01T00:00:00"/>
    <m/>
    <x v="11"/>
    <s v="May-18"/>
    <s v="MW22111 - INC000007080982 – 10 LORNA CL, BUNDANOON"/>
    <s v="Bundanoon"/>
    <n v="320.34999999999997"/>
    <m/>
    <n v="320.34999999999997"/>
    <n v="352.38499999999999"/>
    <m/>
    <n v="110.35"/>
    <n v="110.35"/>
    <n v="209.99999999999997"/>
    <n v="0.6555330107694709"/>
    <m/>
    <d v="2018-03-21T00:00:00"/>
    <m/>
    <s v="Tony Gabriel"/>
    <m/>
    <m/>
    <m/>
    <m/>
    <m/>
  </r>
  <r>
    <x v="8"/>
    <s v="NSW"/>
    <s v="Inv 13409"/>
    <d v="2018-03-23T00:00:00"/>
    <d v="2018-03-30T00:00:00"/>
    <d v="2018-03-30T00:00:00"/>
    <m/>
    <m/>
    <m/>
    <d v="2018-04-30T00:00:00"/>
    <m/>
    <x v="11"/>
    <s v="Apr-18"/>
    <s v="23 Narabang Way Road crossing"/>
    <s v="Belrose"/>
    <n v="8225.7000000000007"/>
    <n v="1515.82"/>
    <n v="9741.52"/>
    <n v="10715.672"/>
    <m/>
    <m/>
    <n v="0"/>
    <n v="9741.52"/>
    <n v="1"/>
    <m/>
    <d v="2018-04-13T00:00:00"/>
    <m/>
    <s v="Brian Ahern"/>
    <m/>
    <m/>
    <m/>
    <m/>
    <m/>
  </r>
  <r>
    <x v="7"/>
    <s v="NSW"/>
    <s v="Inv 13333"/>
    <d v="2018-03-07T00:00:00"/>
    <d v="2018-03-07T00:00:00"/>
    <d v="2018-03-07T00:00:00"/>
    <m/>
    <m/>
    <m/>
    <d v="2018-05-01T00:00:00"/>
    <m/>
    <x v="11"/>
    <s v="May-18"/>
    <s v="MW22117 - INC000007115099 - 64 CHURCH ST, MILTON"/>
    <s v="Milton"/>
    <n v="825.69999999999993"/>
    <m/>
    <n v="825.69999999999993"/>
    <n v="908.27"/>
    <m/>
    <n v="220.7"/>
    <n v="220.7"/>
    <n v="605"/>
    <n v="0.7327116386096646"/>
    <m/>
    <d v="2018-03-21T00:00:00"/>
    <m/>
    <s v="Tony Gabriel"/>
    <m/>
    <m/>
    <m/>
    <m/>
    <m/>
  </r>
  <r>
    <x v="7"/>
    <s v="NSW"/>
    <s v="Inv 13334"/>
    <d v="2018-03-07T00:00:00"/>
    <d v="2018-03-07T00:00:00"/>
    <d v="2018-03-07T00:00:00"/>
    <m/>
    <m/>
    <m/>
    <d v="2018-05-01T00:00:00"/>
    <m/>
    <x v="11"/>
    <s v="May-18"/>
    <s v="MW22113 - INC000007099865 - Lot 241, 75 Barton Street, Oak Flats, NSW "/>
    <s v="Oak Flats"/>
    <n v="2229.3000000000002"/>
    <m/>
    <n v="2229.3000000000002"/>
    <n v="2452.2300000000005"/>
    <m/>
    <n v="176.56"/>
    <n v="176.56"/>
    <n v="2052.7400000000002"/>
    <n v="0.92080025119992825"/>
    <m/>
    <d v="2018-03-21T00:00:00"/>
    <m/>
    <s v="Tony Gabriel"/>
    <m/>
    <m/>
    <m/>
    <m/>
    <m/>
  </r>
  <r>
    <x v="7"/>
    <s v="NSW"/>
    <s v="Inv 13337"/>
    <d v="2018-03-07T00:00:00"/>
    <d v="2018-03-07T00:00:00"/>
    <d v="2018-03-07T00:00:00"/>
    <m/>
    <m/>
    <m/>
    <d v="2018-05-01T00:00:00"/>
    <m/>
    <x v="11"/>
    <s v="May-18"/>
    <s v="MW22119 - INC000007204274 - LOT 192, 47 ELM ST, ALBION PARK RAIL NSW "/>
    <s v="Albion Park"/>
    <n v="3511.9700000000003"/>
    <m/>
    <n v="3511.9700000000003"/>
    <n v="3863.1670000000004"/>
    <m/>
    <n v="154.49"/>
    <n v="154.49"/>
    <n v="3357.4800000000005"/>
    <n v="0.95601044428056059"/>
    <m/>
    <d v="2018-03-21T00:00:00"/>
    <m/>
    <s v="Tony Gabriel"/>
    <m/>
    <m/>
    <m/>
    <m/>
    <m/>
  </r>
  <r>
    <x v="7"/>
    <s v="NSW"/>
    <s v="Inv 13338"/>
    <d v="2018-03-07T00:00:00"/>
    <d v="2018-03-07T00:00:00"/>
    <d v="2018-03-07T00:00:00"/>
    <m/>
    <m/>
    <m/>
    <d v="2018-05-01T00:00:00"/>
    <m/>
    <x v="11"/>
    <s v="May-18"/>
    <s v="MW22121 - INC000007123502 - 55 PEPPERMINT DR, WORRIGEE NSW"/>
    <s v="Worrigee"/>
    <n v="1402.33"/>
    <m/>
    <n v="1402.33"/>
    <n v="1542.5630000000001"/>
    <m/>
    <n v="604.32999999999993"/>
    <n v="604.32999999999993"/>
    <n v="798"/>
    <n v="0.5690529333323826"/>
    <m/>
    <d v="2018-03-21T00:00:00"/>
    <m/>
    <s v="Tony Gabriel"/>
    <m/>
    <m/>
    <m/>
    <m/>
    <m/>
  </r>
  <r>
    <x v="7"/>
    <s v="NSW"/>
    <s v="Inv 13340"/>
    <d v="2018-03-07T00:00:00"/>
    <d v="2018-03-07T00:00:00"/>
    <d v="2018-03-07T00:00:00"/>
    <m/>
    <m/>
    <m/>
    <d v="2018-05-01T00:00:00"/>
    <m/>
    <x v="11"/>
    <s v="May-18"/>
    <s v="MW22108 - INC000007113365 – Lot 2464, 1 Emu Av, Sanctuary Point, NSW "/>
    <s v="Sanctuary Point"/>
    <n v="512.55999999999995"/>
    <m/>
    <n v="512.55999999999995"/>
    <n v="563.81600000000003"/>
    <m/>
    <n v="176.56"/>
    <n v="176.56"/>
    <n v="335.99999999999994"/>
    <n v="0.6555330107694709"/>
    <m/>
    <d v="2018-03-21T00:00:00"/>
    <m/>
    <s v="Tony Gabriel"/>
    <m/>
    <m/>
    <m/>
    <m/>
    <m/>
  </r>
  <r>
    <x v="6"/>
    <s v="NSW"/>
    <s v="Inv 13353"/>
    <d v="2018-03-08T00:00:00"/>
    <d v="2018-03-08T00:00:00"/>
    <d v="2018-03-08T00:00:00"/>
    <m/>
    <m/>
    <m/>
    <d v="2018-05-01T00:00:00"/>
    <m/>
    <x v="11"/>
    <s v="May-18"/>
    <s v="MW22133 - INC000007104657 - Lot 232, 30 Crisp Drive, Ashmont"/>
    <s v="Ashmont"/>
    <n v="1153.26"/>
    <m/>
    <n v="1153.26"/>
    <n v="1268.586"/>
    <m/>
    <n v="350"/>
    <n v="350"/>
    <n v="803.26"/>
    <n v="1.5671531137818013"/>
    <m/>
    <d v="2018-03-21T00:00:00"/>
    <m/>
    <s v="Tony Gabriel"/>
    <m/>
    <m/>
    <m/>
    <m/>
    <m/>
  </r>
  <r>
    <x v="6"/>
    <s v="NSW"/>
    <s v="Inv 13354"/>
    <d v="2018-03-08T00:00:00"/>
    <d v="2018-03-08T00:00:00"/>
    <d v="2018-03-08T00:00:00"/>
    <m/>
    <m/>
    <m/>
    <d v="2018-05-01T00:00:00"/>
    <m/>
    <x v="11"/>
    <s v="May-18"/>
    <s v="MW22138 - INC000007230232 - Lot 257, 14 Toy Pl, Tolland, NSW"/>
    <s v="Tolland"/>
    <n v="1217.33"/>
    <m/>
    <n v="1217.33"/>
    <n v="1339.0630000000001"/>
    <m/>
    <n v="475"/>
    <n v="475"/>
    <n v="742.32999999999993"/>
    <n v="0.64367965593188003"/>
    <m/>
    <d v="2018-03-22T00:00:00"/>
    <m/>
    <s v="Tony Gabriel"/>
    <m/>
    <m/>
    <m/>
    <m/>
    <m/>
  </r>
  <r>
    <x v="6"/>
    <s v="NSW"/>
    <s v="Inv 13355"/>
    <d v="2018-03-08T00:00:00"/>
    <d v="2018-03-08T00:00:00"/>
    <d v="2018-03-08T00:00:00"/>
    <m/>
    <m/>
    <m/>
    <d v="2018-05-01T00:00:00"/>
    <m/>
    <x v="11"/>
    <s v="May-18"/>
    <s v="MW22141 - INC000007222465 - Lot 30, 4 Banksia Avenue, Leeton"/>
    <s v="Leeton"/>
    <n v="320.35000000000002"/>
    <m/>
    <n v="320.35000000000002"/>
    <n v="352.38500000000005"/>
    <m/>
    <n v="150"/>
    <n v="150"/>
    <n v="170.35000000000002"/>
    <n v="0.13993740399070098"/>
    <m/>
    <d v="2018-03-22T00:00:00"/>
    <m/>
    <s v="Tony Gabriel"/>
    <m/>
    <m/>
    <m/>
    <m/>
    <m/>
  </r>
  <r>
    <x v="6"/>
    <s v="NSW"/>
    <s v="Inv 13356"/>
    <d v="2018-03-08T00:00:00"/>
    <d v="2018-03-08T00:00:00"/>
    <d v="2018-03-08T00:00:00"/>
    <m/>
    <m/>
    <m/>
    <d v="2018-05-01T00:00:00"/>
    <m/>
    <x v="11"/>
    <s v="May-18"/>
    <s v="MW22142 - INC000007223690 - 150 Gurwood St, Wagga Wagga, NSW"/>
    <s v="Wagga Wagga"/>
    <n v="512.55999999999995"/>
    <m/>
    <n v="512.55999999999995"/>
    <n v="563.81600000000003"/>
    <m/>
    <n v="175"/>
    <n v="175"/>
    <n v="337.55999999999995"/>
    <n v="1.0537224910254406"/>
    <m/>
    <d v="2018-03-22T00:00:00"/>
    <m/>
    <s v="Tony Gabriel"/>
    <m/>
    <m/>
    <m/>
    <m/>
    <m/>
  </r>
  <r>
    <x v="6"/>
    <s v="NSW"/>
    <s v="Inv 13357"/>
    <d v="2018-03-08T00:00:00"/>
    <d v="2018-03-08T00:00:00"/>
    <d v="2018-03-08T00:00:00"/>
    <m/>
    <m/>
    <m/>
    <d v="2018-05-22T00:00:00"/>
    <m/>
    <x v="11"/>
    <s v="May-18"/>
    <s v="MW22139 - INC000007221664 - 92 East Street, Narrandera"/>
    <s v="Narrandera"/>
    <n v="256.27999999999997"/>
    <m/>
    <n v="256.27999999999997"/>
    <n v="281.90800000000002"/>
    <m/>
    <n v="100"/>
    <n v="100"/>
    <n v="156.27999999999997"/>
    <n v="0.30490088965194317"/>
    <m/>
    <d v="2018-03-22T00:00:00"/>
    <m/>
    <s v="Tony Gabriel"/>
    <m/>
    <m/>
    <m/>
    <m/>
    <m/>
  </r>
  <r>
    <x v="6"/>
    <s v="NSW"/>
    <s v="Inv 13358"/>
    <d v="2018-03-08T00:00:00"/>
    <d v="2018-03-08T00:00:00"/>
    <d v="2018-03-08T00:00:00"/>
    <m/>
    <m/>
    <m/>
    <m/>
    <m/>
    <x v="11"/>
    <s v="Jan-00"/>
    <s v="MW22235 - INC000007210193 - 36 Blakemore Av, Ashmont, NSW"/>
    <s v="Ashmont"/>
    <n v="1153.2599999999998"/>
    <m/>
    <n v="1153.2599999999998"/>
    <n v="1268.5859999999998"/>
    <m/>
    <n v="450"/>
    <n v="450"/>
    <n v="703.25999999999976"/>
    <n v="2.7441080068674881"/>
    <m/>
    <d v="2018-03-22T00:00:00"/>
    <m/>
    <s v="Tony Gabriel"/>
    <m/>
    <m/>
    <m/>
    <m/>
    <m/>
  </r>
  <r>
    <x v="2"/>
    <s v="Sydney"/>
    <s v="Inv 13672"/>
    <d v="2018-05-28T00:00:00"/>
    <d v="2018-05-09T00:00:00"/>
    <d v="2018-05-09T00:00:00"/>
    <d v="2018-05-15T00:00:00"/>
    <d v="2018-05-02T00:00:00"/>
    <d v="2018-05-23T00:00:00"/>
    <d v="2018-06-12T00:00:00"/>
    <m/>
    <x v="8"/>
    <s v="Jun-18"/>
    <s v="MW21835-AYCA-4MJ7W3-2WRO-63-8-10 Park Ave, Waitara"/>
    <s v="Waitara"/>
    <n v="704.71"/>
    <n v="4996.3599999999997"/>
    <n v="5701.07"/>
    <n v="6271.1770000000006"/>
    <n v="1885.45"/>
    <m/>
    <n v="1885.45"/>
    <n v="3815.62"/>
    <n v="0.66928138051278097"/>
    <m/>
    <d v="2018-05-23T00:00:00"/>
    <m/>
    <s v="Ertan Cicek"/>
    <s v="Direct Award"/>
    <d v="2018-03-07T00:00:00"/>
    <m/>
    <d v="2018-03-20T00:00:00"/>
    <n v="13"/>
  </r>
  <r>
    <x v="0"/>
    <s v="West NSW"/>
    <s v="Inv 13597"/>
    <d v="2018-05-17T00:00:00"/>
    <d v="2018-04-27T00:00:00"/>
    <d v="2018-04-30T00:00:00"/>
    <m/>
    <m/>
    <d v="2018-05-09T00:00:00"/>
    <d v="2018-05-15T00:00:00"/>
    <m/>
    <x v="7"/>
    <s v="May-18"/>
    <s v="MW22032-AYCA-4C48KZ-2MDG-01-4 Lewis Street Mudgee"/>
    <s v="Mudgee"/>
    <n v="6077.33"/>
    <m/>
    <n v="6077.33"/>
    <n v="6685.0630000000001"/>
    <n v="3773.27"/>
    <m/>
    <n v="3773.27"/>
    <n v="2304.06"/>
    <n v="0.37912372703144309"/>
    <m/>
    <d v="2018-05-14T00:00:00"/>
    <m/>
    <s v="Dave Yoemans"/>
    <d v="2018-03-05T00:00:00"/>
    <d v="2018-03-18T00:00:00"/>
    <m/>
    <d v="2018-04-01T00:00:00"/>
    <n v="14"/>
  </r>
  <r>
    <x v="0"/>
    <s v="West NSW"/>
    <s v="Inv 13718"/>
    <d v="2018-06-14T00:00:00"/>
    <d v="2018-06-04T00:00:00"/>
    <d v="2018-06-04T00:00:00"/>
    <m/>
    <m/>
    <d v="2018-06-15T00:00:00"/>
    <d v="2018-06-22T00:00:00"/>
    <m/>
    <x v="14"/>
    <s v="Jun-18"/>
    <s v="MW22035-AYCA-4C4E63-2CWR-01-11 Liverpool Street Cowra"/>
    <s v="Cowra"/>
    <n v="8506.73"/>
    <m/>
    <n v="8506.73"/>
    <n v="9357.4030000000002"/>
    <m/>
    <m/>
    <n v="0"/>
    <n v="8506.73"/>
    <n v="1"/>
    <m/>
    <d v="2018-06-18T00:00:00"/>
    <m/>
    <s v="Dave Yoemans"/>
    <d v="2018-03-05T00:00:00"/>
    <d v="2018-03-16T00:00:00"/>
    <m/>
    <d v="2018-04-01T00:00:00"/>
    <n v="16"/>
  </r>
  <r>
    <x v="0"/>
    <s v="Newcastle"/>
    <m/>
    <m/>
    <d v="2018-04-10T00:00:00"/>
    <d v="2018-04-10T00:00:00"/>
    <m/>
    <m/>
    <d v="2018-04-23T00:00:00"/>
    <d v="2018-05-01T00:00:00"/>
    <m/>
    <x v="7"/>
    <s v="May-18"/>
    <s v="MW22034-AYCA-4DZ83F-2NLT-01-6 Callan Avenue Maryland "/>
    <s v="Maryland"/>
    <n v="4859.5"/>
    <m/>
    <n v="4859.5"/>
    <n v="5345.4500000000007"/>
    <n v="3013.08"/>
    <m/>
    <n v="3013.08"/>
    <n v="1846.42"/>
    <n v="0.37996090132729704"/>
    <m/>
    <d v="2018-04-24T00:00:00"/>
    <m/>
    <s v="Dave Yoemans"/>
    <d v="2018-03-05T00:00:00"/>
    <d v="2018-03-19T00:00:00"/>
    <m/>
    <d v="2018-04-01T00:00:00"/>
    <n v="13"/>
  </r>
  <r>
    <x v="0"/>
    <s v="Sth NSW"/>
    <s v="Inv 13776"/>
    <d v="2018-06-29T00:00:00"/>
    <d v="2018-06-05T00:00:00"/>
    <d v="2018-06-05T00:00:00"/>
    <m/>
    <m/>
    <d v="2018-06-20T00:00:00"/>
    <d v="2018-06-26T00:00:00"/>
    <m/>
    <x v="14"/>
    <s v="Jun-18"/>
    <s v="MW22033 -AYCA-4PX9WA- 2YAS-01 - 23 Browne Street Yass"/>
    <s v="Yass"/>
    <n v="2191.88"/>
    <m/>
    <n v="2191.88"/>
    <n v="2411.0680000000002"/>
    <m/>
    <m/>
    <n v="0"/>
    <n v="2191.88"/>
    <n v="1"/>
    <m/>
    <d v="2018-06-19T00:00:00"/>
    <m/>
    <s v="Dave Yoemans"/>
    <d v="2018-03-05T00:00:00"/>
    <d v="2018-03-16T00:00:00"/>
    <m/>
    <d v="2018-04-01T00:00:00"/>
    <n v="16"/>
  </r>
  <r>
    <x v="2"/>
    <s v="Sydney"/>
    <m/>
    <m/>
    <m/>
    <d v="2018-11-30T00:00:00"/>
    <m/>
    <m/>
    <m/>
    <m/>
    <m/>
    <x v="16"/>
    <s v="Jan-00"/>
    <s v="MW21971-AYCA-4X6TWU-2LID-08-43 - 47 Harrow Rd, Auburn, EXT"/>
    <s v="Auburn"/>
    <n v="279.01"/>
    <m/>
    <n v="279.01"/>
    <n v="306.911"/>
    <m/>
    <m/>
    <n v="0"/>
    <n v="279.01"/>
    <n v="1"/>
    <m/>
    <d v="2018-12-14T00:00:00"/>
    <m/>
    <s v="Nabeel Jaimon"/>
    <s v="Direct Award"/>
    <d v="2018-02-28T00:00:00"/>
    <m/>
    <d v="2018-04-06T00:00:00"/>
    <n v="37"/>
  </r>
  <r>
    <x v="2"/>
    <s v="Sydney"/>
    <m/>
    <m/>
    <d v="2018-06-25T00:00:00"/>
    <d v="2018-06-25T00:00:00"/>
    <m/>
    <m/>
    <d v="2018-07-09T00:00:00"/>
    <d v="2018-07-23T00:00:00"/>
    <m/>
    <x v="14"/>
    <s v="Jul-18"/>
    <s v="MW21994-AYCA-4W4BKH-2HOM-02-38 Weeroona Rd Strathfield INT"/>
    <s v="Strathfield"/>
    <n v="840"/>
    <m/>
    <n v="840"/>
    <n v="924.00000000000011"/>
    <m/>
    <m/>
    <n v="0"/>
    <n v="840"/>
    <n v="1"/>
    <m/>
    <d v="2018-07-09T00:00:00"/>
    <m/>
    <s v="Nabeel Jaimon"/>
    <s v="Direct Award"/>
    <d v="2018-03-06T00:00:00"/>
    <m/>
    <d v="2018-03-28T00:00:00"/>
    <n v="22"/>
  </r>
  <r>
    <x v="2"/>
    <s v="Sydney"/>
    <m/>
    <m/>
    <m/>
    <d v="2018-11-30T00:00:00"/>
    <m/>
    <m/>
    <m/>
    <m/>
    <m/>
    <x v="16"/>
    <s v="Jan-00"/>
    <s v="MW22002-AYCA-4X6TWU-2LID-08-43-47 Harrow Rd Auburn,  INT"/>
    <s v="Auburn"/>
    <n v="560"/>
    <m/>
    <n v="560"/>
    <n v="616"/>
    <m/>
    <m/>
    <n v="0"/>
    <n v="560"/>
    <n v="1"/>
    <m/>
    <d v="2018-12-14T00:00:00"/>
    <m/>
    <s v="Nabeel Jaimon"/>
    <s v="Direct Award"/>
    <d v="2018-03-06T00:00:00"/>
    <m/>
    <d v="2018-04-03T00:00:00"/>
    <n v="28"/>
  </r>
  <r>
    <x v="2"/>
    <s v="Sydney"/>
    <m/>
    <m/>
    <m/>
    <d v="2018-07-30T00:00:00"/>
    <s v=" "/>
    <m/>
    <m/>
    <m/>
    <m/>
    <x v="9"/>
    <s v="Jan-00"/>
    <s v="MW22007-AYCA-4VJFPP-2NEW-22-19-21 Eve St, Erskineville"/>
    <s v="Erskinville"/>
    <n v="1201.18"/>
    <m/>
    <n v="1201.18"/>
    <n v="1321.2980000000002"/>
    <m/>
    <m/>
    <n v="0"/>
    <n v="1201.18"/>
    <n v="1"/>
    <m/>
    <d v="2018-08-13T00:00:00"/>
    <m/>
    <s v="Ertan Cicek"/>
    <s v="Direct Award"/>
    <d v="2018-03-07T00:00:00"/>
    <m/>
    <d v="2018-04-05T00:00:00"/>
    <n v="29"/>
  </r>
  <r>
    <x v="2"/>
    <s v="Sydney"/>
    <s v="Inv 13517"/>
    <d v="2018-04-20T00:00:00"/>
    <d v="2018-03-26T00:00:00"/>
    <d v="2018-03-27T00:00:00"/>
    <d v="2018-04-04T00:00:00"/>
    <d v="2018-04-13T00:00:00"/>
    <d v="2018-04-11T00:00:00"/>
    <d v="2018-04-24T00:00:00"/>
    <m/>
    <x v="11"/>
    <s v="Apr-18"/>
    <s v="MW21881-AYCA-2YGB4Y-2BLK-01-EXTERNAL"/>
    <s v="Blacktown"/>
    <n v="561.20000000000005"/>
    <n v="3014.58"/>
    <n v="3575.7799999999997"/>
    <n v="3933.3580000000002"/>
    <n v="2156.54"/>
    <m/>
    <n v="2156.54"/>
    <n v="1419.2399999999998"/>
    <n v="0.39690361263836138"/>
    <m/>
    <d v="2018-04-10T00:00:00"/>
    <m/>
    <s v="Ertan Cicek"/>
    <s v="Direct Award"/>
    <d v="2018-02-26T00:00:00"/>
    <m/>
    <d v="2018-03-22T00:00:00"/>
    <n v="24"/>
  </r>
  <r>
    <x v="0"/>
    <s v="Sydney"/>
    <s v="Inv 13516"/>
    <d v="2018-04-20T00:00:00"/>
    <d v="2018-04-05T00:00:00"/>
    <d v="2018-04-06T00:00:00"/>
    <d v="2018-04-06T00:00:00"/>
    <d v="2018-04-17T00:00:00"/>
    <d v="2018-04-18T00:00:00"/>
    <d v="2018-04-24T00:00:00"/>
    <m/>
    <x v="7"/>
    <s v="Apr-18"/>
    <s v="MW21401 - AYCA-4RYUIS - 2PTH-11 -NSB- Assisi Close Cranebrook"/>
    <s v="Cranebrook"/>
    <n v="900"/>
    <n v="3694.31"/>
    <n v="4594.3099999999995"/>
    <n v="5053.741"/>
    <m/>
    <m/>
    <n v="0"/>
    <n v="4594.3099999999995"/>
    <n v="1"/>
    <m/>
    <d v="2018-04-20T00:00:00"/>
    <m/>
    <s v="Andrew Mahassy"/>
    <d v="2017-10-02T00:00:00"/>
    <d v="2018-02-13T00:00:00"/>
    <n v="134"/>
    <d v="2018-03-02T00:00:00"/>
    <n v="17"/>
  </r>
  <r>
    <x v="2"/>
    <s v="Sydney"/>
    <s v="Inv 13514"/>
    <d v="2018-04-24T00:00:00"/>
    <d v="2018-03-23T00:00:00"/>
    <d v="2018-03-27T00:00:00"/>
    <d v="2018-03-27T00:00:00"/>
    <d v="2018-04-04T00:00:00"/>
    <d v="2018-04-11T00:00:00"/>
    <d v="2018-04-24T00:00:00"/>
    <m/>
    <x v="11"/>
    <s v="Apr-18"/>
    <s v="MW22072-AYCA-4YFIWK-2HOM-03-4 EXTER RD, HOMEBUSH WEST"/>
    <s v="Homebush West"/>
    <n v="1234.18"/>
    <n v="1744.1900000000003"/>
    <n v="2978.3700000000003"/>
    <n v="3276.2070000000008"/>
    <n v="1639.63"/>
    <m/>
    <n v="1639.63"/>
    <n v="1338.7400000000002"/>
    <n v="0.44948747133499201"/>
    <m/>
    <d v="2018-04-10T00:00:00"/>
    <m/>
    <s v="Ertan Cicek"/>
    <s v="Direct Award"/>
    <d v="2018-03-26T00:00:00"/>
    <m/>
    <d v="2018-04-30T00:00:00"/>
    <n v="35"/>
  </r>
  <r>
    <x v="2"/>
    <s v="Sydney"/>
    <s v="Inv 13637"/>
    <d v="2018-05-22T00:00:00"/>
    <d v="2018-05-03T00:00:00"/>
    <d v="2018-05-03T00:00:00"/>
    <d v="2018-05-08T00:00:00"/>
    <d v="2018-05-10T00:00:00"/>
    <d v="2018-05-16T00:00:00"/>
    <d v="2018-05-22T00:00:00"/>
    <m/>
    <x v="8"/>
    <s v="May-18"/>
    <s v="MW22022--AYCA-3TBATE-2PAR-6111 Hassall St, Paramatta"/>
    <s v="Parramatta"/>
    <n v="1400.62"/>
    <n v="7702.47"/>
    <n v="9103.09"/>
    <n v="10013.399000000001"/>
    <n v="4761.7299999999996"/>
    <m/>
    <n v="4761.7299999999996"/>
    <n v="4341.3600000000006"/>
    <n v="0.47691058750380372"/>
    <m/>
    <d v="2018-05-17T00:00:00"/>
    <m/>
    <s v="Ertan Cicek"/>
    <s v="Direct Award"/>
    <d v="2018-03-08T00:00:00"/>
    <m/>
    <d v="2018-04-10T00:00:00"/>
    <n v="33"/>
  </r>
  <r>
    <x v="0"/>
    <s v="Sydney"/>
    <m/>
    <m/>
    <m/>
    <d v="2018-07-30T00:00:00"/>
    <m/>
    <m/>
    <m/>
    <m/>
    <m/>
    <x v="9"/>
    <s v="Jan-00"/>
    <s v="MW22024-AYCA-35DF0W-2KEL-07-1, 1A &amp; 1B President Rd, Kellyville"/>
    <s v="Kellyville"/>
    <n v="2197.21"/>
    <m/>
    <n v="2197.21"/>
    <n v="2416.931"/>
    <m/>
    <m/>
    <n v="0"/>
    <n v="2197.21"/>
    <n v="1"/>
    <m/>
    <d v="2018-08-13T00:00:00"/>
    <m/>
    <s v="Ertan Cicek"/>
    <s v="Direct Award"/>
    <d v="2018-03-08T00:00:00"/>
    <m/>
    <d v="2018-04-10T00:00:00"/>
    <n v="33"/>
  </r>
  <r>
    <x v="2"/>
    <s v="Sydney"/>
    <s v="Inv 13513"/>
    <d v="2018-04-26T00:00:00"/>
    <d v="2018-03-27T00:00:00"/>
    <d v="2018-03-28T00:00:00"/>
    <d v="2018-04-04T00:00:00"/>
    <d v="2018-04-13T00:00:00"/>
    <d v="2018-04-11T00:00:00"/>
    <d v="2018-04-26T00:00:00"/>
    <m/>
    <x v="11"/>
    <s v="Apr-18"/>
    <s v="MW21649- AYCA-1Y6XJM-2KIL-61-GORDON 2 – 1"/>
    <s v="Gordon"/>
    <n v="2026.01"/>
    <n v="4233.07"/>
    <n v="6259.08"/>
    <n v="6884.9880000000003"/>
    <n v="2015.96"/>
    <m/>
    <n v="2015.96"/>
    <n v="4243.12"/>
    <n v="0.67791432606708968"/>
    <m/>
    <d v="2018-04-11T00:00:00"/>
    <m/>
    <s v="Lindy Chan"/>
    <s v="Direct Award"/>
    <d v="2017-12-21T00:00:00"/>
    <m/>
    <d v="2018-02-10T00:00:00"/>
    <n v="51"/>
  </r>
  <r>
    <x v="0"/>
    <s v="Nth Coast"/>
    <s v="Inv 13541"/>
    <d v="2018-04-27T00:00:00"/>
    <d v="2018-04-11T00:00:00"/>
    <d v="2018-04-13T00:00:00"/>
    <m/>
    <m/>
    <d v="2018-04-24T00:00:00"/>
    <d v="2018-05-01T00:00:00"/>
    <m/>
    <x v="7"/>
    <s v="May-18"/>
    <s v="MW22009-AYCA-4L6PEC-2OBA-20-Brooks close, Old Bar"/>
    <s v="Old Bar"/>
    <n v="3519"/>
    <m/>
    <n v="3519"/>
    <n v="3870.9"/>
    <n v="2323.3000000000002"/>
    <m/>
    <n v="2323.3000000000002"/>
    <n v="1195.6999999999998"/>
    <n v="0.33978402955385045"/>
    <m/>
    <d v="2018-04-27T00:00:00"/>
    <m/>
    <s v="Mark Leal"/>
    <d v="2018-02-28T00:00:00"/>
    <d v="2018-03-13T00:00:00"/>
    <n v="13"/>
    <d v="2018-04-01T00:00:00"/>
    <n v="19"/>
  </r>
  <r>
    <x v="0"/>
    <s v="Newcastle"/>
    <m/>
    <m/>
    <d v="2018-04-26T00:00:00"/>
    <d v="2018-04-26T00:00:00"/>
    <d v="2018-05-08T00:00:00"/>
    <d v="2018-05-16T00:00:00"/>
    <d v="2018-05-07T00:00:00"/>
    <d v="2018-05-29T00:00:00"/>
    <m/>
    <x v="7"/>
    <s v="May-18"/>
    <s v="MW22011-AYCA-4GRO21-2RTC-20-55 Kingston Parade, Heatherbae"/>
    <s v="Heatherbae"/>
    <n v="2191.88"/>
    <n v="6277.4249999999993"/>
    <n v="8469.3050000000003"/>
    <n v="9316.2355000000007"/>
    <n v="5405.07"/>
    <m/>
    <n v="5405.07"/>
    <n v="3064.2350000000006"/>
    <n v="0.36180477618883727"/>
    <m/>
    <d v="2018-05-10T00:00:00"/>
    <m/>
    <s v="Mark Leal"/>
    <d v="2018-02-28T00:00:00"/>
    <d v="2018-03-13T00:00:00"/>
    <n v="13"/>
    <d v="2018-04-01T00:00:00"/>
    <n v="19"/>
  </r>
  <r>
    <x v="2"/>
    <s v="Sydney"/>
    <m/>
    <m/>
    <m/>
    <d v="2018-07-30T00:00:00"/>
    <m/>
    <m/>
    <m/>
    <m/>
    <m/>
    <x v="9"/>
    <s v="Jan-00"/>
    <s v="MW22023-AYCA-48280D - 2RED-03 -  906 Bourke St, Zetland"/>
    <s v="Zetland"/>
    <n v="3858.83"/>
    <m/>
    <n v="3858.83"/>
    <n v="4244.7130000000006"/>
    <n v="1285"/>
    <m/>
    <n v="1285"/>
    <n v="2573.83"/>
    <n v="0.66699750960783444"/>
    <m/>
    <d v="2018-08-13T00:00:00"/>
    <m/>
    <s v="Ertan Cicek"/>
    <s v="Direct Award"/>
    <d v="2018-03-13T00:00:00"/>
    <m/>
    <d v="2018-04-09T00:00:00"/>
    <n v="27"/>
  </r>
  <r>
    <x v="2"/>
    <s v="Sydney"/>
    <m/>
    <m/>
    <m/>
    <d v="2017-06-30T00:00:00"/>
    <m/>
    <m/>
    <m/>
    <m/>
    <m/>
    <x v="1"/>
    <s v="Jan-00"/>
    <s v="MW21914 - AYCA-4SRFAN-2BAL-62 - 22/26 Roseberry St Balgowlah NSW "/>
    <s v="Balgowlah"/>
    <n v="560"/>
    <m/>
    <n v="560"/>
    <n v="616"/>
    <m/>
    <m/>
    <n v="0"/>
    <n v="560"/>
    <n v="1"/>
    <m/>
    <d v="2017-07-14T00:00:00"/>
    <m/>
    <s v="Ertan Cicek"/>
    <s v="Direct Award"/>
    <d v="2018-03-14T00:00:00"/>
    <m/>
    <d v="2018-05-15T00:00:00"/>
    <n v="62"/>
  </r>
  <r>
    <x v="2"/>
    <s v="Sydney"/>
    <m/>
    <m/>
    <m/>
    <d v="2018-07-30T00:00:00"/>
    <m/>
    <m/>
    <m/>
    <m/>
    <m/>
    <x v="9"/>
    <s v="Jan-00"/>
    <s v="MW22048-AYCA-52ZO0L-2LID-04-32 Norval St, Auburn EXT"/>
    <s v="Aurburn"/>
    <n v="1156.52"/>
    <m/>
    <n v="1156.52"/>
    <n v="1272.172"/>
    <m/>
    <m/>
    <n v="0"/>
    <n v="1156.52"/>
    <n v="1"/>
    <m/>
    <d v="2018-08-13T00:00:00"/>
    <m/>
    <s v="Ertan Cicek"/>
    <s v="Direct Award"/>
    <d v="2018-03-15T00:00:00"/>
    <m/>
    <d v="2018-04-30T00:00:00"/>
    <n v="46"/>
  </r>
  <r>
    <x v="2"/>
    <s v="Sydney"/>
    <m/>
    <m/>
    <m/>
    <d v="2018-07-30T00:00:00"/>
    <m/>
    <m/>
    <m/>
    <m/>
    <m/>
    <x v="9"/>
    <s v="Jan-00"/>
    <s v="MW22053-AYCA-4O03IQ-2COR-09-17 Ryan Street Balgownie Int"/>
    <s v="Balgowie"/>
    <n v="2731.54"/>
    <m/>
    <n v="2731.54"/>
    <n v="3004.6940000000004"/>
    <m/>
    <m/>
    <n v="0"/>
    <n v="2731.54"/>
    <n v="1"/>
    <m/>
    <d v="2018-08-13T00:00:00"/>
    <m/>
    <s v="Nabeel Jaimon"/>
    <s v="Direct Award"/>
    <d v="2018-03-15T00:00:00"/>
    <m/>
    <d v="2018-05-11T00:00:00"/>
    <n v="57"/>
  </r>
  <r>
    <x v="2"/>
    <s v="Sydney"/>
    <m/>
    <m/>
    <m/>
    <d v="2018-07-30T00:00:00"/>
    <m/>
    <m/>
    <m/>
    <m/>
    <m/>
    <x v="9"/>
    <s v="Jan-00"/>
    <s v="MW22042-AYCA-4SV0JO2ING-65-41-47 Stennett Rd Ingleburn, Int HMDU"/>
    <s v="Ingelburn"/>
    <n v="560"/>
    <m/>
    <n v="560"/>
    <n v="616"/>
    <m/>
    <m/>
    <n v="0"/>
    <n v="560"/>
    <n v="1"/>
    <m/>
    <d v="2018-08-13T00:00:00"/>
    <m/>
    <s v="Nabeel Jaimon"/>
    <s v="Direct Award"/>
    <d v="2018-03-15T00:00:00"/>
    <m/>
    <d v="2018-05-31T00:00:00"/>
    <n v="77"/>
  </r>
  <r>
    <x v="2"/>
    <s v="Sydney"/>
    <m/>
    <m/>
    <m/>
    <d v="2018-07-30T00:00:00"/>
    <m/>
    <m/>
    <m/>
    <m/>
    <m/>
    <x v="9"/>
    <s v="Jan-00"/>
    <s v="MW21898-AYCA-26KP9Q-2ROU-02-Caddies Boulevard &amp; White Hart Drive, Rouse Hill"/>
    <s v="Rouse Hill"/>
    <n v="2930.88"/>
    <m/>
    <n v="2930.88"/>
    <n v="3223.9680000000003"/>
    <m/>
    <m/>
    <n v="0"/>
    <n v="2930.88"/>
    <n v="1"/>
    <m/>
    <d v="2018-08-13T00:00:00"/>
    <m/>
    <s v="Ertan Cicek"/>
    <s v="Direct Award"/>
    <d v="2018-03-15T00:00:00"/>
    <m/>
    <d v="2018-03-26T00:00:00"/>
    <n v="11"/>
  </r>
  <r>
    <x v="2"/>
    <s v="Sydney"/>
    <s v="Inv 13695"/>
    <d v="2018-06-06T00:00:00"/>
    <d v="2018-05-14T00:00:00"/>
    <d v="2018-05-15T00:00:00"/>
    <d v="2018-05-18T00:00:00"/>
    <d v="2018-05-30T00:00:00"/>
    <d v="2018-05-29T00:00:00"/>
    <d v="2018-06-05T00:00:00"/>
    <m/>
    <x v="8"/>
    <s v="Jun-18"/>
    <s v="MW22047-AYCA-53E534-2LIV-12-25 Glenfield Rd, Glenfield  Ext"/>
    <s v="Glenfield"/>
    <n v="5800.45"/>
    <n v="-1002.48"/>
    <n v="4797.9699999999993"/>
    <n v="5277.7669999999998"/>
    <m/>
    <m/>
    <n v="0"/>
    <n v="4797.9699999999993"/>
    <n v="1"/>
    <m/>
    <d v="2018-05-29T00:00:00"/>
    <m/>
    <s v="Richard Huffadine"/>
    <s v="Direct Award"/>
    <d v="2018-03-15T00:00:00"/>
    <m/>
    <d v="2018-04-16T00:00:00"/>
    <n v="32"/>
  </r>
  <r>
    <x v="2"/>
    <s v="Sydney"/>
    <m/>
    <m/>
    <m/>
    <d v="2018-07-30T00:00:00"/>
    <m/>
    <m/>
    <m/>
    <m/>
    <m/>
    <x v="9"/>
    <s v="Jan-00"/>
    <s v="MW22055-AYCA-52ZO0L-2LID-04-32 Norval St Auburn   INT"/>
    <s v="Auburn"/>
    <n v="2800"/>
    <m/>
    <n v="2800"/>
    <n v="3080.0000000000005"/>
    <n v="1434.4"/>
    <m/>
    <n v="1434.4"/>
    <n v="1365.6"/>
    <n v="0.48771428571428566"/>
    <m/>
    <d v="2018-08-13T00:00:00"/>
    <m/>
    <s v="Ertan Cicek"/>
    <s v="Direct Award"/>
    <d v="2018-03-15T00:00:00"/>
    <m/>
    <d v="2018-04-30T00:00:00"/>
    <n v="46"/>
  </r>
  <r>
    <x v="2"/>
    <s v="Sydney"/>
    <s v="Inv 13613"/>
    <d v="2018-05-17T00:00:00"/>
    <d v="2018-04-09T00:00:00"/>
    <d v="2018-04-10T00:00:00"/>
    <d v="2018-04-12T00:00:00"/>
    <d v="2018-05-10T00:00:00"/>
    <d v="2018-04-23T00:00:00"/>
    <d v="2018-05-17T00:00:00"/>
    <m/>
    <x v="7"/>
    <s v="May-18"/>
    <s v="MW22017-AYCA-413V2N-2HOM-03-16 - 20 Smallwood Ave, Homebush"/>
    <s v="Homebush"/>
    <n v="1747.6"/>
    <n v="5475.6200000000008"/>
    <n v="7223.2200000000012"/>
    <n v="7945.5420000000022"/>
    <n v="4066.58"/>
    <m/>
    <n v="4066.58"/>
    <n v="3156.6400000000012"/>
    <n v="0.43701285576238863"/>
    <m/>
    <d v="2018-04-24T00:00:00"/>
    <m/>
    <s v="Ertan Cicek"/>
    <s v="Direct Award"/>
    <d v="2018-03-16T00:00:00"/>
    <m/>
    <d v="2018-04-09T00:00:00"/>
    <n v="24"/>
  </r>
  <r>
    <x v="2"/>
    <s v="Sydney"/>
    <s v="Inv 13614"/>
    <d v="2018-05-17T00:00:00"/>
    <d v="2018-04-17T00:00:00"/>
    <d v="2018-04-17T00:00:00"/>
    <d v="2018-04-26T00:00:00"/>
    <d v="2018-05-10T00:00:00"/>
    <d v="2018-04-30T00:00:00"/>
    <d v="2018-05-17T00:00:00"/>
    <m/>
    <x v="7"/>
    <s v="May-18"/>
    <s v="MW21966-AYCA-52950S-2BUR-65-147 - 153 Liverpool Rd, Burwood"/>
    <s v="Burwood"/>
    <n v="3770.14"/>
    <n v="8711"/>
    <n v="12481.14"/>
    <n v="13729.254000000001"/>
    <n v="9477.91"/>
    <m/>
    <n v="9477.91"/>
    <n v="3003.2299999999996"/>
    <n v="0.24062144964322166"/>
    <m/>
    <d v="2018-05-01T00:00:00"/>
    <m/>
    <s v="Ertan Cicek"/>
    <s v="Direct Award"/>
    <d v="2018-03-16T00:00:00"/>
    <m/>
    <d v="2018-04-05T00:00:00"/>
    <n v="20"/>
  </r>
  <r>
    <x v="2"/>
    <s v="Sydney"/>
    <s v="Inv 13684"/>
    <d v="2018-05-30T00:00:00"/>
    <d v="2018-04-09T00:00:00"/>
    <d v="2018-04-10T00:00:00"/>
    <d v="2018-04-12T00:00:00"/>
    <d v="2018-04-10T00:00:00"/>
    <d v="2018-05-24T00:00:00"/>
    <d v="2018-05-31T00:00:00"/>
    <m/>
    <x v="7"/>
    <s v="May-18"/>
    <s v="MW22037-AYCA-53063P-2LIV-03-23 Mayberry Cres, Liverpool"/>
    <s v="Liverpool"/>
    <n v="1129.8399999999999"/>
    <n v="2377.36"/>
    <n v="3507.2"/>
    <n v="3857.92"/>
    <m/>
    <m/>
    <n v="0"/>
    <n v="3507.2"/>
    <n v="1"/>
    <m/>
    <d v="2018-04-24T00:00:00"/>
    <m/>
    <s v="Ertan Cicek"/>
    <s v="Direct Award"/>
    <d v="2018-03-20T00:00:00"/>
    <m/>
    <d v="2018-04-16T00:00:00"/>
    <n v="27"/>
  </r>
  <r>
    <x v="2"/>
    <s v="Sydney"/>
    <s v="Inv 13683"/>
    <d v="2018-05-30T00:00:00"/>
    <d v="2018-05-03T00:00:00"/>
    <d v="2018-05-03T00:00:00"/>
    <d v="2018-05-10T00:00:00"/>
    <d v="2018-05-23T00:00:00"/>
    <d v="2018-05-16T00:00:00"/>
    <d v="2018-05-31T00:00:00"/>
    <m/>
    <x v="8"/>
    <s v="May-18"/>
    <s v="MW22057 - AYCA-4EOA07-2MIR-24 - 298-300 Taren Point Rd, Caringbah"/>
    <s v="Caringbah"/>
    <n v="1692.36"/>
    <n v="8088.39"/>
    <n v="9780.75"/>
    <n v="10758.825000000001"/>
    <n v="5968.17"/>
    <m/>
    <n v="5968.17"/>
    <n v="3812.58"/>
    <n v="0.38980446284794112"/>
    <m/>
    <d v="2018-05-17T00:00:00"/>
    <m/>
    <s v="Ertan Cicek"/>
    <s v="Direct Award"/>
    <d v="2018-03-19T00:00:00"/>
    <m/>
    <d v="2018-04-18T00:00:00"/>
    <n v="30"/>
  </r>
  <r>
    <x v="2"/>
    <s v="Sydney"/>
    <s v="Inv 13667"/>
    <d v="2018-06-12T00:00:00"/>
    <d v="2018-06-07T00:00:00"/>
    <d v="2018-06-07T00:00:00"/>
    <d v="2018-06-07T00:00:00"/>
    <d v="2018-06-21T00:00:00"/>
    <d v="2018-06-21T00:00:00"/>
    <d v="2018-06-28T00:00:00"/>
    <m/>
    <x v="14"/>
    <s v="Jun-18"/>
    <s v="MW22050-AYCA-53E534-2LIV-12-25 Glenfield Rd Glenfield Int"/>
    <s v="Glenfield"/>
    <n v="2640"/>
    <n v="512.55999999999995"/>
    <n v="3152.56"/>
    <n v="3467.8160000000003"/>
    <m/>
    <m/>
    <n v="0"/>
    <n v="3152.56"/>
    <n v="1"/>
    <m/>
    <d v="2018-06-21T00:00:00"/>
    <m/>
    <s v="Richard Huffadine"/>
    <s v="Direct Award"/>
    <d v="2018-03-21T00:00:00"/>
    <m/>
    <d v="2018-04-10T00:00:00"/>
    <n v="20"/>
  </r>
  <r>
    <x v="2"/>
    <s v="Sydney"/>
    <m/>
    <m/>
    <m/>
    <d v="2018-11-30T00:00:00"/>
    <m/>
    <m/>
    <m/>
    <m/>
    <m/>
    <x v="16"/>
    <s v="Jan-00"/>
    <s v="MW22071- AYCA-4M02LB -2UND-62-401-405 Illawarra Road, Marrickville "/>
    <s v="Marrickville"/>
    <n v="857.61"/>
    <m/>
    <n v="857.61"/>
    <n v="943.37100000000009"/>
    <m/>
    <m/>
    <n v="0"/>
    <n v="857.61"/>
    <n v="1"/>
    <m/>
    <d v="2018-12-14T00:00:00"/>
    <m/>
    <s v="Ertan Cicek"/>
    <s v="Direct Award"/>
    <d v="2018-03-21T00:00:00"/>
    <m/>
    <d v="2018-04-23T00:00:00"/>
    <n v="33"/>
  </r>
  <r>
    <x v="2"/>
    <s v="Sydney"/>
    <s v="Inv 13524"/>
    <d v="2018-04-19T00:00:00"/>
    <d v="2018-03-29T00:00:00"/>
    <d v="2018-03-29T00:00:00"/>
    <d v="2018-04-04T00:00:00"/>
    <d v="2018-04-13T00:00:00"/>
    <d v="2018-04-13T00:00:00"/>
    <d v="2018-04-27T00:00:00"/>
    <m/>
    <x v="11"/>
    <s v="Apr-18"/>
    <s v="MW21556  - AYCA-1XCONO -2NEW-22 - Ablin Erskineville Pty Ltd "/>
    <s v="Erskinville"/>
    <n v="1338.12"/>
    <n v="16376.49"/>
    <n v="17714.61"/>
    <n v="19486.071000000004"/>
    <n v="9951.76"/>
    <m/>
    <n v="9951.76"/>
    <n v="7762.85"/>
    <n v="0.43821738102052488"/>
    <m/>
    <d v="2018-04-12T00:00:00"/>
    <m/>
    <s v="Ertan Cicek"/>
    <s v="Direct Award"/>
    <d v="2017-12-21T00:00:00"/>
    <m/>
    <d v="2018-01-02T00:00:00"/>
    <n v="12"/>
  </r>
  <r>
    <x v="7"/>
    <s v="NSW"/>
    <s v="Inv 13410"/>
    <d v="2018-03-23T00:00:00"/>
    <d v="2018-03-16T00:00:00"/>
    <d v="2018-03-16T00:00:00"/>
    <m/>
    <m/>
    <m/>
    <d v="2018-05-01T00:00:00"/>
    <m/>
    <x v="11"/>
    <s v="May-18"/>
    <s v="MW22143 - INC000007228306 - 2 Lovelle St, Moss Vale, NSW"/>
    <s v="Moss Vale"/>
    <n v="6897.78"/>
    <m/>
    <n v="6897.78"/>
    <n v="7587.558"/>
    <n v="2849"/>
    <n v="441.4"/>
    <n v="3290.4"/>
    <n v="3607.3799999999997"/>
    <n v="0.52297695780381515"/>
    <m/>
    <d v="2018-03-30T00:00:00"/>
    <m/>
    <s v="Tony Gabriel"/>
    <m/>
    <m/>
    <m/>
    <m/>
    <m/>
  </r>
  <r>
    <x v="7"/>
    <s v="NSW"/>
    <s v="Inv 13415"/>
    <d v="2018-03-23T00:00:00"/>
    <d v="2018-03-07T00:00:00"/>
    <d v="2018-03-07T00:00:00"/>
    <m/>
    <m/>
    <m/>
    <d v="2018-05-01T00:00:00"/>
    <m/>
    <x v="11"/>
    <s v="May-18"/>
    <s v="MW22147 - INC000007076078 - Lot 10, 15 Moles Street, Albion Park,"/>
    <s v="Albion Park"/>
    <n v="3001.39"/>
    <m/>
    <n v="3001.39"/>
    <n v="3301.529"/>
    <n v="1295"/>
    <n v="154.49"/>
    <n v="1449.49"/>
    <n v="1551.8999999999999"/>
    <n v="0.51706042866805046"/>
    <m/>
    <d v="2018-03-21T00:00:00"/>
    <m/>
    <s v="Tony Gabriel"/>
    <m/>
    <m/>
    <m/>
    <m/>
    <m/>
  </r>
  <r>
    <x v="7"/>
    <s v="NSW"/>
    <s v="Inv 13411"/>
    <d v="2018-03-23T00:00:00"/>
    <d v="2018-03-19T00:00:00"/>
    <d v="2018-03-19T00:00:00"/>
    <m/>
    <m/>
    <m/>
    <d v="2018-05-01T00:00:00"/>
    <m/>
    <x v="11"/>
    <s v="May-18"/>
    <s v="MW22144 - INC000007333304 - Lot 16, 21 Foy Av, Medlow Bath"/>
    <s v="Medlow Bath"/>
    <n v="3575.87"/>
    <m/>
    <n v="3575.87"/>
    <n v="3933.4570000000003"/>
    <n v="140"/>
    <n v="1104.8699999999999"/>
    <n v="1244.8699999999999"/>
    <n v="2331"/>
    <n v="0.65186933529462765"/>
    <m/>
    <d v="2018-04-02T00:00:00"/>
    <m/>
    <s v="Tony Gabriel"/>
    <m/>
    <m/>
    <m/>
    <m/>
    <m/>
  </r>
  <r>
    <x v="7"/>
    <s v="NSW"/>
    <s v="Inv 13412"/>
    <d v="2018-03-23T00:00:00"/>
    <d v="2018-03-19T00:00:00"/>
    <d v="2018-03-19T00:00:00"/>
    <m/>
    <m/>
    <m/>
    <d v="2018-05-01T00:00:00"/>
    <m/>
    <x v="11"/>
    <s v="May-18"/>
    <s v="MW22146 - INC000007461059 - 27 Foy Av, Medlow Bath"/>
    <s v="Medlow Bath"/>
    <n v="1281.4000000000001"/>
    <m/>
    <n v="1281.4000000000001"/>
    <n v="1409.5400000000002"/>
    <m/>
    <n v="441.4"/>
    <n v="441.4"/>
    <n v="840.00000000000011"/>
    <n v="0.6555330107694709"/>
    <m/>
    <d v="2018-04-02T00:00:00"/>
    <m/>
    <s v="Tony Gabriel"/>
    <m/>
    <m/>
    <m/>
    <m/>
    <m/>
  </r>
  <r>
    <x v="7"/>
    <s v="NSW"/>
    <s v="Inv 13413"/>
    <d v="2018-03-23T00:00:00"/>
    <d v="2018-03-19T00:00:00"/>
    <d v="2018-03-19T00:00:00"/>
    <m/>
    <m/>
    <m/>
    <d v="2018-05-01T00:00:00"/>
    <m/>
    <x v="11"/>
    <s v="May-18"/>
    <s v="MW22145 - INC000007293986 - Lot 22, 33 Foy Av, Medlow Bath"/>
    <s v="Medlow Bath"/>
    <n v="1025.1199999999999"/>
    <m/>
    <n v="1025.1199999999999"/>
    <n v="1127.6320000000001"/>
    <m/>
    <n v="353.12"/>
    <n v="353.12"/>
    <n v="671.99999999999989"/>
    <n v="0.6555330107694709"/>
    <s v="Invoiced"/>
    <d v="2018-04-02T00:00:00"/>
    <s v="Completed and handover forwarded"/>
    <s v="Tony Gabriel"/>
    <m/>
    <m/>
    <m/>
    <m/>
    <m/>
  </r>
  <r>
    <x v="7"/>
    <s v="NSW"/>
    <s v="Inv 13419"/>
    <d v="2018-03-23T00:00:00"/>
    <d v="2018-03-19T00:00:00"/>
    <d v="2018-03-19T00:00:00"/>
    <m/>
    <m/>
    <m/>
    <d v="2018-05-01T00:00:00"/>
    <m/>
    <x v="11"/>
    <s v="May-18"/>
    <s v="MW22154 - INC000007271428 – Lot 12, 21 Sharwood Pl, Gerringong"/>
    <s v="Gerringong"/>
    <n v="6768.65"/>
    <m/>
    <n v="6768.65"/>
    <n v="7445.5150000000003"/>
    <n v="2849"/>
    <n v="308.98"/>
    <n v="3157.98"/>
    <n v="3610.6699999999996"/>
    <n v="0.53344019856249025"/>
    <m/>
    <d v="2018-04-02T00:00:00"/>
    <m/>
    <s v="Tony Gabriel"/>
    <m/>
    <m/>
    <m/>
    <m/>
    <m/>
  </r>
  <r>
    <x v="2"/>
    <s v="Sydney"/>
    <s v="Inv 13631"/>
    <d v="2018-05-22T00:00:00"/>
    <d v="2018-05-03T00:00:00"/>
    <d v="2018-05-03T00:00:00"/>
    <d v="2018-05-08T00:00:00"/>
    <d v="2018-05-14T00:00:00"/>
    <d v="2018-05-16T00:00:00"/>
    <d v="2018-05-22T00:00:00"/>
    <m/>
    <x v="8"/>
    <s v="May-18"/>
    <s v="MW22080-2QUA-02-AYCA-3I5VJ6-67 Dongola Circuit Schofields"/>
    <s v="Schofields"/>
    <n v="355.84"/>
    <n v="668.3599999999999"/>
    <n v="1024.1999999999998"/>
    <n v="1126.6199999999999"/>
    <m/>
    <m/>
    <n v="0"/>
    <n v="1024.1999999999998"/>
    <n v="1"/>
    <m/>
    <d v="2018-05-17T00:00:00"/>
    <m/>
    <s v="Ertan Cicek"/>
    <s v="Direct Award"/>
    <d v="2018-03-23T00:00:00"/>
    <m/>
    <d v="2018-05-01T00:00:00"/>
    <n v="39"/>
  </r>
  <r>
    <x v="7"/>
    <s v="NSW"/>
    <s v="Inv 13420"/>
    <d v="2018-03-26T00:00:00"/>
    <d v="2018-03-08T00:00:00"/>
    <d v="2018-03-08T00:00:00"/>
    <m/>
    <m/>
    <m/>
    <d v="2018-05-01T00:00:00"/>
    <m/>
    <x v="11"/>
    <s v="May-18"/>
    <s v="MW22152 - INC000007065260 - 33 Tumut St, Adelong, NSW"/>
    <s v="Adelong"/>
    <n v="3441.9114285714286"/>
    <m/>
    <n v="3441.9114285714286"/>
    <n v="3786.1025714285715"/>
    <n v="1559"/>
    <n v="925"/>
    <n v="2484"/>
    <n v="957.91142857142859"/>
    <n v="0.27830798335476387"/>
    <m/>
    <d v="2018-03-22T00:00:00"/>
    <m/>
    <s v="Tony Gabriel"/>
    <m/>
    <m/>
    <m/>
    <m/>
    <m/>
  </r>
  <r>
    <x v="7"/>
    <s v="NSW"/>
    <s v="Inv 13421"/>
    <d v="2018-03-26T00:00:00"/>
    <d v="2018-03-06T00:00:00"/>
    <d v="2018-03-06T00:00:00"/>
    <m/>
    <m/>
    <m/>
    <d v="2018-05-01T00:00:00"/>
    <m/>
    <x v="11"/>
    <s v="May-18"/>
    <s v="MW22153 - INC000007236006 - LOT 5, 19 RESTON GRA, BELLA VISTA"/>
    <s v="Bella Vista"/>
    <n v="512.55999999999995"/>
    <m/>
    <n v="512.55999999999995"/>
    <n v="563.81600000000003"/>
    <m/>
    <n v="176.56"/>
    <n v="176.56"/>
    <n v="335.99999999999994"/>
    <n v="0.6555330107694709"/>
    <m/>
    <d v="2018-03-20T00:00:00"/>
    <m/>
    <s v="Tony Gabriel"/>
    <m/>
    <m/>
    <m/>
    <m/>
    <m/>
  </r>
  <r>
    <x v="7"/>
    <s v="NSW"/>
    <s v="Inv 13435"/>
    <d v="2018-03-28T00:00:00"/>
    <d v="2018-03-08T00:00:00"/>
    <d v="2018-03-08T00:00:00"/>
    <m/>
    <m/>
    <m/>
    <d v="2018-05-15T00:00:00"/>
    <m/>
    <x v="11"/>
    <s v="May-18"/>
    <s v="MW22172 - INC000007232111 - Lot 224, 20 Elm St, Albion Park Rail, NSW"/>
    <s v="Albion Park"/>
    <n v="1151.28"/>
    <m/>
    <n v="1151.28"/>
    <n v="1266.4080000000001"/>
    <m/>
    <n v="205.7"/>
    <n v="205.7"/>
    <n v="945.57999999999993"/>
    <n v="0.82132930303662011"/>
    <m/>
    <d v="2018-03-22T00:00:00"/>
    <m/>
    <s v="Tony Gabriel"/>
    <m/>
    <m/>
    <m/>
    <m/>
    <m/>
  </r>
  <r>
    <x v="7"/>
    <s v="NSW"/>
    <s v="Inv 13422"/>
    <d v="2018-03-27T00:00:00"/>
    <d v="2018-03-15T00:00:00"/>
    <d v="2018-03-15T00:00:00"/>
    <m/>
    <m/>
    <m/>
    <d v="2018-05-17T00:00:00"/>
    <m/>
    <x v="11"/>
    <s v="May-18"/>
    <s v="MW22150 - INC000007302762- Lot 81, 70 Point St, Bulli"/>
    <s v="Bulli"/>
    <n v="2619.94"/>
    <m/>
    <n v="2619.94"/>
    <n v="2881.9340000000002"/>
    <n v="1036"/>
    <n v="126.18"/>
    <n v="1162.18"/>
    <n v="1457.76"/>
    <n v="0.55640968877149855"/>
    <m/>
    <d v="2018-03-29T00:00:00"/>
    <m/>
    <s v="Tony Gabriel"/>
    <m/>
    <m/>
    <m/>
    <m/>
    <m/>
  </r>
  <r>
    <x v="6"/>
    <s v="NSW"/>
    <s v="Inv 13423"/>
    <d v="2018-03-27T00:00:00"/>
    <d v="2018-03-22T00:00:00"/>
    <d v="2018-03-22T00:00:00"/>
    <m/>
    <m/>
    <m/>
    <d v="2018-05-01T00:00:00"/>
    <m/>
    <x v="11"/>
    <s v="May-18"/>
    <s v="MW22160 - INC000007219881 - Lot 165, 13 Poulton St, Ashmont, NSW"/>
    <s v="Ashmont"/>
    <n v="2501.66"/>
    <m/>
    <n v="2501.66"/>
    <n v="2751.826"/>
    <m/>
    <m/>
    <n v="0"/>
    <n v="2501.66"/>
    <n v="1"/>
    <m/>
    <d v="2018-04-05T00:00:00"/>
    <m/>
    <s v="Tony Gabriel"/>
    <m/>
    <m/>
    <m/>
    <m/>
    <m/>
  </r>
  <r>
    <x v="7"/>
    <s v="NSW"/>
    <s v="Inv 13424"/>
    <d v="2018-03-27T00:00:00"/>
    <d v="2018-03-02T00:00:00"/>
    <d v="2018-03-02T00:00:00"/>
    <m/>
    <m/>
    <m/>
    <d v="2018-05-01T00:00:00"/>
    <m/>
    <x v="11"/>
    <s v="May-18"/>
    <s v="MW22161 - INC000007088104 - Lot 1823, 4 Englorie Park Drive, Glen Alpine"/>
    <s v="Glen Alpine"/>
    <n v="512.55999999999995"/>
    <m/>
    <n v="512.55999999999995"/>
    <n v="563.81600000000003"/>
    <m/>
    <n v="176.56"/>
    <n v="176.56"/>
    <n v="335.99999999999994"/>
    <n v="0.6555330107694709"/>
    <m/>
    <d v="2018-03-16T00:00:00"/>
    <m/>
    <s v="Tony Gabriel"/>
    <m/>
    <m/>
    <m/>
    <m/>
    <m/>
  </r>
  <r>
    <x v="7"/>
    <s v="NSW"/>
    <s v="Inv 13425"/>
    <d v="2018-03-27T00:00:00"/>
    <d v="2018-03-09T00:00:00"/>
    <d v="2018-03-09T00:00:00"/>
    <m/>
    <m/>
    <m/>
    <d v="2018-05-01T00:00:00"/>
    <m/>
    <x v="11"/>
    <s v="May-18"/>
    <s v="MW22162 - INC000007200382 - UNIT 2, 33 VILLAWOOD PL, VILLAWOOD"/>
    <s v="Villawood"/>
    <n v="384.42"/>
    <m/>
    <n v="384.42"/>
    <n v="422.86200000000008"/>
    <m/>
    <n v="132.42000000000002"/>
    <n v="132.42000000000002"/>
    <n v="252"/>
    <n v="0.6555330107694709"/>
    <m/>
    <d v="2018-03-23T00:00:00"/>
    <m/>
    <s v="Tony Gabriel"/>
    <m/>
    <m/>
    <m/>
    <m/>
    <m/>
  </r>
  <r>
    <x v="7"/>
    <s v="NSW"/>
    <s v="Inv 13426"/>
    <d v="2018-03-27T00:00:00"/>
    <d v="2018-03-16T00:00:00"/>
    <d v="2018-03-16T00:00:00"/>
    <m/>
    <m/>
    <m/>
    <d v="2018-03-01T00:00:00"/>
    <m/>
    <x v="11"/>
    <s v="Mar-18"/>
    <s v="MW22173 - INC000007474012 –  LOT 122, 44 BALMORAL RD, LEURA"/>
    <s v="Leura"/>
    <n v="256.27999999999997"/>
    <m/>
    <n v="256.27999999999997"/>
    <n v="281.90800000000002"/>
    <m/>
    <n v="88.28"/>
    <n v="88.28"/>
    <n v="167.99999999999997"/>
    <n v="0.6555330107694709"/>
    <m/>
    <d v="2018-03-30T00:00:00"/>
    <m/>
    <s v="Tony Gabriel"/>
    <m/>
    <m/>
    <m/>
    <m/>
    <m/>
  </r>
  <r>
    <x v="2"/>
    <s v="Sydney"/>
    <s v="Inv 13511"/>
    <d v="2018-04-19T00:00:00"/>
    <d v="2018-03-29T00:00:00"/>
    <d v="2018-03-29T00:00:00"/>
    <d v="2018-03-29T00:00:00"/>
    <m/>
    <d v="2018-04-13T00:00:00"/>
    <d v="2018-04-27T00:00:00"/>
    <m/>
    <x v="11"/>
    <s v="Apr-18"/>
    <s v="MW21919 - AYCA-35Q2VE-2KEL-07-9 Fairway Drive, Kellyville"/>
    <s v="Kellyville"/>
    <n v="8288.41"/>
    <n v="-772.02"/>
    <n v="7516.3899999999994"/>
    <n v="8268.0290000000005"/>
    <n v="4736.21"/>
    <m/>
    <n v="4736.21"/>
    <n v="2780.1799999999994"/>
    <n v="0.36988235043684531"/>
    <m/>
    <d v="2018-04-12T00:00:00"/>
    <m/>
    <s v="Sogand Mohtat"/>
    <s v="Direct Award"/>
    <d v="2018-02-20T00:00:00"/>
    <m/>
    <d v="2018-03-22T00:00:00"/>
    <n v="30"/>
  </r>
  <r>
    <x v="7"/>
    <s v="NSW"/>
    <s v="Inv 13427"/>
    <d v="2018-03-27T00:00:00"/>
    <d v="2018-03-13T00:00:00"/>
    <d v="2018-03-13T00:00:00"/>
    <m/>
    <m/>
    <m/>
    <d v="2018-05-01T00:00:00"/>
    <m/>
    <x v="11"/>
    <s v="May-18"/>
    <s v="MW22163 - INC000007246715- LOT 2020, 1106 WINDSOR RD, RIVERSTONE"/>
    <s v="Riverstone"/>
    <n v="961.05"/>
    <m/>
    <n v="961.05"/>
    <n v="1057.155"/>
    <m/>
    <n v="315.45000000000005"/>
    <n v="315.45000000000005"/>
    <n v="645.59999999999991"/>
    <n v="0.6717652567504292"/>
    <m/>
    <d v="2018-03-27T00:00:00"/>
    <m/>
    <s v="Tony Gabriel"/>
    <m/>
    <m/>
    <m/>
    <m/>
    <m/>
  </r>
  <r>
    <x v="2"/>
    <s v="West NSW"/>
    <s v="Inv 13630"/>
    <d v="2018-05-22T00:00:00"/>
    <d v="2018-04-27T00:00:00"/>
    <d v="2018-04-30T00:00:00"/>
    <d v="2018-05-03T00:00:00"/>
    <d v="2018-05-15T00:00:00"/>
    <d v="2018-05-09T00:00:00"/>
    <d v="2018-05-22T00:00:00"/>
    <m/>
    <x v="7"/>
    <s v="May-18"/>
    <s v="MW22065-AYCA-4FM8T4-2DBB-01-1L Hennessy Dr Drive Dubbo"/>
    <s v="Dubbo"/>
    <n v="1316.17"/>
    <n v="2965.92"/>
    <n v="4282.09"/>
    <n v="4710.2990000000009"/>
    <m/>
    <m/>
    <n v="0"/>
    <n v="4282.09"/>
    <n v="1"/>
    <m/>
    <d v="2018-05-14T00:00:00"/>
    <m/>
    <s v="Ertan Cicek"/>
    <s v="Direct Award"/>
    <d v="2018-03-27T00:00:00"/>
    <m/>
    <d v="2018-04-30T00:00:00"/>
    <n v="34"/>
  </r>
  <r>
    <x v="6"/>
    <s v="NSW"/>
    <s v="Inv 13430"/>
    <d v="2018-03-27T00:00:00"/>
    <d v="2018-02-27T00:00:00"/>
    <d v="2018-02-27T00:00:00"/>
    <m/>
    <m/>
    <m/>
    <d v="2018-05-01T00:00:00"/>
    <m/>
    <x v="2"/>
    <s v="May-18"/>
    <s v="MW22159 - INC000007129251 - 169 Palm Avenue, Leeton"/>
    <s v="Leeton"/>
    <n v="512.55999999999995"/>
    <m/>
    <n v="512.55999999999995"/>
    <n v="563.81600000000003"/>
    <m/>
    <n v="200"/>
    <n v="200"/>
    <n v="312.55999999999995"/>
    <n v="0.60980177930388635"/>
    <m/>
    <d v="2018-03-13T00:00:00"/>
    <m/>
    <s v="Tony Gabriel"/>
    <m/>
    <m/>
    <m/>
    <m/>
    <m/>
  </r>
  <r>
    <x v="6"/>
    <s v="NSW"/>
    <s v="Inv 13428"/>
    <d v="2018-03-27T00:00:00"/>
    <d v="2018-03-19T00:00:00"/>
    <d v="2018-03-19T00:00:00"/>
    <m/>
    <m/>
    <m/>
    <d v="2018-05-01T00:00:00"/>
    <m/>
    <x v="11"/>
    <s v="May-18"/>
    <s v="MW22164 - INC000007300655 - Lot 331, 23 Adams St, Ashmont"/>
    <s v="Ashmont"/>
    <n v="128.13999999999999"/>
    <m/>
    <n v="128.13999999999999"/>
    <n v="140.95400000000001"/>
    <m/>
    <n v="50"/>
    <n v="50"/>
    <n v="78.139999999999986"/>
    <n v="0.60980177930388635"/>
    <m/>
    <d v="2018-04-02T00:00:00"/>
    <m/>
    <s v="Tony Gabriel"/>
    <m/>
    <m/>
    <m/>
    <m/>
    <m/>
  </r>
  <r>
    <x v="6"/>
    <s v="NSW"/>
    <s v="Inv 13429"/>
    <d v="2018-03-27T00:00:00"/>
    <d v="2018-03-21T00:00:00"/>
    <d v="2018-03-21T00:00:00"/>
    <m/>
    <m/>
    <m/>
    <d v="2018-06-07T00:00:00"/>
    <m/>
    <x v="11"/>
    <s v="Jun-18"/>
    <s v="MW22116 - INC000007403862 –  49 RACECOURSE RD, ORANGE"/>
    <s v="Orange"/>
    <n v="5297.0749999999998"/>
    <m/>
    <n v="5297.0749999999998"/>
    <n v="5826.7825000000003"/>
    <n v="1496"/>
    <n v="580.82999999999993"/>
    <n v="2076.83"/>
    <n v="3220.2449999999999"/>
    <n v="0.60792890415937095"/>
    <m/>
    <d v="2018-04-04T00:00:00"/>
    <m/>
    <s v="Tony Gabriel"/>
    <m/>
    <m/>
    <m/>
    <m/>
    <m/>
  </r>
  <r>
    <x v="2"/>
    <s v="Sydney"/>
    <m/>
    <m/>
    <m/>
    <d v="2018-11-30T00:00:00"/>
    <m/>
    <m/>
    <m/>
    <m/>
    <m/>
    <x v="16"/>
    <s v="Jan-00"/>
    <s v="MW22094-AYCA-4LM7HH-2UND-61-590-602 New Canterbury Rd, Hurlstone Park"/>
    <s v="Hurlestone Park"/>
    <n v="2574.5100000000002"/>
    <m/>
    <n v="2574.5100000000002"/>
    <n v="2831.9610000000007"/>
    <m/>
    <m/>
    <n v="0"/>
    <n v="2574.5100000000002"/>
    <n v="1"/>
    <m/>
    <d v="2018-12-14T00:00:00"/>
    <m/>
    <s v="Ertan Cicek"/>
    <s v="Direct Award"/>
    <d v="2018-03-28T00:00:00"/>
    <m/>
    <d v="2018-04-24T00:00:00"/>
    <n v="27"/>
  </r>
  <r>
    <x v="2"/>
    <s v="Sydney"/>
    <s v="Inv 13462"/>
    <d v="2018-04-05T00:00:00"/>
    <d v="2018-03-13T00:00:00"/>
    <d v="2018-03-13T00:00:00"/>
    <d v="2018-03-14T00:00:00"/>
    <d v="2018-03-26T00:00:00"/>
    <d v="2018-03-28T00:00:00"/>
    <d v="2018-04-05T00:00:00"/>
    <s v="Jun-18"/>
    <x v="11"/>
    <s v="Apr-18"/>
    <s v="MW21923 - AYCA-4AOOM9 - 2NRN-01 - 12-13 SPRINGS RD, SPRING FARM"/>
    <s v="Spring Farm"/>
    <n v="1516.19"/>
    <n v="1033.57"/>
    <n v="2549.7600000000002"/>
    <n v="2804.7360000000003"/>
    <m/>
    <m/>
    <n v="0"/>
    <n v="2549.7600000000002"/>
    <n v="1"/>
    <m/>
    <d v="2018-03-27T00:00:00"/>
    <m/>
    <s v="Andrew Mahassy"/>
    <s v="Direct Award"/>
    <d v="2018-02-20T00:00:00"/>
    <m/>
    <d v="2018-03-28T00:00:00"/>
    <n v="36"/>
  </r>
  <r>
    <x v="2"/>
    <s v="Sydney"/>
    <m/>
    <m/>
    <m/>
    <d v="2018-07-30T00:00:00"/>
    <m/>
    <m/>
    <m/>
    <m/>
    <m/>
    <x v="9"/>
    <s v="Jan-00"/>
    <s v="MW22096-AYCA-3W384B-2HOR-62-433-437 Pacific Highway, Asquith "/>
    <s v="Asquith"/>
    <n v="1358.92"/>
    <m/>
    <n v="1358.92"/>
    <n v="1494.8120000000001"/>
    <m/>
    <m/>
    <n v="0"/>
    <n v="1358.92"/>
    <n v="1"/>
    <m/>
    <d v="2018-08-13T00:00:00"/>
    <m/>
    <s v="Ertan Cicek"/>
    <s v="Direct Award"/>
    <d v="2018-03-28T00:00:00"/>
    <m/>
    <d v="2018-04-24T00:00:00"/>
    <n v="27"/>
  </r>
  <r>
    <x v="2"/>
    <s v="Sydney"/>
    <m/>
    <m/>
    <m/>
    <d v="2018-07-30T00:00:00"/>
    <m/>
    <m/>
    <m/>
    <m/>
    <m/>
    <x v="9"/>
    <s v="Jan-00"/>
    <s v="MW22095-AYCA-4H8EZO- 2HUH-22-117-123 Victoria Rd, Gladesville"/>
    <s v="Gladesville"/>
    <n v="1828.86"/>
    <m/>
    <n v="1828.86"/>
    <n v="2011.7460000000001"/>
    <m/>
    <m/>
    <n v="0"/>
    <n v="1828.86"/>
    <n v="1"/>
    <m/>
    <d v="2018-08-13T00:00:00"/>
    <m/>
    <s v="Ertan Cicek"/>
    <s v="Direct Award"/>
    <d v="2018-03-29T00:00:00"/>
    <m/>
    <d v="2018-04-24T00:00:00"/>
    <n v="26"/>
  </r>
  <r>
    <x v="0"/>
    <s v="Newcastle"/>
    <s v="Inv 13671"/>
    <d v="2018-05-28T00:00:00"/>
    <d v="2018-04-30T00:00:00"/>
    <d v="2018-04-30T00:00:00"/>
    <d v="2018-05-01T00:00:00"/>
    <d v="2018-05-07T00:00:00"/>
    <d v="2018-05-10T00:00:00"/>
    <d v="2018-05-29T00:00:00"/>
    <m/>
    <x v="7"/>
    <s v="May-18"/>
    <s v="MW22098-AYCA-4RWURH-2CES-02-147 Mathieson Street Bellbird Heights "/>
    <s v="Bellbird Heights"/>
    <n v="5003.75"/>
    <n v="10131.1"/>
    <n v="15134.85"/>
    <n v="16648.335000000003"/>
    <m/>
    <m/>
    <n v="0"/>
    <n v="15134.85"/>
    <n v="1"/>
    <m/>
    <d v="2018-05-14T00:00:00"/>
    <m/>
    <s v="Dave Yoemans"/>
    <d v="2018-03-28T00:00:00"/>
    <d v="2018-03-29T00:00:00"/>
    <n v="1"/>
    <d v="2018-05-08T00:00:00"/>
    <n v="40"/>
  </r>
  <r>
    <x v="2"/>
    <s v="Sydney"/>
    <m/>
    <s v=" "/>
    <m/>
    <d v="2018-07-30T00:00:00"/>
    <m/>
    <m/>
    <m/>
    <m/>
    <m/>
    <x v="9"/>
    <s v="Jan-00"/>
    <s v="MW22093-AYCA-4RGB2W-2EAS-62-111-139 Darlinghurst Rd, Potts Point"/>
    <s v="Potts Point"/>
    <n v="1428.48"/>
    <m/>
    <n v="1428.48"/>
    <n v="1571.3280000000002"/>
    <n v="6326.5"/>
    <n v="451.59774999999996"/>
    <n v="6778.0977499999999"/>
    <n v="-5349.6177499999994"/>
    <n v="-3.7449721032146055"/>
    <m/>
    <d v="2018-08-13T00:00:00"/>
    <m/>
    <s v="Ertan Cicek"/>
    <s v="Direct Award"/>
    <d v="2018-03-29T00:00:00"/>
    <m/>
    <d v="2018-04-24T00:00:00"/>
    <n v="26"/>
  </r>
  <r>
    <x v="2"/>
    <s v="Sydney"/>
    <s v="Inv 13696"/>
    <d v="2018-06-06T00:00:00"/>
    <d v="2018-05-14T00:00:00"/>
    <d v="2018-05-15T00:00:00"/>
    <d v="2018-05-18T00:00:00"/>
    <d v="2018-05-25T00:00:00"/>
    <d v="2018-05-29T00:00:00"/>
    <d v="2018-06-05T00:00:00"/>
    <m/>
    <x v="8"/>
    <s v="Jun-18"/>
    <s v="MW22104-AYCA-4DRN0U-2BRG-03-182 Raby Road Gledswood Hills"/>
    <s v="Gledswood Hills"/>
    <n v="69.16"/>
    <n v="524.41999999999996"/>
    <n v="593.57999999999993"/>
    <n v="652.93799999999999"/>
    <m/>
    <m/>
    <n v="0"/>
    <n v="593.57999999999993"/>
    <n v="1"/>
    <m/>
    <d v="2018-05-29T00:00:00"/>
    <m/>
    <s v="Ertan Cicek"/>
    <s v="Direct Award"/>
    <d v="2018-04-04T00:00:00"/>
    <m/>
    <d v="2018-05-16T00:00:00"/>
    <n v="42"/>
  </r>
  <r>
    <x v="2"/>
    <s v="Sydney"/>
    <s v="Inv 13585"/>
    <d v="2018-05-10T00:00:00"/>
    <d v="2018-04-13T00:00:00"/>
    <d v="2018-04-13T00:00:00"/>
    <m/>
    <m/>
    <d v="2018-04-27T00:00:00"/>
    <d v="2018-05-03T00:00:00"/>
    <m/>
    <x v="7"/>
    <s v="May-18"/>
    <s v="MW22106-AYCA-4QKWZ8-2RIV-02-Queensbury Street - 2 Schofields"/>
    <s v="Schofields"/>
    <n v="1088.03"/>
    <m/>
    <n v="1088.03"/>
    <n v="1196.8330000000001"/>
    <m/>
    <m/>
    <n v="0"/>
    <n v="1088.03"/>
    <n v="1"/>
    <m/>
    <d v="2018-04-27T00:00:00"/>
    <m/>
    <s v="Ertan Cicek"/>
    <s v="Direct Award"/>
    <d v="2018-04-04T00:00:00"/>
    <m/>
    <d v="2018-05-11T00:00:00"/>
    <n v="37"/>
  </r>
  <r>
    <x v="2"/>
    <s v="Sydney"/>
    <s v="Inv 13686"/>
    <d v="2018-05-30T00:00:00"/>
    <d v="2018-04-23T00:00:00"/>
    <d v="2018-04-24T00:00:00"/>
    <d v="2018-05-18T00:00:00"/>
    <d v="2028-05-24T00:00:00"/>
    <d v="2018-05-04T00:00:00"/>
    <d v="2018-05-31T00:00:00"/>
    <m/>
    <x v="7"/>
    <s v="May-18"/>
    <s v="MW22105-AYCA-48L8EZ-2MIL-01-27 Tugela Rise Edmondson Park"/>
    <s v="Edmondson Park"/>
    <n v="4554.4399999999996"/>
    <n v="3756.7400000000002"/>
    <n v="8311.18"/>
    <n v="9142.2980000000007"/>
    <m/>
    <m/>
    <n v="0"/>
    <n v="8311.18"/>
    <n v="1"/>
    <m/>
    <d v="2018-05-08T00:00:00"/>
    <m/>
    <s v="Andrew Mahassy"/>
    <s v="Direct Award"/>
    <d v="2018-04-04T00:00:00"/>
    <m/>
    <d v="2018-05-11T00:00:00"/>
    <n v="37"/>
  </r>
  <r>
    <x v="2"/>
    <s v="Sydney"/>
    <s v="Inv 13592"/>
    <d v="2018-06-21T00:00:00"/>
    <d v="2018-06-01T00:00:00"/>
    <d v="2018-06-01T00:00:00"/>
    <d v="2018-06-01T00:00:00"/>
    <d v="2018-06-05T00:00:00"/>
    <d v="2018-06-14T00:00:00"/>
    <d v="2018-06-22T00:00:00"/>
    <m/>
    <x v="14"/>
    <s v="Jun-18"/>
    <s v="MW22200-AYCA-213H8O-2DAP-01-1 Wongawilli Road Wongawilli The Grove- Stage 4"/>
    <s v="Wongawilli"/>
    <n v="110.88"/>
    <n v="544.41999999999996"/>
    <n v="655.29999999999995"/>
    <n v="720.83"/>
    <m/>
    <m/>
    <n v="0"/>
    <n v="655.29999999999995"/>
    <n v="1"/>
    <m/>
    <d v="2018-06-15T00:00:00"/>
    <m/>
    <s v="Ertan Cicek"/>
    <s v="Direct Award"/>
    <d v="2018-04-10T00:00:00"/>
    <m/>
    <d v="2018-05-18T00:00:00"/>
    <n v="38"/>
  </r>
  <r>
    <x v="0"/>
    <s v="West NSW"/>
    <s v="Inv 13742"/>
    <d v="2018-06-13T00:00:00"/>
    <d v="2018-05-23T00:00:00"/>
    <d v="2018-05-23T00:00:00"/>
    <d v="2018-05-23T00:00:00"/>
    <d v="2018-05-31T00:00:00"/>
    <d v="2018-06-06T00:00:00"/>
    <d v="2018-06-20T00:00:00"/>
    <m/>
    <x v="8"/>
    <s v="Jun-18"/>
    <s v="MW22196 - AYCA-4VVND3 - 2ORG-01 - 258 CLERGATE RD, ORANGE"/>
    <s v="Orange"/>
    <n v="6657.74"/>
    <n v="4284.1550857142856"/>
    <n v="10941.895085714285"/>
    <n v="12036.084594285714"/>
    <n v="8266.83"/>
    <m/>
    <n v="8266.83"/>
    <n v="2675.0650857142846"/>
    <n v="0.24447913864636153"/>
    <m/>
    <d v="2018-06-06T00:00:00"/>
    <m/>
    <s v="Dave Yoemans"/>
    <d v="2018-04-11T00:00:00"/>
    <d v="2018-04-16T00:00:00"/>
    <n v="5"/>
    <d v="2018-06-08T00:00:00"/>
    <n v="53"/>
  </r>
  <r>
    <x v="2"/>
    <s v="Sydney"/>
    <s v="Inv 13848"/>
    <d v="2018-07-06T00:00:00"/>
    <d v="2018-06-19T00:00:00"/>
    <d v="2018-06-19T00:00:00"/>
    <d v="2018-06-19T00:00:00"/>
    <d v="2018-06-25T00:00:00"/>
    <d v="2018-07-03T00:00:00"/>
    <d v="2018-07-10T00:00:00"/>
    <m/>
    <x v="14"/>
    <s v="Jul-18"/>
    <s v="MW22177-AYCA-54QSHT-2MIL-20-42A Kurrajong Rd Prestons "/>
    <s v="Prestons"/>
    <n v="285.60000000000002"/>
    <n v="512.55999999999995"/>
    <n v="798.16"/>
    <n v="877.976"/>
    <m/>
    <m/>
    <n v="0"/>
    <n v="798.16"/>
    <n v="1"/>
    <m/>
    <d v="2018-07-03T00:00:00"/>
    <m/>
    <s v="Nabeel Jaimon"/>
    <s v="Direct Award"/>
    <d v="2018-04-11T00:00:00"/>
    <m/>
    <d v="2018-05-20T00:00:00"/>
    <n v="39"/>
  </r>
  <r>
    <x v="2"/>
    <s v="Sydney"/>
    <s v="Inv 13638"/>
    <d v="2018-05-22T00:00:00"/>
    <d v="2018-05-07T00:00:00"/>
    <d v="2018-05-07T00:00:00"/>
    <m/>
    <m/>
    <d v="2018-05-17T00:00:00"/>
    <d v="2018-05-22T00:00:00"/>
    <m/>
    <x v="8"/>
    <s v="May-18"/>
    <s v="MW22203-AYCA-2LIFV6-2ROU-02-4 Stringer Rd Kellyville"/>
    <s v="Kellyville"/>
    <n v="1784.38"/>
    <m/>
    <n v="1784.38"/>
    <n v="1962.8180000000002"/>
    <m/>
    <m/>
    <n v="0"/>
    <n v="1784.38"/>
    <n v="1"/>
    <m/>
    <d v="2018-05-21T00:00:00"/>
    <m/>
    <s v="Ertan Cicek"/>
    <s v="Direct Award"/>
    <d v="2018-04-12T00:00:00"/>
    <m/>
    <d v="2018-05-30T00:00:00"/>
    <n v="48"/>
  </r>
  <r>
    <x v="0"/>
    <s v="Sydney"/>
    <s v="Inv 13634"/>
    <d v="2018-05-22T00:00:00"/>
    <d v="2018-05-03T00:00:00"/>
    <d v="2018-05-03T00:00:00"/>
    <m/>
    <m/>
    <d v="2018-05-17T00:00:00"/>
    <d v="2018-05-22T00:00:00"/>
    <m/>
    <x v="8"/>
    <s v="May-18"/>
    <s v="MW22183-AYCA-55F4KR-2REV-20-15 Fitzpatrick St, Revesby"/>
    <s v="Revesby"/>
    <n v="3090.06"/>
    <m/>
    <n v="3090.06"/>
    <n v="3399.0660000000003"/>
    <m/>
    <n v="380.18274999999994"/>
    <n v="380.18274999999994"/>
    <n v="2709.87725"/>
    <n v="0.87696590033850474"/>
    <m/>
    <d v="2018-05-17T00:00:00"/>
    <m/>
    <s v="Ertan Cicek"/>
    <d v="2018-04-10T00:00:00"/>
    <d v="2018-04-13T00:00:00"/>
    <n v="3"/>
    <d v="2018-06-08T00:00:00"/>
    <n v="56"/>
  </r>
  <r>
    <x v="0"/>
    <s v="Sth Coast"/>
    <s v="Inv 13664"/>
    <d v="2018-05-24T00:00:00"/>
    <d v="2018-05-07T00:00:00"/>
    <d v="2018-05-07T00:00:00"/>
    <d v="2018-05-08T00:00:00"/>
    <d v="2018-05-14T00:00:00"/>
    <d v="2018-05-17T00:00:00"/>
    <d v="2018-05-24T00:00:00"/>
    <m/>
    <x v="8"/>
    <s v="May-18"/>
    <s v="MW22171-AYCA-54VFA3-2COR-02- 50 Squires Cres Coledale"/>
    <s v="Coledale"/>
    <n v="6788.96"/>
    <n v="3392.1154285714283"/>
    <n v="10181.075428571428"/>
    <n v="11199.182971428572"/>
    <n v="2366.54"/>
    <m/>
    <n v="2366.54"/>
    <n v="7814.5354285714284"/>
    <n v="0.76755500766071194"/>
    <m/>
    <d v="2018-05-21T00:00:00"/>
    <m/>
    <s v="Sogand Mohtat"/>
    <d v="2018-04-10T00:00:00"/>
    <d v="2018-04-13T00:00:00"/>
    <n v="3"/>
    <d v="2018-05-11T00:00:00"/>
    <n v="28"/>
  </r>
  <r>
    <x v="0"/>
    <s v="Sydney"/>
    <s v="Inv 13714"/>
    <d v="2018-06-14T00:00:00"/>
    <d v="2018-05-21T00:00:00"/>
    <d v="2018-05-21T00:00:00"/>
    <d v="2018-05-22T00:00:00"/>
    <d v="2018-05-30T00:00:00"/>
    <d v="2018-05-31T00:00:00"/>
    <d v="2018-06-07T00:00:00"/>
    <m/>
    <x v="8"/>
    <s v="Jun-18"/>
    <s v="MW22186 - AYCA-3L48XJ - 2CAS-23 - 2 Anella Avenue Castle Hill "/>
    <s v="Castle Hill"/>
    <n v="4057.47"/>
    <n v="3402.18"/>
    <n v="7459.65"/>
    <n v="8205.6149999999998"/>
    <m/>
    <n v="1200.0607499999999"/>
    <n v="1200.0607499999999"/>
    <n v="6259.58925"/>
    <n v="0.83912640003217309"/>
    <m/>
    <d v="2018-06-04T00:00:00"/>
    <m/>
    <s v="Ertan Cicek"/>
    <d v="2018-04-10T00:00:00"/>
    <d v="2018-04-13T00:00:00"/>
    <n v="3"/>
    <d v="2018-05-11T00:00:00"/>
    <n v="28"/>
  </r>
  <r>
    <x v="2"/>
    <s v="Sydney"/>
    <s v="Inv 13849"/>
    <d v="2018-07-06T00:00:00"/>
    <d v="2018-06-18T00:00:00"/>
    <d v="2018-06-18T00:00:00"/>
    <d v="2018-06-18T00:00:00"/>
    <d v="2018-07-02T00:00:00"/>
    <d v="2018-07-02T00:00:00"/>
    <d v="2018-07-10T00:00:00"/>
    <m/>
    <x v="14"/>
    <s v="Jul-18"/>
    <s v="MW22195 - AYCA-4SOX62-2LIV-03- 186 Moore St Liverpool"/>
    <s v="Liverpool"/>
    <n v="1382.92"/>
    <n v="5222.21"/>
    <n v="6605.13"/>
    <n v="7265.6430000000009"/>
    <n v="3074"/>
    <m/>
    <n v="3074"/>
    <n v="3531.13"/>
    <n v="0.53460416373334063"/>
    <m/>
    <d v="2018-07-02T00:00:00"/>
    <m/>
    <s v="Ertan Cicek"/>
    <s v="Direct Award"/>
    <d v="2018-04-16T00:00:00"/>
    <m/>
    <d v="2018-06-16T00:00:00"/>
    <n v="61"/>
  </r>
  <r>
    <x v="2"/>
    <s v="Sydney"/>
    <m/>
    <m/>
    <m/>
    <d v="2018-07-30T00:00:00"/>
    <m/>
    <m/>
    <m/>
    <m/>
    <m/>
    <x v="9"/>
    <s v="Jan-00"/>
    <s v="MW21878-AYCA-2Q0B3G-2PAR-63-148-150 Great Western Hwy, Westmead"/>
    <s v="Westmead"/>
    <n v="1061.6500000000001"/>
    <m/>
    <n v="1061.6500000000001"/>
    <n v="1167.8150000000003"/>
    <m/>
    <m/>
    <n v="0"/>
    <n v="1061.6500000000001"/>
    <n v="1"/>
    <m/>
    <d v="2018-08-13T00:00:00"/>
    <m/>
    <s v="Ertan Cicek"/>
    <s v="Direct Award"/>
    <d v="2018-04-16T00:00:00"/>
    <m/>
    <d v="2018-05-30T00:00:00"/>
    <n v="44"/>
  </r>
  <r>
    <x v="2"/>
    <s v="Sydney"/>
    <s v="Inv 13715"/>
    <d v="2018-06-14T00:00:00"/>
    <d v="2018-05-04T00:00:00"/>
    <d v="2018-05-07T00:00:00"/>
    <d v="2018-05-08T00:00:00"/>
    <d v="2018-05-09T00:00:00"/>
    <d v="2018-05-17T00:00:00"/>
    <d v="2018-06-07T00:00:00"/>
    <m/>
    <x v="8"/>
    <s v="Jun-18"/>
    <s v="MW22223-AYCA-4S0RD5-2RIV-03-14 Argowan Rd Schofields"/>
    <s v="Schofields"/>
    <n v="13978.73"/>
    <n v="-6944.3819999999796"/>
    <n v="7034.34800000002"/>
    <n v="7737.7828000000227"/>
    <n v="3157.04"/>
    <m/>
    <n v="3157.04"/>
    <n v="3877.30800000002"/>
    <n v="0.55119650037217505"/>
    <m/>
    <d v="2018-05-21T00:00:00"/>
    <m/>
    <s v="Ertan Cicek"/>
    <s v="Direct Award"/>
    <d v="2018-04-16T00:00:00"/>
    <m/>
    <d v="2018-05-17T00:00:00"/>
    <n v="31"/>
  </r>
  <r>
    <x v="0"/>
    <s v="Sydney"/>
    <s v="Inv 13738"/>
    <d v="2018-06-20T00:00:00"/>
    <d v="2018-05-18T00:00:00"/>
    <d v="2018-05-21T00:00:00"/>
    <d v="2018-05-22T00:00:00"/>
    <d v="2018-06-14T00:00:00"/>
    <d v="2018-05-31T00:00:00"/>
    <d v="2018-06-19T00:00:00"/>
    <m/>
    <x v="8"/>
    <s v="Jun-18"/>
    <s v="MW22100 - AYCA-4QBUIV - 2KTB-02 -  NSB - Letitia St Katoomb"/>
    <s v="Katoomba"/>
    <n v="2772.4"/>
    <n v="16972.475000000002"/>
    <n v="19744.875000000004"/>
    <n v="21719.362500000007"/>
    <n v="13346.45"/>
    <m/>
    <n v="13346.45"/>
    <n v="6398.4250000000029"/>
    <n v="0.32405497629131619"/>
    <m/>
    <d v="2018-06-04T00:00:00"/>
    <m/>
    <s v="Ertan Cicek"/>
    <s v="Direct Award"/>
    <d v="2018-04-16T00:00:00"/>
    <m/>
    <d v="2018-05-09T00:00:00"/>
    <n v="23"/>
  </r>
  <r>
    <x v="0"/>
    <s v="Sydney"/>
    <s v="Inv 13636"/>
    <d v="2018-05-22T00:00:00"/>
    <d v="2018-05-07T00:00:00"/>
    <d v="2018-05-07T00:00:00"/>
    <m/>
    <m/>
    <d v="2018-05-17T00:00:00"/>
    <d v="2018-05-22T00:00:00"/>
    <m/>
    <x v="8"/>
    <s v="May-18"/>
    <s v="MW22188-AYCA-4YPJJH-2BAN-60-62 Hume Hwy Chullora "/>
    <s v="Chullora"/>
    <n v="789.43"/>
    <m/>
    <n v="789.43"/>
    <n v="868.37300000000005"/>
    <m/>
    <n v="380.18274999999994"/>
    <n v="380.18274999999994"/>
    <n v="409.24725000000001"/>
    <n v="0.51840853527228514"/>
    <m/>
    <d v="2018-05-21T00:00:00"/>
    <m/>
    <s v="Ertan Cicek"/>
    <d v="2018-04-11T00:00:00"/>
    <d v="2018-04-18T00:00:00"/>
    <n v="7"/>
    <d v="2018-05-11T00:00:00"/>
    <n v="23"/>
  </r>
  <r>
    <x v="0"/>
    <s v="Sydney"/>
    <s v="Inv 13632"/>
    <d v="2018-05-22T00:00:00"/>
    <d v="2018-05-03T00:00:00"/>
    <d v="2018-05-03T00:00:00"/>
    <m/>
    <m/>
    <d v="2018-05-16T00:00:00"/>
    <d v="2018-05-22T00:00:00"/>
    <m/>
    <x v="8"/>
    <s v="May-18"/>
    <s v="MW22208-AYCA-4PWSOZ- 2KEL-07-1B Fairway Dr Kellyville"/>
    <s v="Kellyville"/>
    <n v="7979.71"/>
    <m/>
    <n v="7979.71"/>
    <n v="8777.6810000000005"/>
    <n v="1203.8"/>
    <m/>
    <n v="1203.8"/>
    <n v="6775.91"/>
    <n v="0.84914238737999248"/>
    <m/>
    <d v="2018-05-17T00:00:00"/>
    <m/>
    <s v="Ertan Cicek"/>
    <d v="2018-04-11T00:00:00"/>
    <d v="2018-04-18T00:00:00"/>
    <n v="7"/>
    <d v="2018-05-15T00:00:00"/>
    <n v="27"/>
  </r>
  <r>
    <x v="2"/>
    <s v="Sydney"/>
    <s v="Inv 13846"/>
    <d v="2018-07-06T00:00:00"/>
    <d v="2018-06-20T00:00:00"/>
    <d v="2018-06-20T00:00:00"/>
    <d v="2018-06-22T00:00:00"/>
    <d v="2018-06-16T00:00:00"/>
    <d v="2018-07-04T00:00:00"/>
    <d v="2018-07-10T00:00:00"/>
    <m/>
    <x v="14"/>
    <s v="Jul-18"/>
    <s v="MW22258-AYCA-4BT0OX-2RIV-02-66 Schofields Road Schofields"/>
    <s v="Schofields"/>
    <n v="1747.53"/>
    <n v="1318.32"/>
    <n v="3065.85"/>
    <n v="3372.4349999999999"/>
    <n v="490.78"/>
    <m/>
    <n v="490.78"/>
    <n v="2575.0699999999997"/>
    <n v="0.83992041358840119"/>
    <m/>
    <d v="2018-07-04T00:00:00"/>
    <m/>
    <s v="Ertan Cicek"/>
    <s v="Direct Award"/>
    <d v="2018-04-18T00:00:00"/>
    <m/>
    <d v="2018-06-08T00:00:00"/>
    <n v="51"/>
  </r>
  <r>
    <x v="0"/>
    <s v="Sydney"/>
    <m/>
    <m/>
    <m/>
    <d v="2018-08-30T00:00:00"/>
    <m/>
    <m/>
    <m/>
    <m/>
    <m/>
    <x v="15"/>
    <s v="Jan-00"/>
    <s v="MW22191-AYCA-4Z4FSB - 2MIL-20 -  Mainfreight Logistics - 1"/>
    <s v="Prestons"/>
    <n v="41413.659642857143"/>
    <m/>
    <n v="41413.659642857143"/>
    <n v="45555.025607142859"/>
    <m/>
    <m/>
    <n v="0"/>
    <n v="41413.659642857143"/>
    <n v="1"/>
    <m/>
    <d v="2018-09-13T00:00:00"/>
    <m/>
    <s v="Ertan Cicek"/>
    <d v="2018-04-10T00:00:00"/>
    <d v="2018-04-19T00:00:00"/>
    <n v="9"/>
    <d v="2018-05-11T00:00:00"/>
    <n v="22"/>
  </r>
  <r>
    <x v="2"/>
    <s v="Sydney"/>
    <m/>
    <m/>
    <m/>
    <d v="2018-07-30T00:00:00"/>
    <m/>
    <m/>
    <m/>
    <m/>
    <m/>
    <x v="9"/>
    <s v="Jan-00"/>
    <s v="MW22218 - AYCA-4JMOL9 - 2DRU-60 - 50-52 East St, Five Dock"/>
    <s v="Five Dock"/>
    <n v="585.25"/>
    <m/>
    <n v="585.25"/>
    <n v="643.77500000000009"/>
    <n v="3140.46"/>
    <m/>
    <n v="3140.46"/>
    <n v="-2555.21"/>
    <n v="-4.3660145237078174"/>
    <m/>
    <d v="2018-08-13T00:00:00"/>
    <m/>
    <s v="Ertan Cicek"/>
    <s v="Direct Award"/>
    <d v="2018-04-19T00:00:00"/>
    <m/>
    <d v="2018-06-30T00:00:00"/>
    <n v="72"/>
  </r>
  <r>
    <x v="2"/>
    <s v="Sydney"/>
    <s v="inv 13629"/>
    <d v="2018-05-22T00:00:00"/>
    <d v="2018-05-04T00:00:00"/>
    <d v="2018-05-04T00:00:00"/>
    <d v="2018-05-10T00:00:00"/>
    <d v="2018-05-14T00:00:00"/>
    <d v="2018-05-18T00:00:00"/>
    <d v="2018-05-22T00:00:00"/>
    <m/>
    <x v="8"/>
    <s v="May-18"/>
    <s v="MW22243 - AYCA-4EUBZX - 2PTH-06 - 82 Cox Avenue, Penrith "/>
    <s v="Penrith"/>
    <n v="410.89"/>
    <n v="4035.277"/>
    <n v="4446.1670000000004"/>
    <n v="4890.7837000000009"/>
    <m/>
    <m/>
    <n v="0"/>
    <n v="4446.1670000000004"/>
    <n v="1"/>
    <m/>
    <d v="2018-05-18T00:00:00"/>
    <m/>
    <s v="Ertan Cicek"/>
    <s v="Direct Award"/>
    <d v="2018-04-19T00:00:00"/>
    <m/>
    <d v="2018-06-07T00:00:00"/>
    <n v="49"/>
  </r>
  <r>
    <x v="2"/>
    <s v="Sydney"/>
    <s v="Inv 13694"/>
    <d v="2018-06-06T00:00:00"/>
    <d v="2018-05-14T00:00:00"/>
    <d v="2018-05-14T00:00:00"/>
    <d v="2018-05-18T00:00:00"/>
    <d v="2018-05-30T00:00:00"/>
    <d v="2018-05-25T00:00:00"/>
    <d v="2018-06-05T00:00:00"/>
    <m/>
    <x v="8"/>
    <s v="Jun-18"/>
    <s v="MW22260-AYCA-56YKSC-2CAM-02-38 Wonga St, Canterbury"/>
    <s v="Canterbury"/>
    <n v="1202.46"/>
    <n v="3353.9829999999997"/>
    <n v="4556.4429999999993"/>
    <n v="5012.0872999999992"/>
    <n v="1225.45"/>
    <m/>
    <n v="1225.45"/>
    <n v="3330.9929999999995"/>
    <n v="0.73105117303124389"/>
    <m/>
    <d v="2018-05-28T00:00:00"/>
    <m/>
    <s v="Ertan Cicek"/>
    <s v="Direct Award"/>
    <d v="2018-04-20T00:00:00"/>
    <m/>
    <d v="2018-06-29T00:00:00"/>
    <n v="70"/>
  </r>
  <r>
    <x v="2"/>
    <s v="Sydney"/>
    <m/>
    <m/>
    <m/>
    <d v="2017-08-30T00:00:00"/>
    <m/>
    <m/>
    <m/>
    <m/>
    <m/>
    <x v="4"/>
    <s v="Jan-00"/>
    <s v="MW22279-AYCA-45Q6J5-2EPP-62-35 Oxford St Epping"/>
    <s v="Epping"/>
    <n v="973.82"/>
    <m/>
    <n v="973.82"/>
    <n v="1071.2020000000002"/>
    <n v="4453.75"/>
    <m/>
    <n v="4453.75"/>
    <n v="-3479.93"/>
    <n v="-3.5734838060421841"/>
    <m/>
    <d v="2017-09-13T00:00:00"/>
    <m/>
    <s v="Ertan Cicek"/>
    <s v="Direct Award"/>
    <d v="2018-04-20T00:00:00"/>
    <m/>
    <d v="2018-07-13T00:00:00"/>
    <n v="84"/>
  </r>
  <r>
    <x v="2"/>
    <s v="Sydney"/>
    <m/>
    <m/>
    <m/>
    <d v="2017-08-30T00:00:00"/>
    <m/>
    <m/>
    <m/>
    <m/>
    <m/>
    <x v="4"/>
    <s v="Jan-00"/>
    <s v="MW22284-AYCA-4KZ476-2PTH-02-38-40 Doonmore St Penrith"/>
    <s v="Penrith"/>
    <n v="5790.01"/>
    <m/>
    <n v="5790.01"/>
    <n v="6369.0110000000004"/>
    <m/>
    <m/>
    <n v="0"/>
    <n v="5790.01"/>
    <n v="1"/>
    <m/>
    <d v="2017-09-13T00:00:00"/>
    <m/>
    <s v="Ertan Cicek"/>
    <s v="Direct Award"/>
    <d v="2018-04-23T00:00:00"/>
    <m/>
    <d v="2018-07-13T00:00:00"/>
    <n v="81"/>
  </r>
  <r>
    <x v="2"/>
    <s v="Sydney"/>
    <m/>
    <m/>
    <m/>
    <d v="2017-08-31T00:00:00"/>
    <m/>
    <m/>
    <m/>
    <m/>
    <m/>
    <x v="4"/>
    <s v="Jan-00"/>
    <s v="MW22293 - AYCA-4NNOGX - 2PTH-02 - 240-250 Great Western Hwy Kingswood"/>
    <s v="Kingswood"/>
    <n v="1801.74"/>
    <m/>
    <n v="1801.74"/>
    <n v="1981.9140000000002"/>
    <m/>
    <m/>
    <n v="0"/>
    <n v="1801.74"/>
    <n v="1"/>
    <m/>
    <d v="2017-09-14T00:00:00"/>
    <m/>
    <s v="Ertan Cicek"/>
    <s v="Direct Award"/>
    <d v="2018-04-23T00:00:00"/>
    <m/>
    <d v="2018-07-23T00:00:00"/>
    <n v="91"/>
  </r>
  <r>
    <x v="2"/>
    <s v="Sydney"/>
    <s v="Inv 13832"/>
    <d v="2018-07-06T00:00:00"/>
    <d v="2018-06-14T00:00:00"/>
    <d v="2018-06-14T00:00:00"/>
    <d v="2018-06-15T00:00:00"/>
    <d v="2018-06-27T00:00:00"/>
    <d v="2018-06-28T00:00:00"/>
    <d v="2018-07-05T00:00:00"/>
    <m/>
    <x v="14"/>
    <s v="Jul-18"/>
    <s v="MW22209-AYCA-48LNJ7-2ORG-02-Cedar St Orange"/>
    <s v="Orange"/>
    <n v="7615.85"/>
    <n v="1488.4099999999999"/>
    <n v="9104.26"/>
    <n v="10014.686000000002"/>
    <m/>
    <m/>
    <n v="0"/>
    <n v="9104.26"/>
    <n v="1"/>
    <m/>
    <d v="2018-06-28T00:00:00"/>
    <m/>
    <s v="Mark Leal"/>
    <d v="2018-04-16T00:00:00"/>
    <d v="2018-04-23T00:00:00"/>
    <n v="7"/>
    <d v="2018-05-15T00:00:00"/>
    <n v="22"/>
  </r>
  <r>
    <x v="7"/>
    <s v="NSW"/>
    <s v="Inv 13525"/>
    <d v="2018-04-24T00:00:00"/>
    <d v="2018-04-23T00:00:00"/>
    <d v="2018-04-23T00:00:00"/>
    <m/>
    <m/>
    <m/>
    <d v="2018-05-22T00:00:00"/>
    <m/>
    <x v="7"/>
    <s v="May-18"/>
    <s v="MW22341 - INC000007700062 –  20F SYDNEY RD, MUDGEE "/>
    <s v="Mudgee"/>
    <n v="1530.4699999999998"/>
    <m/>
    <n v="1530.4699999999998"/>
    <n v="1683.5169999999998"/>
    <m/>
    <n v="431.97"/>
    <n v="431.97"/>
    <n v="1098.4999999999998"/>
    <n v="0.71775336987984073"/>
    <m/>
    <d v="2018-05-07T00:00:00"/>
    <m/>
    <s v="Tony Gabriel"/>
    <m/>
    <m/>
    <m/>
    <m/>
    <m/>
  </r>
  <r>
    <x v="7"/>
    <s v="NSW"/>
    <s v="Inv 13526"/>
    <d v="2018-04-24T00:00:00"/>
    <d v="2018-04-23T00:00:00"/>
    <d v="2018-04-23T00:00:00"/>
    <m/>
    <m/>
    <m/>
    <m/>
    <m/>
    <x v="7"/>
    <s v="Jan-00"/>
    <s v="INC000007724800 - Lot 1, 1 Asquith Av, Wentworth Falls"/>
    <s v="Wentworth Falls"/>
    <n v="1153.2599999999998"/>
    <m/>
    <n v="1153.2599999999998"/>
    <n v="1268.5859999999998"/>
    <m/>
    <n v="329.12"/>
    <n v="329.12"/>
    <n v="824.13999999999976"/>
    <n v="0.71461769245443341"/>
    <m/>
    <d v="2018-05-07T00:00:00"/>
    <m/>
    <s v="Tony Gabriel"/>
    <m/>
    <m/>
    <m/>
    <m/>
    <m/>
  </r>
  <r>
    <x v="6"/>
    <s v="NSW"/>
    <s v="Inv 13529"/>
    <d v="2018-04-24T00:00:00"/>
    <d v="2018-04-05T00:00:00"/>
    <d v="2018-04-05T00:00:00"/>
    <m/>
    <m/>
    <m/>
    <d v="2018-06-07T00:00:00"/>
    <m/>
    <x v="7"/>
    <s v="Jun-18"/>
    <s v="INC000007317444 - Lot 1, 40 Grenfell St, West Wyalong"/>
    <s v="West Wyalong"/>
    <n v="4275.79"/>
    <m/>
    <n v="4275.79"/>
    <n v="4703.3690000000006"/>
    <n v="1736"/>
    <n v="875"/>
    <n v="2611"/>
    <n v="1664.79"/>
    <n v="0.38935261086255407"/>
    <m/>
    <d v="2018-04-19T00:00:00"/>
    <m/>
    <s v="Tony Gabriel"/>
    <m/>
    <m/>
    <m/>
    <m/>
    <m/>
  </r>
  <r>
    <x v="6"/>
    <s v="NSW"/>
    <s v="Inv 13530"/>
    <d v="2018-04-24T00:00:00"/>
    <d v="2018-03-29T00:00:00"/>
    <d v="2018-03-29T00:00:00"/>
    <m/>
    <m/>
    <m/>
    <d v="2018-05-22T00:00:00"/>
    <m/>
    <x v="11"/>
    <s v="May-18"/>
    <s v="MW22343 - INC000007442181 - Lot 105, 21 Yeo Cr, Yass"/>
    <s v="Yass"/>
    <n v="1576.87"/>
    <m/>
    <n v="1576.87"/>
    <n v="1734.557"/>
    <m/>
    <n v="475"/>
    <n v="475"/>
    <n v="1101.8699999999999"/>
    <n v="0.69877034885564437"/>
    <m/>
    <d v="2018-04-12T00:00:00"/>
    <m/>
    <s v="Tony Gabriel"/>
    <m/>
    <m/>
    <m/>
    <m/>
    <m/>
  </r>
  <r>
    <x v="6"/>
    <s v="NSW"/>
    <s v="Inv 13531"/>
    <d v="2018-04-24T00:00:00"/>
    <d v="2018-03-26T00:00:00"/>
    <d v="2018-03-26T00:00:00"/>
    <m/>
    <m/>
    <m/>
    <m/>
    <m/>
    <x v="11"/>
    <s v="Jan-00"/>
    <s v="INC000007476665 - Lot 5, 23 Kookora Street, Griffith"/>
    <s v="Griffth"/>
    <n v="896.9799999999999"/>
    <m/>
    <n v="896.9799999999999"/>
    <n v="986.678"/>
    <m/>
    <n v="300"/>
    <n v="300"/>
    <n v="596.9799999999999"/>
    <n v="0.66554438226047397"/>
    <m/>
    <d v="2018-04-09T00:00:00"/>
    <m/>
    <s v="Tony Gabriel"/>
    <m/>
    <m/>
    <m/>
    <m/>
    <m/>
  </r>
  <r>
    <x v="2"/>
    <s v="Sydney"/>
    <s v="Inv 13741"/>
    <d v="2018-06-27T00:00:00"/>
    <d v="2018-06-07T00:00:00"/>
    <d v="2018-06-07T00:00:00"/>
    <d v="2018-06-14T00:00:00"/>
    <d v="2018-06-21T00:00:00"/>
    <d v="2018-06-21T00:00:00"/>
    <d v="2018-06-28T00:00:00"/>
    <m/>
    <x v="14"/>
    <s v="Jun-18"/>
    <s v="MW22297-AYCA-58QIXQ-2LIV-02-29 SCOTT ST, LIVERPOOL"/>
    <s v="Liverpool"/>
    <n v="874.86"/>
    <n v="4861.0450000000001"/>
    <n v="5735.9049999999997"/>
    <n v="6309.4955"/>
    <m/>
    <n v="1211.9632499999998"/>
    <n v="1211.9632499999998"/>
    <n v="4523.94175"/>
    <n v="0.78870583630656366"/>
    <m/>
    <d v="2018-06-21T00:00:00"/>
    <m/>
    <s v="Ertan Cicek"/>
    <s v="Direct Award"/>
    <d v="2018-04-24T00:00:00"/>
    <m/>
    <d v="2018-06-29T00:00:00"/>
    <n v="66"/>
  </r>
  <r>
    <x v="9"/>
    <s v="Sydney"/>
    <m/>
    <m/>
    <d v="2018-06-07T00:00:00"/>
    <d v="2018-06-07T00:00:00"/>
    <m/>
    <m/>
    <d v="2018-06-21T00:00:00"/>
    <d v="2018-07-05T00:00:00"/>
    <m/>
    <x v="14"/>
    <s v="Jul-18"/>
    <s v="2BRX-01-AYCA-41AL6Q"/>
    <s v="Branxton"/>
    <n v="139911.24315249996"/>
    <m/>
    <n v="139911.24315249996"/>
    <n v="153902.36746774995"/>
    <n v="101277.7"/>
    <m/>
    <n v="101277.7"/>
    <n v="38633.543152499959"/>
    <n v="0.27612893919032871"/>
    <m/>
    <d v="2018-06-21T00:00:00"/>
    <m/>
    <s v="Adnan Khabbaz"/>
    <s v="Direct Award"/>
    <d v="2018-04-20T00:00:00"/>
    <m/>
    <d v="2018-06-06T00:00:00"/>
    <n v="47"/>
  </r>
  <r>
    <x v="9"/>
    <s v="Sydney"/>
    <s v="Inv 13589"/>
    <d v="2018-05-10T00:00:00"/>
    <d v="2018-04-27T00:00:00"/>
    <d v="2018-04-27T00:00:00"/>
    <d v="2018-05-03T00:00:00"/>
    <d v="2018-05-07T00:00:00"/>
    <d v="2018-05-11T00:00:00"/>
    <d v="2018-06-08T00:00:00"/>
    <m/>
    <x v="7"/>
    <s v="Jun-18"/>
    <s v="2BUR-03-AYCA-2EBL4P"/>
    <s v="Burwood"/>
    <n v="34899.440000000002"/>
    <m/>
    <n v="34899.440000000002"/>
    <n v="38389.384000000005"/>
    <n v="25151.94"/>
    <m/>
    <n v="25151.94"/>
    <n v="9747.5000000000036"/>
    <n v="0.2793024759136537"/>
    <m/>
    <d v="2018-05-11T00:00:00"/>
    <m/>
    <s v="Adnan Khabbaz"/>
    <s v="Direct Award"/>
    <d v="2018-04-05T00:00:00"/>
    <m/>
    <d v="2018-04-27T00:00:00"/>
    <n v="22"/>
  </r>
  <r>
    <x v="9"/>
    <s v="Sydney"/>
    <s v="Inv 13590"/>
    <d v="2018-05-10T00:00:00"/>
    <d v="2018-04-27T00:00:00"/>
    <d v="2018-04-27T00:00:00"/>
    <d v="2018-05-03T00:00:00"/>
    <d v="2018-05-08T00:00:00"/>
    <d v="2018-05-11T00:00:00"/>
    <d v="2018-06-08T00:00:00"/>
    <m/>
    <x v="7"/>
    <s v="Jun-18"/>
    <s v="2CAM-60-AYCA-4VCIKM"/>
    <s v="Campsie"/>
    <n v="30368.89"/>
    <m/>
    <n v="30368.89"/>
    <n v="33405.779000000002"/>
    <n v="15394.18"/>
    <m/>
    <n v="15394.18"/>
    <n v="14974.71"/>
    <n v="0.49309375482607365"/>
    <m/>
    <d v="2018-05-11T00:00:00"/>
    <m/>
    <s v="Adnan Khabbaz"/>
    <s v="Direct Award"/>
    <d v="2018-04-05T00:00:00"/>
    <m/>
    <d v="2018-04-20T00:00:00"/>
    <n v="15"/>
  </r>
  <r>
    <x v="9"/>
    <s v="Sydney"/>
    <s v="Inv 13724"/>
    <d v="2018-06-18T00:00:00"/>
    <d v="2018-06-01T00:00:00"/>
    <d v="2018-06-01T00:00:00"/>
    <d v="2018-06-06T00:00:00"/>
    <d v="2018-06-13T00:00:00"/>
    <d v="2018-06-15T00:00:00"/>
    <d v="2018-06-29T00:00:00"/>
    <m/>
    <x v="14"/>
    <s v="Jun-18"/>
    <s v="2KRG-03-AYCA-2Z4T2N "/>
    <s v="Kooringal"/>
    <n v="40799.910000000003"/>
    <m/>
    <n v="40799.910000000003"/>
    <n v="44879.901000000005"/>
    <n v="21000"/>
    <m/>
    <n v="21000"/>
    <n v="19799.910000000003"/>
    <n v="0.48529298226393153"/>
    <m/>
    <d v="2018-06-15T00:00:00"/>
    <m/>
    <s v="Adnan Khabbaz"/>
    <s v="Direct Award"/>
    <d v="2018-04-18T00:00:00"/>
    <m/>
    <d v="2018-05-22T00:00:00"/>
    <n v="34"/>
  </r>
  <r>
    <x v="9"/>
    <s v="Sydney"/>
    <s v="Inv 13656"/>
    <d v="2018-05-23T00:00:00"/>
    <d v="2018-05-14T00:00:00"/>
    <d v="2018-05-14T00:00:00"/>
    <d v="2018-05-18T00:00:00"/>
    <d v="2018-05-21T00:00:00"/>
    <d v="2018-05-21T00:00:00"/>
    <d v="2018-06-08T00:00:00"/>
    <m/>
    <x v="8"/>
    <s v="Jun-18"/>
    <s v="2NRN-05-AYCA-4B5K39"/>
    <s v="Narrellen"/>
    <n v="1897.3506749999997"/>
    <m/>
    <n v="1897.3506749999997"/>
    <n v="2087.0857424999999"/>
    <n v="443.04"/>
    <n v="208"/>
    <n v="651.04"/>
    <n v="1246.3106749999997"/>
    <n v="0.6568689127538323"/>
    <m/>
    <d v="2018-05-28T00:00:00"/>
    <m/>
    <s v="Adnan Khabbaz"/>
    <s v="Direct Award"/>
    <d v="2018-04-20T00:00:00"/>
    <m/>
    <d v="2018-06-04T00:00:00"/>
    <n v="45"/>
  </r>
  <r>
    <x v="9"/>
    <s v="Sydney"/>
    <m/>
    <m/>
    <d v="2018-05-22T00:00:00"/>
    <d v="2018-05-22T00:00:00"/>
    <m/>
    <m/>
    <d v="2018-06-05T00:00:00"/>
    <d v="2018-06-19T00:00:00"/>
    <m/>
    <x v="8"/>
    <s v="Jun-18"/>
    <s v="2PET-67-AYCA-4W7GEZ,"/>
    <s v="Petersham"/>
    <n v="46564.38"/>
    <m/>
    <n v="46564.38"/>
    <n v="51220.817999999999"/>
    <n v="27635.11"/>
    <m/>
    <n v="27635.11"/>
    <n v="18929.269999999997"/>
    <n v="0.40651824420297228"/>
    <m/>
    <d v="2018-06-05T00:00:00"/>
    <m/>
    <s v="Adnan Khabbaz"/>
    <s v="Direct Award"/>
    <d v="2018-04-05T00:00:00"/>
    <m/>
    <d v="2018-04-12T00:00:00"/>
    <n v="7"/>
  </r>
  <r>
    <x v="9"/>
    <s v="Sydney"/>
    <m/>
    <m/>
    <d v="2018-06-25T00:00:00"/>
    <d v="2018-06-25T00:00:00"/>
    <m/>
    <m/>
    <d v="2018-07-09T00:00:00"/>
    <d v="2018-07-23T00:00:00"/>
    <m/>
    <x v="14"/>
    <s v="Jul-18"/>
    <s v="2PET-69-AYCA-3G34XT"/>
    <s v="Petersham"/>
    <n v="30911.409282500004"/>
    <m/>
    <n v="30911.409282500004"/>
    <n v="34002.550210750007"/>
    <n v="22810.11"/>
    <m/>
    <n v="22810.11"/>
    <n v="8101.2992825000038"/>
    <n v="0.26208120142508107"/>
    <m/>
    <d v="2018-07-09T00:00:00"/>
    <m/>
    <s v="Adnan Khabbaz"/>
    <s v="Direct Award"/>
    <d v="2018-04-05T00:00:00"/>
    <m/>
    <d v="2018-04-30T00:00:00"/>
    <n v="25"/>
  </r>
  <r>
    <x v="9"/>
    <s v="Sydney"/>
    <s v="Inv 13591"/>
    <d v="2018-05-10T00:00:00"/>
    <d v="2018-04-26T00:00:00"/>
    <d v="2018-04-26T00:00:00"/>
    <d v="2018-05-08T00:00:00"/>
    <d v="2018-05-10T00:00:00"/>
    <d v="2018-05-10T00:00:00"/>
    <d v="2018-06-08T00:00:00"/>
    <m/>
    <x v="7"/>
    <s v="Jun-18"/>
    <s v="2ROU-04-AYCA-39XZGZ"/>
    <s v="Rouse Hill"/>
    <n v="5918.97"/>
    <m/>
    <n v="5918.97"/>
    <n v="6510.8670000000011"/>
    <m/>
    <n v="1000"/>
    <n v="1000"/>
    <n v="4918.97"/>
    <n v="0.83105168635759263"/>
    <m/>
    <d v="2018-05-10T00:00:00"/>
    <m/>
    <s v="Adnan Khabbaz"/>
    <s v="Direct Award"/>
    <d v="2018-04-11T00:00:00"/>
    <m/>
    <d v="2018-05-08T00:00:00"/>
    <m/>
  </r>
  <r>
    <x v="2"/>
    <s v="Sydney"/>
    <s v="Inv 13751"/>
    <d v="2018-06-20T00:00:00"/>
    <d v="2018-05-29T00:00:00"/>
    <d v="2018-05-29T00:00:00"/>
    <d v="2018-05-31T00:00:00"/>
    <d v="2018-06-05T00:00:00"/>
    <d v="2018-06-08T00:00:00"/>
    <d v="2018-06-19T00:00:00"/>
    <m/>
    <x v="8"/>
    <s v="Jun-18"/>
    <s v="MW22091-AYCA-4MNF1P-2NRN-10-11 &amp; 15 Holborn Circuit, Gregory Hills "/>
    <s v="Gregory Hills"/>
    <n v="4140.32"/>
    <n v="7286.54"/>
    <n v="11426.86"/>
    <n v="12569.546000000002"/>
    <n v="6489.4400000000005"/>
    <m/>
    <n v="6489.4400000000005"/>
    <n v="4937.42"/>
    <n v="0.43208895532105929"/>
    <m/>
    <d v="2018-06-12T00:00:00"/>
    <m/>
    <s v="Nabeel Jaimon"/>
    <s v="Direct Award"/>
    <d v="2018-04-24T00:00:00"/>
    <m/>
    <d v="2018-05-31T00:00:00"/>
    <n v="37"/>
  </r>
  <r>
    <x v="0"/>
    <s v="Sydney"/>
    <s v="Inv 13691"/>
    <d v="2018-06-06T00:00:00"/>
    <d v="2018-05-16T00:00:00"/>
    <d v="2018-05-16T00:00:00"/>
    <d v="2018-05-18T00:00:00"/>
    <d v="2018-05-23T00:00:00"/>
    <d v="2018-06-05T00:00:00"/>
    <d v="2018-06-05T00:00:00"/>
    <m/>
    <x v="8"/>
    <s v="Jun-18"/>
    <s v="MW22288-AYCA-4R7UP6-2MIL-04-40 Government Rd, Hinchinbrook"/>
    <s v="Hinchinbrook"/>
    <n v="8639.27"/>
    <n v="-2352.5499999999997"/>
    <n v="6286.7200000000012"/>
    <n v="6915.3920000000016"/>
    <n v="1143.6099999999999"/>
    <n v="704"/>
    <n v="1847.61"/>
    <n v="4439.1100000000015"/>
    <n v="0.70610906800366502"/>
    <m/>
    <d v="2018-05-30T00:00:00"/>
    <m/>
    <s v="Andrwe Mahassy"/>
    <d v="2018-04-19T00:00:00"/>
    <d v="2018-04-24T00:00:00"/>
    <n v="5"/>
    <d v="2018-05-23T00:00:00"/>
    <n v="29"/>
  </r>
  <r>
    <x v="2"/>
    <s v="Sydney"/>
    <m/>
    <m/>
    <d v="2018-06-27T00:00:00"/>
    <d v="2018-06-27T00:00:00"/>
    <d v="2018-07-02T00:00:00"/>
    <m/>
    <d v="2018-07-11T00:00:00"/>
    <d v="2018-07-25T00:00:00"/>
    <m/>
    <x v="14"/>
    <s v="Jul-18"/>
    <s v="MW22309-AYCA-3V5BM6-2DRU-61-197-199 Lyons Rd Drummoyne "/>
    <s v="Drummoyne "/>
    <n v="1734.4"/>
    <n v="13956.892000000005"/>
    <n v="15691.292000000005"/>
    <n v="17260.421200000008"/>
    <n v="9740.19"/>
    <m/>
    <n v="9740.19"/>
    <n v="5951.1020000000044"/>
    <n v="0.37926144003948192"/>
    <m/>
    <d v="2018-07-11T00:00:00"/>
    <m/>
    <s v="Ertan Cicek"/>
    <s v="Direct Award"/>
    <d v="2018-04-24T00:00:00"/>
    <m/>
    <d v="2018-05-23T00:00:00"/>
    <n v="29"/>
  </r>
  <r>
    <x v="2"/>
    <s v="Sydney"/>
    <m/>
    <m/>
    <m/>
    <d v="2018-07-30T00:00:00"/>
    <m/>
    <m/>
    <m/>
    <m/>
    <m/>
    <x v="9"/>
    <s v="Jan-00"/>
    <s v="MW22296-AYCA-4RB8MD-2LID-03-2 Clarke St, Berala"/>
    <s v="Berala"/>
    <n v="742.8"/>
    <m/>
    <n v="742.8"/>
    <n v="817.08"/>
    <m/>
    <m/>
    <n v="0"/>
    <n v="742.8"/>
    <n v="1"/>
    <m/>
    <d v="2018-08-13T00:00:00"/>
    <m/>
    <s v="Ertan Cicek"/>
    <s v="Direct Award"/>
    <d v="2018-04-24T00:00:00"/>
    <m/>
    <d v="2018-06-29T00:00:00"/>
    <n v="66"/>
  </r>
  <r>
    <x v="0"/>
    <s v="Sydney"/>
    <s v="Inv 13690"/>
    <d v="2018-05-30T00:00:00"/>
    <d v="2018-04-30T00:00:00"/>
    <d v="2018-04-30T00:00:00"/>
    <m/>
    <m/>
    <d v="2018-05-10T00:00:00"/>
    <d v="2018-05-31T00:00:00"/>
    <m/>
    <x v="7"/>
    <s v="May-18"/>
    <s v="MW22239 - AYCA-552R88 - 2KTB-01 - Lot33-36 The Escarpments - 1"/>
    <s v="Katoomba"/>
    <n v="4434.76"/>
    <m/>
    <n v="4434.76"/>
    <n v="4878.2360000000008"/>
    <m/>
    <m/>
    <n v="0"/>
    <n v="4434.76"/>
    <n v="1"/>
    <m/>
    <d v="2018-05-14T00:00:00"/>
    <m/>
    <s v="Sogand Mohtat"/>
    <d v="2018-04-16T00:00:00"/>
    <d v="2018-04-26T00:00:00"/>
    <n v="10"/>
    <d v="2018-05-18T00:00:00"/>
    <n v="22"/>
  </r>
  <r>
    <x v="2"/>
    <s v="Sydney"/>
    <s v="inv 13773"/>
    <d v="2018-06-29T00:00:00"/>
    <d v="2018-06-06T00:00:00"/>
    <d v="2018-06-07T00:00:00"/>
    <d v="2018-06-07T00:00:00"/>
    <d v="2018-06-08T00:00:00"/>
    <d v="2018-06-21T00:00:00"/>
    <d v="2018-06-22T00:00:00"/>
    <m/>
    <x v="14"/>
    <s v="Jun-18"/>
    <s v="MW22287-AYCA-4LQOVR-2KEL-08-25 Water Creek Boulevard Kellyville"/>
    <s v="Kellyville"/>
    <n v="363.7"/>
    <n v="599.79"/>
    <n v="963.49"/>
    <n v="1059.8390000000002"/>
    <m/>
    <m/>
    <n v="0"/>
    <n v="963.49"/>
    <n v="1"/>
    <m/>
    <d v="2018-06-21T00:00:00"/>
    <m/>
    <s v="Ertan Cicek"/>
    <s v="Direct Award"/>
    <d v="2018-04-27T00:00:00"/>
    <m/>
    <d v="2018-06-15T00:00:00"/>
    <n v="49"/>
  </r>
  <r>
    <x v="2"/>
    <s v="Nth Coast"/>
    <m/>
    <m/>
    <d v="2018-06-29T00:00:00"/>
    <d v="2018-06-29T00:00:00"/>
    <m/>
    <m/>
    <d v="2018-07-13T00:00:00"/>
    <d v="2018-07-27T00:00:00"/>
    <m/>
    <x v="14"/>
    <s v="Jul-18"/>
    <s v="MW22301-AYCA-541Y7O-2WAU-20-728-730 Beechwood"/>
    <s v="Wauchope"/>
    <n v="1370.1"/>
    <n v="5576.54"/>
    <n v="6946.6399999999994"/>
    <n v="7641.3040000000001"/>
    <n v="4422.17"/>
    <m/>
    <n v="4422.17"/>
    <n v="2524.4699999999993"/>
    <n v="0.36340878467863597"/>
    <m/>
    <d v="2018-07-13T00:00:00"/>
    <m/>
    <s v="Ertan Cicek"/>
    <s v="Direct Award"/>
    <d v="2018-04-27T00:00:00"/>
    <m/>
    <d v="2018-07-16T00:00:00"/>
    <n v="80"/>
  </r>
  <r>
    <x v="2"/>
    <s v="Sydney"/>
    <m/>
    <m/>
    <m/>
    <d v="2018-07-30T00:00:00"/>
    <m/>
    <m/>
    <m/>
    <m/>
    <m/>
    <x v="9"/>
    <s v="Jan-00"/>
    <s v="MW22319-AYCA-33L9HP-2BAN-64-Restwell &amp; Leonard St Bankstown "/>
    <s v="Bankstown"/>
    <n v="2255.04"/>
    <m/>
    <n v="2255.04"/>
    <n v="2480.5440000000003"/>
    <m/>
    <m/>
    <n v="0"/>
    <n v="2255.04"/>
    <n v="1"/>
    <m/>
    <d v="2018-08-13T00:00:00"/>
    <m/>
    <s v="Ertan Cicek"/>
    <s v="Direct Award"/>
    <d v="2018-04-27T00:00:00"/>
    <m/>
    <d v="2018-06-29T00:00:00"/>
    <n v="63"/>
  </r>
  <r>
    <x v="2"/>
    <s v="Sth NSW"/>
    <m/>
    <m/>
    <m/>
    <d v="2018-07-30T00:00:00"/>
    <m/>
    <m/>
    <m/>
    <m/>
    <m/>
    <x v="9"/>
    <s v="Jan-00"/>
    <s v="MW22334-AYCA-3V2064-2WAG-01-29 Gibson St, Boorooma"/>
    <s v="Boorooma"/>
    <n v="4344.17"/>
    <m/>
    <n v="4344.17"/>
    <n v="4778.5870000000004"/>
    <m/>
    <m/>
    <n v="0"/>
    <n v="4344.17"/>
    <n v="1"/>
    <m/>
    <d v="2018-08-13T00:00:00"/>
    <m/>
    <s v="Ertan Cicek"/>
    <s v="Direct Award"/>
    <d v="2018-04-27T00:00:00"/>
    <m/>
    <d v="2018-07-10T00:00:00"/>
    <n v="74"/>
  </r>
  <r>
    <x v="7"/>
    <s v="NSW"/>
    <s v="Inv 13544"/>
    <d v="2018-04-30T00:00:00"/>
    <d v="2018-03-26T00:00:00"/>
    <d v="2018-03-26T00:00:00"/>
    <m/>
    <m/>
    <m/>
    <d v="2018-07-05T00:00:00"/>
    <m/>
    <x v="11"/>
    <s v="Jul-18"/>
    <s v="INC000007540081 - Lot 4, 126 Aberford Street, Coonamble"/>
    <s v="Coonamble"/>
    <n v="1550.47"/>
    <m/>
    <n v="1550.47"/>
    <n v="1705.5170000000003"/>
    <m/>
    <n v="419.33"/>
    <n v="419.33"/>
    <n v="1131.1400000000001"/>
    <n v="0.72954652460221747"/>
    <m/>
    <d v="2018-04-09T00:00:00"/>
    <m/>
    <s v="Tony Gabriel"/>
    <m/>
    <m/>
    <m/>
    <m/>
    <m/>
  </r>
  <r>
    <x v="7"/>
    <s v="NSW"/>
    <s v="Inv 13545"/>
    <d v="2018-04-30T00:00:00"/>
    <d v="2018-03-26T00:00:00"/>
    <d v="2018-03-26T00:00:00"/>
    <m/>
    <m/>
    <m/>
    <d v="2018-05-22T00:00:00"/>
    <m/>
    <x v="11"/>
    <s v="May-18"/>
    <s v="MW22424 - INC000007552115 - 13 NETTLETON DR LIGHTNING RIDGE"/>
    <s v="Lighting Ridge"/>
    <n v="256.27999999999997"/>
    <m/>
    <n v="256.27999999999997"/>
    <n v="281.90800000000002"/>
    <m/>
    <n v="41.14"/>
    <n v="41.14"/>
    <n v="215.14"/>
    <n v="0.83947245200561893"/>
    <m/>
    <d v="2018-04-09T00:00:00"/>
    <m/>
    <s v="Tony Gabriel"/>
    <m/>
    <m/>
    <m/>
    <m/>
    <m/>
  </r>
  <r>
    <x v="7"/>
    <s v="NSW"/>
    <s v="Inv 13546"/>
    <d v="2018-04-30T00:00:00"/>
    <d v="2018-03-26T00:00:00"/>
    <d v="2018-03-26T00:00:00"/>
    <m/>
    <m/>
    <m/>
    <d v="2018-05-22T00:00:00"/>
    <m/>
    <x v="11"/>
    <s v="May-18"/>
    <s v="MW22423 - INC000007549981 - LOT 24, 11 GREENE AV, COONAMBLE "/>
    <s v="Villawood"/>
    <n v="256.27999999999997"/>
    <m/>
    <n v="256.27999999999997"/>
    <n v="281.90800000000002"/>
    <m/>
    <n v="44.14"/>
    <n v="44.14"/>
    <n v="212.14"/>
    <n v="0.82776650538473551"/>
    <m/>
    <d v="2018-04-09T00:00:00"/>
    <m/>
    <s v="Tony Gabriel"/>
    <m/>
    <m/>
    <m/>
    <m/>
    <m/>
  </r>
  <r>
    <x v="7"/>
    <s v="NSW"/>
    <s v="Inv 13547"/>
    <d v="2018-04-30T00:00:00"/>
    <d v="2018-03-26T00:00:00"/>
    <d v="2018-03-26T00:00:00"/>
    <m/>
    <m/>
    <m/>
    <d v="2018-07-05T00:00:00"/>
    <m/>
    <x v="11"/>
    <s v="Jul-18"/>
    <s v="INC000007494309 - LOT 4, 9 DUBBO ST, COONAMBLE"/>
    <s v="Coonamble"/>
    <n v="640.69999999999993"/>
    <m/>
    <n v="640.69999999999993"/>
    <n v="704.77"/>
    <m/>
    <n v="176.56"/>
    <n v="176.56"/>
    <n v="464.13999999999993"/>
    <n v="0.72442640861557672"/>
    <m/>
    <d v="2018-04-09T00:00:00"/>
    <m/>
    <s v="Tony Gabriel"/>
    <m/>
    <m/>
    <m/>
    <m/>
    <m/>
  </r>
  <r>
    <x v="7"/>
    <s v="NSW"/>
    <s v="Inv 13548"/>
    <d v="2018-04-30T00:00:00"/>
    <d v="2018-03-27T00:00:00"/>
    <d v="2018-03-27T00:00:00"/>
    <m/>
    <m/>
    <m/>
    <d v="2018-05-22T00:00:00"/>
    <m/>
    <x v="11"/>
    <s v="May-18"/>
    <s v="MW22422 - INC000007550501- 170 EDWARD ST, ORANGE"/>
    <s v="Orange"/>
    <n v="640.69999999999993"/>
    <m/>
    <n v="640.69999999999993"/>
    <n v="704.77"/>
    <m/>
    <n v="154.49"/>
    <n v="154.49"/>
    <n v="486.20999999999992"/>
    <n v="0.75887310753862958"/>
    <m/>
    <d v="2018-04-10T00:00:00"/>
    <m/>
    <s v="Tony Gabriel"/>
    <m/>
    <m/>
    <m/>
    <m/>
    <m/>
  </r>
  <r>
    <x v="6"/>
    <s v="NSW"/>
    <s v="Inv 13549"/>
    <d v="2018-04-30T00:00:00"/>
    <d v="2018-03-28T00:00:00"/>
    <d v="2018-03-28T00:00:00"/>
    <m/>
    <m/>
    <m/>
    <d v="2018-06-19T00:00:00"/>
    <m/>
    <x v="11"/>
    <s v="Jun-18"/>
    <s v="INC000007482861 - 52-58 WARATAH ST COWRA"/>
    <s v="Cowra"/>
    <n v="640.69999999999993"/>
    <m/>
    <n v="640.69999999999993"/>
    <n v="704.77"/>
    <m/>
    <n v="175"/>
    <n v="175"/>
    <n v="465.69999999999993"/>
    <n v="0.72686124551272047"/>
    <m/>
    <d v="2018-04-11T00:00:00"/>
    <m/>
    <s v="Tony Gabriel"/>
    <m/>
    <m/>
    <m/>
    <m/>
    <m/>
  </r>
  <r>
    <x v="7"/>
    <s v="NSW"/>
    <s v="Inv 13550"/>
    <d v="2018-04-30T00:00:00"/>
    <d v="2018-03-27T00:00:00"/>
    <d v="2018-03-27T00:00:00"/>
    <m/>
    <m/>
    <m/>
    <d v="2018-07-05T00:00:00"/>
    <m/>
    <x v="11"/>
    <s v="Jul-18"/>
    <s v="INC000007555389- 183 SUMMER ST, ORANGE"/>
    <s v="Orange"/>
    <n v="256.27999999999997"/>
    <m/>
    <n v="256.27999999999997"/>
    <n v="281.90800000000002"/>
    <m/>
    <n v="50"/>
    <n v="50"/>
    <n v="206.27999999999997"/>
    <n v="0.80490088965194317"/>
    <m/>
    <d v="2018-04-10T00:00:00"/>
    <m/>
    <s v="Tony Gabriel"/>
    <m/>
    <m/>
    <m/>
    <m/>
    <m/>
  </r>
  <r>
    <x v="2"/>
    <s v="Sydney"/>
    <s v="Inv 13752"/>
    <d v="2018-06-20T00:00:00"/>
    <d v="2018-05-30T00:00:00"/>
    <d v="2018-05-30T00:00:00"/>
    <d v="2018-06-14T00:00:00"/>
    <d v="2018-06-21T00:00:00"/>
    <d v="2018-06-13T00:00:00"/>
    <d v="2018-06-28T00:00:00"/>
    <m/>
    <x v="8"/>
    <s v="Jun-18"/>
    <s v="MW22314-AYCA-4A5XPU-2BLK-11-29 Norfolk Street, Blacktown"/>
    <s v="Blacktown"/>
    <n v="685.25"/>
    <n v="2551.7600000000002"/>
    <n v="3237.01"/>
    <n v="3560.7110000000007"/>
    <n v="306.39999999999998"/>
    <m/>
    <n v="306.39999999999998"/>
    <n v="2930.61"/>
    <n v="0.90534474715864333"/>
    <m/>
    <d v="2018-06-13T00:00:00"/>
    <m/>
    <s v="Ertan Cicek"/>
    <s v="Direct Award"/>
    <d v="2018-04-27T00:00:00"/>
    <m/>
    <d v="2018-07-11T00:00:00"/>
    <n v="75"/>
  </r>
  <r>
    <x v="0"/>
    <s v="Sth Coast"/>
    <m/>
    <m/>
    <m/>
    <d v="2018-07-30T00:00:00"/>
    <m/>
    <m/>
    <m/>
    <m/>
    <m/>
    <x v="9"/>
    <s v="Jan-00"/>
    <s v="MW21532-AYCA-4TBHNX - 2SHH-05 - NSB - 125 LAKE ENTRANCE - SURVEY"/>
    <s v="Barrack Heights"/>
    <n v="1698"/>
    <m/>
    <n v="1698"/>
    <n v="1867.8000000000002"/>
    <m/>
    <m/>
    <n v="0"/>
    <n v="1698"/>
    <n v="1"/>
    <m/>
    <d v="2018-08-13T00:00:00"/>
    <m/>
    <s v="Andrew Mahssy"/>
    <d v="2017-10-23T00:00:00"/>
    <d v="2018-02-15T00:00:00"/>
    <n v="115"/>
    <d v="2018-03-23T00:00:00"/>
    <n v="36"/>
  </r>
  <r>
    <x v="2"/>
    <s v="Sydney"/>
    <m/>
    <m/>
    <m/>
    <d v="2018-08-30T00:00:00"/>
    <m/>
    <m/>
    <m/>
    <m/>
    <m/>
    <x v="15"/>
    <s v="Jan-00"/>
    <s v="MW22263-AYCA-31DCKF-2EAS-62-18-20 Neild Ave Darlinghurst"/>
    <s v="Darlinghurst"/>
    <n v="2099.66"/>
    <m/>
    <n v="2099.66"/>
    <n v="2309.6260000000002"/>
    <m/>
    <m/>
    <n v="0"/>
    <n v="2099.66"/>
    <n v="1"/>
    <m/>
    <d v="2018-09-13T00:00:00"/>
    <m/>
    <s v="Lindy Chan"/>
    <s v="Direct Award"/>
    <d v="2018-04-30T00:00:00"/>
    <m/>
    <d v="2018-07-16T00:00:00"/>
    <n v="77"/>
  </r>
  <r>
    <x v="2"/>
    <s v="Sydney"/>
    <s v="Inv 13772"/>
    <d v="2018-06-29T00:00:00"/>
    <d v="2018-06-01T00:00:00"/>
    <d v="2018-06-04T00:00:00"/>
    <d v="2018-06-06T00:00:00"/>
    <d v="2018-06-18T00:00:00"/>
    <d v="2018-06-18T00:00:00"/>
    <d v="2018-06-26T00:00:00"/>
    <m/>
    <x v="14"/>
    <s v="Jun-18"/>
    <s v="MW22265-AYCA-4R1HNT-2MIL-62-6-8 Facey Cres Lurnea "/>
    <s v="Lumea"/>
    <n v="1554.24"/>
    <n v="13339.46"/>
    <n v="14893.699999999999"/>
    <n v="16383.07"/>
    <n v="6425.2"/>
    <m/>
    <n v="6425.2"/>
    <n v="8468.5"/>
    <n v="0.56859611782162933"/>
    <m/>
    <d v="2018-06-18T00:00:00"/>
    <m/>
    <s v="Ertan Cicek"/>
    <s v="Direct Award"/>
    <d v="2018-05-01T00:00:00"/>
    <m/>
    <d v="2018-06-29T00:00:00"/>
    <n v="59"/>
  </r>
  <r>
    <x v="2"/>
    <s v="Sydney"/>
    <s v="Inv 13774"/>
    <d v="2018-06-29T00:00:00"/>
    <d v="2018-05-25T00:00:00"/>
    <d v="2018-05-29T00:00:00"/>
    <d v="2018-05-31T00:00:00"/>
    <d v="2018-06-19T00:00:00"/>
    <d v="2018-06-08T00:00:00"/>
    <d v="2018-06-22T00:00:00"/>
    <m/>
    <x v="8"/>
    <s v="Jun-18"/>
    <s v="MW22347-AYCA-4XTH50-2HOM-03-31-35 Smallwood Ave Homebush "/>
    <s v="Homebush"/>
    <n v="2743.96"/>
    <n v="6734.32"/>
    <n v="9478.2799999999988"/>
    <n v="10426.108"/>
    <n v="6152.49"/>
    <m/>
    <n v="6152.49"/>
    <n v="3325.7899999999991"/>
    <n v="0.35088539270838165"/>
    <m/>
    <d v="2018-06-12T00:00:00"/>
    <m/>
    <s v="Ertan Cicek"/>
    <s v="Direct Award"/>
    <d v="2018-05-01T00:00:00"/>
    <m/>
    <d v="2018-06-08T00:00:00"/>
    <n v="38"/>
  </r>
  <r>
    <x v="2"/>
    <s v="Sydney"/>
    <m/>
    <m/>
    <m/>
    <d v="2018-07-30T00:00:00"/>
    <m/>
    <m/>
    <m/>
    <m/>
    <m/>
    <x v="9"/>
    <s v="Jan-00"/>
    <s v="MW22346-AYCA-50FP2M-2ROU-03-Oxlade Street Kellyville"/>
    <s v="Kellyville"/>
    <n v="9295.6200000000008"/>
    <m/>
    <n v="9295.6200000000008"/>
    <n v="10225.182000000003"/>
    <m/>
    <m/>
    <n v="0"/>
    <n v="9295.6200000000008"/>
    <n v="1"/>
    <m/>
    <d v="2018-08-13T00:00:00"/>
    <m/>
    <s v="Ertan Cicek"/>
    <s v="Direct Award"/>
    <d v="2018-05-01T00:00:00"/>
    <m/>
    <d v="2018-06-27T00:00:00"/>
    <n v="57"/>
  </r>
  <r>
    <x v="0"/>
    <s v="Sth Coast"/>
    <m/>
    <m/>
    <d v="2018-07-05T00:00:00"/>
    <d v="2018-07-05T00:00:00"/>
    <d v="2018-07-09T00:00:00"/>
    <m/>
    <d v="2018-07-19T00:00:00"/>
    <d v="2018-08-02T00:00:00"/>
    <m/>
    <x v="9"/>
    <s v="Aug-18"/>
    <s v="MW22333 - AYCA-54SUCD - 2PKE-06 - Warehouse Pl Berkeley"/>
    <s v="Berkeley"/>
    <n v="3573.39"/>
    <n v="1133.5999999999999"/>
    <n v="4706.99"/>
    <n v="5177.6890000000003"/>
    <n v="1960"/>
    <m/>
    <n v="1960"/>
    <n v="2746.99"/>
    <n v="0.58359801061825067"/>
    <m/>
    <d v="2018-07-19T00:00:00"/>
    <m/>
    <s v="Mark Leal"/>
    <s v="Direct Award"/>
    <d v="2018-05-01T00:00:00"/>
    <m/>
    <d v="2018-06-22T00:00:00"/>
    <n v="52"/>
  </r>
  <r>
    <x v="0"/>
    <s v="Nth Coast"/>
    <m/>
    <m/>
    <d v="2018-06-21T00:00:00"/>
    <d v="2018-06-21T00:00:00"/>
    <d v="2018-06-29T00:00:00"/>
    <m/>
    <d v="2018-07-05T00:00:00"/>
    <d v="2018-07-19T00:00:00"/>
    <m/>
    <x v="14"/>
    <s v="Jul-18"/>
    <s v="MW22336-AYCA-4MJKV1-2KMS-21-Lot 37 Springfields Drive, Greenhill"/>
    <s v="Greenhill"/>
    <n v="7769.35"/>
    <n v="-120"/>
    <n v="7649.35"/>
    <n v="8414.2850000000017"/>
    <n v="3003.86"/>
    <m/>
    <n v="3003.86"/>
    <n v="4645.49"/>
    <n v="0.60730519586631537"/>
    <m/>
    <d v="2018-07-05T00:00:00"/>
    <m/>
    <s v="Mark Leal"/>
    <d v="2018-04-27T00:00:00"/>
    <d v="2018-05-01T00:00:00"/>
    <n v="4"/>
    <d v="2018-05-30T00:00:00"/>
    <n v="29"/>
  </r>
  <r>
    <x v="0"/>
    <s v="Central Coast"/>
    <s v="Inv 13831"/>
    <d v="2018-07-06T00:00:00"/>
    <d v="2018-06-15T00:00:00"/>
    <d v="2018-06-15T00:00:00"/>
    <d v="2018-06-15T00:00:00"/>
    <d v="2018-06-27T00:00:00"/>
    <d v="2018-06-29T00:00:00"/>
    <d v="2018-07-05T00:00:00"/>
    <m/>
    <x v="14"/>
    <s v="Jul-18"/>
    <s v="MW22335 - AYCA-55S741 - 2WOY-03 -Broken Bay – 1"/>
    <s v="Ettalong Beach"/>
    <n v="5278.06"/>
    <n v="535.66"/>
    <n v="5813.72"/>
    <n v="6395.0920000000006"/>
    <m/>
    <m/>
    <n v="0"/>
    <n v="5813.72"/>
    <n v="1"/>
    <m/>
    <m/>
    <m/>
    <s v="Mark Leal"/>
    <d v="2018-04-27T00:00:00"/>
    <d v="2018-05-02T00:00:00"/>
    <n v="5"/>
    <d v="2018-05-30T00:00:00"/>
    <n v="28"/>
  </r>
  <r>
    <x v="2"/>
    <s v="Sydney"/>
    <m/>
    <m/>
    <m/>
    <d v="2018-08-30T00:00:00"/>
    <m/>
    <m/>
    <m/>
    <m/>
    <m/>
    <x v="15"/>
    <s v="Jan-00"/>
    <s v="MW22331-AYCA-3CFI3W-2EPP-05-120 Herring Road Marsfield"/>
    <s v="Marsfield"/>
    <n v="1102.48"/>
    <m/>
    <n v="1102.48"/>
    <n v="1212.7280000000001"/>
    <m/>
    <m/>
    <n v="0"/>
    <n v="1102.48"/>
    <n v="1"/>
    <m/>
    <m/>
    <m/>
    <s v="Ertan Cicek"/>
    <s v="Direct Award"/>
    <d v="2018-05-02T00:00:00"/>
    <m/>
    <d v="2018-06-06T00:00:00"/>
    <n v="35"/>
  </r>
  <r>
    <x v="2"/>
    <s v="Sydney"/>
    <m/>
    <m/>
    <m/>
    <d v="2018-07-30T00:00:00"/>
    <m/>
    <m/>
    <m/>
    <m/>
    <m/>
    <x v="9"/>
    <s v="Jan-00"/>
    <s v="MW22313 - AYCA-48S696 - 2BLK-03 -  3-7 Wallace St Blacktown "/>
    <s v="Blacktown"/>
    <n v="1763.74"/>
    <m/>
    <n v="1763.74"/>
    <n v="1940.1140000000003"/>
    <m/>
    <m/>
    <n v="0"/>
    <n v="1763.74"/>
    <n v="1"/>
    <m/>
    <m/>
    <m/>
    <s v="Ertan Cicek"/>
    <s v="Direct Award"/>
    <d v="2018-05-02T00:00:00"/>
    <m/>
    <d v="2018-06-29T00:00:00"/>
    <n v="58"/>
  </r>
  <r>
    <x v="0"/>
    <s v="Central Coast"/>
    <s v="Inv 13743"/>
    <d v="2018-06-18T00:00:00"/>
    <d v="2018-05-03T00:00:00"/>
    <d v="2018-05-30T00:00:00"/>
    <m/>
    <m/>
    <d v="2018-06-14T00:00:00"/>
    <d v="2018-06-19T00:00:00"/>
    <m/>
    <x v="8"/>
    <s v="Jun-18"/>
    <s v="MW22477 - AYCA-4XVGZ8 -  2WYO-03 -140 Pacific Highway Tuggerah"/>
    <s v="Tuggerah"/>
    <n v="3243.26"/>
    <m/>
    <n v="3243.26"/>
    <n v="3567.5860000000007"/>
    <n v="2358.27"/>
    <m/>
    <n v="2358.27"/>
    <n v="884.99000000000024"/>
    <n v="0.27287050683571473"/>
    <m/>
    <m/>
    <m/>
    <s v="Dave Yeomans"/>
    <m/>
    <m/>
    <m/>
    <m/>
    <n v="0"/>
  </r>
  <r>
    <x v="0"/>
    <s v="Nth Coast"/>
    <s v="Inv 13844"/>
    <d v="2018-07-06T00:00:00"/>
    <d v="2018-06-06T00:00:00"/>
    <d v="2018-06-15T00:00:00"/>
    <d v="2018-06-18T00:00:00"/>
    <d v="2018-06-20T00:00:00"/>
    <d v="2018-06-29T00:00:00"/>
    <d v="2018-07-10T00:00:00"/>
    <m/>
    <x v="14"/>
    <s v="Jul-18"/>
    <s v="MW22472 - 2PTM-23 - AYCA-4Q0G0C-20 Scarborough Close Port Macquarie"/>
    <s v="Port Macquarie"/>
    <n v="8260.7999999999993"/>
    <n v="8719.58"/>
    <n v="16980.379999999997"/>
    <n v="18678.417999999998"/>
    <m/>
    <m/>
    <n v="0"/>
    <n v="16980.379999999997"/>
    <n v="1"/>
    <m/>
    <m/>
    <m/>
    <s v="Dave Yeomans"/>
    <m/>
    <m/>
    <m/>
    <m/>
    <n v="0"/>
  </r>
  <r>
    <x v="2"/>
    <s v="Sydney"/>
    <s v="Inv 13692"/>
    <d v="2018-06-06T00:00:00"/>
    <d v="2018-05-18T00:00:00"/>
    <d v="2018-05-18T00:00:00"/>
    <m/>
    <m/>
    <d v="2018-05-31T00:00:00"/>
    <d v="2018-06-05T00:00:00"/>
    <m/>
    <x v="8"/>
    <s v="Jun-18"/>
    <s v="MW22351-AYCA-49Z80V-2PIT-01-44 Wells Street Pitt Town"/>
    <s v="Pitt Town"/>
    <n v="2366"/>
    <m/>
    <n v="2366"/>
    <n v="2602.6000000000004"/>
    <n v="1129.72"/>
    <m/>
    <n v="1129.72"/>
    <n v="1236.28"/>
    <n v="0.52251901944209633"/>
    <m/>
    <m/>
    <m/>
    <s v="Ertan Cicek"/>
    <s v="Direct Award"/>
    <d v="2018-05-03T00:00:00"/>
    <m/>
    <d v="2018-06-27T00:00:00"/>
    <n v="55"/>
  </r>
  <r>
    <x v="2"/>
    <s v="Sydney"/>
    <s v="Inv 13775"/>
    <d v="2018-06-29T00:00:00"/>
    <d v="2018-05-14T00:00:00"/>
    <d v="2018-05-15T00:00:00"/>
    <d v="2018-05-30T00:00:00"/>
    <d v="2018-06-08T00:00:00"/>
    <d v="2018-05-29T00:00:00"/>
    <d v="2018-06-22T00:00:00"/>
    <m/>
    <x v="8"/>
    <s v="Jun-18"/>
    <s v="MW22358-AYCA-4OHMS3-2BLK-07-35 Holbeche Road Arndell Park-INT HMDU"/>
    <s v="Arndell park"/>
    <n v="285.60000000000002"/>
    <n v="294.53999999999996"/>
    <n v="580.14"/>
    <n v="638.154"/>
    <m/>
    <m/>
    <n v="0"/>
    <n v="580.14"/>
    <n v="1"/>
    <m/>
    <m/>
    <m/>
    <s v="Nabeel Jaimon"/>
    <s v="Direct Award"/>
    <d v="2018-05-03T00:00:00"/>
    <m/>
    <d v="2018-05-30T00:00:00"/>
    <n v="27"/>
  </r>
  <r>
    <x v="0"/>
    <s v="ACT"/>
    <m/>
    <m/>
    <m/>
    <d v="2018-07-30T00:00:00"/>
    <m/>
    <m/>
    <m/>
    <m/>
    <m/>
    <x v="9"/>
    <s v="Jan-00"/>
    <s v="MW22350-AYCA-4VAQ8P-9SCU-07-11 Prevost Pl MacGregor, ACT "/>
    <s v="MacGregor"/>
    <n v="10564.933999999999"/>
    <m/>
    <n v="10564.933999999999"/>
    <n v="11621.4274"/>
    <n v="7339.16"/>
    <m/>
    <n v="7339.16"/>
    <n v="3225.7739999999994"/>
    <n v="0.30532836267599966"/>
    <m/>
    <m/>
    <m/>
    <s v="Andrew Mahassy"/>
    <d v="2018-05-01T00:00:00"/>
    <d v="2018-05-07T00:00:00"/>
    <n v="6"/>
    <d v="2018-06-11T00:00:00"/>
    <n v="35"/>
  </r>
  <r>
    <x v="2"/>
    <s v="Sydney"/>
    <m/>
    <m/>
    <m/>
    <d v="2018-07-30T00:00:00"/>
    <m/>
    <m/>
    <m/>
    <m/>
    <m/>
    <x v="9"/>
    <s v="Jan-00"/>
    <s v="MW22378-AYCA-4YJULB-2REV-22-479 Henry Lawson Drive Milperra "/>
    <s v="Milperra"/>
    <n v="2570.4"/>
    <m/>
    <n v="2570.4"/>
    <n v="2827.4400000000005"/>
    <m/>
    <m/>
    <n v="0"/>
    <n v="2570.4"/>
    <n v="1"/>
    <m/>
    <m/>
    <m/>
    <s v="Nabeel Jaimon"/>
    <s v="Direct Award"/>
    <d v="2018-05-07T00:00:00"/>
    <m/>
    <d v="2018-06-26T00:00:00"/>
    <n v="50"/>
  </r>
  <r>
    <x v="2"/>
    <s v="Sydney"/>
    <m/>
    <m/>
    <d v="2018-07-04T00:00:00"/>
    <d v="2018-07-04T00:00:00"/>
    <d v="2018-07-09T00:00:00"/>
    <m/>
    <d v="2018-07-18T00:00:00"/>
    <d v="2018-08-01T00:00:00"/>
    <m/>
    <x v="9"/>
    <s v="Aug-18"/>
    <s v="MW22405-AYCA-3BBGCI-2RIV-04-737 Windsor Rd Box Hill"/>
    <s v="Box Hill"/>
    <n v="611.63"/>
    <n v="530.88"/>
    <n v="1142.51"/>
    <n v="1256.7610000000002"/>
    <m/>
    <m/>
    <n v="0"/>
    <n v="1142.51"/>
    <n v="1"/>
    <m/>
    <m/>
    <m/>
    <s v="Andrew Mahassy"/>
    <s v="Direct Award"/>
    <d v="2018-05-07T00:00:00"/>
    <m/>
    <d v="2018-08-02T00:00:00"/>
    <n v="87"/>
  </r>
  <r>
    <x v="10"/>
    <s v="Sydney"/>
    <m/>
    <m/>
    <m/>
    <d v="2018-07-30T00:00:00"/>
    <m/>
    <m/>
    <m/>
    <m/>
    <m/>
    <x v="9"/>
    <s v="Jan-00"/>
    <s v="MW417R000169-2MIR-29-STELLAR NPDL_MWR (A417)-Miranda"/>
    <s v="Miranda"/>
    <n v="19955.095999999998"/>
    <m/>
    <n v="19955.095999999998"/>
    <n v="21950.605599999999"/>
    <n v="3000"/>
    <n v="3861.3399999999997"/>
    <n v="6861.34"/>
    <n v="13093.755999999998"/>
    <n v="0.6561610127057268"/>
    <m/>
    <m/>
    <m/>
    <s v="Kirsty Doyle"/>
    <s v="Direct Award"/>
    <m/>
    <m/>
    <m/>
    <m/>
  </r>
  <r>
    <x v="10"/>
    <s v="Sydney"/>
    <s v="Inv 13747"/>
    <d v="2018-06-14T00:00:00"/>
    <m/>
    <d v="2018-07-30T00:00:00"/>
    <m/>
    <m/>
    <m/>
    <d v="2018-06-14T00:00:00"/>
    <m/>
    <x v="9"/>
    <s v="Jun-18"/>
    <s v="MW417R000169-2MIR-29-STELLAR NPDL_MWR (A417)-Miranda, Mob Payment"/>
    <s v="Miranda"/>
    <n v="8552.1839999999993"/>
    <m/>
    <n v="8552.1839999999993"/>
    <n v="9407.4024000000009"/>
    <m/>
    <m/>
    <n v="0"/>
    <n v="8552.1839999999993"/>
    <n v="1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MW417R000172-2MON-25-STELLAR NPDL_MWR (A417)-Mona Vale"/>
    <s v="Mona Vale"/>
    <n v="12680.080000000002"/>
    <m/>
    <n v="12680.080000000002"/>
    <n v="13948.088000000003"/>
    <n v="9760"/>
    <m/>
    <n v="9760"/>
    <n v="2920.0800000000017"/>
    <n v="0.23028876789420896"/>
    <m/>
    <m/>
    <m/>
    <s v="Kirsty Doyle"/>
    <s v="Direct Award"/>
    <m/>
    <m/>
    <m/>
    <m/>
  </r>
  <r>
    <x v="10"/>
    <s v="Sydney"/>
    <s v="Inv 13750"/>
    <d v="2018-06-14T00:00:00"/>
    <m/>
    <d v="2018-07-30T00:00:00"/>
    <m/>
    <m/>
    <m/>
    <d v="2018-06-14T00:00:00"/>
    <m/>
    <x v="9"/>
    <s v="Jun-18"/>
    <s v="MW417R000172-2MON-25-STELLAR NPDL_MWR (A417)-Mona Vale, Mob Payment"/>
    <s v="Mona Vale"/>
    <n v="5434.3200000000006"/>
    <m/>
    <n v="5434.3200000000006"/>
    <n v="5977.7520000000013"/>
    <n v="9760"/>
    <m/>
    <n v="9760"/>
    <n v="-4325.6799999999994"/>
    <n v="-0.79599287491351245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MW417R000170-2MIR-22-STELLAR NPDL_MWR (A417)-Miranda"/>
    <s v="Miranda"/>
    <n v="14019.039999999997"/>
    <m/>
    <n v="14019.039999999997"/>
    <n v="15420.943999999998"/>
    <n v="11080"/>
    <m/>
    <n v="11080"/>
    <n v="2939.0399999999972"/>
    <n v="0.20964630959038549"/>
    <m/>
    <m/>
    <m/>
    <s v="Kirsty Doyle"/>
    <s v="Direct Award"/>
    <m/>
    <m/>
    <m/>
    <m/>
  </r>
  <r>
    <x v="10"/>
    <s v="Sydney"/>
    <s v="Inv 13745"/>
    <d v="2018-06-14T00:00:00"/>
    <m/>
    <d v="2018-07-30T00:00:00"/>
    <m/>
    <m/>
    <m/>
    <d v="2018-06-14T00:00:00"/>
    <m/>
    <x v="9"/>
    <s v="Jun-18"/>
    <s v="MW417R000170-2MIR-22-STELLAR NPDL_MWR (A417)-Miranda, Mob Payment"/>
    <s v="Miranda"/>
    <n v="6008.1599999999989"/>
    <m/>
    <n v="6008.1599999999989"/>
    <n v="6608.9759999999997"/>
    <n v="11080"/>
    <m/>
    <n v="11080"/>
    <n v="-5071.8400000000011"/>
    <n v="-0.84415861095576716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MW417R000174-2MIR-26-STELLAR NPDL_MWR (A417)-Miranda"/>
    <s v="Miranda"/>
    <n v="18303.712"/>
    <m/>
    <n v="18303.712"/>
    <n v="20134.083200000001"/>
    <n v="15304"/>
    <m/>
    <n v="15304"/>
    <n v="2999.7119999999995"/>
    <n v="0.16388544575002051"/>
    <m/>
    <m/>
    <m/>
    <s v="Kirsty Doyle"/>
    <s v="Direct Award"/>
    <m/>
    <m/>
    <m/>
    <m/>
  </r>
  <r>
    <x v="10"/>
    <s v="Sydney"/>
    <s v="Inv 13748"/>
    <d v="2018-06-14T00:00:00"/>
    <m/>
    <d v="2018-07-30T00:00:00"/>
    <m/>
    <m/>
    <m/>
    <d v="2018-06-14T00:00:00"/>
    <m/>
    <x v="9"/>
    <s v="Jun-18"/>
    <s v="MW417R000174-2MIR-26-STELLAR NPDL_MWR (A417)-Miranda, Mob Payment"/>
    <s v="Miranda"/>
    <n v="7844.4479999999994"/>
    <m/>
    <n v="7844.4479999999994"/>
    <n v="8628.8927999999996"/>
    <n v="15304"/>
    <m/>
    <n v="15304"/>
    <n v="-7459.5520000000006"/>
    <n v="-0.95093395991661889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MW417R000166-2MIR-31-STELLAR NPDL_MWR (A417)-Miranda"/>
    <s v="Miranda"/>
    <n v="16157.624"/>
    <m/>
    <n v="16157.624"/>
    <n v="17773.386399999999"/>
    <n v="12840"/>
    <m/>
    <n v="12840"/>
    <n v="3317.6239999999998"/>
    <n v="0.20532870426988523"/>
    <m/>
    <m/>
    <m/>
    <s v="Kirsty Doyle"/>
    <s v="Direct Award"/>
    <m/>
    <m/>
    <m/>
    <m/>
  </r>
  <r>
    <x v="10"/>
    <s v="Sydney"/>
    <s v="Inv 13746"/>
    <d v="2018-06-14T00:00:00"/>
    <m/>
    <d v="2018-07-30T00:00:00"/>
    <m/>
    <m/>
    <m/>
    <d v="2018-06-14T00:00:00"/>
    <m/>
    <x v="9"/>
    <s v="Jun-18"/>
    <s v="MW417R000166-2MIR-31-STELLAR NPDL_MWR (A417)-Miranda, Mob Payment"/>
    <s v="Miranda"/>
    <n v="6924.6959999999999"/>
    <m/>
    <n v="6924.6959999999999"/>
    <n v="7617.1656000000003"/>
    <n v="12840"/>
    <m/>
    <n v="12840"/>
    <n v="-5915.3040000000001"/>
    <n v="-0.85423302337026785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MW417R000180-2MIR-25-STELLAR NPDL_MWR (A417)-Miranda"/>
    <s v="Miranda"/>
    <n v="37618.881999999998"/>
    <m/>
    <n v="37618.881999999998"/>
    <n v="41380.770199999999"/>
    <n v="34356"/>
    <m/>
    <n v="34356"/>
    <n v="3262.8819999999978"/>
    <n v="8.6735219829233573E-2"/>
    <m/>
    <m/>
    <m/>
    <s v="Kirsty Doyle"/>
    <s v="Direct Award"/>
    <m/>
    <m/>
    <m/>
    <m/>
  </r>
  <r>
    <x v="10"/>
    <s v="Sydney"/>
    <s v="Inv 13749"/>
    <d v="2018-06-14T00:00:00"/>
    <m/>
    <d v="2018-07-30T00:00:00"/>
    <m/>
    <m/>
    <m/>
    <d v="2018-06-14T00:00:00"/>
    <m/>
    <x v="9"/>
    <s v="Jun-18"/>
    <s v="MW417R000180-2MIR-25-STELLAR NPDL_MWR (A417)-Miranda, Mob Payment"/>
    <s v="Miranda"/>
    <n v="16122.378000000001"/>
    <m/>
    <n v="16122.378000000001"/>
    <n v="17734.615800000003"/>
    <n v="34356"/>
    <m/>
    <n v="34356"/>
    <n v="-18233.621999999999"/>
    <n v="-1.1309511537317882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CTH-20, Cresent Heads, Validation"/>
    <s v="Cresent Heads"/>
    <n v="15343.82"/>
    <m/>
    <n v="15343.82"/>
    <n v="16878.202000000001"/>
    <n v="9325.25"/>
    <m/>
    <n v="9325.25"/>
    <n v="6018.57"/>
    <n v="0.39224717182552976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DRG-20, Dorrigo Validation"/>
    <s v="Dorrigo "/>
    <n v="17958"/>
    <m/>
    <n v="17958"/>
    <n v="19753.800000000003"/>
    <n v="10256.5"/>
    <m/>
    <n v="10256.5"/>
    <n v="7701.5"/>
    <n v="0.42886178861788615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NDS-01, Nords Wharf, Validation"/>
    <s v="Nords Wharf"/>
    <n v="12067.14"/>
    <m/>
    <n v="12067.14"/>
    <n v="13273.854000000001"/>
    <n v="5136.5"/>
    <m/>
    <n v="5136.5"/>
    <n v="6930.6399999999994"/>
    <n v="0.57433990158397097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LCT-01, Lake Cathie, Validation"/>
    <s v="Lake Cathie"/>
    <n v="2694.7"/>
    <m/>
    <n v="2694.7"/>
    <n v="2964.17"/>
    <n v="1151"/>
    <m/>
    <n v="1151"/>
    <n v="1543.6999999999998"/>
    <n v="0.57286525401714472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ERP-20, Eastern Creek Validation"/>
    <s v="Eastern Creek"/>
    <n v="19905.239999999998"/>
    <m/>
    <n v="19905.239999999998"/>
    <n v="21895.763999999999"/>
    <n v="9452"/>
    <m/>
    <n v="9452"/>
    <n v="10453.239999999998"/>
    <n v="0.52515016146502125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BGI-20, Boggabri Validations"/>
    <s v="Boggabri"/>
    <n v="3067.05"/>
    <m/>
    <n v="3067.05"/>
    <n v="3373.7550000000006"/>
    <n v="1782.5"/>
    <m/>
    <n v="1782.5"/>
    <n v="1284.5500000000002"/>
    <n v="0.41882264716910389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WWA-20, Wee Waa Validation"/>
    <s v="Wee Waa"/>
    <n v="10375.619999999999"/>
    <m/>
    <n v="10375.619999999999"/>
    <n v="11413.182000000001"/>
    <n v="2088.5"/>
    <m/>
    <n v="2088.5"/>
    <n v="8287.119999999999"/>
    <n v="0.79871082402786531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MAN-20, Manilla Validation"/>
    <s v="Manilla"/>
    <n v="10375.619999999999"/>
    <m/>
    <n v="10375.619999999999"/>
    <n v="11413.182000000001"/>
    <n v="4926.5"/>
    <m/>
    <n v="4926.5"/>
    <n v="5449.119999999999"/>
    <n v="0.5251850009927117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WLH-20, Walcha Validation"/>
    <s v="Walcha"/>
    <n v="9022"/>
    <m/>
    <n v="9022"/>
    <n v="9924.2000000000007"/>
    <n v="2547.5"/>
    <m/>
    <n v="2547.5"/>
    <n v="6474.5"/>
    <n v="0.71763467080469967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MIR-21, Miranda Valiadation"/>
    <s v="Miranda"/>
    <n v="6456.1"/>
    <m/>
    <n v="6456.1"/>
    <n v="7101.7100000000009"/>
    <m/>
    <m/>
    <n v="0"/>
    <n v="6456.1"/>
    <n v="1"/>
    <m/>
    <m/>
    <m/>
    <s v="Kirsty Doyle"/>
    <s v="Direct Award"/>
    <m/>
    <m/>
    <m/>
    <m/>
  </r>
  <r>
    <x v="2"/>
    <s v="Central West"/>
    <s v="Inv 13845"/>
    <d v="2018-07-06T00:00:00"/>
    <d v="2018-06-07T00:00:00"/>
    <d v="2018-06-07T00:00:00"/>
    <d v="2018-06-08T00:00:00"/>
    <d v="2018-07-02T00:00:00"/>
    <d v="2018-06-21T00:00:00"/>
    <d v="2018-07-10T00:00:00"/>
    <m/>
    <x v="14"/>
    <s v="Jul-18"/>
    <s v="MW22372-AYCA-4WVTLQ-2DBB-01-48 Southlakes Parade Dubbo"/>
    <s v="Dubbo"/>
    <n v="93.73"/>
    <n v="2506.9499999999998"/>
    <n v="2600.6799999999998"/>
    <n v="2860.748"/>
    <m/>
    <m/>
    <n v="0"/>
    <n v="2600.6799999999998"/>
    <n v="1"/>
    <m/>
    <m/>
    <m/>
    <s v="Mark Leal"/>
    <s v="Direct Award"/>
    <d v="2018-05-08T00:00:00"/>
    <m/>
    <d v="2018-08-01T00:00:00"/>
    <n v="85"/>
  </r>
  <r>
    <x v="2"/>
    <s v="Sydney"/>
    <s v="Inv 13635"/>
    <d v="2018-05-22T00:00:00"/>
    <d v="2018-05-23T00:00:00"/>
    <d v="2018-05-23T00:00:00"/>
    <d v="2018-05-31T00:00:00"/>
    <d v="2018-06-05T00:00:00"/>
    <d v="2018-06-05T00:00:00"/>
    <d v="2018-06-12T00:00:00"/>
    <m/>
    <x v="8"/>
    <s v="Jun-18"/>
    <s v="MW22345-AYCA-4R1HAL-2RIV-07-Crown, Edmund, William St-7 Riverstone"/>
    <s v="Riverstone"/>
    <n v="651.87"/>
    <n v="755.60000000000059"/>
    <n v="1407.4700000000007"/>
    <n v="1548.217000000001"/>
    <n v="384.84274999999991"/>
    <m/>
    <n v="384.84274999999991"/>
    <n v="1022.6272500000008"/>
    <n v="0.72657125906768905"/>
    <m/>
    <m/>
    <m/>
    <s v="Ertan Cicek"/>
    <s v="Direct Award"/>
    <d v="2018-05-09T00:00:00"/>
    <m/>
    <d v="2018-07-13T00:00:00"/>
    <n v="65"/>
  </r>
  <r>
    <x v="2"/>
    <s v="Sydney"/>
    <m/>
    <m/>
    <m/>
    <d v="2018-08-30T00:00:00"/>
    <m/>
    <m/>
    <m/>
    <m/>
    <m/>
    <x v="15"/>
    <s v="Jan-00"/>
    <s v="MW 22436 - AYCA-4SRFAN-2226 Roseberry St Balgowlah NSW EXT"/>
    <s v="Balgowlah"/>
    <n v="1928.04"/>
    <m/>
    <n v="1928.04"/>
    <n v="2120.8440000000001"/>
    <m/>
    <m/>
    <n v="0"/>
    <n v="1928.04"/>
    <n v="1"/>
    <m/>
    <m/>
    <m/>
    <s v="Ertan Cicek"/>
    <s v="Direct Award"/>
    <d v="2018-05-11T00:00:00"/>
    <m/>
    <d v="2018-07-25T00:00:00"/>
    <n v="75"/>
  </r>
  <r>
    <x v="2"/>
    <s v="Sydney"/>
    <m/>
    <m/>
    <m/>
    <d v="2018-07-30T00:00:00"/>
    <m/>
    <m/>
    <m/>
    <m/>
    <m/>
    <x v="9"/>
    <s v="Jan-00"/>
    <s v="MW22437-AYCA-4PIIN5-2RYD-66-101 Church St Ryde "/>
    <s v="Ryde"/>
    <n v="646.20000000000005"/>
    <m/>
    <n v="646.20000000000005"/>
    <n v="710.82000000000016"/>
    <m/>
    <m/>
    <n v="0"/>
    <n v="646.20000000000005"/>
    <n v="1"/>
    <m/>
    <m/>
    <m/>
    <s v="Ertan Cicek"/>
    <s v="Direct Award"/>
    <d v="2018-05-11T00:00:00"/>
    <m/>
    <d v="2018-06-26T00:00:00"/>
    <n v="46"/>
  </r>
  <r>
    <x v="2"/>
    <s v="Sydney"/>
    <s v="Inv 13717"/>
    <d v="2018-06-14T00:00:00"/>
    <d v="2018-05-24T00:00:00"/>
    <d v="2018-05-25T00:00:00"/>
    <d v="2018-05-24T00:00:00"/>
    <d v="2018-05-30T00:00:00"/>
    <d v="2018-06-05T00:00:00"/>
    <d v="2018-06-12T00:00:00"/>
    <m/>
    <x v="8"/>
    <s v="Jun-18"/>
    <s v="MW22366-AYCA-117I3H-2RIV-01-34 Station Street Schofields"/>
    <s v="Schofields"/>
    <n v="1073.74"/>
    <n v="14716.48"/>
    <n v="15790.22"/>
    <n v="17369.242000000002"/>
    <n v="11326.55"/>
    <m/>
    <n v="11326.55"/>
    <n v="4463.67"/>
    <n v="0.28268573838743222"/>
    <m/>
    <m/>
    <m/>
    <s v="Ertan Cicek"/>
    <s v="Direct Award"/>
    <d v="2018-05-14T00:00:00"/>
    <m/>
    <d v="2018-08-01T00:00:00"/>
    <n v="79"/>
  </r>
  <r>
    <x v="0"/>
    <s v="Central West"/>
    <m/>
    <m/>
    <m/>
    <d v="2018-07-30T00:00:00"/>
    <m/>
    <m/>
    <m/>
    <m/>
    <m/>
    <x v="9"/>
    <s v="Jan-00"/>
    <s v="MW22392-AYCA-53Y8BE-2WEL-01-2WEL-01-17 Nicholii St, Montefiores"/>
    <s v="Montefiores"/>
    <n v="7630.73"/>
    <m/>
    <n v="7630.73"/>
    <n v="8393.8029999999999"/>
    <m/>
    <m/>
    <n v="0"/>
    <n v="7630.73"/>
    <n v="1"/>
    <m/>
    <m/>
    <m/>
    <s v="Mark Leal"/>
    <s v="Direct Award"/>
    <d v="2018-05-14T00:00:00"/>
    <m/>
    <d v="2018-06-15T00:00:00"/>
    <n v="32"/>
  </r>
  <r>
    <x v="2"/>
    <s v="Central Coast"/>
    <m/>
    <m/>
    <m/>
    <d v="2018-07-30T00:00:00"/>
    <m/>
    <m/>
    <m/>
    <m/>
    <m/>
    <x v="9"/>
    <s v="Jan-00"/>
    <s v="MW22435-AYCA-5576QH-2TGL-02-3 Ghersi Ave Wambera"/>
    <s v="Wamberal"/>
    <n v="1596.49"/>
    <m/>
    <n v="1596.49"/>
    <n v="1756.1390000000001"/>
    <m/>
    <m/>
    <n v="0"/>
    <n v="1596.49"/>
    <n v="1"/>
    <m/>
    <m/>
    <m/>
    <s v="Ertan Cicek"/>
    <s v="Direct Award"/>
    <d v="2018-05-14T00:00:00"/>
    <m/>
    <d v="2018-05-26T00:00:00"/>
    <n v="12"/>
  </r>
  <r>
    <x v="2"/>
    <s v="Sydney"/>
    <s v="Inv 13716"/>
    <d v="2018-06-20T00:00:00"/>
    <d v="2018-05-31T00:00:00"/>
    <d v="2018-05-31T00:00:00"/>
    <d v="2018-05-31T00:00:00"/>
    <d v="2018-06-05T00:00:00"/>
    <d v="2018-06-14T00:00:00"/>
    <d v="2018-06-22T00:00:00"/>
    <m/>
    <x v="8"/>
    <s v="Jun-18"/>
    <s v="MW22454-AYCA-2CVKCU-2ROT-60-60 Wallgrove Rd Easter Creek "/>
    <s v="Eastern Creek"/>
    <n v="1556.8"/>
    <n v="1927.12"/>
    <n v="3483.92"/>
    <n v="3832.3120000000004"/>
    <n v="2361.42"/>
    <m/>
    <n v="2361.42"/>
    <n v="1122.5"/>
    <n v="0.32219453948425908"/>
    <m/>
    <m/>
    <m/>
    <s v="Ertan Cicek"/>
    <s v="Direct Award"/>
    <d v="2018-05-17T00:00:00"/>
    <m/>
    <d v="2018-07-31T00:00:00"/>
    <n v="75"/>
  </r>
  <r>
    <x v="0"/>
    <s v="Sth NSW"/>
    <m/>
    <m/>
    <m/>
    <d v="2018-07-30T00:00:00"/>
    <m/>
    <m/>
    <m/>
    <m/>
    <m/>
    <x v="9"/>
    <s v="Jan-00"/>
    <s v="MW22433-AYCA-4OJUJI-2GLB-04-20 Cathcart St Goulburn "/>
    <s v="Goulburn"/>
    <n v="4404.1400000000003"/>
    <m/>
    <n v="4404.1400000000003"/>
    <n v="4844.554000000001"/>
    <m/>
    <m/>
    <n v="0"/>
    <n v="4404.1400000000003"/>
    <n v="1"/>
    <m/>
    <m/>
    <m/>
    <s v="Sogand Mohtat"/>
    <d v="2018-05-15T00:00:00"/>
    <d v="2018-05-18T00:00:00"/>
    <n v="3"/>
    <d v="2018-06-20T00:00:00"/>
    <n v="33"/>
  </r>
  <r>
    <x v="2"/>
    <s v="Sydney"/>
    <m/>
    <m/>
    <m/>
    <d v="2018-08-30T00:00:00"/>
    <m/>
    <m/>
    <m/>
    <m/>
    <m/>
    <x v="15"/>
    <s v="Jan-00"/>
    <s v="MW417R000034-AYCA-44MH0G-2RYD-63-133-137 Bowden Street Meadowbank "/>
    <s v="Meadowbank"/>
    <n v="3333.98"/>
    <m/>
    <n v="3333.98"/>
    <n v="3667.3780000000002"/>
    <m/>
    <m/>
    <n v="0"/>
    <n v="3333.98"/>
    <n v="1"/>
    <m/>
    <m/>
    <m/>
    <s v="Ertan Cicek"/>
    <s v="Direct Award"/>
    <d v="2018-05-18T00:00:00"/>
    <m/>
    <d v="2018-08-01T00:00:00"/>
    <n v="75"/>
  </r>
  <r>
    <x v="2"/>
    <s v="Sydney"/>
    <s v="Inv 13506"/>
    <d v="2018-05-01T00:00:00"/>
    <d v="2018-05-21T00:00:00"/>
    <d v="2018-05-22T00:00:00"/>
    <d v="2018-05-22T00:00:00"/>
    <d v="2018-05-24T00:00:00"/>
    <d v="2018-05-31T00:00:00"/>
    <d v="2018-06-07T00:00:00"/>
    <m/>
    <x v="8"/>
    <s v="Jun-18"/>
    <s v="MW22390-AYCA-4EE89M-2RIV-04-15 Boundary Rd Box Hill"/>
    <s v="Box Hill"/>
    <n v="1635.31"/>
    <n v="845.60000000000559"/>
    <n v="2480.9100000000053"/>
    <n v="2729.0010000000061"/>
    <n v="976.93"/>
    <m/>
    <n v="976.93"/>
    <n v="1503.9800000000055"/>
    <n v="0.60622110435283916"/>
    <m/>
    <m/>
    <m/>
    <s v="Andrew Mahssy"/>
    <s v="Direct Award"/>
    <d v="2018-05-08T00:00:00"/>
    <m/>
    <d v="2018-08-02T00:00:00"/>
    <n v="86"/>
  </r>
  <r>
    <x v="2"/>
    <s v="Sydney"/>
    <m/>
    <m/>
    <m/>
    <d v="2018-08-30T00:00:00"/>
    <m/>
    <m/>
    <m/>
    <m/>
    <m/>
    <x v="15"/>
    <s v="Jan-00"/>
    <s v="MW417R000052-AYCA-44H3AU-2STL-65-13 Marshall Avenue St Leonards "/>
    <s v="St Leonards"/>
    <n v="1998.69"/>
    <m/>
    <n v="1998.69"/>
    <n v="2198.5590000000002"/>
    <m/>
    <m/>
    <n v="0"/>
    <n v="1998.69"/>
    <n v="1"/>
    <m/>
    <m/>
    <m/>
    <s v="Ertan Cicek"/>
    <s v="Direct Award"/>
    <d v="2018-05-21T00:00:00"/>
    <m/>
    <d v="2018-08-05T00:00:00"/>
    <n v="76"/>
  </r>
  <r>
    <x v="2"/>
    <s v="Sydney"/>
    <m/>
    <m/>
    <m/>
    <d v="2018-08-30T00:00:00"/>
    <m/>
    <m/>
    <m/>
    <m/>
    <m/>
    <x v="15"/>
    <s v="Jan-00"/>
    <s v="MW22474-AYCA-4UE5JN-2LID-03-46-48 Beaumont St "/>
    <s v="Lidcombe"/>
    <n v="1347.33"/>
    <m/>
    <n v="1347.33"/>
    <n v="1482.0630000000001"/>
    <m/>
    <m/>
    <n v="0"/>
    <n v="1347.33"/>
    <n v="1"/>
    <m/>
    <m/>
    <m/>
    <s v="Ertan Cicek"/>
    <s v="Direct Award"/>
    <d v="2018-05-21T00:00:00"/>
    <m/>
    <d v="2018-08-06T00:00:00"/>
    <n v="77"/>
  </r>
  <r>
    <x v="2"/>
    <s v="Sth Coast"/>
    <m/>
    <m/>
    <m/>
    <d v="2018-08-30T00:00:00"/>
    <m/>
    <m/>
    <m/>
    <m/>
    <m/>
    <x v="15"/>
    <s v="Jan-00"/>
    <s v="MW22501-AYCA-4W183C-2WLG-02-71 Auburn St Wollongong "/>
    <s v="Wollongong"/>
    <n v="1592.08"/>
    <m/>
    <n v="1592.08"/>
    <n v="1751.288"/>
    <m/>
    <m/>
    <n v="0"/>
    <n v="1592.08"/>
    <n v="1"/>
    <m/>
    <m/>
    <m/>
    <s v="Nabeel Jaimon"/>
    <s v="Direct Award"/>
    <d v="2018-05-22T00:00:00"/>
    <m/>
    <d v="2018-08-06T00:00:00"/>
    <n v="76"/>
  </r>
  <r>
    <x v="2"/>
    <s v="Sydney"/>
    <m/>
    <m/>
    <m/>
    <d v="2018-08-30T00:00:00"/>
    <m/>
    <m/>
    <m/>
    <m/>
    <m/>
    <x v="15"/>
    <s v="Jan-00"/>
    <s v="MW417R000049-AYCA-24QAXK-2ROC-03-10 Martin Avenue Arncliffe"/>
    <s v="Arncliffe"/>
    <n v="2655.28"/>
    <m/>
    <n v="2655.28"/>
    <n v="2920.8080000000004"/>
    <m/>
    <m/>
    <n v="0"/>
    <n v="2655.28"/>
    <n v="1"/>
    <m/>
    <m/>
    <m/>
    <s v="Ertan Cicek"/>
    <s v="Direct Award"/>
    <d v="2018-05-22T00:00:00"/>
    <m/>
    <d v="2018-08-06T00:00:00"/>
    <n v="76"/>
  </r>
  <r>
    <x v="2"/>
    <s v="Sydney"/>
    <m/>
    <m/>
    <m/>
    <d v="2018-08-30T00:00:00"/>
    <m/>
    <m/>
    <m/>
    <m/>
    <m/>
    <x v="15"/>
    <s v="Jan-00"/>
    <s v="MW417R000051-AYCA-55JW1J-2BOT-01-180 – 188 Maroubra Rd, Maroubra "/>
    <s v="Maroubra"/>
    <n v="1343.18"/>
    <m/>
    <n v="1343.18"/>
    <n v="1477.4980000000003"/>
    <n v="3524.25"/>
    <m/>
    <n v="3524.25"/>
    <n v="-2181.0699999999997"/>
    <n v="-1.6238106582885388"/>
    <m/>
    <m/>
    <m/>
    <s v="Ertan Cicek"/>
    <s v="Direct Award"/>
    <d v="2018-05-22T00:00:00"/>
    <m/>
    <d v="2018-08-01T00:00:00"/>
    <n v="71"/>
  </r>
  <r>
    <x v="2"/>
    <s v="Sydney"/>
    <m/>
    <m/>
    <d v="2018-06-29T00:00:00"/>
    <d v="2018-06-29T00:00:00"/>
    <d v="2018-07-02T00:00:00"/>
    <m/>
    <d v="2018-07-13T00:00:00"/>
    <d v="2018-07-27T00:00:00"/>
    <m/>
    <x v="14"/>
    <s v="Jul-18"/>
    <s v="MW22526-AYCA-4T7JU2-2MIR-25-13 Dudley Avenue Caringbah South "/>
    <s v="Carringbah"/>
    <n v="1804.33"/>
    <n v="12670.33"/>
    <n v="14474.66"/>
    <n v="15922.126000000002"/>
    <n v="3866.63"/>
    <m/>
    <n v="3866.63"/>
    <n v="10608.029999999999"/>
    <n v="0.73286902766628015"/>
    <m/>
    <m/>
    <m/>
    <s v="Ertan Cicek"/>
    <s v="Direct Award"/>
    <d v="2018-05-24T00:00:00"/>
    <m/>
    <d v="2018-05-30T00:00:00"/>
    <n v="6"/>
  </r>
  <r>
    <x v="2"/>
    <s v="Sydney"/>
    <m/>
    <m/>
    <m/>
    <d v="2018-07-30T00:00:00"/>
    <m/>
    <m/>
    <m/>
    <m/>
    <m/>
    <x v="9"/>
    <s v="Jan-00"/>
    <s v="MW22531-AYCA-413Z64-2PAR-64-2B Darcy Rd Westmead "/>
    <s v="Westmead"/>
    <n v="1987.42"/>
    <m/>
    <n v="1987.42"/>
    <n v="2186.1620000000003"/>
    <m/>
    <m/>
    <n v="0"/>
    <n v="1987.42"/>
    <n v="1"/>
    <m/>
    <m/>
    <m/>
    <s v="Ertan Cicek"/>
    <s v="Direct Award"/>
    <d v="2018-05-25T00:00:00"/>
    <m/>
    <d v="2018-06-15T00:00:00"/>
    <n v="21"/>
  </r>
  <r>
    <x v="2"/>
    <s v="Sth Coast"/>
    <m/>
    <m/>
    <d v="2018-06-19T00:00:00"/>
    <d v="2018-06-19T00:00:00"/>
    <d v="2018-07-02T00:00:00"/>
    <d v="2018-07-04T00:00:00"/>
    <d v="2018-07-03T00:00:00"/>
    <d v="2018-07-17T00:00:00"/>
    <m/>
    <x v="14"/>
    <s v="Jul-18"/>
    <s v="MW22420 - AYCA-4RFDRV - 2KIA-03 - 58 Old Saddleback Road Kiama"/>
    <s v="Kiama"/>
    <n v="11050.52"/>
    <n v="9243.7120000000159"/>
    <n v="20294.232000000018"/>
    <n v="22323.655200000023"/>
    <n v="5530.26"/>
    <n v="3905.8592500000004"/>
    <n v="9436.1192499999997"/>
    <n v="10858.112750000018"/>
    <n v="0.53503442505239951"/>
    <m/>
    <m/>
    <m/>
    <s v="Andrew Mahassy"/>
    <s v="Direct Award"/>
    <d v="2018-05-11T00:00:00"/>
    <m/>
    <d v="2018-05-23T00:00:00"/>
    <n v="12"/>
  </r>
  <r>
    <x v="2"/>
    <s v="Sydney"/>
    <m/>
    <m/>
    <m/>
    <d v="2018-08-30T00:00:00"/>
    <m/>
    <m/>
    <m/>
    <m/>
    <m/>
    <x v="15"/>
    <s v="Jan-00"/>
    <s v="MW22470-AYCA-2XJBL7-2SIL-02-3 Olympic Blvd Sydney Olympic Park"/>
    <s v="Olympic Park"/>
    <n v="5102.55"/>
    <m/>
    <n v="5102.55"/>
    <n v="5612.8050000000003"/>
    <m/>
    <m/>
    <n v="0"/>
    <n v="5102.55"/>
    <n v="1"/>
    <m/>
    <m/>
    <m/>
    <s v="Ertan Cicek"/>
    <s v="Direct Award"/>
    <d v="2018-05-28T00:00:00"/>
    <m/>
    <d v="2018-08-05T00:00:00"/>
    <n v="69"/>
  </r>
  <r>
    <x v="0"/>
    <s v="Sydney"/>
    <s v="Inv 13751"/>
    <d v="2018-06-20T00:00:00"/>
    <d v="2018-05-29T00:00:00"/>
    <d v="2018-05-29T00:00:00"/>
    <d v="2018-05-31T00:00:00"/>
    <d v="2018-06-05T00:00:00"/>
    <d v="2018-06-14T00:00:00"/>
    <d v="2018-06-28T00:00:00"/>
    <m/>
    <x v="8"/>
    <s v="Jun-18"/>
    <s v="MW22478 - AYCA-501QN5 - 2CAS-23 - 30 Pentonville Parade, Castle Hill "/>
    <s v="Castle Hill"/>
    <n v="2549.4500000000003"/>
    <n v="1147.33"/>
    <n v="3696.78"/>
    <n v="4066.4580000000005"/>
    <n v="1826.69"/>
    <m/>
    <n v="1826.69"/>
    <n v="1870.0900000000001"/>
    <n v="0.50586997332813965"/>
    <m/>
    <m/>
    <m/>
    <s v="Dave Yoemans"/>
    <d v="2018-05-22T00:00:00"/>
    <d v="2018-05-30T00:00:00"/>
    <m/>
    <d v="2018-07-30T00:00:00"/>
    <n v="61"/>
  </r>
  <r>
    <x v="2"/>
    <s v="Newcastle"/>
    <m/>
    <m/>
    <m/>
    <m/>
    <m/>
    <m/>
    <m/>
    <m/>
    <m/>
    <x v="17"/>
    <m/>
    <s v="AYCA-54QQ6Y_48 KALAROO RD REDHEAD"/>
    <s v="Redhead"/>
    <m/>
    <m/>
    <m/>
    <m/>
    <m/>
    <m/>
    <m/>
    <m/>
    <m/>
    <m/>
    <m/>
    <m/>
    <m/>
    <m/>
    <m/>
    <m/>
    <m/>
    <m/>
  </r>
  <r>
    <x v="2"/>
    <s v="Sydney"/>
    <m/>
    <m/>
    <m/>
    <d v="2018-10-30T00:00:00"/>
    <m/>
    <m/>
    <m/>
    <m/>
    <m/>
    <x v="18"/>
    <s v="Jan-00"/>
    <s v="MW22548-AYCA-48V6NM-2PTH-05-Lord Sheffield Circuit Penrith"/>
    <s v="Penrith"/>
    <n v="6541.61"/>
    <m/>
    <n v="6541.61"/>
    <n v="7195.7710000000006"/>
    <m/>
    <m/>
    <n v="0"/>
    <n v="6541.61"/>
    <n v="1"/>
    <m/>
    <m/>
    <m/>
    <s v="Ertan Cicek"/>
    <s v="Direct Award"/>
    <d v="2018-05-30T00:00:00"/>
    <m/>
    <d v="2018-09-13T00:00:00"/>
    <n v="106"/>
  </r>
  <r>
    <x v="2"/>
    <s v="Sydney"/>
    <m/>
    <m/>
    <m/>
    <d v="2018-09-30T00:00:00"/>
    <m/>
    <m/>
    <m/>
    <m/>
    <m/>
    <x v="19"/>
    <s v="Jan-00"/>
    <s v="MW22505-2KNS-03-AYCA-4KBL5R-14-18 Primrose Ave &amp; 27-29 Roseberry Ave Rosberry "/>
    <s v="Rosberry"/>
    <n v="1091.81"/>
    <m/>
    <n v="1091.81"/>
    <n v="1200.991"/>
    <m/>
    <m/>
    <n v="0"/>
    <n v="1091.81"/>
    <n v="1"/>
    <m/>
    <m/>
    <m/>
    <s v="Ertan Cicek"/>
    <s v="Direct Award"/>
    <d v="2018-05-30T00:00:00"/>
    <m/>
    <d v="2018-08-18T00:00:00"/>
    <n v="80"/>
  </r>
  <r>
    <x v="2"/>
    <s v="Sydney"/>
    <m/>
    <m/>
    <m/>
    <d v="2018-10-30T00:00:00"/>
    <m/>
    <m/>
    <m/>
    <m/>
    <m/>
    <x v="18"/>
    <s v="Jan-00"/>
    <s v="MW417R000243-AYCA-56I886-2ASH-64-47 Cecil St, Ashfield"/>
    <s v="Ashfield"/>
    <n v="2864.22"/>
    <m/>
    <n v="2864.22"/>
    <n v="3150.6419999999998"/>
    <m/>
    <m/>
    <n v="0"/>
    <n v="2864.22"/>
    <n v="1"/>
    <m/>
    <m/>
    <m/>
    <s v="Ertan Cicek"/>
    <s v="Direct Award"/>
    <d v="2018-06-13T00:00:00"/>
    <m/>
    <d v="2018-09-28T00:00:00"/>
    <n v="107"/>
  </r>
  <r>
    <x v="2"/>
    <s v="Sydney"/>
    <m/>
    <m/>
    <m/>
    <d v="2018-08-30T00:00:00"/>
    <m/>
    <m/>
    <m/>
    <m/>
    <m/>
    <x v="15"/>
    <s v="Jan-00"/>
    <s v="MW22513 - AYCA-4JW63S - 2CRO-21 - 25-29 Tonkin St Cronulla"/>
    <s v="Cronulla"/>
    <n v="4221.51"/>
    <m/>
    <n v="4221.51"/>
    <n v="4643.661000000001"/>
    <m/>
    <m/>
    <n v="0"/>
    <n v="4221.51"/>
    <n v="1"/>
    <m/>
    <m/>
    <m/>
    <s v="Ertan Cicek"/>
    <s v="Direct Award"/>
    <d v="2018-05-29T00:00:00"/>
    <m/>
    <d v="2018-07-29T00:00:00"/>
    <n v="61"/>
  </r>
  <r>
    <x v="0"/>
    <s v="Nth Coast"/>
    <m/>
    <m/>
    <m/>
    <d v="2018-07-30T00:00:00"/>
    <m/>
    <m/>
    <m/>
    <m/>
    <m/>
    <x v="9"/>
    <s v="Jan-00"/>
    <s v="MW22483-AYCA-4IEHVB-2CAH-21-Bottlebrush Place, Lakewood"/>
    <s v="Lakewood"/>
    <n v="3000"/>
    <m/>
    <n v="3000"/>
    <n v="3300.0000000000005"/>
    <m/>
    <m/>
    <n v="0"/>
    <n v="3000"/>
    <n v="1"/>
    <m/>
    <m/>
    <m/>
    <s v="Mark Leal"/>
    <d v="2018-05-21T00:00:00"/>
    <d v="2018-05-29T00:00:00"/>
    <n v="8"/>
    <d v="2018-06-29T00:00:00"/>
    <n v="31"/>
  </r>
  <r>
    <x v="2"/>
    <s v="Sydney"/>
    <m/>
    <m/>
    <m/>
    <d v="2018-09-30T00:00:00"/>
    <m/>
    <m/>
    <m/>
    <m/>
    <m/>
    <x v="19"/>
    <s v="Jan-00"/>
    <s v="MW22520-AYCA-48OYT0-2EDG-65-240 New South Head Road Edgecliff "/>
    <s v="Edgecliffe"/>
    <n v="1411.72"/>
    <m/>
    <n v="1411.72"/>
    <n v="1552.8920000000001"/>
    <m/>
    <m/>
    <n v="0"/>
    <n v="1411.72"/>
    <n v="1"/>
    <m/>
    <m/>
    <m/>
    <s v="Ertan Cicek"/>
    <s v="Direct Award"/>
    <d v="2018-05-30T00:00:00"/>
    <m/>
    <d v="2018-09-05T00:00:00"/>
    <n v="98"/>
  </r>
  <r>
    <x v="2"/>
    <s v="Central West"/>
    <m/>
    <m/>
    <m/>
    <d v="2018-09-30T00:00:00"/>
    <m/>
    <m/>
    <m/>
    <m/>
    <m/>
    <x v="19"/>
    <s v="Jan-00"/>
    <s v="MW22575-AYCA-4LHC6F-2DBB-01-30 Ritz Pl Dubbo"/>
    <s v="Dubbo"/>
    <n v="4042.34"/>
    <m/>
    <n v="4042.34"/>
    <n v="4446.5740000000005"/>
    <m/>
    <m/>
    <n v="0"/>
    <n v="4042.34"/>
    <n v="1"/>
    <m/>
    <m/>
    <m/>
    <s v="Ertan Cicek"/>
    <s v="Direct Award"/>
    <d v="2018-05-30T00:00:00"/>
    <m/>
    <d v="2018-08-23T00:00:00"/>
    <n v="85"/>
  </r>
  <r>
    <x v="2"/>
    <s v="Sydney"/>
    <m/>
    <m/>
    <m/>
    <d v="2018-09-30T00:00:00"/>
    <m/>
    <m/>
    <m/>
    <m/>
    <m/>
    <x v="19"/>
    <s v="Jan-00"/>
    <s v="MW22532-AYCA-55KUFO-2MIR-22-31 Bay Road Taren Point "/>
    <s v="Taren Point"/>
    <n v="2382.0700000000002"/>
    <m/>
    <n v="2382.0700000000002"/>
    <n v="2620.2770000000005"/>
    <m/>
    <m/>
    <n v="0"/>
    <n v="2382.0700000000002"/>
    <n v="1"/>
    <m/>
    <m/>
    <m/>
    <s v="Ertan Cicek"/>
    <s v="Direct Award"/>
    <d v="2018-05-30T00:00:00"/>
    <m/>
    <d v="2018-08-29T00:00:00"/>
    <n v="91"/>
  </r>
  <r>
    <x v="2"/>
    <s v="Sydney"/>
    <m/>
    <m/>
    <m/>
    <d v="2018-09-30T00:00:00"/>
    <m/>
    <m/>
    <m/>
    <m/>
    <m/>
    <x v="19"/>
    <s v="Jan-00"/>
    <s v="MW22574 - AYCA-4BBYMK - 2ROU-01 - 184 &amp; 186 Old Pitt Town Rd Box Hill"/>
    <s v="Box Hill"/>
    <n v="3453.15"/>
    <m/>
    <n v="3453.15"/>
    <n v="3798.4650000000006"/>
    <m/>
    <m/>
    <n v="0"/>
    <n v="3453.15"/>
    <n v="1"/>
    <m/>
    <m/>
    <m/>
    <s v="Ertan Cicek"/>
    <s v="Direct Award"/>
    <d v="2018-05-30T00:00:00"/>
    <m/>
    <d v="2018-08-23T00:00:00"/>
    <n v="85"/>
  </r>
  <r>
    <x v="2"/>
    <s v="Central West"/>
    <m/>
    <m/>
    <m/>
    <d v="2018-09-30T00:00:00"/>
    <m/>
    <m/>
    <m/>
    <m/>
    <m/>
    <x v="19"/>
    <s v="Jan-00"/>
    <s v="MW22547-AYCA-547JTQ-2DBB-04-1D Rawson St Dubbo "/>
    <s v="Dubbo"/>
    <n v="1056.4000000000001"/>
    <m/>
    <n v="1056.4000000000001"/>
    <n v="1162.0400000000002"/>
    <m/>
    <m/>
    <n v="0"/>
    <n v="1056.4000000000001"/>
    <n v="1"/>
    <m/>
    <m/>
    <m/>
    <s v="Ertan Cicek"/>
    <s v="Direct Award"/>
    <d v="2018-05-31T00:00:00"/>
    <m/>
    <d v="2018-08-22T00:00:00"/>
    <n v="83"/>
  </r>
  <r>
    <x v="2"/>
    <s v="Sydney"/>
    <m/>
    <m/>
    <m/>
    <d v="2018-09-30T00:00:00"/>
    <m/>
    <m/>
    <m/>
    <m/>
    <m/>
    <x v="19"/>
    <s v="Jan-00"/>
    <s v="MW22579-AYCA-4R1C1M-2RIV-07-William St Riverstone"/>
    <s v="Riverstone"/>
    <n v="923.71"/>
    <m/>
    <n v="923.71"/>
    <n v="1016.0810000000001"/>
    <m/>
    <m/>
    <n v="0"/>
    <n v="923.71"/>
    <n v="1"/>
    <m/>
    <m/>
    <m/>
    <s v="Ertan Cicek"/>
    <s v="Direct Award"/>
    <d v="2018-06-01T00:00:00"/>
    <m/>
    <d v="2018-08-23T00:00:00"/>
    <n v="83"/>
  </r>
  <r>
    <x v="2"/>
    <s v="Central West"/>
    <m/>
    <m/>
    <m/>
    <d v="2018-09-30T00:00:00"/>
    <m/>
    <m/>
    <m/>
    <m/>
    <m/>
    <x v="19"/>
    <s v="Jan-00"/>
    <s v="MW22580-AYCA-52S52D-2BTH-01-18 Hobson Cl Eglinton"/>
    <s v="Eglinton"/>
    <n v="2924.92"/>
    <m/>
    <n v="2924.92"/>
    <n v="3217.4120000000003"/>
    <m/>
    <m/>
    <n v="0"/>
    <n v="2924.92"/>
    <n v="1"/>
    <m/>
    <m/>
    <m/>
    <s v="Ertan Cicek"/>
    <s v="Direct Award"/>
    <d v="2018-06-01T00:00:00"/>
    <m/>
    <d v="2018-08-24T00:00:00"/>
    <n v="84"/>
  </r>
  <r>
    <x v="2"/>
    <s v="Sydney"/>
    <m/>
    <m/>
    <m/>
    <d v="2018-08-30T00:00:00"/>
    <m/>
    <m/>
    <m/>
    <m/>
    <m/>
    <x v="15"/>
    <s v="Jan-00"/>
    <s v="MW417R000099-AYCA-577BDS-2BLK-07-36 Huntingwood Drive Huntingwood"/>
    <s v="Huntingwood"/>
    <n v="856.8"/>
    <m/>
    <n v="856.8"/>
    <n v="942.48"/>
    <m/>
    <m/>
    <n v="0"/>
    <n v="856.8"/>
    <n v="1"/>
    <m/>
    <m/>
    <m/>
    <s v="Nabeel Jaimon"/>
    <s v="Direct Award"/>
    <d v="2018-06-01T00:00:00"/>
    <m/>
    <d v="2018-08-08T00:00:00"/>
    <n v="68"/>
  </r>
  <r>
    <x v="0"/>
    <s v="Sth NSW"/>
    <m/>
    <m/>
    <d v="2018-06-18T00:00:00"/>
    <d v="2018-06-30T00:00:00"/>
    <m/>
    <m/>
    <d v="2018-07-02T00:00:00"/>
    <m/>
    <m/>
    <x v="14"/>
    <s v="Jan-00"/>
    <s v="MW22493 - AYCA-4VG4KY - 2LTO-20 -  23-25 Chelmsford Place Leeton"/>
    <s v="Leeton"/>
    <n v="4293.8739999999998"/>
    <m/>
    <n v="4293.8739999999998"/>
    <n v="4723.2614000000003"/>
    <m/>
    <m/>
    <n v="0"/>
    <n v="4293.8739999999998"/>
    <n v="1"/>
    <m/>
    <m/>
    <m/>
    <s v="Dave Yoemans"/>
    <m/>
    <m/>
    <m/>
    <m/>
    <n v="0"/>
  </r>
  <r>
    <x v="2"/>
    <s v="Sydney"/>
    <m/>
    <m/>
    <m/>
    <d v="2018-07-30T00:00:00"/>
    <m/>
    <m/>
    <m/>
    <m/>
    <m/>
    <x v="9"/>
    <s v="Jan-00"/>
    <s v="MW417R000065- AYCA-59DV6W-2CRR-72-Nelson St, Fairfield"/>
    <s v="Fairfield"/>
    <n v="1156.75"/>
    <m/>
    <n v="1156.75"/>
    <n v="1272.4250000000002"/>
    <n v="1502.68"/>
    <m/>
    <n v="1502.68"/>
    <n v="-345.93000000000006"/>
    <n v="-0.29905338232115847"/>
    <m/>
    <m/>
    <m/>
    <s v="Ertan Cicek"/>
    <s v="Direct Award"/>
    <d v="2018-06-05T00:00:00"/>
    <m/>
    <d v="2018-06-28T00:00:00"/>
    <n v="23"/>
  </r>
  <r>
    <x v="2"/>
    <s v="Newcastle"/>
    <m/>
    <m/>
    <m/>
    <d v="2018-09-30T00:00:00"/>
    <m/>
    <m/>
    <m/>
    <m/>
    <m/>
    <x v="19"/>
    <s v="Jan-00"/>
    <s v="MW417R000077-AYCA-5A2Y34-2MAI-03-100 George St East Maitland "/>
    <s v="East Maitland"/>
    <n v="926.02"/>
    <m/>
    <n v="926.02"/>
    <n v="1018.6220000000001"/>
    <m/>
    <m/>
    <n v="0"/>
    <n v="926.02"/>
    <n v="1"/>
    <m/>
    <m/>
    <m/>
    <s v="Ertan Cicek"/>
    <s v="Direct Award"/>
    <d v="2018-06-05T00:00:00"/>
    <m/>
    <d v="2018-08-29T00:00:00"/>
    <n v="85"/>
  </r>
  <r>
    <x v="0"/>
    <s v="ACT"/>
    <m/>
    <m/>
    <d v="2018-07-03T00:00:00"/>
    <d v="2018-07-30T00:00:00"/>
    <m/>
    <m/>
    <m/>
    <m/>
    <m/>
    <x v="9"/>
    <s v="Jan-00"/>
    <s v="AYCA‐52JYBU NBN Tech Choice 7 Buggy Crescent McKellar"/>
    <s v="Mckellar"/>
    <n v="20864.64"/>
    <m/>
    <n v="20864.64"/>
    <n v="22951.104000000003"/>
    <n v="5714.37"/>
    <m/>
    <n v="5714.37"/>
    <n v="15150.27"/>
    <n v="0.72612180224532996"/>
    <m/>
    <m/>
    <m/>
    <s v="Dave Yoemans"/>
    <m/>
    <m/>
    <m/>
    <m/>
    <m/>
  </r>
  <r>
    <x v="2"/>
    <s v="Sydney"/>
    <m/>
    <m/>
    <d v="2018-07-05T00:00:00"/>
    <d v="2018-07-05T00:00:00"/>
    <m/>
    <m/>
    <d v="2018-07-19T00:00:00"/>
    <d v="2018-11-10T00:00:00"/>
    <m/>
    <x v="9"/>
    <s v="Nov-18"/>
    <s v="MW417R000070-AYCA-52UC2N-2WRO-63-Beech Rd Casula "/>
    <s v="Casula"/>
    <n v="19385.47"/>
    <m/>
    <n v="19385.47"/>
    <n v="21324.017000000003"/>
    <n v="7183.72"/>
    <m/>
    <n v="7183.72"/>
    <n v="12201.75"/>
    <n v="0.62942760737810322"/>
    <m/>
    <m/>
    <m/>
    <s v="Ertan Cicek"/>
    <s v="Direct Award"/>
    <d v="2018-06-07T00:00:00"/>
    <m/>
    <d v="2018-08-29T00:00:00"/>
    <n v="83"/>
  </r>
  <r>
    <x v="2"/>
    <s v="Sydney"/>
    <m/>
    <m/>
    <d v="2018-06-22T00:00:00"/>
    <d v="2018-06-22T00:00:00"/>
    <d v="2018-06-25T00:00:00"/>
    <m/>
    <d v="2018-07-06T00:00:00"/>
    <d v="2018-07-20T00:00:00"/>
    <m/>
    <x v="14"/>
    <s v="Jul-18"/>
    <s v="MW417R000124-AYCA-58BKNK-2RYD-66-2-6 Junction St Ryde"/>
    <s v="Ryde"/>
    <n v="1064.32"/>
    <n v="5366.5890000000036"/>
    <n v="6430.9090000000033"/>
    <n v="7073.9999000000043"/>
    <n v="1932.82"/>
    <m/>
    <n v="1932.82"/>
    <n v="4498.0890000000036"/>
    <n v="0.69944839835239481"/>
    <m/>
    <m/>
    <m/>
    <s v="Ertan Cicek"/>
    <s v="Direct Award"/>
    <d v="2018-06-06T00:00:00"/>
    <m/>
    <d v="2018-08-30T00:00:00"/>
    <n v="85"/>
  </r>
  <r>
    <x v="2"/>
    <s v="Sydney"/>
    <m/>
    <m/>
    <d v="2018-06-18T00:00:00"/>
    <d v="2018-06-19T00:00:00"/>
    <d v="2018-06-27T00:00:00"/>
    <m/>
    <d v="2018-07-03T00:00:00"/>
    <d v="2018-07-17T00:00:00"/>
    <m/>
    <x v="14"/>
    <s v="Jul-18"/>
    <s v="MW417R000098-AYCA-4TC0MT-2QUA-65-50 Farnham Rd, Quakers Hill"/>
    <s v="Quakers Hill"/>
    <n v="8779.84"/>
    <n v="16441.630000000008"/>
    <n v="25221.470000000008"/>
    <n v="27743.617000000013"/>
    <n v="17562.260000000002"/>
    <m/>
    <n v="17562.260000000002"/>
    <n v="7659.2100000000064"/>
    <n v="0.30367817577643191"/>
    <m/>
    <m/>
    <m/>
    <s v="Ertan Cicek"/>
    <s v="Direct Award"/>
    <d v="2018-06-08T00:00:00"/>
    <m/>
    <d v="2018-08-30T00:00:00"/>
    <n v="83"/>
  </r>
  <r>
    <x v="2"/>
    <s v="Sydney"/>
    <m/>
    <m/>
    <m/>
    <d v="2018-09-30T00:00:00"/>
    <m/>
    <m/>
    <m/>
    <m/>
    <m/>
    <x v="19"/>
    <s v="Jan-00"/>
    <s v="MW417R000132-AYCA-4L3R6E-2MIR-26-4-6 Ventura Ave Miranda"/>
    <s v="Miranda"/>
    <n v="5800.56"/>
    <m/>
    <n v="5800.56"/>
    <n v="6380.6160000000009"/>
    <m/>
    <m/>
    <n v="0"/>
    <n v="5800.56"/>
    <n v="1"/>
    <m/>
    <m/>
    <m/>
    <s v="Ertan Cicek"/>
    <s v="Direct Award"/>
    <d v="2018-06-07T00:00:00"/>
    <m/>
    <d v="2018-08-31T00:00:00"/>
    <n v="85"/>
  </r>
  <r>
    <x v="2"/>
    <s v="Sydney"/>
    <m/>
    <m/>
    <m/>
    <d v="2018-09-30T00:00:00"/>
    <m/>
    <m/>
    <m/>
    <m/>
    <m/>
    <x v="19"/>
    <s v="Jan-00"/>
    <s v="MW417R000139-AYCA-4IIZWC-2STL-60-22-28 Albany St St Leonards "/>
    <s v="St.Leonards"/>
    <n v="781.39"/>
    <m/>
    <n v="781.39"/>
    <n v="859.52900000000011"/>
    <m/>
    <m/>
    <n v="0"/>
    <n v="781.39"/>
    <n v="1"/>
    <m/>
    <m/>
    <m/>
    <s v="Ertan Cicek"/>
    <s v="Direct Award"/>
    <d v="2018-06-07T00:00:00"/>
    <m/>
    <m/>
    <m/>
  </r>
  <r>
    <x v="2"/>
    <s v="ACT"/>
    <m/>
    <m/>
    <m/>
    <d v="2018-09-30T00:00:00"/>
    <m/>
    <m/>
    <m/>
    <m/>
    <m/>
    <x v="19"/>
    <s v="Jan-00"/>
    <s v="MW417R000123-AYCA-523PM8-9MNK-01-8 Beaconsfield St Fyshwick ACT "/>
    <s v="Fyshwick"/>
    <n v="6863.96"/>
    <m/>
    <n v="6863.96"/>
    <n v="7550.3560000000007"/>
    <m/>
    <m/>
    <n v="0"/>
    <n v="6863.96"/>
    <n v="1"/>
    <m/>
    <m/>
    <m/>
    <s v="Ertan Cicek"/>
    <s v="Direct Award"/>
    <d v="2018-06-07T00:00:00"/>
    <m/>
    <d v="2018-08-30T00:00:00"/>
    <n v="84"/>
  </r>
  <r>
    <x v="2"/>
    <s v="Sydney"/>
    <m/>
    <m/>
    <m/>
    <d v="2018-09-30T00:00:00"/>
    <m/>
    <m/>
    <m/>
    <m/>
    <m/>
    <x v="19"/>
    <s v="Jan-00"/>
    <s v="MW417R000161-AYCA-3D0J11-2ROC-02-15-21 Willis St Wolli Creek "/>
    <s v="Wolli Creek"/>
    <n v="1641.98"/>
    <m/>
    <n v="1641.98"/>
    <n v="1806.1780000000001"/>
    <m/>
    <m/>
    <n v="0"/>
    <n v="1641.98"/>
    <n v="1"/>
    <m/>
    <m/>
    <m/>
    <s v="Ertan Cicek"/>
    <s v="Direct Award"/>
    <d v="2018-06-08T00:00:00"/>
    <m/>
    <d v="2018-08-31T00:00:00"/>
    <n v="84"/>
  </r>
  <r>
    <x v="2"/>
    <s v="Sydney"/>
    <m/>
    <m/>
    <d v="2018-07-06T00:00:00"/>
    <d v="2018-07-06T00:00:00"/>
    <d v="2018-07-09T00:00:00"/>
    <m/>
    <d v="2018-07-20T00:00:00"/>
    <d v="2018-08-03T00:00:00"/>
    <m/>
    <x v="9"/>
    <s v="Aug-18"/>
    <s v="MW417R000222-AYCA-4VFYJV-2BAN-64-27-37 Percy St, Bankstown"/>
    <s v="Bankstown"/>
    <n v="4388.9399999999996"/>
    <n v="14761.990000000002"/>
    <n v="19150.93"/>
    <n v="21066.023000000001"/>
    <n v="9921.16"/>
    <m/>
    <n v="9921.16"/>
    <n v="9229.77"/>
    <n v="0.48194891840761783"/>
    <m/>
    <m/>
    <m/>
    <s v="Ertan Cicek"/>
    <s v="Direct Award"/>
    <d v="2018-06-08T00:00:00"/>
    <m/>
    <d v="2018-09-29T00:00:00"/>
    <n v="113"/>
  </r>
  <r>
    <x v="2"/>
    <s v="Sydney"/>
    <m/>
    <m/>
    <m/>
    <d v="2018-09-30T00:00:00"/>
    <m/>
    <m/>
    <m/>
    <m/>
    <m/>
    <x v="19"/>
    <s v="Jan-00"/>
    <s v="MW417R000129-AYCA-4CG9U4-2KNS-04-29-31 Dunning Avenue Rosebery "/>
    <s v="Roseberry"/>
    <n v="1263"/>
    <m/>
    <n v="1263"/>
    <n v="1389.3000000000002"/>
    <m/>
    <m/>
    <n v="0"/>
    <n v="1263"/>
    <n v="1"/>
    <m/>
    <m/>
    <m/>
    <s v="Ertan Cicek"/>
    <s v="Direct Award"/>
    <d v="2018-06-11T00:00:00"/>
    <m/>
    <d v="2018-08-30T00:00:00"/>
    <n v="80"/>
  </r>
  <r>
    <x v="2"/>
    <s v="Sydney"/>
    <m/>
    <m/>
    <m/>
    <d v="2018-09-30T00:00:00"/>
    <m/>
    <m/>
    <m/>
    <m/>
    <m/>
    <x v="19"/>
    <s v="Jan-00"/>
    <s v="MW417R000091-AYCA-57S6JD-2REV-20-50/42 Violet St Revesby "/>
    <s v="Revesby"/>
    <n v="2570.5300000000002"/>
    <m/>
    <n v="2570.5300000000002"/>
    <n v="2827.5830000000005"/>
    <m/>
    <n v="380.18274999999994"/>
    <n v="380.18274999999994"/>
    <n v="2190.3472500000003"/>
    <n v="0.85209946975915474"/>
    <m/>
    <m/>
    <m/>
    <s v="Ertan Cicek"/>
    <s v="Direct Award"/>
    <d v="2018-06-08T00:00:00"/>
    <m/>
    <d v="2018-08-29T00:00:00"/>
    <n v="82"/>
  </r>
  <r>
    <x v="2"/>
    <s v="Sydney"/>
    <m/>
    <m/>
    <d v="2018-06-15T00:00:00"/>
    <d v="2018-06-15T00:00:00"/>
    <d v="2018-06-15T00:00:00"/>
    <d v="2018-06-20T00:00:00"/>
    <d v="2018-06-29T00:00:00"/>
    <d v="2018-07-13T00:00:00"/>
    <m/>
    <x v="14"/>
    <s v="Jul-18"/>
    <s v="MW417R000217-AYCA-5ENHJH-2MIL-01-Browning and Colenso Cct Edmondson Park"/>
    <s v="Edmondson Park"/>
    <n v="2924.92"/>
    <n v="-2087.42"/>
    <n v="837.5"/>
    <n v="921.25000000000011"/>
    <m/>
    <m/>
    <n v="0"/>
    <n v="837.5"/>
    <n v="1"/>
    <m/>
    <m/>
    <m/>
    <s v="Ertan Cicek"/>
    <s v="Direct Award"/>
    <d v="2018-06-08T00:00:00"/>
    <m/>
    <d v="2018-09-04T00:00:00"/>
    <n v="88"/>
  </r>
  <r>
    <x v="2"/>
    <s v="Sydney"/>
    <m/>
    <m/>
    <m/>
    <d v="2018-09-30T00:00:00"/>
    <m/>
    <m/>
    <m/>
    <m/>
    <m/>
    <x v="19"/>
    <s v="Jan-00"/>
    <s v="MW417R000157-2PAR-63-AYCA-4A46K7-208-210 Great Western Hwy, Westmead DFN Design &amp; Construct"/>
    <s v="Westmead"/>
    <n v="24836.059999999998"/>
    <m/>
    <n v="24836.059999999998"/>
    <n v="27319.666000000001"/>
    <m/>
    <m/>
    <n v="0"/>
    <n v="24836.059999999998"/>
    <n v="1"/>
    <m/>
    <m/>
    <m/>
    <s v="Mark Leal"/>
    <s v="Direct Award"/>
    <d v="2018-06-08T00:00:00"/>
    <m/>
    <d v="2018-08-31T00:00:00"/>
    <n v="84"/>
  </r>
  <r>
    <x v="0"/>
    <s v="Sth Coast"/>
    <m/>
    <m/>
    <m/>
    <d v="2018-07-30T00:00:00"/>
    <m/>
    <m/>
    <m/>
    <m/>
    <m/>
    <x v="9"/>
    <s v="Jan-00"/>
    <s v="MW417R000044-AYCA-4YZZ1I-2ABN-03-149 The Boulevarde, Oak Flats"/>
    <s v="Oak Flats"/>
    <n v="7574.8"/>
    <m/>
    <n v="7574.8"/>
    <n v="8332.2800000000007"/>
    <m/>
    <m/>
    <n v="0"/>
    <n v="7574.8"/>
    <n v="1"/>
    <m/>
    <m/>
    <m/>
    <s v="Andrew Mahassy"/>
    <d v="2018-05-22T00:00:00"/>
    <d v="2018-05-25T00:00:00"/>
    <n v="3"/>
    <d v="2018-06-28T00:00:00"/>
    <n v="34"/>
  </r>
  <r>
    <x v="0"/>
    <s v="Sth Coast"/>
    <m/>
    <m/>
    <d v="2018-07-04T00:00:00"/>
    <d v="2018-07-04T00:00:00"/>
    <d v="2018-07-11T00:00:00"/>
    <m/>
    <d v="2018-07-18T00:00:00"/>
    <d v="2018-08-01T00:00:00"/>
    <m/>
    <x v="9"/>
    <s v="Aug-18"/>
    <s v="MW417R000063-AYCA-52381N-2SUX-01-284 River Rd Sussex Inlet "/>
    <s v="Sussex Inlet"/>
    <n v="9332.5300000000007"/>
    <n v="1389.8600000000001"/>
    <n v="10722.390000000001"/>
    <n v="11794.629000000003"/>
    <m/>
    <m/>
    <n v="0"/>
    <n v="10722.390000000001"/>
    <n v="1"/>
    <m/>
    <m/>
    <m/>
    <s v="Ertan Cicek"/>
    <d v="2018-05-31T00:00:00"/>
    <d v="2018-06-12T00:00:00"/>
    <n v="12"/>
    <d v="2018-07-04T00:00:00"/>
    <n v="22"/>
  </r>
  <r>
    <x v="2"/>
    <s v="Sydney"/>
    <m/>
    <m/>
    <m/>
    <d v="2018-09-30T00:00:00"/>
    <m/>
    <m/>
    <m/>
    <m/>
    <m/>
    <x v="19"/>
    <s v="Jan-00"/>
    <s v="MW417R000159-AYCA-4EZRCH-2MIR-26-1-3 Higherdale Ave Miranda"/>
    <s v="Miranda"/>
    <n v="299.36"/>
    <m/>
    <n v="299.36"/>
    <n v="329.29600000000005"/>
    <m/>
    <m/>
    <n v="0"/>
    <n v="299.36"/>
    <n v="1"/>
    <m/>
    <m/>
    <m/>
    <s v="Ertan Cicek"/>
    <s v="Direct Award"/>
    <d v="2018-06-12T00:00:00"/>
    <m/>
    <d v="2018-08-31T00:00:00"/>
    <n v="80"/>
  </r>
  <r>
    <x v="0"/>
    <s v="Sydney"/>
    <m/>
    <m/>
    <d v="2018-06-25T00:00:00"/>
    <d v="2018-06-25T00:00:00"/>
    <d v="2018-07-09T00:00:00"/>
    <m/>
    <d v="2018-07-09T00:00:00"/>
    <d v="2018-07-23T00:00:00"/>
    <m/>
    <x v="14"/>
    <s v="Jul-18"/>
    <s v="MW22455 -AYCA-3LT1P4 -  2KEL-08 - Sub of 123 Arnold Ave, Kellyville - 2"/>
    <s v="Kellyville"/>
    <n v="7140.73"/>
    <n v="3918.18"/>
    <n v="11058.91"/>
    <n v="12164.801000000001"/>
    <m/>
    <m/>
    <n v="0"/>
    <n v="11058.91"/>
    <n v="1"/>
    <m/>
    <m/>
    <m/>
    <s v="Sogand Mohtat"/>
    <d v="2018-05-22T00:00:00"/>
    <d v="2018-06-12T00:00:00"/>
    <n v="21"/>
    <d v="2018-06-26T00:00:00"/>
    <n v="14"/>
  </r>
  <r>
    <x v="2"/>
    <s v="Sydney"/>
    <m/>
    <m/>
    <d v="2018-07-05T00:00:00"/>
    <d v="2018-07-06T00:00:00"/>
    <d v="2018-07-09T00:00:00"/>
    <m/>
    <d v="2018-07-20T00:00:00"/>
    <d v="2018-08-03T00:00:00"/>
    <m/>
    <x v="9"/>
    <s v="Aug-18"/>
    <s v="MW417R000223 - AYCA-5ALZB0 - 2BLK-07 - 6 Woods CL, Huntingwood  Ext"/>
    <s v="Huntingwood"/>
    <n v="5802.97"/>
    <n v="5801.3047500000039"/>
    <n v="11604.274750000004"/>
    <n v="12764.702225000006"/>
    <m/>
    <m/>
    <n v="0"/>
    <n v="11604.274750000004"/>
    <n v="1"/>
    <m/>
    <m/>
    <m/>
    <s v="Ertan Cicek"/>
    <s v="Direct Award"/>
    <d v="2018-06-12T00:00:00"/>
    <m/>
    <d v="2018-09-28T00:00:00"/>
    <n v="108"/>
  </r>
  <r>
    <x v="2"/>
    <s v="Sydney"/>
    <m/>
    <m/>
    <m/>
    <d v="2018-10-30T00:00:00"/>
    <m/>
    <m/>
    <m/>
    <m/>
    <m/>
    <x v="18"/>
    <s v="Jan-00"/>
    <s v="MW417R000211-AYCA-56B97M-2SEF-61-1 Tangerine St, Fairfield East"/>
    <s v="Fairfield"/>
    <n v="2424.06"/>
    <m/>
    <n v="2424.06"/>
    <n v="2666.4660000000003"/>
    <m/>
    <m/>
    <n v="0"/>
    <n v="2424.06"/>
    <n v="1"/>
    <m/>
    <m/>
    <m/>
    <s v="Ertan Cicek"/>
    <s v="Direct Award"/>
    <d v="2018-06-12T00:00:00"/>
    <m/>
    <d v="2018-09-28T00:00:00"/>
    <n v="108"/>
  </r>
  <r>
    <x v="0"/>
    <s v="Sth Coast"/>
    <m/>
    <m/>
    <d v="2018-07-11T00:00:00"/>
    <d v="2018-07-11T00:00:00"/>
    <d v="2018-07-11T00:00:00"/>
    <m/>
    <d v="2018-07-25T00:00:00"/>
    <d v="2018-08-08T00:00:00"/>
    <m/>
    <x v="9"/>
    <s v="Aug-18"/>
    <s v="MW417R000149-AYCA-4M2GZ2-2ABN-01-2 Pine Street, Albion Park Rail"/>
    <s v="Albion Park"/>
    <n v="7206.99"/>
    <n v="2158.71"/>
    <n v="9365.7000000000007"/>
    <n v="10302.270000000002"/>
    <m/>
    <m/>
    <n v="0"/>
    <n v="9365.7000000000007"/>
    <n v="1"/>
    <m/>
    <m/>
    <m/>
    <s v="Mark Leal"/>
    <d v="2018-06-04T00:00:00"/>
    <d v="2018-06-12T00:00:00"/>
    <m/>
    <d v="2018-06-29T00:00:00"/>
    <n v="17"/>
  </r>
  <r>
    <x v="10"/>
    <s v="Sydney"/>
    <m/>
    <m/>
    <m/>
    <d v="2017-08-30T00:00:00"/>
    <m/>
    <m/>
    <m/>
    <m/>
    <m/>
    <x v="4"/>
    <s v="Jan-00"/>
    <s v="2SPW-20 - Springwood Valiadation"/>
    <s v="Springwood"/>
    <n v="16902.96"/>
    <m/>
    <n v="16902.96"/>
    <n v="18593.256000000001"/>
    <n v="8924"/>
    <m/>
    <n v="8924"/>
    <n v="7978.9599999999991"/>
    <n v="0.47204513292346428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SPW-21 - Springwood Valiadation"/>
    <s v="Springwood"/>
    <n v="8798.8799999999992"/>
    <m/>
    <n v="8798.8799999999992"/>
    <n v="9678.768"/>
    <n v="7472"/>
    <m/>
    <n v="7472"/>
    <n v="1326.8799999999992"/>
    <n v="0.15080101103776836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MIR-24 - Miranda Valiadation"/>
    <s v="Miranda"/>
    <n v="33416.800000000003"/>
    <m/>
    <n v="33416.800000000003"/>
    <n v="36758.480000000003"/>
    <n v="20672"/>
    <m/>
    <n v="20672"/>
    <n v="12744.800000000003"/>
    <n v="0.38138900193914443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POR-20 - Portland Valiadation"/>
    <s v="Portland"/>
    <n v="1956.4"/>
    <m/>
    <n v="1956.4"/>
    <n v="2152.0400000000004"/>
    <n v="1467.5"/>
    <m/>
    <n v="1467.5"/>
    <n v="488.90000000000009"/>
    <n v="0.24989777141688821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MON-28 - Mona Vale Valiadation"/>
    <s v="Mona Vale"/>
    <n v="22896.399999999998"/>
    <m/>
    <n v="22896.399999999998"/>
    <n v="25186.04"/>
    <n v="13060"/>
    <m/>
    <n v="13060"/>
    <n v="9836.3999999999978"/>
    <n v="0.42960465400674336"/>
    <m/>
    <m/>
    <m/>
    <s v="Kirsty Doyle"/>
    <s v="Direct Award"/>
    <m/>
    <m/>
    <m/>
    <m/>
  </r>
  <r>
    <x v="2"/>
    <s v="Sydney"/>
    <m/>
    <m/>
    <d v="2018-06-29T00:00:00"/>
    <d v="2018-06-29T00:00:00"/>
    <m/>
    <m/>
    <d v="2018-07-13T00:00:00"/>
    <d v="2018-07-27T00:00:00"/>
    <m/>
    <x v="14"/>
    <s v="Jul-18"/>
    <s v="MW417R000218-AYCA-34MTV2-2BUR-07-133 Parramatta Rd, Homebush"/>
    <s v="Homebush"/>
    <n v="4296.8100000000004"/>
    <m/>
    <n v="4296.8100000000004"/>
    <n v="4726.4910000000009"/>
    <m/>
    <m/>
    <n v="0"/>
    <n v="4296.8100000000004"/>
    <n v="1"/>
    <m/>
    <m/>
    <m/>
    <s v="Ertan Cicek"/>
    <s v="Direct Award"/>
    <d v="2018-06-13T00:00:00"/>
    <m/>
    <d v="2018-09-28T00:00:00"/>
    <n v="107"/>
  </r>
  <r>
    <x v="2"/>
    <s v="Sydney"/>
    <m/>
    <m/>
    <m/>
    <d v="2018-10-30T00:00:00"/>
    <m/>
    <m/>
    <m/>
    <m/>
    <m/>
    <x v="18"/>
    <s v="Jan-00"/>
    <s v="MW417R000238-AYCA-52OEM0-2MON-25-33 Darley St, East, Mona Vale"/>
    <s v="Mona Vale"/>
    <n v="1832.88"/>
    <m/>
    <n v="1832.88"/>
    <n v="2016.1680000000003"/>
    <m/>
    <m/>
    <n v="0"/>
    <n v="1832.88"/>
    <n v="1"/>
    <m/>
    <m/>
    <m/>
    <s v="Ertan Cicek"/>
    <s v="Direct Award"/>
    <d v="2018-06-14T00:00:00"/>
    <m/>
    <d v="2018-09-28T00:00:00"/>
    <n v="106"/>
  </r>
  <r>
    <x v="0"/>
    <s v="Nth Coast"/>
    <m/>
    <m/>
    <m/>
    <d v="2018-09-30T00:00:00"/>
    <m/>
    <m/>
    <m/>
    <m/>
    <m/>
    <x v="19"/>
    <s v="Jan-00"/>
    <s v="MW417R000148-AYCA-4Z992M-2LIS-21-2A Napier St Goonellabah; 17 Blue Hills Ave Goonellabah"/>
    <s v="Goonellabah"/>
    <n v="16470.774000000001"/>
    <m/>
    <n v="16470.774000000001"/>
    <n v="18117.851400000003"/>
    <m/>
    <m/>
    <n v="0"/>
    <n v="16470.774000000001"/>
    <n v="1"/>
    <m/>
    <m/>
    <m/>
    <s v="Mark Leal"/>
    <d v="2018-06-04T00:00:00"/>
    <d v="2018-06-19T00:00:00"/>
    <n v="15"/>
    <d v="2018-06-29T00:00:00"/>
    <n v="10"/>
  </r>
  <r>
    <x v="2"/>
    <s v="Sydney"/>
    <s v="Inv 13830"/>
    <d v="2018-07-06T00:00:00"/>
    <d v="2018-06-18T00:00:00"/>
    <d v="2018-06-18T00:00:00"/>
    <m/>
    <m/>
    <d v="2018-07-02T00:00:00"/>
    <d v="2018-07-05T00:00:00"/>
    <m/>
    <x v="14"/>
    <s v="Jul-18"/>
    <s v="MW22264-AYCA-4YPT3F-145/129 - 2WAG-05-145 Hammond Ave East Wagga Wagga"/>
    <s v="Wagga Wagga"/>
    <n v="1065"/>
    <m/>
    <n v="1065"/>
    <n v="1171.5"/>
    <m/>
    <m/>
    <n v="0"/>
    <n v="1065"/>
    <n v="1"/>
    <m/>
    <m/>
    <m/>
    <s v="Nabeel Jaimon"/>
    <d v="2018-04-19T00:00:00"/>
    <d v="2018-06-14T00:00:00"/>
    <n v="56"/>
    <d v="2018-06-29T00:00:00"/>
    <n v="15"/>
  </r>
  <r>
    <x v="2"/>
    <s v="Central West"/>
    <m/>
    <m/>
    <m/>
    <d v="2018-09-20T00:00:00"/>
    <m/>
    <m/>
    <m/>
    <m/>
    <m/>
    <x v="19"/>
    <s v="Jan-00"/>
    <s v="MW417R000280-AYCA-481ES7-2BTH-09-65 George St Bathurst "/>
    <s v="Bathurst"/>
    <n v="1194.07"/>
    <m/>
    <n v="1194.07"/>
    <n v="1313.4770000000001"/>
    <m/>
    <m/>
    <n v="0"/>
    <n v="1194.07"/>
    <n v="1"/>
    <m/>
    <m/>
    <m/>
    <s v="Ertan Cicek"/>
    <s v="Direct Award"/>
    <d v="2018-06-14T00:00:00"/>
    <m/>
    <d v="2018-09-20T00:00:00"/>
    <n v="98"/>
  </r>
  <r>
    <x v="2"/>
    <s v="Sydney"/>
    <m/>
    <m/>
    <m/>
    <d v="2018-08-30T00:00:00"/>
    <m/>
    <m/>
    <m/>
    <m/>
    <m/>
    <x v="15"/>
    <s v="Jan-00"/>
    <s v="MW417R000126-2HMK-02-AYCA-56Z0PS-37-49 O'Connor St Chippendale "/>
    <s v="Chippendale"/>
    <n v="3328.23"/>
    <m/>
    <n v="3328.23"/>
    <n v="3661.0530000000003"/>
    <m/>
    <m/>
    <n v="0"/>
    <n v="3328.23"/>
    <n v="1"/>
    <m/>
    <m/>
    <m/>
    <s v="Ertan Cicek"/>
    <s v="Direct Award"/>
    <d v="2018-06-15T00:00:00"/>
    <m/>
    <d v="2018-08-30T00:00:00"/>
    <n v="76"/>
  </r>
  <r>
    <x v="2"/>
    <s v="Sth NSW"/>
    <m/>
    <m/>
    <m/>
    <d v="2018-09-30T00:00:00"/>
    <m/>
    <m/>
    <m/>
    <m/>
    <m/>
    <x v="19"/>
    <s v="Jan-00"/>
    <s v="MW22573-AYCA-LYHJJ-2MTT-02-10 Cardigan St Mittagong "/>
    <s v="Mittagong"/>
    <n v="1458.46"/>
    <m/>
    <n v="1458.46"/>
    <n v="1604.3060000000003"/>
    <m/>
    <m/>
    <n v="0"/>
    <n v="1458.46"/>
    <n v="1"/>
    <m/>
    <m/>
    <m/>
    <s v="Ertan Cicek"/>
    <s v="Direct Award"/>
    <d v="2018-06-15T00:00:00"/>
    <m/>
    <d v="2018-08-28T00:00:00"/>
    <n v="74"/>
  </r>
  <r>
    <x v="0"/>
    <s v="Sydney"/>
    <m/>
    <m/>
    <d v="2018-06-27T00:00:00"/>
    <d v="2018-06-27T00:00:00"/>
    <m/>
    <m/>
    <d v="2018-07-11T00:00:00"/>
    <d v="2018-07-25T00:00:00"/>
    <m/>
    <x v="14"/>
    <s v="Jul-18"/>
    <s v="MW417R000151-AYCA-4PBBAI-2RYD-01-6,8,10,12 Anderson Avenue Ryde "/>
    <s v="Ryde"/>
    <n v="4848.55"/>
    <m/>
    <n v="4848.55"/>
    <n v="5333.4050000000007"/>
    <m/>
    <m/>
    <n v="0"/>
    <n v="4848.55"/>
    <n v="1"/>
    <m/>
    <m/>
    <m/>
    <s v="Ertan Cicek"/>
    <s v="Direct Award"/>
    <d v="2018-06-15T00:00:00"/>
    <m/>
    <d v="2018-06-29T00:00:00"/>
    <n v="14"/>
  </r>
  <r>
    <x v="2"/>
    <s v="Central West"/>
    <m/>
    <m/>
    <m/>
    <d v="2018-07-30T00:00:00"/>
    <m/>
    <m/>
    <m/>
    <m/>
    <m/>
    <x v="9"/>
    <s v="Jan-00"/>
    <s v="MW417R000299-AYCA-5AZ97T-2BTH-02-1 Wark Parade, Windradyne"/>
    <s v="Windradyne"/>
    <n v="6779.46"/>
    <m/>
    <n v="6779.46"/>
    <n v="7457.4060000000009"/>
    <m/>
    <m/>
    <n v="0"/>
    <n v="6779.46"/>
    <n v="1"/>
    <m/>
    <m/>
    <m/>
    <s v="Ertan Cicek"/>
    <s v="Direct Award"/>
    <d v="2018-06-15T00:00:00"/>
    <m/>
    <d v="2018-09-28T00:00:00"/>
    <n v="105"/>
  </r>
  <r>
    <x v="2"/>
    <s v="Sydney"/>
    <m/>
    <m/>
    <d v="2018-07-04T00:00:00"/>
    <d v="2018-07-04T00:00:00"/>
    <d v="2018-07-09T00:00:00"/>
    <m/>
    <d v="2018-07-18T00:00:00"/>
    <d v="2018-08-01T00:00:00"/>
    <m/>
    <x v="9"/>
    <s v="Aug-18"/>
    <s v="MW417R000298-AYCA-5CSK69-2LIV-03-94 Flowerdale Rd, Liverpool "/>
    <s v="Liverpool"/>
    <n v="3687.45"/>
    <n v="2280.35"/>
    <n v="5967.7999999999993"/>
    <n v="6564.58"/>
    <m/>
    <m/>
    <n v="0"/>
    <n v="5967.7999999999993"/>
    <n v="1"/>
    <m/>
    <m/>
    <m/>
    <s v="Ertan Cicek"/>
    <s v="Direct Award"/>
    <d v="2018-06-15T00:00:00"/>
    <m/>
    <d v="2018-09-28T00:00:00"/>
    <n v="105"/>
  </r>
  <r>
    <x v="0"/>
    <s v="Sydney"/>
    <s v="Inv 13833"/>
    <d v="2018-07-06T00:00:00"/>
    <d v="2018-06-18T00:00:00"/>
    <d v="2018-06-18T00:00:00"/>
    <d v="2018-06-18T00:00:00"/>
    <d v="2018-06-20T00:00:00"/>
    <d v="2018-07-02T00:00:00"/>
    <d v="2018-07-05T00:00:00"/>
    <m/>
    <x v="14"/>
    <s v="Jul-18"/>
    <s v="MW22481 - AYCA-4R2N0H - 2KEL-08 -6,8,9,11 John Hillas Avenue Kellyville "/>
    <s v="Kellyville"/>
    <n v="3239.95"/>
    <n v="3749.57"/>
    <n v="6989.52"/>
    <n v="7688.4720000000007"/>
    <m/>
    <n v="1627.8534999999997"/>
    <n v="1627.8534999999997"/>
    <n v="5361.6665000000012"/>
    <n v="0.7671008166512151"/>
    <m/>
    <m/>
    <m/>
    <s v="Dave Yoemans"/>
    <d v="2018-06-05T00:00:00"/>
    <d v="2018-06-13T00:00:00"/>
    <m/>
    <d v="2018-07-02T00:00:00"/>
    <n v="19"/>
  </r>
  <r>
    <x v="2"/>
    <s v="Sydney"/>
    <m/>
    <m/>
    <m/>
    <d v="2018-10-30T00:00:00"/>
    <m/>
    <m/>
    <m/>
    <m/>
    <m/>
    <x v="18"/>
    <s v="Jan-00"/>
    <s v="MW417R000301-AYCA-5AVN4W-2EPP-62-23-25 Forest Grove, Epping "/>
    <s v="Epping"/>
    <n v="1648"/>
    <m/>
    <n v="1648"/>
    <n v="1812.8000000000002"/>
    <m/>
    <m/>
    <n v="0"/>
    <n v="1648"/>
    <n v="1"/>
    <m/>
    <m/>
    <m/>
    <s v="Ertan Cicek"/>
    <s v="Direct Award"/>
    <d v="2018-06-18T00:00:00"/>
    <m/>
    <d v="2018-09-28T00:00:00"/>
    <n v="102"/>
  </r>
  <r>
    <x v="2"/>
    <s v="Sydney"/>
    <m/>
    <m/>
    <m/>
    <d v="2018-09-30T00:00:00"/>
    <m/>
    <m/>
    <m/>
    <m/>
    <m/>
    <x v="19"/>
    <s v="Jan-00"/>
    <s v="MW417R000300-AYCA-57KT5A-2PTH-02-153 Jamison Rd, Penrith"/>
    <s v="Penrith"/>
    <n v="958.19"/>
    <m/>
    <n v="958.19"/>
    <n v="1054.0090000000002"/>
    <m/>
    <m/>
    <n v="0"/>
    <n v="958.19"/>
    <n v="1"/>
    <m/>
    <m/>
    <m/>
    <s v="Ertan Cicek"/>
    <s v="Direct Award"/>
    <d v="2018-06-18T00:00:00"/>
    <m/>
    <d v="2018-08-28T00:00:00"/>
    <n v="71"/>
  </r>
  <r>
    <x v="0"/>
    <s v="Central Coast"/>
    <m/>
    <m/>
    <m/>
    <d v="2018-07-30T00:00:00"/>
    <m/>
    <m/>
    <m/>
    <m/>
    <m/>
    <x v="9"/>
    <s v="Jan-00"/>
    <s v="MW417R000246 - AYCA-4RTZSH - 2WOY-07 - 25 Phegan Street Woy Woy "/>
    <s v="Woy Woy"/>
    <n v="9674.98"/>
    <m/>
    <n v="9674.98"/>
    <n v="10642.478000000001"/>
    <m/>
    <m/>
    <n v="0"/>
    <n v="9674.98"/>
    <n v="1"/>
    <m/>
    <m/>
    <m/>
    <s v="Ertan Cicek"/>
    <d v="2018-06-18T00:00:00"/>
    <d v="2018-06-28T00:00:00"/>
    <n v="10"/>
    <d v="2018-07-05T00:00:00"/>
    <n v="7"/>
  </r>
  <r>
    <x v="2"/>
    <s v="Sydney"/>
    <m/>
    <m/>
    <m/>
    <d v="2018-10-30T00:00:00"/>
    <m/>
    <m/>
    <m/>
    <m/>
    <m/>
    <x v="18"/>
    <s v="Jan-00"/>
    <s v="MW417R000310--AYCA-5DPOWN-2APN-01-13 Technology Dr, Appin EXT"/>
    <s v="Appin"/>
    <n v="7171.07"/>
    <m/>
    <n v="7171.07"/>
    <n v="7888.1770000000006"/>
    <m/>
    <n v="487.30525"/>
    <n v="487.30525"/>
    <n v="6683.7647499999994"/>
    <n v="0.93204567100864999"/>
    <m/>
    <m/>
    <m/>
    <s v="Ertan Cicek"/>
    <s v="Direct Award"/>
    <d v="2018-06-20T00:00:00"/>
    <m/>
    <d v="2018-09-28T00:00:00"/>
    <n v="100"/>
  </r>
  <r>
    <x v="0"/>
    <s v="Sth NSW"/>
    <m/>
    <m/>
    <d v="2018-06-21T00:00:00"/>
    <d v="2018-06-21T00:00:00"/>
    <m/>
    <m/>
    <d v="2018-07-05T00:00:00"/>
    <d v="2018-07-19T00:00:00"/>
    <m/>
    <x v="14"/>
    <s v="Jul-18"/>
    <s v="MW22430-AYCA-5667HJ-2WAG-01-12-16 Beetson Street Boorooma "/>
    <s v="Boorooma"/>
    <n v="2717.54"/>
    <m/>
    <n v="2717.54"/>
    <n v="2989.2940000000003"/>
    <m/>
    <m/>
    <n v="0"/>
    <n v="2717.54"/>
    <n v="1"/>
    <m/>
    <m/>
    <m/>
    <s v="Sogand Mohtat"/>
    <d v="2018-05-17T00:00:00"/>
    <d v="2018-05-22T00:00:00"/>
    <n v="5"/>
    <d v="2018-06-20T00:00:00"/>
    <n v="29"/>
  </r>
  <r>
    <x v="10"/>
    <s v="Sydney"/>
    <m/>
    <m/>
    <m/>
    <d v="2017-08-30T00:00:00"/>
    <m/>
    <m/>
    <m/>
    <m/>
    <m/>
    <x v="4"/>
    <s v="Jan-00"/>
    <s v="2SPW-28 Springwood Validation"/>
    <s v="Springwood"/>
    <n v="26977.040000000001"/>
    <m/>
    <n v="26977.040000000001"/>
    <n v="29674.744000000002"/>
    <n v="15876"/>
    <m/>
    <n v="15876"/>
    <n v="11101.04"/>
    <n v="0.4114995566600339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NYG-20 Nyngun Validation"/>
    <s v="Nyngan"/>
    <n v="10971.380000000001"/>
    <m/>
    <n v="10971.380000000001"/>
    <n v="12068.518000000002"/>
    <m/>
    <m/>
    <n v="0"/>
    <n v="10971.380000000001"/>
    <n v="1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ORC-21 Orchard Hills Validation"/>
    <s v="Orchard Hills"/>
    <n v="11802.16"/>
    <m/>
    <n v="11802.16"/>
    <n v="12982.376"/>
    <m/>
    <m/>
    <n v="0"/>
    <n v="11802.16"/>
    <n v="1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ERP-21 Estern Creek Validation"/>
    <s v="Eskine park"/>
    <n v="6956.4"/>
    <m/>
    <n v="6956.4"/>
    <n v="7652.04"/>
    <m/>
    <m/>
    <n v="0"/>
    <n v="6956.4"/>
    <n v="1"/>
    <m/>
    <m/>
    <m/>
    <s v="Kirsty Doyle"/>
    <s v="Direct Award"/>
    <m/>
    <m/>
    <m/>
    <m/>
  </r>
  <r>
    <x v="2"/>
    <s v="Sydney"/>
    <m/>
    <m/>
    <m/>
    <d v="2018-10-30T00:00:00"/>
    <m/>
    <m/>
    <m/>
    <m/>
    <m/>
    <x v="18"/>
    <s v="Jan-00"/>
    <s v="MW417R000348 - AYCA-5F1RYP - 2EDG-66 - 114 New South Head Road, Edgecliff"/>
    <s v="Edgecliffe"/>
    <n v="3323.69"/>
    <m/>
    <n v="3323.69"/>
    <n v="3656.0590000000002"/>
    <m/>
    <m/>
    <n v="0"/>
    <n v="3323.69"/>
    <n v="1"/>
    <m/>
    <m/>
    <m/>
    <s v="Ertan Cicek"/>
    <s v="Direct Award"/>
    <d v="2018-06-22T00:00:00"/>
    <m/>
    <d v="2018-09-28T00:00:00"/>
    <n v="98"/>
  </r>
  <r>
    <x v="2"/>
    <s v="Central Coast"/>
    <m/>
    <m/>
    <m/>
    <d v="2018-10-30T00:00:00"/>
    <m/>
    <m/>
    <m/>
    <m/>
    <m/>
    <x v="18"/>
    <s v="Jan-00"/>
    <s v="MW417R000347-AYCA-397TA7-2TGL-02-6-8 Painters Lane Terrigal"/>
    <s v="Terrigal"/>
    <n v="4185.8999999999996"/>
    <m/>
    <n v="4185.8999999999996"/>
    <n v="4604.49"/>
    <m/>
    <m/>
    <n v="0"/>
    <n v="4185.8999999999996"/>
    <n v="1"/>
    <m/>
    <m/>
    <m/>
    <s v="Ertan Cicek"/>
    <s v="Direct Award"/>
    <d v="2018-06-25T00:00:00"/>
    <m/>
    <d v="2018-09-19T00:00:00"/>
    <n v="86"/>
  </r>
  <r>
    <x v="2"/>
    <s v="Sydney"/>
    <m/>
    <m/>
    <m/>
    <d v="2018-11-30T00:00:00"/>
    <m/>
    <m/>
    <m/>
    <m/>
    <m/>
    <x v="16"/>
    <s v="Jan-00"/>
    <s v="MW417R000381-2APN-01-AYCA-5DPOWN-13 Technology Drive Appin INT"/>
    <s v="Appin"/>
    <n v="1592.08"/>
    <m/>
    <n v="1592.08"/>
    <n v="1751.288"/>
    <m/>
    <m/>
    <n v="0"/>
    <n v="1592.08"/>
    <n v="1"/>
    <m/>
    <m/>
    <m/>
    <s v="Ertan Cicek"/>
    <s v="Direct Award"/>
    <d v="2018-06-25T00:00:00"/>
    <m/>
    <d v="2018-10-30T00:00:00"/>
    <n v="127"/>
  </r>
  <r>
    <x v="0"/>
    <s v="Central Coast"/>
    <m/>
    <m/>
    <m/>
    <d v="2018-07-30T00:00:00"/>
    <m/>
    <m/>
    <m/>
    <m/>
    <m/>
    <x v="9"/>
    <s v="Jan-00"/>
    <s v="MW417R000141-AYCA-4UXA3J-2ERN-03-1 and 4 Fox Glove Close, Green"/>
    <s v="Green Point"/>
    <n v="6603.41"/>
    <m/>
    <n v="6603.41"/>
    <n v="7263.7510000000002"/>
    <m/>
    <m/>
    <n v="0"/>
    <n v="6603.41"/>
    <n v="1"/>
    <m/>
    <m/>
    <m/>
    <s v="Dave Yoemans"/>
    <d v="2018-06-04T00:00:00"/>
    <d v="2018-06-19T00:00:00"/>
    <n v="15"/>
    <d v="2018-06-29T00:00:00"/>
    <n v="10"/>
  </r>
  <r>
    <x v="2"/>
    <s v="Sydney"/>
    <m/>
    <m/>
    <d v="2018-07-06T00:00:00"/>
    <d v="2018-07-06T00:00:00"/>
    <m/>
    <m/>
    <d v="2018-07-20T00:00:00"/>
    <d v="2018-08-03T00:00:00"/>
    <m/>
    <x v="9"/>
    <s v="Aug-18"/>
    <s v="MW417R000354-AYCA-57CAFW-2CRO-01-KURNELL 2"/>
    <s v="Kurnell"/>
    <n v="1791.95"/>
    <n v="1609.79"/>
    <n v="3401.74"/>
    <n v="3741.9140000000002"/>
    <m/>
    <m/>
    <n v="0"/>
    <n v="3401.74"/>
    <n v="1"/>
    <m/>
    <m/>
    <m/>
    <s v="Ertan Cicek"/>
    <s v="Direct Award"/>
    <d v="2018-06-26T00:00:00"/>
    <m/>
    <d v="2018-09-28T00:00:00"/>
    <n v="94"/>
  </r>
  <r>
    <x v="0"/>
    <s v="Sth Coast"/>
    <m/>
    <m/>
    <d v="2018-07-03T00:00:00"/>
    <d v="2018-07-05T00:00:00"/>
    <m/>
    <m/>
    <d v="2018-07-19T00:00:00"/>
    <d v="2018-08-02T00:00:00"/>
    <m/>
    <x v="9"/>
    <s v="Aug-18"/>
    <s v="MW417R000364-2ABN-03-AYCA-5DBDK2 -8 Werrang St, Albion Park Rail"/>
    <s v="Albion Park"/>
    <n v="2852.73"/>
    <m/>
    <n v="2852.73"/>
    <n v="3138.0030000000002"/>
    <m/>
    <m/>
    <n v="0"/>
    <n v="2852.73"/>
    <n v="1"/>
    <m/>
    <m/>
    <m/>
    <s v="Ertan Cicek"/>
    <d v="2018-06-26T00:00:00"/>
    <d v="2018-07-04T00:00:00"/>
    <n v="8"/>
    <d v="2018-09-12T00:00:00"/>
    <n v="70"/>
  </r>
  <r>
    <x v="2"/>
    <s v="ACT"/>
    <m/>
    <m/>
    <m/>
    <d v="2018-10-30T00:00:00"/>
    <m/>
    <m/>
    <m/>
    <m/>
    <m/>
    <x v="18"/>
    <s v="Jan-00"/>
    <s v="MW417R000383-AYCA-3MEHNA-9BLC-04-Nevertire St, Lawson"/>
    <s v="Lawson"/>
    <n v="8900.2199999999993"/>
    <m/>
    <n v="8900.2199999999993"/>
    <n v="9790.2420000000002"/>
    <m/>
    <m/>
    <n v="0"/>
    <n v="8900.2199999999993"/>
    <n v="1"/>
    <m/>
    <m/>
    <m/>
    <s v="Ertan Cicek"/>
    <s v="Direct Award"/>
    <d v="2018-06-28T00:00:00"/>
    <m/>
    <d v="2018-09-28T00:00:00"/>
    <n v="92"/>
  </r>
  <r>
    <x v="2"/>
    <s v="Sydney"/>
    <m/>
    <m/>
    <d v="2018-07-06T00:00:00"/>
    <d v="2018-07-06T00:00:00"/>
    <d v="2018-07-10T00:00:00"/>
    <m/>
    <d v="2018-07-20T00:00:00"/>
    <d v="2018-07-20T00:00:00"/>
    <m/>
    <x v="9"/>
    <s v="Jul-18"/>
    <s v="MW417R000346-AYCA-57CH4J-2CRO-01-8/268A Captain Cook Dr, Kurnell"/>
    <s v="Kurnell"/>
    <n v="3154.72"/>
    <n v="4773.34"/>
    <n v="7928.0599999999995"/>
    <n v="8720.866"/>
    <m/>
    <m/>
    <n v="0"/>
    <n v="7928.0599999999995"/>
    <n v="1"/>
    <m/>
    <m/>
    <m/>
    <s v="Ertan Cicek"/>
    <s v="Direct Award"/>
    <d v="2018-06-28T00:00:00"/>
    <m/>
    <d v="2018-09-28T00:00:00"/>
    <n v="92"/>
  </r>
  <r>
    <x v="2"/>
    <s v="Sydney"/>
    <s v="Inv 13742"/>
    <d v="2018-06-14T00:00:00"/>
    <m/>
    <d v="2018-08-30T00:00:00"/>
    <m/>
    <m/>
    <m/>
    <d v="2018-06-14T00:00:00"/>
    <m/>
    <x v="15"/>
    <s v="Jun-18"/>
    <s v="MW417R000157-2PAR-63-AYCA-4A46K7-208-210 Great Western Hwy, Westmead DFN Design &amp; Construct,  Mob payment"/>
    <s v="Westmead"/>
    <n v="10941.9"/>
    <m/>
    <n v="10941.9"/>
    <n v="12036.09"/>
    <m/>
    <m/>
    <n v="0"/>
    <n v="10941.9"/>
    <n v="1"/>
    <m/>
    <m/>
    <m/>
    <s v="Mark Leal"/>
    <s v="Direct Award"/>
    <d v="2018-06-08T00:00:00"/>
    <m/>
    <d v="2018-08-31T00:00:00"/>
    <n v="84"/>
  </r>
  <r>
    <x v="2"/>
    <s v="Sydney"/>
    <m/>
    <m/>
    <m/>
    <d v="2018-10-30T00:00:00"/>
    <m/>
    <m/>
    <m/>
    <m/>
    <m/>
    <x v="18"/>
    <s v="Jan-00"/>
    <s v="MW417R000397-AYCA-5BX3DW-2NEW-23-7-9 Hutchinson St, St Peters - 1"/>
    <s v="St Peters"/>
    <n v="1998.95"/>
    <m/>
    <n v="1998.95"/>
    <n v="2198.8450000000003"/>
    <m/>
    <m/>
    <n v="0"/>
    <n v="1998.95"/>
    <n v="1"/>
    <m/>
    <m/>
    <m/>
    <s v="Ertan Cicek"/>
    <s v="Direct Award"/>
    <d v="2018-06-29T00:00:00"/>
    <m/>
    <d v="2018-09-28T00:00:00"/>
    <n v="91"/>
  </r>
  <r>
    <x v="2"/>
    <s v="Sydney"/>
    <m/>
    <m/>
    <m/>
    <d v="2018-10-30T00:00:00"/>
    <m/>
    <m/>
    <m/>
    <m/>
    <m/>
    <x v="18"/>
    <s v="Jan-00"/>
    <s v="MW417R000395 - AYCA-56PP6W-2BAN-67-55-57 Chelmsford Ave, Bankstown"/>
    <s v="Bankstown"/>
    <n v="6228.33"/>
    <m/>
    <n v="6228.33"/>
    <n v="6851.1630000000005"/>
    <m/>
    <m/>
    <n v="0"/>
    <n v="6228.33"/>
    <n v="1"/>
    <m/>
    <m/>
    <m/>
    <s v="Ertan Cicek"/>
    <s v="Direct Award"/>
    <d v="2018-06-29T00:00:00"/>
    <m/>
    <d v="2018-09-28T00:00:00"/>
    <n v="91"/>
  </r>
  <r>
    <x v="0"/>
    <s v="Sth Coast"/>
    <m/>
    <m/>
    <d v="2018-07-05T00:00:00"/>
    <d v="2018-07-05T00:00:00"/>
    <d v="2018-07-10T00:00:00"/>
    <m/>
    <d v="2018-07-19T00:00:00"/>
    <d v="2018-08-02T00:00:00"/>
    <m/>
    <x v="9"/>
    <s v="Aug-18"/>
    <s v="MW22519 - AYCA-4V3JM3 - 2COR-01 - 69 High Street, Thirroul"/>
    <s v="Thirroul"/>
    <n v="9249"/>
    <n v="5339.41"/>
    <n v="14588.41"/>
    <n v="16047.251000000002"/>
    <m/>
    <m/>
    <n v="0"/>
    <n v="14588.41"/>
    <n v="1"/>
    <m/>
    <m/>
    <m/>
    <s v="Dave Yoemans"/>
    <d v="2018-05-31T00:00:00"/>
    <d v="2018-06-13T00:00:00"/>
    <n v="13"/>
    <d v="2018-06-29T00:00:00"/>
    <n v="16"/>
  </r>
  <r>
    <x v="7"/>
    <s v="NSW"/>
    <s v="Inv 13781"/>
    <m/>
    <d v="2018-07-03T00:00:00"/>
    <d v="2018-07-03T00:00:00"/>
    <m/>
    <m/>
    <d v="2018-07-17T00:00:00"/>
    <d v="2018-07-31T00:00:00"/>
    <m/>
    <x v="9"/>
    <s v="Jul-18"/>
    <s v="INC000008387493 - 166 Great Western Hwy, Wentworth Falls"/>
    <s v="Wentworth Falls"/>
    <n v="2434.66"/>
    <m/>
    <n v="2434.66"/>
    <n v="2678.1260000000002"/>
    <m/>
    <m/>
    <n v="0"/>
    <n v="2434.66"/>
    <n v="1"/>
    <m/>
    <d v="2018-07-17T00:00:00"/>
    <m/>
    <s v="Tony Gabriel"/>
    <m/>
    <m/>
    <m/>
    <m/>
    <m/>
  </r>
  <r>
    <x v="7"/>
    <s v="NSW"/>
    <s v="Inv 13782"/>
    <m/>
    <d v="2018-07-03T00:00:00"/>
    <d v="2018-07-03T00:00:00"/>
    <m/>
    <m/>
    <d v="2018-07-17T00:00:00"/>
    <d v="2018-07-31T00:00:00"/>
    <m/>
    <x v="9"/>
    <s v="Jul-18"/>
    <s v="MW417R000569-2KTB-02-INC000007293986-Lot 22, 33 Foy Avenue, Medlow Bath"/>
    <s v="Medlow Bath"/>
    <n v="1537.6799999999998"/>
    <m/>
    <n v="1537.6799999999998"/>
    <n v="1691.4479999999999"/>
    <m/>
    <m/>
    <n v="0"/>
    <n v="1537.6799999999998"/>
    <n v="1"/>
    <m/>
    <d v="2018-07-17T00:00:00"/>
    <m/>
    <s v="Tony Gabriel"/>
    <m/>
    <m/>
    <m/>
    <m/>
    <m/>
  </r>
  <r>
    <x v="6"/>
    <s v="NSW"/>
    <s v="Inv 13784"/>
    <m/>
    <d v="2018-07-03T00:00:00"/>
    <d v="2018-07-03T00:00:00"/>
    <m/>
    <m/>
    <d v="2018-07-17T00:00:00"/>
    <d v="2018-07-31T00:00:00"/>
    <m/>
    <x v="9"/>
    <s v="Jul-18"/>
    <s v="INC000007561589 - Lot 102, 51 Mount St, Yass"/>
    <s v="Yass"/>
    <n v="1819.54"/>
    <m/>
    <n v="1819.54"/>
    <n v="2001.4940000000001"/>
    <m/>
    <m/>
    <n v="0"/>
    <n v="1819.54"/>
    <n v="1"/>
    <m/>
    <d v="2018-07-17T00:00:00"/>
    <m/>
    <s v="Tony Gabriel"/>
    <m/>
    <m/>
    <m/>
    <m/>
    <m/>
  </r>
  <r>
    <x v="6"/>
    <s v="NSW"/>
    <s v="Inv 13785"/>
    <m/>
    <d v="2018-07-03T00:00:00"/>
    <d v="2018-07-03T00:00:00"/>
    <m/>
    <m/>
    <d v="2018-07-17T00:00:00"/>
    <d v="2018-07-31T00:00:00"/>
    <m/>
    <x v="9"/>
    <s v="Jul-18"/>
    <s v="MW417R000520-2WWY-20-34 Church St, West Wyalong, NSW"/>
    <s v="West Wyalong"/>
    <n v="768.84"/>
    <m/>
    <n v="768.84"/>
    <n v="845.72400000000016"/>
    <m/>
    <m/>
    <n v="0"/>
    <n v="768.84"/>
    <n v="1"/>
    <m/>
    <d v="2018-07-17T00:00:00"/>
    <m/>
    <s v="Tony Gabriel"/>
    <m/>
    <m/>
    <m/>
    <m/>
    <m/>
  </r>
  <r>
    <x v="6"/>
    <s v="NSW"/>
    <s v="Inv 13786"/>
    <m/>
    <d v="2018-07-03T00:00:00"/>
    <d v="2018-07-03T00:00:00"/>
    <m/>
    <m/>
    <d v="2018-07-17T00:00:00"/>
    <d v="2018-07-31T00:00:00"/>
    <m/>
    <x v="9"/>
    <s v="Jul-18"/>
    <s v="MW417R000510-2CON-20-74-76 Orange St, Condobolin, NSW-INC000007693413"/>
    <s v="Condobolin"/>
    <n v="961.05"/>
    <m/>
    <n v="961.05"/>
    <n v="1057.155"/>
    <m/>
    <m/>
    <n v="0"/>
    <n v="961.05"/>
    <n v="1"/>
    <m/>
    <d v="2018-07-17T00:00:00"/>
    <m/>
    <s v="Tony Gabriel"/>
    <m/>
    <m/>
    <m/>
    <m/>
    <m/>
  </r>
  <r>
    <x v="6"/>
    <s v="NSW"/>
    <s v="Inv 13787"/>
    <m/>
    <d v="2018-07-03T00:00:00"/>
    <d v="2018-07-03T00:00:00"/>
    <m/>
    <m/>
    <d v="2018-07-17T00:00:00"/>
    <d v="2018-07-31T00:00:00"/>
    <m/>
    <x v="9"/>
    <s v="Jul-18"/>
    <s v="MW417R000508-2WAG-06-Lot 220, 23 Crisp Dr, Ashmont, NSW"/>
    <s v="Ashmont"/>
    <n v="962.81299999999999"/>
    <m/>
    <n v="962.81299999999999"/>
    <n v="1059.0943"/>
    <m/>
    <m/>
    <n v="0"/>
    <n v="962.81299999999999"/>
    <n v="1"/>
    <m/>
    <d v="2018-07-17T00:00:00"/>
    <m/>
    <s v="Tony Gabriel"/>
    <m/>
    <m/>
    <m/>
    <m/>
    <m/>
  </r>
  <r>
    <x v="6"/>
    <s v="NSW"/>
    <s v="Inv 13788"/>
    <m/>
    <d v="2018-07-03T00:00:00"/>
    <d v="2018-07-03T00:00:00"/>
    <m/>
    <m/>
    <d v="2018-07-17T00:00:00"/>
    <d v="2018-07-31T00:00:00"/>
    <m/>
    <x v="9"/>
    <s v="Jul-18"/>
    <s v="MW417R000503-2CON-20-Lot 11, 15 Busby Street, Condobolin"/>
    <s v="Condobolin"/>
    <n v="962.81299999999999"/>
    <m/>
    <n v="962.81299999999999"/>
    <n v="1059.0943"/>
    <m/>
    <m/>
    <n v="0"/>
    <n v="962.81299999999999"/>
    <n v="1"/>
    <m/>
    <d v="2018-07-17T00:00:00"/>
    <m/>
    <s v="Tony Gabriel"/>
    <m/>
    <m/>
    <m/>
    <m/>
    <m/>
  </r>
  <r>
    <x v="6"/>
    <s v="NSW"/>
    <s v="Inv 13789"/>
    <m/>
    <d v="2018-07-03T00:00:00"/>
    <d v="2018-07-03T00:00:00"/>
    <m/>
    <m/>
    <d v="2018-07-17T00:00:00"/>
    <d v="2018-07-31T00:00:00"/>
    <m/>
    <x v="9"/>
    <s v="Jul-18"/>
    <s v="MW417R000507-2ALB-04-Lot 4, 2 Bunker Ct, Albury, NSW-INC000007471430"/>
    <s v="Albury"/>
    <n v="2947.22"/>
    <m/>
    <n v="2947.22"/>
    <n v="3241.942"/>
    <m/>
    <m/>
    <n v="0"/>
    <n v="2947.22"/>
    <n v="1"/>
    <m/>
    <d v="2018-07-17T00:00:00"/>
    <m/>
    <s v="Tony Gabriel"/>
    <m/>
    <m/>
    <m/>
    <m/>
    <m/>
  </r>
  <r>
    <x v="6"/>
    <s v="NSW"/>
    <s v="Inv 13790"/>
    <m/>
    <d v="2018-07-03T00:00:00"/>
    <d v="2018-07-03T00:00:00"/>
    <m/>
    <m/>
    <d v="2018-07-17T00:00:00"/>
    <d v="2018-07-31T00:00:00"/>
    <m/>
    <x v="9"/>
    <s v="Jul-18"/>
    <s v="MW417R000511-2LTO-21-Lot 1, 45 Gossamer St, Leeton"/>
    <s v="Leeton"/>
    <n v="3655.39"/>
    <m/>
    <n v="3655.39"/>
    <n v="4020.9290000000001"/>
    <m/>
    <m/>
    <n v="0"/>
    <n v="3655.39"/>
    <n v="1"/>
    <m/>
    <d v="2018-07-17T00:00:00"/>
    <m/>
    <s v="Tony Gabriel"/>
    <m/>
    <m/>
    <m/>
    <m/>
    <m/>
  </r>
  <r>
    <x v="7"/>
    <s v="NSW"/>
    <s v="Inv 13794"/>
    <m/>
    <d v="2018-07-03T00:00:00"/>
    <d v="2018-07-03T00:00:00"/>
    <m/>
    <m/>
    <d v="2018-07-17T00:00:00"/>
    <d v="2018-07-31T00:00:00"/>
    <m/>
    <x v="9"/>
    <s v="Jul-18"/>
    <s v="MW417R000542-2KTB-02-51 DELMONTE AV, MEDLOW BATH-INC000008346619"/>
    <s v="Medlow Bath"/>
    <n v="1422.33"/>
    <m/>
    <n v="1422.33"/>
    <n v="1564.5630000000001"/>
    <m/>
    <m/>
    <n v="0"/>
    <n v="1422.33"/>
    <n v="1"/>
    <m/>
    <d v="2018-07-17T00:00:00"/>
    <m/>
    <s v="Tony Gabriel"/>
    <m/>
    <m/>
    <m/>
    <m/>
    <m/>
  </r>
  <r>
    <x v="6"/>
    <s v="NSW"/>
    <s v="Inv 13791"/>
    <d v="2018-07-03T00:00:00"/>
    <d v="2018-07-03T00:00:00"/>
    <d v="2018-07-03T00:00:00"/>
    <m/>
    <m/>
    <d v="2018-07-17T00:00:00"/>
    <d v="2018-07-31T00:00:00"/>
    <m/>
    <x v="9"/>
    <s v="Jul-18"/>
    <s v="MW417R000516-2HAY-20-Lot 7, 460 Orson St, Hay, NSW-INC000006971761"/>
    <s v="Hay"/>
    <n v="11144.61"/>
    <m/>
    <n v="11144.61"/>
    <n v="12259.071000000002"/>
    <m/>
    <m/>
    <n v="0"/>
    <n v="11144.61"/>
    <n v="1"/>
    <m/>
    <d v="2018-07-17T00:00:00"/>
    <m/>
    <s v="Tony Gabriel"/>
    <m/>
    <m/>
    <m/>
    <m/>
    <m/>
  </r>
  <r>
    <x v="7"/>
    <s v="NSW"/>
    <m/>
    <m/>
    <d v="2018-07-03T00:00:00"/>
    <d v="2018-07-03T00:00:00"/>
    <m/>
    <m/>
    <d v="2018-07-17T00:00:00"/>
    <d v="2018-07-31T00:00:00"/>
    <m/>
    <x v="9"/>
    <s v="Jul-18"/>
    <s v="INC000008263241 –  24 NELSON RD, KATOOMBA"/>
    <s v="Katoomba"/>
    <n v="3799.81"/>
    <m/>
    <n v="3799.81"/>
    <n v="4179.7910000000002"/>
    <m/>
    <m/>
    <n v="0"/>
    <n v="3799.81"/>
    <n v="1"/>
    <m/>
    <d v="2018-07-17T00:00:00"/>
    <m/>
    <s v="Tony Gabriel"/>
    <m/>
    <m/>
    <m/>
    <m/>
    <m/>
  </r>
  <r>
    <x v="7"/>
    <s v="NSW"/>
    <s v="Inv 13795"/>
    <m/>
    <d v="2018-07-03T00:00:00"/>
    <d v="2018-07-03T00:00:00"/>
    <m/>
    <m/>
    <d v="2018-07-17T00:00:00"/>
    <d v="2018-07-31T00:00:00"/>
    <m/>
    <x v="9"/>
    <s v="Jul-18"/>
    <s v="MW417R000567-2BLK-05-INC000007924200-UNIT 501, LOT 1, 3 FIRST AV, SEVEN HILLS "/>
    <s v="Seven Hills"/>
    <n v="4389.9072857142855"/>
    <m/>
    <n v="4389.9072857142855"/>
    <n v="4828.8980142857145"/>
    <m/>
    <m/>
    <n v="0"/>
    <n v="4389.9072857142855"/>
    <n v="1"/>
    <m/>
    <d v="2018-07-17T00:00:00"/>
    <m/>
    <s v="Tony Gabriel"/>
    <m/>
    <m/>
    <m/>
    <m/>
    <m/>
  </r>
  <r>
    <x v="7"/>
    <s v="NSW"/>
    <s v="Inv 13798"/>
    <m/>
    <d v="2018-07-03T00:00:00"/>
    <d v="2018-07-03T00:00:00"/>
    <m/>
    <m/>
    <d v="2018-07-17T00:00:00"/>
    <d v="2018-07-31T00:00:00"/>
    <m/>
    <x v="9"/>
    <s v="Jul-18"/>
    <s v="INC000007742541- Lot 18 30 Christabel Street Lawson"/>
    <s v="Lawson"/>
    <n v="1473.61"/>
    <m/>
    <n v="1473.61"/>
    <n v="1620.971"/>
    <m/>
    <m/>
    <n v="0"/>
    <n v="1473.61"/>
    <n v="1"/>
    <m/>
    <d v="2018-07-17T00:00:00"/>
    <m/>
    <s v="Tony Gabriel"/>
    <m/>
    <m/>
    <m/>
    <m/>
    <m/>
  </r>
  <r>
    <x v="7"/>
    <s v="NSW"/>
    <s v="Inv 13799"/>
    <m/>
    <d v="2018-07-03T00:00:00"/>
    <d v="2018-07-03T00:00:00"/>
    <m/>
    <m/>
    <d v="2018-07-17T00:00:00"/>
    <d v="2018-07-31T00:00:00"/>
    <m/>
    <x v="9"/>
    <s v="Jul-18"/>
    <s v="MW417R000521-2KTB-01-42-84 Martin St, Katoomba High School, Katoomba"/>
    <s v="Katoomba"/>
    <n v="1409.54"/>
    <m/>
    <n v="1409.54"/>
    <n v="1550.4940000000001"/>
    <m/>
    <m/>
    <n v="0"/>
    <n v="1409.54"/>
    <n v="1"/>
    <m/>
    <d v="2018-07-17T00:00:00"/>
    <m/>
    <s v="Tony Gabriel"/>
    <m/>
    <m/>
    <m/>
    <m/>
    <m/>
  </r>
  <r>
    <x v="6"/>
    <s v="NSW"/>
    <s v="Inv 13815"/>
    <m/>
    <d v="2018-07-03T00:00:00"/>
    <d v="2018-07-03T00:00:00"/>
    <m/>
    <m/>
    <d v="2018-07-17T00:00:00"/>
    <d v="2018-07-31T00:00:00"/>
    <m/>
    <x v="9"/>
    <s v="Jul-18"/>
    <s v="MW417R000576-2NMN-20-INC000007557971-113 WATTLE CR, NARROMINE"/>
    <s v="Narromine"/>
    <n v="1153.26"/>
    <m/>
    <n v="1153.26"/>
    <n v="1268.586"/>
    <m/>
    <m/>
    <n v="0"/>
    <n v="1153.26"/>
    <n v="1"/>
    <m/>
    <d v="2018-07-17T00:00:00"/>
    <m/>
    <s v="Tony Gabriel"/>
    <m/>
    <m/>
    <m/>
    <m/>
    <m/>
  </r>
  <r>
    <x v="6"/>
    <s v="NSW"/>
    <s v="inv 13783"/>
    <m/>
    <d v="2018-07-03T00:00:00"/>
    <d v="2018-07-03T00:00:00"/>
    <m/>
    <m/>
    <d v="2018-07-17T00:00:00"/>
    <d v="2018-07-31T00:00:00"/>
    <m/>
    <x v="9"/>
    <s v="Jul-18"/>
    <s v="INC000007735234 –  12-20 BARNADO ST, WEST WYALONG"/>
    <s v="West Wyalong"/>
    <n v="512.55999999999995"/>
    <m/>
    <n v="512.55999999999995"/>
    <n v="563.81600000000003"/>
    <m/>
    <m/>
    <n v="0"/>
    <n v="512.55999999999995"/>
    <n v="1"/>
    <m/>
    <d v="2018-07-17T00:00:00"/>
    <m/>
    <s v="Tony Gabriel"/>
    <m/>
    <m/>
    <m/>
    <m/>
    <m/>
  </r>
  <r>
    <x v="2"/>
    <s v="Sydney"/>
    <m/>
    <m/>
    <m/>
    <d v="2018-10-30T00:00:00"/>
    <m/>
    <m/>
    <m/>
    <m/>
    <m/>
    <x v="18"/>
    <s v="Jan-00"/>
    <s v="MW417R000463-2MIR-28-AYCA-48HHL8-2-22 University Rd &amp; 660-664"/>
    <s v="Miranda"/>
    <n v="957.85"/>
    <m/>
    <n v="957.85"/>
    <n v="1053.6350000000002"/>
    <m/>
    <m/>
    <n v="0"/>
    <n v="957.85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m/>
    <d v="2018-09-30T00:00:00"/>
    <m/>
    <m/>
    <m/>
    <m/>
    <m/>
    <x v="19"/>
    <s v="Jan-00"/>
    <s v="MW417R000454 -AYCA-4V7F3M -  2LAK-22 - 23 Willeroo St, Lakemba"/>
    <s v="Lakemba"/>
    <n v="2111.65"/>
    <m/>
    <n v="2111.65"/>
    <n v="2322.8150000000005"/>
    <m/>
    <m/>
    <n v="0"/>
    <n v="2111.65"/>
    <n v="1"/>
    <m/>
    <d v="2018-10-14T00:00:00"/>
    <m/>
    <s v="Ertan Cicek"/>
    <s v="Direct Award"/>
    <d v="2018-07-05T00:00:00"/>
    <m/>
    <d v="2018-08-03T00:00:00"/>
    <n v="29"/>
  </r>
  <r>
    <x v="2"/>
    <s v="Sth Coast"/>
    <m/>
    <m/>
    <m/>
    <d v="2018-10-30T00:00:00"/>
    <m/>
    <m/>
    <m/>
    <m/>
    <m/>
    <x v="18"/>
    <s v="Jan-00"/>
    <s v="MW417R000494-AYCA-21R8AP-2WLG-07-12-14 New Dapto Rd Wollongong"/>
    <s v="Wollongong"/>
    <n v="1022.88"/>
    <m/>
    <n v="1022.88"/>
    <n v="1125.1680000000001"/>
    <m/>
    <m/>
    <n v="0"/>
    <n v="1022.88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m/>
    <d v="2018-10-30T00:00:00"/>
    <m/>
    <m/>
    <m/>
    <m/>
    <m/>
    <x v="18"/>
    <s v="Jan-00"/>
    <s v="MW417R000495-AYCA-4X1Z9M-2MIR-26-58/60 Karimbla Rd, Miranda"/>
    <s v="Miranda"/>
    <n v="680.91"/>
    <m/>
    <n v="680.91"/>
    <n v="749.00099999999998"/>
    <m/>
    <m/>
    <n v="0"/>
    <n v="680.91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m/>
    <d v="2018-10-30T00:00:00"/>
    <m/>
    <m/>
    <m/>
    <m/>
    <m/>
    <x v="18"/>
    <s v="Jan-00"/>
    <s v="MW417R000461-AYCA-5AXHNZ-2SIL-02-4 Murray Rose Ave, Sydney Olympic Park"/>
    <s v="Sydney Olympic Park"/>
    <n v="2123.65"/>
    <m/>
    <n v="2123.65"/>
    <n v="2336.0150000000003"/>
    <m/>
    <m/>
    <n v="0"/>
    <n v="2123.65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m/>
    <d v="2018-10-30T00:00:00"/>
    <m/>
    <m/>
    <m/>
    <m/>
    <m/>
    <x v="18"/>
    <s v="Jan-00"/>
    <s v="MW417R000462-AYCA-328OYF-2CBT-05-37-41 Chamberlain St, Campbelltown"/>
    <s v="Campbelltown"/>
    <n v="1821.28"/>
    <m/>
    <n v="1821.28"/>
    <n v="2003.4080000000001"/>
    <m/>
    <m/>
    <n v="0"/>
    <n v="1821.28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m/>
    <d v="2018-10-30T00:00:00"/>
    <m/>
    <m/>
    <m/>
    <m/>
    <m/>
    <x v="18"/>
    <s v="Jan-00"/>
    <s v="MW417R000518-AYCA-2V9V2D-2HOR-63-2 Cowan Road &amp; 540A-542 Pacific Highway, Mount Colah"/>
    <s v="Mount Colah"/>
    <n v="1606.42"/>
    <m/>
    <n v="1606.42"/>
    <n v="1767.0620000000001"/>
    <m/>
    <m/>
    <n v="0"/>
    <n v="1606.42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m/>
    <d v="2018-10-30T00:00:00"/>
    <m/>
    <m/>
    <m/>
    <m/>
    <m/>
    <x v="18"/>
    <s v="Jan-00"/>
    <s v="MW417R000502-AYCA-4UMUPA-2KEL-07-21 Fairway Dr, Kellyville"/>
    <s v="Kellyville"/>
    <n v="1976.12"/>
    <m/>
    <n v="1976.12"/>
    <n v="2173.732"/>
    <m/>
    <m/>
    <n v="0"/>
    <n v="1976.12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d v="2018-07-10T00:00:00"/>
    <d v="2018-07-10T00:00:00"/>
    <m/>
    <m/>
    <d v="2018-07-24T00:00:00"/>
    <d v="2018-07-24T00:00:00"/>
    <m/>
    <x v="9"/>
    <s v="Jul-18"/>
    <s v="MW417R000529-AYCA-5ALZB0-2BLK-07-6 Woods Cl Huntingwood  Int"/>
    <s v="Huntingwood"/>
    <n v="285.60000000000002"/>
    <m/>
    <n v="285.60000000000002"/>
    <n v="314.16000000000003"/>
    <m/>
    <m/>
    <n v="0"/>
    <n v="285.60000000000002"/>
    <n v="1"/>
    <m/>
    <d v="2018-07-24T00:00:00"/>
    <m/>
    <s v="Ertan Cicek"/>
    <s v="Direct Award"/>
    <d v="2018-07-09T00:00:00"/>
    <m/>
    <d v="2018-07-18T00:00:00"/>
    <n v="9"/>
  </r>
  <r>
    <x v="0"/>
    <s v="Central West"/>
    <m/>
    <m/>
    <m/>
    <d v="2018-10-30T00:00:00"/>
    <m/>
    <m/>
    <m/>
    <m/>
    <m/>
    <x v="18"/>
    <s v="Jan-00"/>
    <s v="MW417R000543-2PKS-21-AYCA-5866DJ-2 Cecile Street, Parkes "/>
    <s v="Parkes"/>
    <n v="7336.89"/>
    <m/>
    <n v="7336.89"/>
    <n v="8070.5790000000006"/>
    <m/>
    <m/>
    <n v="0"/>
    <n v="7336.89"/>
    <n v="1"/>
    <m/>
    <d v="2018-11-13T00:00:00"/>
    <m/>
    <s v="Mark Leal"/>
    <d v="2018-07-06T00:00:00"/>
    <d v="2018-07-10T00:00:00"/>
    <n v="4"/>
    <d v="2018-09-27T00:00:00"/>
    <n v="79"/>
  </r>
  <r>
    <x v="0"/>
    <s v="Sth NSW"/>
    <m/>
    <m/>
    <m/>
    <d v="2018-09-30T00:00:00"/>
    <m/>
    <m/>
    <m/>
    <m/>
    <m/>
    <x v="19"/>
    <s v="Jan-00"/>
    <s v="MW417R000059-AYCA-59JUMX - 2WAG-02-J83 Trail Street, Wagga Wagga "/>
    <s v="Wagga Wagga"/>
    <n v="3012.97"/>
    <m/>
    <n v="3012.97"/>
    <n v="3314.2669999999998"/>
    <m/>
    <m/>
    <n v="0"/>
    <n v="3012.97"/>
    <n v="1"/>
    <m/>
    <d v="2018-10-14T00:00:00"/>
    <m/>
    <s v="Mark Leal"/>
    <d v="2018-05-31T00:00:00"/>
    <d v="2018-07-11T00:00:00"/>
    <n v="41"/>
    <d v="2018-09-06T00:00:00"/>
    <n v="57"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n v="2769146.8506100001"/>
    <n v="1425859.5521456583"/>
    <n v="4195294.4027556572"/>
    <n v="4614823.8430312267"/>
    <n v="1339260.7391136358"/>
    <n v="38780.697030000003"/>
    <n v="1245603.8953936363"/>
    <n v="2311436.4803263107"/>
    <n v="0.70801175624430845"/>
    <m/>
    <m/>
    <m/>
    <m/>
    <m/>
    <m/>
    <m/>
    <m/>
    <m/>
  </r>
  <r>
    <x v="11"/>
    <m/>
    <m/>
    <m/>
    <m/>
    <m/>
    <m/>
    <m/>
    <m/>
    <m/>
    <m/>
    <x v="17"/>
    <m/>
    <s v=" "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s v=" "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651">
  <r>
    <s v="A401/Greenfield"/>
    <s v="Nth Coast"/>
    <s v="Inv 12261"/>
    <d v="2017-05-31T00:00:00"/>
    <d v="2017-05-18T00:00:00"/>
    <d v="2017-05-18T00:00:00"/>
    <m/>
    <m/>
    <d v="2017-06-30T00:00:00"/>
    <d v="2017-08-24T00:00:00"/>
    <m/>
    <s v="May-17"/>
    <x v="0"/>
    <s v="MW20264 - 2NLB-02 - AYCA-32ARIB - Dowling St "/>
    <s v="Nelson Bay"/>
    <n v="6033.93"/>
    <m/>
    <n v="6033.93"/>
    <n v="6637.3230000000012"/>
    <m/>
    <m/>
    <n v="0"/>
    <n v="6033.93"/>
    <n v="1"/>
    <s v="Invoiced"/>
    <d v="2017-06-01T00:00:00"/>
    <s v="Completed and handover forwarded"/>
    <s v="Mark Leal"/>
    <d v="2016-11-17T00:00:00"/>
    <d v="2016-11-25T00:00:00"/>
    <n v="8"/>
    <d v="2016-12-16T00:00:00"/>
    <n v="21"/>
  </r>
  <r>
    <s v="A401/Greenfield"/>
    <s v="Sydney"/>
    <s v="Inv 12150 &amp; 12150b"/>
    <d v="2017-06-01T00:00:00"/>
    <d v="2017-06-13T00:00:00"/>
    <d v="2017-06-14T00:00:00"/>
    <d v="2017-06-26T00:00:00"/>
    <d v="2017-07-25T00:00:00"/>
    <d v="2017-07-14T00:00:00"/>
    <d v="2017-08-15T00:00:00"/>
    <s v="payment schedule received 14/8"/>
    <s v="Jun-17"/>
    <x v="0"/>
    <s v="MW20367 - AYCA-3H6ZBG - 2NRN-03 - 61 Smeaton Grange Rd,"/>
    <s v="Smeaton Grange"/>
    <n v="2081.7600000000002"/>
    <n v="6995.47"/>
    <n v="9077.23"/>
    <n v="9984.9529999999995"/>
    <n v="1574.16"/>
    <n v="3292.54"/>
    <n v="4866.7"/>
    <n v="4210.53"/>
    <n v="0.46385626452122508"/>
    <s v="Invoiced"/>
    <d v="2017-06-28T00:00:00"/>
    <s v="Completed and handover forwarded"/>
    <s v="John Luker"/>
    <d v="2017-01-23T00:00:00"/>
    <d v="2017-02-06T00:00:00"/>
    <n v="14"/>
    <d v="2017-02-21T00:00:00"/>
    <n v="15"/>
  </r>
  <r>
    <s v="A401/Minor works"/>
    <s v="Sydney"/>
    <s v="Inv 11969b"/>
    <d v="2017-02-28T00:00:00"/>
    <d v="2017-02-14T00:00:00"/>
    <d v="2017-05-02T00:00:00"/>
    <d v="2017-05-02T00:00:00"/>
    <d v="2017-05-09T00:00:00"/>
    <d v="2017-05-16T00:00:00"/>
    <d v="2017-05-25T00:00:00"/>
    <m/>
    <s v="May-17"/>
    <x v="1"/>
    <s v="2BLK-07  Huntingwood - Additional Variations"/>
    <s v="Huntingwood"/>
    <m/>
    <n v="766.97"/>
    <n v="766.97"/>
    <n v="843.66700000000014"/>
    <m/>
    <m/>
    <n v="0"/>
    <n v="766.97"/>
    <n v="1"/>
    <s v="Invoiced"/>
    <d v="2017-05-16T00:00:00"/>
    <s v="Completed and handover forwarded"/>
    <s v="Shaher Aslam / Jay Shrestha"/>
    <d v="2016-09-02T00:00:00"/>
    <d v="2016-09-22T00:00:00"/>
    <n v="20"/>
    <d v="2016-10-19T00:00:00"/>
    <n v="27"/>
  </r>
  <r>
    <s v="A401/Minor works"/>
    <s v="Sth Coast"/>
    <s v="Inv 13377"/>
    <d v="2018-03-15T00:00:00"/>
    <d v="2018-02-07T00:00:00"/>
    <d v="2018-02-07T00:00:00"/>
    <d v="2017-02-07T00:00:00"/>
    <d v="2018-02-20T00:00:00"/>
    <d v="2018-02-20T00:00:00"/>
    <d v="2018-03-15T00:00:00"/>
    <m/>
    <s v="Feb-18"/>
    <x v="2"/>
    <s v="MW20154 - 2WLG-01 &amp; 02 "/>
    <s v="Wollongong"/>
    <n v="5867.23"/>
    <n v="28433.11"/>
    <n v="34300.339999999997"/>
    <n v="37730.373999999996"/>
    <n v="254.54545454545456"/>
    <m/>
    <n v="254.54545454545456"/>
    <n v="34045.794545454541"/>
    <n v="0.99257892328340025"/>
    <s v="Invoiced"/>
    <d v="2018-02-21T00:00:00"/>
    <s v="Completed and handover forwarded"/>
    <s v="Milan Khanal"/>
    <m/>
    <m/>
    <m/>
    <m/>
    <m/>
  </r>
  <r>
    <s v="A401/Minor works"/>
    <s v="Sydney"/>
    <s v="Inv 12876"/>
    <d v="2017-11-29T00:00:00"/>
    <d v="2017-09-19T00:00:00"/>
    <d v="2017-09-19T00:00:00"/>
    <m/>
    <m/>
    <d v="2017-11-20T00:00:00"/>
    <d v="2017-12-05T00:00:00"/>
    <s v="Waiting on access to one site, Macquarie Street"/>
    <s v="Sep-17"/>
    <x v="3"/>
    <s v="MW20311 - 2LIV-04 - Liverpool various sites"/>
    <s v="Liverpool"/>
    <n v="1505.23"/>
    <m/>
    <n v="1505.23"/>
    <n v="1655.7530000000002"/>
    <m/>
    <m/>
    <n v="0"/>
    <n v="1505.23"/>
    <n v="1"/>
    <s v="Invoiced"/>
    <d v="2017-10-03T00:00:00"/>
    <s v="Completed and handover forwarded"/>
    <s v="Milan Khanal"/>
    <m/>
    <m/>
    <m/>
    <m/>
    <m/>
  </r>
  <r>
    <s v="A401/Minor works"/>
    <s v="Sth Coast"/>
    <s v="Inv 12812"/>
    <d v="2017-11-16T00:00:00"/>
    <d v="2017-08-10T00:00:00"/>
    <d v="2017-08-10T00:00:00"/>
    <m/>
    <m/>
    <d v="2017-08-31T00:00:00"/>
    <d v="2017-11-21T00:00:00"/>
    <m/>
    <s v="Aug-17"/>
    <x v="4"/>
    <s v="MW20425 - 2WLG - MPS-062-144-191-190-197-241 &amp; 2WLG-08 "/>
    <s v="Wollongong"/>
    <n v="8027.19"/>
    <m/>
    <n v="8027.19"/>
    <n v="8829.9089999999997"/>
    <m/>
    <m/>
    <n v="0"/>
    <n v="8027.19"/>
    <n v="1"/>
    <s v="Invoiced"/>
    <d v="2017-08-24T00:00:00"/>
    <s v="Completed and handover forwarded"/>
    <s v="Milan Khanal"/>
    <m/>
    <m/>
    <m/>
    <m/>
    <m/>
  </r>
  <r>
    <s v="A401/Greenfield"/>
    <s v="Sydney"/>
    <s v="Inv 12352"/>
    <d v="2017-06-26T00:00:00"/>
    <d v="2017-06-27T00:00:00"/>
    <d v="2017-06-27T00:00:00"/>
    <d v="2017-06-27T00:00:00"/>
    <d v="2017-09-22T00:00:00"/>
    <d v="2017-08-08T00:00:00"/>
    <d v="2017-10-03T00:00:00"/>
    <s v="Waiting on Variation Approval submitted 2/7"/>
    <s v="Jun-17"/>
    <x v="5"/>
    <s v="MW20385 - AYCA-38OMCL - 6 Hepher Rd, Campbelltown"/>
    <s v="Campbelltown"/>
    <n v="10952.8"/>
    <n v="2567.12"/>
    <n v="13519.919999999998"/>
    <n v="14871.911999999998"/>
    <n v="1702.74"/>
    <m/>
    <n v="1702.74"/>
    <n v="11817.179999999998"/>
    <n v="0.87405694708252712"/>
    <s v="Invoiced"/>
    <d v="2017-07-11T00:00:00"/>
    <s v="Completed and handover forwarded"/>
    <s v="Michael Tram"/>
    <d v="2017-02-18T00:00:00"/>
    <d v="2017-03-14T00:00:00"/>
    <n v="24"/>
    <d v="2017-03-15T00:00:00"/>
    <n v="1"/>
  </r>
  <r>
    <s v="A401/Greenfield"/>
    <s v="Central Coast"/>
    <s v="Inv 12641"/>
    <d v="2017-10-10T00:00:00"/>
    <d v="2017-07-17T00:00:00"/>
    <d v="2017-07-17T00:00:00"/>
    <d v="2017-08-14T00:00:00"/>
    <d v="2017-09-07T00:00:00"/>
    <d v="2017-08-08T00:00:00"/>
    <d v="2017-10-10T00:00:00"/>
    <m/>
    <s v="Jul-17"/>
    <x v="5"/>
    <s v="MW20441 - AYCA-3KSRGR - Norberta St, The Entrance - 1"/>
    <s v="Long Jetty"/>
    <n v="8188.78"/>
    <n v="496.57"/>
    <n v="8685.35"/>
    <n v="9553.885000000002"/>
    <m/>
    <m/>
    <n v="0"/>
    <n v="8685.35"/>
    <n v="1"/>
    <s v="Invoiced"/>
    <d v="2017-07-31T00:00:00"/>
    <s v="Completed and handover forwarded"/>
    <s v="Andrew Partalis"/>
    <d v="2017-02-25T00:00:00"/>
    <d v="2017-03-13T00:00:00"/>
    <n v="16"/>
    <d v="2017-03-29T00:00:00"/>
    <n v="16"/>
  </r>
  <r>
    <s v="A401/Greenfield"/>
    <s v="Sydney"/>
    <s v="Inv 12262"/>
    <d v="2017-05-31T00:00:00"/>
    <d v="2017-05-30T00:00:00"/>
    <d v="2017-05-30T00:00:00"/>
    <d v="2017-06-01T00:00:00"/>
    <d v="2017-06-21T00:00:00"/>
    <d v="2017-08-08T00:00:00"/>
    <d v="2017-08-15T00:00:00"/>
    <m/>
    <s v="May-17"/>
    <x v="0"/>
    <s v="MW20386 - 2CBT-03 - AYCA-39MU9X - Macarthur Mazda"/>
    <s v="Campbelltown"/>
    <n v="7705.93"/>
    <n v="12720.52"/>
    <n v="20426.45"/>
    <n v="22469.095000000001"/>
    <m/>
    <m/>
    <n v="0"/>
    <n v="20426.45"/>
    <n v="1"/>
    <s v="Invoiced"/>
    <d v="2017-06-13T00:00:00"/>
    <s v="Completed and handover forwarded"/>
    <s v="Michael Tram"/>
    <d v="2017-02-18T00:00:00"/>
    <d v="2017-03-15T00:00:00"/>
    <n v="25"/>
    <d v="2017-03-10T00:00:00"/>
    <n v="-5"/>
  </r>
  <r>
    <s v="A401/Greenfield"/>
    <s v="Sydney"/>
    <s v="Inv 12265"/>
    <d v="2017-05-31T00:00:00"/>
    <d v="2017-05-05T00:00:00"/>
    <d v="2017-05-05T00:00:00"/>
    <m/>
    <m/>
    <d v="2017-06-06T00:00:00"/>
    <d v="2017-07-28T00:00:00"/>
    <m/>
    <s v="May-17"/>
    <x v="6"/>
    <s v="MW20475 - 2ROU-03 - AYCA-3HUY3N- 4 Wickham Blvd"/>
    <s v="Rouse Hill"/>
    <n v="10233.06"/>
    <m/>
    <n v="10233.06"/>
    <n v="11256.366"/>
    <m/>
    <m/>
    <n v="0"/>
    <n v="10233.06"/>
    <n v="1"/>
    <s v="Invoiced"/>
    <d v="2017-05-19T00:00:00"/>
    <s v="Completed and handover forwarded"/>
    <s v="Andrew Mahassy"/>
    <d v="2017-03-15T00:00:00"/>
    <d v="2017-03-27T00:00:00"/>
    <n v="12"/>
    <d v="2017-03-29T00:00:00"/>
    <n v="2"/>
  </r>
  <r>
    <s v="A401/Greenfield"/>
    <s v="Sydney"/>
    <s v="Inv 12353"/>
    <d v="2017-06-30T00:00:00"/>
    <d v="2017-06-05T00:00:00"/>
    <d v="2017-06-05T00:00:00"/>
    <d v="2017-06-25T00:00:00"/>
    <d v="2017-07-12T00:00:00"/>
    <d v="2017-06-16T00:00:00"/>
    <d v="2017-08-28T00:00:00"/>
    <s v="Waiting on Variation Approval"/>
    <s v="Jun-17"/>
    <x v="0"/>
    <s v="MW20442 - 2TGL-02 - AYCA-30RVNV - Rockpool – 1"/>
    <s v="Terrigal"/>
    <n v="1026.44"/>
    <n v="8543.546111367652"/>
    <n v="9569.9861113676525"/>
    <n v="10526.984722504418"/>
    <m/>
    <m/>
    <n v="0"/>
    <n v="9569.9861113676525"/>
    <n v="1"/>
    <s v="Invoiced"/>
    <d v="2017-06-19T00:00:00"/>
    <s v="Completed and handover forwarded"/>
    <s v="Andrew Partalis"/>
    <d v="2017-03-01T00:00:00"/>
    <d v="2017-03-10T00:00:00"/>
    <n v="9"/>
    <d v="2017-03-29T00:00:00"/>
    <n v="19"/>
  </r>
  <r>
    <s v="A401/Greenfield"/>
    <s v="Central West"/>
    <s v="Inv 12691"/>
    <d v="2017-10-11T00:00:00"/>
    <d v="2017-07-31T00:00:00"/>
    <d v="2017-07-31T00:00:00"/>
    <d v="2017-09-05T00:00:00"/>
    <d v="2017-09-11T00:00:00"/>
    <d v="2017-09-08T00:00:00"/>
    <d v="2017-10-17T00:00:00"/>
    <m/>
    <s v="Jul-17"/>
    <x v="5"/>
    <s v="MW20318 - AYCA-35AM2J - NENSW0608 - Yarrandale Road"/>
    <s v="Dubbo"/>
    <n v="16626.7"/>
    <n v="8393.0685714285719"/>
    <n v="25019.768571428573"/>
    <n v="27521.745428571434"/>
    <n v="2317"/>
    <m/>
    <n v="2317"/>
    <n v="22702.768571428573"/>
    <n v="0.90739322814336865"/>
    <s v="Invoiced"/>
    <d v="2017-08-14T00:00:00"/>
    <s v="Completed and handover forwarded"/>
    <s v="Dave Yoemans"/>
    <d v="2016-12-14T00:00:00"/>
    <d v="2017-03-28T00:00:00"/>
    <n v="104"/>
    <d v="2016-12-07T00:00:00"/>
    <n v="-111"/>
  </r>
  <r>
    <s v="A401/Greenfield"/>
    <s v="Sydney"/>
    <s v="Inv 12264"/>
    <d v="2017-05-31T00:00:00"/>
    <d v="2017-05-15T00:00:00"/>
    <d v="2017-05-15T00:00:00"/>
    <d v="2017-05-30T00:00:00"/>
    <d v="2017-06-26T00:00:00"/>
    <d v="2017-05-25T00:00:00"/>
    <d v="2017-07-28T00:00:00"/>
    <m/>
    <s v="May-17"/>
    <x v="6"/>
    <s v="MW20489 - AYCA-3ZU1PE - 89 Old Hume Highway, Camden"/>
    <s v="Camden"/>
    <n v="2091.71"/>
    <n v="1025.1428571428571"/>
    <n v="3116.8528571428569"/>
    <n v="3428.5381428571427"/>
    <m/>
    <m/>
    <n v="0"/>
    <n v="3116.8528571428569"/>
    <n v="1"/>
    <s v="Invoiced"/>
    <d v="2017-05-29T00:00:00"/>
    <s v="Completed and handover forwarded"/>
    <s v="Nabel Jaimon"/>
    <d v="2017-03-20T00:00:00"/>
    <d v="2017-04-07T00:00:00"/>
    <n v="18"/>
    <d v="2017-04-04T00:00:00"/>
    <n v="-3"/>
  </r>
  <r>
    <s v="A401/Greenfield"/>
    <s v="Sydney"/>
    <s v="Inv 12637"/>
    <d v="2017-09-27T00:00:00"/>
    <d v="2017-08-11T00:00:00"/>
    <d v="2017-08-14T00:00:00"/>
    <m/>
    <m/>
    <d v="2017-08-28T00:00:00"/>
    <d v="2017-10-03T00:00:00"/>
    <m/>
    <s v="Aug-17"/>
    <x v="5"/>
    <s v="MW20491 - AYCA-3W8T05 - 2PAR-60 - Amos St "/>
    <s v="Parramatta"/>
    <n v="3449.71"/>
    <m/>
    <n v="3449.71"/>
    <n v="3794.6810000000005"/>
    <m/>
    <m/>
    <n v="0"/>
    <n v="3449.71"/>
    <n v="1"/>
    <s v="Invoiced"/>
    <d v="2017-08-28T00:00:00"/>
    <s v="Completed and handover forwarded"/>
    <s v="Nabel Jaimon"/>
    <d v="2017-03-20T00:00:00"/>
    <d v="2017-04-08T00:00:00"/>
    <n v="19"/>
    <d v="2017-04-05T00:00:00"/>
    <n v="-3"/>
  </r>
  <r>
    <s v="A401/Greenfield"/>
    <s v="Sydney"/>
    <s v="Inv 12364"/>
    <d v="2017-07-03T00:00:00"/>
    <d v="2017-06-08T00:00:00"/>
    <d v="2017-06-08T00:00:00"/>
    <d v="2017-06-15T00:00:00"/>
    <d v="2017-07-11T00:00:00"/>
    <d v="2017-07-11T00:00:00"/>
    <d v="2017-08-15T00:00:00"/>
    <m/>
    <s v="Jun-17"/>
    <x v="0"/>
    <s v="MW20493 - 2KNS-02 - AYCA-1BR2R4 - Link Apartments Zetland - 1"/>
    <s v="Zetland"/>
    <n v="5062.76"/>
    <n v="3398.56"/>
    <n v="8461.32"/>
    <n v="9307.4520000000011"/>
    <m/>
    <m/>
    <n v="0"/>
    <n v="8461.32"/>
    <n v="1"/>
    <s v="Invoiced"/>
    <d v="2017-06-22T00:00:00"/>
    <s v="Completed and handover forwarded"/>
    <s v="Lindy Chan"/>
    <d v="2017-03-20T00:00:00"/>
    <d v="2017-04-07T00:00:00"/>
    <n v="18"/>
    <d v="2017-04-05T00:00:00"/>
    <n v="-2"/>
  </r>
  <r>
    <s v="A401/Greenfield"/>
    <s v="Sydney"/>
    <s v="Inv 12354"/>
    <d v="2017-06-30T00:00:00"/>
    <d v="2017-06-14T00:00:00"/>
    <d v="2017-06-14T00:00:00"/>
    <d v="2017-06-22T00:00:00"/>
    <d v="2017-07-14T00:00:00"/>
    <d v="2017-09-07T00:00:00"/>
    <d v="2017-10-05T00:00:00"/>
    <s v="Waiting on Variation Approval"/>
    <s v="Jun-17"/>
    <x v="5"/>
    <s v="MW20477 - AYCA-40BZFT - 2HOM-01 - 51-55 Homebush Rd Strathfield"/>
    <s v="Strathfield"/>
    <n v="3433.24"/>
    <n v="6774.67"/>
    <n v="10207.91"/>
    <n v="11228.701000000001"/>
    <m/>
    <m/>
    <n v="0"/>
    <n v="10207.91"/>
    <n v="1"/>
    <s v="Invoiced"/>
    <d v="2017-06-28T00:00:00"/>
    <s v="Completed and handover forwarded"/>
    <s v="Lindy Chan"/>
    <d v="2017-03-17T00:00:00"/>
    <d v="2017-04-08T00:00:00"/>
    <n v="22"/>
    <d v="2017-03-31T00:00:00"/>
    <n v="-8"/>
  </r>
  <r>
    <s v="A417 Greenfield MDU"/>
    <s v="Sydney"/>
    <s v="Inv 12638"/>
    <d v="2017-09-27T00:00:00"/>
    <d v="2017-08-14T00:00:00"/>
    <d v="2017-08-14T00:00:00"/>
    <d v="2017-08-15T00:00:00"/>
    <d v="2017-09-04T00:00:00"/>
    <d v="2017-09-11T00:00:00"/>
    <d v="2017-09-27T00:00:00"/>
    <m/>
    <s v="Aug-17"/>
    <x v="7"/>
    <s v="MW20615 - AYCA-3ZMQUE - Grove Family Trust - 1"/>
    <s v="Lidcombe"/>
    <n v="1761.82"/>
    <n v="1647.1"/>
    <n v="3408.92"/>
    <n v="3749.8120000000004"/>
    <n v="235"/>
    <m/>
    <n v="235"/>
    <n v="3173.92"/>
    <n v="0.93106321063562658"/>
    <s v="Invoiced"/>
    <d v="2017-08-28T00:00:00"/>
    <s v="Completed and handover forwarded"/>
    <s v="Andrew Partalis"/>
    <m/>
    <m/>
    <m/>
    <m/>
    <m/>
  </r>
  <r>
    <s v="A417 Greenfield MDU"/>
    <s v="Sydney"/>
    <s v="Inv 12633"/>
    <d v="2017-09-27T00:00:00"/>
    <d v="2017-07-31T00:00:00"/>
    <d v="2017-07-31T00:00:00"/>
    <d v="2017-08-09T00:00:00"/>
    <d v="2017-09-04T00:00:00"/>
    <d v="2017-09-07T00:00:00"/>
    <d v="2017-09-28T00:00:00"/>
    <s v="Variation submitted 9/8/17"/>
    <s v="Jul-17"/>
    <x v="7"/>
    <s v="MW20620 - 2EPP-05 - AYCA-3071BP - Macquarie Park Village - 2 "/>
    <s v="Nth Ryde"/>
    <n v="44.62"/>
    <n v="1490.48"/>
    <n v="1535.1"/>
    <n v="1688.6100000000001"/>
    <m/>
    <m/>
    <n v="0"/>
    <n v="1535.1"/>
    <n v="1"/>
    <s v="Invoiced"/>
    <d v="2017-08-14T00:00:00"/>
    <s v="Completed and handover forwarded"/>
    <s v="Lindy Chan"/>
    <s v="Direct Award"/>
    <d v="2017-05-01T00:00:00"/>
    <m/>
    <m/>
    <m/>
  </r>
  <r>
    <s v="A417 Greenfield MDU"/>
    <s v="Sydney"/>
    <s v="Inv 12627"/>
    <d v="2017-09-22T00:00:00"/>
    <d v="2017-08-22T00:00:00"/>
    <d v="2017-08-22T00:00:00"/>
    <d v="2017-08-28T00:00:00"/>
    <d v="2017-09-06T00:00:00"/>
    <d v="2017-09-06T00:00:00"/>
    <d v="2017-09-27T00:00:00"/>
    <m/>
    <s v="Aug-17"/>
    <x v="7"/>
    <s v="MW20628 - AYCA-32PR0X - 2ROU-03 - 21 Hezlett Rd Kellyville 1"/>
    <s v="Kellyville"/>
    <n v="1520.83"/>
    <n v="6404.7449999999999"/>
    <n v="7925.5749999999998"/>
    <n v="8718.1324999999997"/>
    <n v="3682.66"/>
    <m/>
    <n v="3682.66"/>
    <n v="4242.915"/>
    <n v="0.5353447541661015"/>
    <s v="Invoiced"/>
    <d v="2017-09-05T00:00:00"/>
    <s v="Completed and handover forwarded"/>
    <s v="Andrew Partalis"/>
    <m/>
    <m/>
    <m/>
    <m/>
    <m/>
  </r>
  <r>
    <s v="A417 Greenfield MDU"/>
    <s v="Sydney"/>
    <s v="Inv 12635"/>
    <d v="2017-09-27T00:00:00"/>
    <d v="2017-07-12T00:00:00"/>
    <d v="2017-07-12T00:00:00"/>
    <d v="2017-08-09T00:00:00"/>
    <d v="2017-09-04T00:00:00"/>
    <d v="2017-09-07T00:00:00"/>
    <d v="2017-09-27T00:00:00"/>
    <s v="Variation submitted 9/8/17"/>
    <s v="Jul-17"/>
    <x v="7"/>
    <s v="MW20644 - AYCA-35B3X9 -  Renocorp Australia Pty Ltd - 1"/>
    <s v="Parramatta"/>
    <n v="628.32000000000005"/>
    <n v="4350.78"/>
    <n v="4979.0999999999995"/>
    <n v="5477.01"/>
    <m/>
    <m/>
    <n v="0"/>
    <n v="4979.0999999999995"/>
    <n v="1"/>
    <s v="Invoiced"/>
    <d v="2017-07-26T00:00:00"/>
    <s v="Completed and handover forwarded"/>
    <s v="Lindy Chan"/>
    <m/>
    <m/>
    <m/>
    <m/>
    <m/>
  </r>
  <r>
    <s v="A417 Greenfield MDU"/>
    <s v="Sydney"/>
    <s v="Inv 12874"/>
    <d v="2017-11-29T00:00:00"/>
    <d v="2017-09-25T00:00:00"/>
    <d v="2017-09-25T00:00:00"/>
    <d v="2017-09-27T00:00:00"/>
    <d v="2017-10-04T00:00:00"/>
    <d v="2017-10-03T00:00:00"/>
    <d v="2017-11-30T00:00:00"/>
    <m/>
    <s v="Sep-17"/>
    <x v="4"/>
    <s v="MW20798 - AYCA-2LT5GF - Castlereagh Street - 1"/>
    <s v="Liverpool"/>
    <n v="2015.36"/>
    <n v="13856.22"/>
    <n v="15871.58"/>
    <n v="17458.738000000001"/>
    <n v="3777.5600000000004"/>
    <m/>
    <n v="3777.5600000000004"/>
    <n v="12094.02"/>
    <n v="0.76199218981349059"/>
    <s v="Invoiced"/>
    <d v="2017-10-09T00:00:00"/>
    <s v="Completed and handover forwarded"/>
    <s v="Michael Tram"/>
    <s v="Direct Award"/>
    <d v="2017-05-26T00:00:00"/>
    <m/>
    <m/>
    <m/>
  </r>
  <r>
    <s v="A417 Greenfield MDU"/>
    <s v="Sydney"/>
    <s v="Inv 12614"/>
    <d v="2017-09-25T00:00:00"/>
    <d v="2017-07-18T00:00:00"/>
    <d v="2017-07-18T00:00:00"/>
    <d v="2017-08-09T00:00:00"/>
    <d v="2017-08-23T00:00:00"/>
    <d v="2017-09-07T00:00:00"/>
    <d v="2017-09-21T00:00:00"/>
    <s v="Variation submitted 9/8/17"/>
    <s v="Jul-17"/>
    <x v="7"/>
    <s v="MW20758 -  AYCA-3ETV2Y - 2BAN-64 - 21-25 Leonard Street - 1"/>
    <s v="Bankstown"/>
    <n v="2121.89"/>
    <n v="6429.99"/>
    <n v="8551.8799999999992"/>
    <n v="9407.0679999999993"/>
    <m/>
    <m/>
    <n v="0"/>
    <n v="8551.8799999999992"/>
    <n v="1"/>
    <s v="Invoiced"/>
    <d v="2017-08-01T00:00:00"/>
    <s v="Completed and handover forwarded"/>
    <s v="Andrew Partalis"/>
    <s v="Direct Award"/>
    <d v="2017-05-29T00:00:00"/>
    <m/>
    <m/>
    <m/>
  </r>
  <r>
    <s v="A401/Greenfield"/>
    <s v="Central Coast"/>
    <s v="Inv 12260"/>
    <d v="2017-05-31T00:00:00"/>
    <d v="2017-05-15T00:00:00"/>
    <d v="2017-05-15T00:00:00"/>
    <d v="2017-06-01T00:00:00"/>
    <d v="2017-06-15T00:00:00"/>
    <d v="2017-05-29T00:00:00"/>
    <d v="2017-07-28T00:00:00"/>
    <m/>
    <s v="May-17"/>
    <x v="6"/>
    <s v="MW20552 - 2WYO-02 - AYCA-394Y1I - 13 Colonial St "/>
    <s v="Wadalba"/>
    <n v="3798.42"/>
    <n v="3110.87"/>
    <n v="6909.29"/>
    <n v="7600.219000000001"/>
    <m/>
    <m/>
    <n v="0"/>
    <n v="6909.29"/>
    <n v="1"/>
    <s v="Invoiced"/>
    <d v="2017-05-29T00:00:00"/>
    <s v="Completed and handover forwarded"/>
    <s v="Dave Yoemans"/>
    <d v="2016-08-29T00:00:00"/>
    <d v="2017-04-05T00:00:00"/>
    <n v="219"/>
    <m/>
    <m/>
  </r>
  <r>
    <s v="AARnet"/>
    <s v="Sydney"/>
    <s v="Inv 12759"/>
    <d v="2017-10-30T00:00:00"/>
    <d v="2017-10-30T00:00:00"/>
    <d v="2017-10-30T00:00:00"/>
    <m/>
    <m/>
    <m/>
    <m/>
    <m/>
    <s v="Oct-17"/>
    <x v="8"/>
    <s v="ICQ-315 IPT2073 WSU Parramatta Square Western Lead-in"/>
    <s v="Parramatta"/>
    <n v="38717.01"/>
    <n v="29612.840000000004"/>
    <n v="68329.850000000006"/>
    <n v="75162.835000000006"/>
    <n v="27168.080000000002"/>
    <m/>
    <n v="27168.080000000002"/>
    <n v="41161.770000000004"/>
    <n v="0.60239807346276919"/>
    <s v="Invoiced"/>
    <d v="2017-11-13T00:00:00"/>
    <s v="Completed and handover forwarded"/>
    <s v="Matt Putland"/>
    <d v="2017-03-22T00:00:00"/>
    <d v="2017-04-10T00:00:00"/>
    <n v="19"/>
    <m/>
    <m/>
  </r>
  <r>
    <s v="A401/Minor works"/>
    <s v="Sydney"/>
    <s v="Inv 13533"/>
    <d v="2018-04-25T00:00:00"/>
    <d v="2018-03-29T00:00:00"/>
    <d v="2018-04-03T00:00:00"/>
    <d v="2018-03-26T00:00:00"/>
    <d v="2018-04-17T00:00:00"/>
    <d v="2018-04-19T00:00:00"/>
    <d v="2018-05-01T00:00:00"/>
    <m/>
    <s v="Apr-18"/>
    <x v="9"/>
    <s v="MW20495 - 2CBT-09 - MPS-01 - FTTN-FTTB Construction "/>
    <s v="Campbelltown"/>
    <n v="12264.47"/>
    <n v="10584.18"/>
    <n v="22848.65"/>
    <n v="25133.515000000003"/>
    <n v="12574.74"/>
    <m/>
    <n v="12574.74"/>
    <n v="10273.910000000002"/>
    <n v="0.44965063581436981"/>
    <m/>
    <m/>
    <m/>
    <s v="Anna Juranic"/>
    <d v="2017-03-23T00:00:00"/>
    <d v="2017-04-07T00:00:00"/>
    <n v="15"/>
    <d v="2017-04-10T00:00:00"/>
    <n v="3"/>
  </r>
  <r>
    <s v="A401/Greenfield"/>
    <s v="Sydney"/>
    <s v="Inv 13693"/>
    <d v="2018-06-06T00:00:00"/>
    <d v="2018-05-02T00:00:00"/>
    <d v="2018-05-03T00:00:00"/>
    <d v="2018-05-08T00:00:00"/>
    <d v="2018-05-09T00:00:00"/>
    <d v="2018-05-17T00:00:00"/>
    <d v="2018-06-05T00:00:00"/>
    <m/>
    <s v="May-18"/>
    <x v="10"/>
    <s v="MW20507 - AYCA-2Y5DX4 - Bridgeland Investment"/>
    <s v="Epping"/>
    <n v="6265.77"/>
    <n v="7637.8819999999996"/>
    <n v="13903.652"/>
    <n v="15294.017200000002"/>
    <n v="3486.54"/>
    <m/>
    <n v="3486.54"/>
    <n v="10417.112000000001"/>
    <n v="0.74923566844164402"/>
    <m/>
    <m/>
    <m/>
    <s v="Andrew Partalis"/>
    <d v="2017-03-23T00:00:00"/>
    <d v="2017-04-08T00:00:00"/>
    <n v="16"/>
    <d v="2017-04-07T00:00:00"/>
    <n v="-1"/>
  </r>
  <r>
    <s v="AARnet"/>
    <s v="Sydney"/>
    <s v="Inv 12362"/>
    <d v="2017-06-30T00:00:00"/>
    <d v="2017-08-07T00:00:00"/>
    <d v="2017-08-30T00:00:00"/>
    <m/>
    <m/>
    <m/>
    <m/>
    <m/>
    <s v="Aug-17"/>
    <x v="8"/>
    <s v="ICQ-459 NSW Health Auburn Hospital"/>
    <s v="Auburn"/>
    <n v="23006.15"/>
    <m/>
    <n v="23006.15"/>
    <n v="25306.765000000003"/>
    <n v="13667.57"/>
    <m/>
    <n v="13667.57"/>
    <n v="9338.5800000000017"/>
    <n v="0.40591667880110321"/>
    <s v="Invoiced"/>
    <d v="2017-09-13T00:00:00"/>
    <s v="Completed and handover forwarded"/>
    <s v="Matt Putland"/>
    <d v="2017-04-11T00:00:00"/>
    <d v="2017-04-13T00:00:00"/>
    <m/>
    <m/>
    <m/>
  </r>
  <r>
    <s v="A417 Greenfield MDU"/>
    <s v="Sydney"/>
    <s v="Inv 12267"/>
    <d v="2017-05-31T00:00:00"/>
    <d v="2017-05-25T00:00:00"/>
    <d v="2017-06-09T00:00:00"/>
    <m/>
    <m/>
    <d v="2017-06-09T00:00:00"/>
    <d v="2017-09-14T00:00:00"/>
    <s v="Waiting on Payment Claim approval"/>
    <s v="Jun-17"/>
    <x v="7"/>
    <s v="MW20555 - AYCA-2Q8I3Y -  2ROU-03 - 16-20 Withers Road – 3 "/>
    <s v="Rouse Hill"/>
    <n v="3030.14"/>
    <m/>
    <n v="3030.14"/>
    <n v="3333.154"/>
    <m/>
    <m/>
    <n v="0"/>
    <n v="3030.14"/>
    <n v="1"/>
    <s v="Invoiced"/>
    <d v="2017-06-23T00:00:00"/>
    <s v="Completed and handover forwarded"/>
    <s v="Ertan Cicek"/>
    <s v="Direct Award"/>
    <d v="2017-04-18T00:00:00"/>
    <m/>
    <d v="2017-04-22T00:00:00"/>
    <n v="4"/>
  </r>
  <r>
    <s v="A417 Greenfield MDU"/>
    <s v="Sydney"/>
    <s v="Inv 12267b"/>
    <d v="2017-06-30T00:00:00"/>
    <d v="2017-05-25T00:00:00"/>
    <d v="2017-06-09T00:00:00"/>
    <d v="2017-08-15T00:00:00"/>
    <d v="2017-08-28T00:00:00"/>
    <d v="2017-06-09T00:00:00"/>
    <d v="2017-09-14T00:00:00"/>
    <s v="Waiting on Payment Claim approval"/>
    <s v="Jun-17"/>
    <x v="7"/>
    <s v="MW20555 - AYCA-2Q8I3Y -  2ROU-03 - 16-20 Withers Road – 3 "/>
    <s v="Rouse Hill"/>
    <m/>
    <n v="1899.06"/>
    <n v="1899.06"/>
    <n v="2088.9659999999999"/>
    <m/>
    <m/>
    <n v="0"/>
    <n v="1899.06"/>
    <n v="1"/>
    <s v="Invoiced"/>
    <d v="2017-06-23T00:00:00"/>
    <s v="Completed and handover forwarded"/>
    <s v="Ertan Cicek"/>
    <s v="Direct Award"/>
    <d v="2017-04-18T00:00:00"/>
    <m/>
    <m/>
    <m/>
  </r>
  <r>
    <s v="A401/Greenfield"/>
    <s v="Sydney"/>
    <s v="Inv 12355"/>
    <d v="2017-06-30T00:00:00"/>
    <d v="2017-06-08T00:00:00"/>
    <d v="2017-06-08T00:00:00"/>
    <m/>
    <m/>
    <d v="2017-07-11T00:00:00"/>
    <d v="2017-08-10T00:00:00"/>
    <s v="PC 33 days, Payment schedule 17days,  payment made on the 10/8/17"/>
    <s v="Jun-17"/>
    <x v="0"/>
    <s v="MW20532 - 2WYO-01 - AYCA-47OSBM - Pacific Business Centre"/>
    <s v="Wyong"/>
    <n v="10229.42"/>
    <m/>
    <n v="10229.42"/>
    <n v="11252.362000000001"/>
    <n v="549.22"/>
    <m/>
    <n v="549.22"/>
    <n v="9680.2000000000007"/>
    <n v="0.94630976145275103"/>
    <s v="Invoiced"/>
    <d v="2017-06-22T00:00:00"/>
    <s v="Completed and handover forwarded"/>
    <s v="Andrew Partalis"/>
    <s v="Direct Award"/>
    <d v="2017-04-26T00:00:00"/>
    <m/>
    <d v="2017-04-05T00:00:00"/>
    <n v="-21"/>
  </r>
  <r>
    <s v="A401/Greenfield"/>
    <s v="Sth NSW"/>
    <s v="Inv 12266"/>
    <d v="2017-05-31T00:00:00"/>
    <d v="2017-05-26T00:00:00"/>
    <d v="2017-05-26T00:00:00"/>
    <d v="2017-06-25T00:00:00"/>
    <d v="2017-08-30T00:00:00"/>
    <d v="2017-06-14T00:00:00"/>
    <d v="2017-09-27T00:00:00"/>
    <m/>
    <s v="May-17"/>
    <x v="7"/>
    <s v="MW20543 - AYCA-3SR1C6 - 1140 Pemberton St Albury"/>
    <s v="Albury"/>
    <n v="4074.14"/>
    <n v="936.42678571428553"/>
    <n v="5010.5667857142853"/>
    <n v="5511.6234642857144"/>
    <m/>
    <m/>
    <n v="0"/>
    <n v="5010.5667857142853"/>
    <n v="1"/>
    <s v="Invoiced"/>
    <d v="2017-06-09T00:00:00"/>
    <s v="Completed and handover forwarded"/>
    <s v="Ertan Cicek"/>
    <d v="2017-04-04T00:00:00"/>
    <d v="2017-04-26T00:00:00"/>
    <n v="22"/>
    <d v="2017-04-14T00:00:00"/>
    <n v="-12"/>
  </r>
  <r>
    <s v="A401/Greenfield"/>
    <s v="Sth Coast"/>
    <s v="Inv 12275"/>
    <d v="2017-05-31T00:00:00"/>
    <d v="2017-05-30T00:00:00"/>
    <d v="2017-05-30T00:00:00"/>
    <d v="2017-06-30T00:00:00"/>
    <d v="2017-07-25T00:00:00"/>
    <d v="2017-06-16T00:00:00"/>
    <d v="2017-08-29T00:00:00"/>
    <m/>
    <s v="May-17"/>
    <x v="0"/>
    <s v="MW20554 - 2DAP-02 - AYCA-2DO5HN - MNJG 145"/>
    <s v="Dapto"/>
    <n v="2277.5100000000002"/>
    <n v="2122.87"/>
    <n v="4400.38"/>
    <n v="4840.4180000000006"/>
    <n v="235"/>
    <m/>
    <n v="235"/>
    <n v="4165.38"/>
    <n v="0.94659552129588809"/>
    <s v="Invoiced"/>
    <d v="2017-06-13T00:00:00"/>
    <s v="Completed and handover forwarded"/>
    <s v="Ertan Cicek"/>
    <d v="2017-04-05T00:00:00"/>
    <d v="2017-04-26T00:00:00"/>
    <n v="21"/>
    <d v="2017-04-18T00:00:00"/>
    <n v="-8"/>
  </r>
  <r>
    <s v="A401/Greenfield"/>
    <s v="Sth Coast"/>
    <s v="Inv 12272"/>
    <d v="2017-05-31T00:00:00"/>
    <d v="2017-05-02T00:00:00"/>
    <d v="2017-05-02T00:00:00"/>
    <m/>
    <m/>
    <d v="2017-05-15T00:00:00"/>
    <d v="2017-07-26T00:00:00"/>
    <s v="Payment schedule received 21/7,  payment made on the 26/7"/>
    <s v="May-17"/>
    <x v="6"/>
    <s v="MW20409 - AYCA-2ONMWX -  Brookwood Estate - 2"/>
    <s v="Jamberoo"/>
    <n v="2943.37"/>
    <m/>
    <n v="2943.37"/>
    <n v="3237.7070000000003"/>
    <m/>
    <m/>
    <n v="0"/>
    <n v="2943.37"/>
    <n v="1"/>
    <s v="Invoiced"/>
    <d v="2017-05-16T00:00:00"/>
    <s v="Completed and handover forwarded"/>
    <s v="Ertan Cicek"/>
    <d v="2017-02-14T00:00:00"/>
    <d v="2017-03-01T00:00:00"/>
    <n v="15"/>
    <d v="2017-03-02T00:00:00"/>
    <n v="1"/>
  </r>
  <r>
    <s v="A417 Greenfield MDU"/>
    <s v="Sydney"/>
    <s v="Inv 12363 &amp; b"/>
    <d v="2017-09-19T00:00:00"/>
    <d v="2017-06-14T00:00:00"/>
    <d v="2017-06-14T00:00:00"/>
    <d v="2017-08-10T00:00:00"/>
    <d v="2017-08-31T00:00:00"/>
    <d v="2017-07-11T00:00:00"/>
    <d v="2017-09-29T00:00:00"/>
    <m/>
    <s v="Jun-17"/>
    <x v="7"/>
    <s v="MW20649 - 2RCH-03 - AYCA-2MLHJO - Macquarie Street Subdivision"/>
    <s v="Richmond"/>
    <n v="621.32000000000005"/>
    <n v="340.31"/>
    <n v="961.63000000000011"/>
    <n v="1057.7930000000001"/>
    <m/>
    <m/>
    <n v="0"/>
    <n v="961.63000000000011"/>
    <n v="1"/>
    <s v="Invoiced"/>
    <d v="2017-06-28T00:00:00"/>
    <s v="Completed and handover forwarded"/>
    <s v="Ertan Cicek"/>
    <s v="Direct Award"/>
    <d v="2017-05-02T00:00:00"/>
    <m/>
    <m/>
    <m/>
  </r>
  <r>
    <s v="A401/Greenfield"/>
    <s v="Nth Coast"/>
    <s v="Inv 12655"/>
    <d v="2017-10-03T00:00:00"/>
    <d v="2017-07-21T00:00:00"/>
    <d v="2017-07-21T00:00:00"/>
    <d v="2017-09-05T00:00:00"/>
    <d v="2017-09-18T00:00:00"/>
    <d v="2017-08-08T00:00:00"/>
    <d v="2017-10-05T00:00:00"/>
    <s v="Requested PC"/>
    <s v="Jul-17"/>
    <x v="5"/>
    <s v="MW20585 - AYCA-3KUUY6 - 2WOY-09 - Brittwood "/>
    <s v="Woy Woy"/>
    <n v="7728.82"/>
    <n v="12183.400428571427"/>
    <n v="19912.220428571425"/>
    <n v="21903.442471428571"/>
    <n v="9914.77"/>
    <m/>
    <n v="9914.77"/>
    <n v="9997.4504285714247"/>
    <n v="0.50207612277264646"/>
    <s v="Invoiced"/>
    <d v="2017-08-04T00:00:00"/>
    <s v="Completed and handover forwarded"/>
    <s v="Mark Leal"/>
    <d v="2017-04-10T00:00:00"/>
    <d v="2017-05-03T00:00:00"/>
    <n v="23"/>
    <d v="2017-04-26T00:00:00"/>
    <n v="-7"/>
  </r>
  <r>
    <s v="A401/Greenfield"/>
    <s v="Sth Coast"/>
    <s v="Inv 12356"/>
    <d v="2017-06-30T00:00:00"/>
    <d v="2017-06-19T00:00:00"/>
    <d v="2017-06-25T00:00:00"/>
    <d v="2017-07-03T00:00:00"/>
    <d v="2017-09-05T00:00:00"/>
    <d v="2017-08-09T00:00:00"/>
    <d v="2017-09-27T00:00:00"/>
    <s v="Waiting on PC sent in 25/6, Variation 3/7"/>
    <s v="Jun-17"/>
    <x v="7"/>
    <s v="MW20612 - AYCA-3NXX2P - 7 Cascade Circuit Albion Park"/>
    <s v="Albion Park"/>
    <n v="4242.71"/>
    <n v="2751.05"/>
    <n v="6993.76"/>
    <n v="7693.1360000000004"/>
    <m/>
    <m/>
    <n v="0"/>
    <n v="6993.76"/>
    <n v="1"/>
    <s v="Invoiced"/>
    <d v="2017-07-09T00:00:00"/>
    <s v="Completed and handover forwarded"/>
    <s v="Ertan Cicek"/>
    <d v="2017-04-19T00:00:00"/>
    <d v="2017-05-05T00:00:00"/>
    <n v="16"/>
    <d v="2017-05-02T00:00:00"/>
    <n v="-3"/>
  </r>
  <r>
    <s v="A417 Greenfield MDU"/>
    <s v="Sydney"/>
    <s v="Inv 12332"/>
    <d v="2017-06-26T00:00:00"/>
    <d v="2017-05-31T00:00:00"/>
    <d v="2017-05-30T00:00:00"/>
    <m/>
    <m/>
    <d v="2017-06-07T00:00:00"/>
    <d v="2017-08-10T00:00:00"/>
    <s v="39 days for payment claim to come through"/>
    <s v="May-17"/>
    <x v="0"/>
    <s v="MW20673 - 2BLK-11 - AYCA-3RN6QW - 19-21 Irelands Road, Blacktown"/>
    <s v="Blacktown"/>
    <n v="1134.2699999999998"/>
    <m/>
    <n v="1134.2699999999998"/>
    <n v="1247.6969999999999"/>
    <m/>
    <m/>
    <n v="0"/>
    <n v="1134.2699999999998"/>
    <n v="1"/>
    <s v="Invoiced"/>
    <d v="2017-06-13T00:00:00"/>
    <s v="Completed and handover forwarded"/>
    <s v="Andrew Mahassy"/>
    <s v="Direct Award"/>
    <d v="2017-05-04T00:00:00"/>
    <m/>
    <m/>
    <m/>
  </r>
  <r>
    <s v="A401/Greenfield"/>
    <s v="Central Coast"/>
    <s v="Inv 12498"/>
    <d v="2017-08-17T00:00:00"/>
    <d v="2017-07-03T00:00:00"/>
    <d v="2017-07-03T00:00:00"/>
    <m/>
    <m/>
    <d v="2017-08-08T00:00:00"/>
    <d v="2017-08-24T00:00:00"/>
    <m/>
    <s v="Jul-17"/>
    <x v="0"/>
    <s v="MW20613 - AYCA-3CGK8N - Tulkaba View – 1"/>
    <s v="Terabla"/>
    <n v="3471.5"/>
    <m/>
    <n v="3471.5"/>
    <n v="3818.65"/>
    <m/>
    <m/>
    <n v="0"/>
    <n v="3471.5"/>
    <n v="1"/>
    <s v="Invoiced"/>
    <d v="2017-07-17T00:00:00"/>
    <s v="Completed and handover forwarded"/>
    <s v="Mark Leal"/>
    <d v="2017-04-19T00:00:00"/>
    <d v="2017-05-05T00:00:00"/>
    <n v="16"/>
    <d v="2017-05-02T00:00:00"/>
    <n v="-3"/>
  </r>
  <r>
    <s v="A417 Greenfield MDU"/>
    <s v="Sydney"/>
    <s v="Inv 12357"/>
    <d v="2017-06-30T00:00:00"/>
    <d v="2017-06-02T00:00:00"/>
    <d v="2017-06-01T00:00:00"/>
    <m/>
    <m/>
    <d v="2017-06-13T00:00:00"/>
    <d v="2017-08-10T00:00:00"/>
    <s v="39 Days for payment claim approval"/>
    <s v="Jun-17"/>
    <x v="0"/>
    <s v="MW20682 - AYCA-3NDQ7T - 2ROU-04 - 67 Barry Street "/>
    <s v="Rouse Hill"/>
    <n v="345.37"/>
    <n v="139.95999999999998"/>
    <n v="485.33"/>
    <n v="533.86300000000006"/>
    <m/>
    <m/>
    <n v="0"/>
    <n v="485.33"/>
    <n v="1"/>
    <s v="Invoiced"/>
    <d v="2017-06-15T00:00:00"/>
    <s v="Completed and handover forwarded"/>
    <s v="Andrew Mahassy"/>
    <s v="Direct Award"/>
    <d v="2017-05-04T00:00:00"/>
    <m/>
    <m/>
    <m/>
  </r>
  <r>
    <s v="A417 Greenfield MDU"/>
    <s v="Sydney"/>
    <s v="Inv 12636"/>
    <d v="2017-10-27T00:00:00"/>
    <d v="2017-07-05T00:00:00"/>
    <d v="2017-07-05T00:00:00"/>
    <d v="2017-08-09T00:00:00"/>
    <d v="2017-09-11T00:00:00"/>
    <d v="2017-09-11T00:00:00"/>
    <d v="2017-09-28T00:00:00"/>
    <m/>
    <s v="Jul-17"/>
    <x v="7"/>
    <s v="MW20648-2KEL-03 -AYCA-3BH4IQ - Lot A, 8 Merriville Road - 1"/>
    <s v="Kellyville"/>
    <n v="1532.61"/>
    <n v="1946.79"/>
    <n v="3479.3999999999996"/>
    <n v="3827.3399999999997"/>
    <n v="935.3"/>
    <m/>
    <n v="935.3"/>
    <n v="2544.0999999999995"/>
    <n v="0.73118928550899576"/>
    <s v="Invoiced"/>
    <d v="2017-07-19T00:00:00"/>
    <s v="Completed and handover forwarded"/>
    <s v="Lindy Chan"/>
    <s v="Direct Award"/>
    <d v="2017-05-11T00:00:00"/>
    <m/>
    <m/>
    <m/>
  </r>
  <r>
    <s v="A417 Greenfield MDU"/>
    <s v="Sydney"/>
    <s v="Inv 12358"/>
    <d v="2017-06-30T00:00:00"/>
    <d v="2017-06-14T00:00:00"/>
    <d v="2017-06-14T00:00:00"/>
    <d v="2017-08-09T00:00:00"/>
    <d v="2017-08-14T00:00:00"/>
    <d v="2017-07-14T00:00:00"/>
    <d v="2017-08-24T00:00:00"/>
    <s v="Waiting on PC approval sent in 14/6, variation submitted 9/8/17"/>
    <s v="Jun-17"/>
    <x v="0"/>
    <s v="MW20652 - AYCA-1CI2SU - Jenkins - East, West &amp; South"/>
    <s v="Carlingford"/>
    <n v="1166.1099999999999"/>
    <n v="7788.37"/>
    <n v="8954.48"/>
    <n v="9849.9279999999999"/>
    <m/>
    <m/>
    <n v="0"/>
    <n v="8954.48"/>
    <n v="1"/>
    <s v="Invoiced"/>
    <d v="2017-06-28T00:00:00"/>
    <s v="Completed and handover forwarded"/>
    <s v="Michael Tram"/>
    <s v="Direct Award"/>
    <d v="2017-05-04T00:00:00"/>
    <m/>
    <m/>
    <m/>
  </r>
  <r>
    <s v="A417 Greenfield MDU"/>
    <s v="Sydney"/>
    <s v="Inv 12712"/>
    <d v="2017-10-18T00:00:00"/>
    <d v="2017-06-30T00:00:00"/>
    <d v="2017-07-01T00:00:00"/>
    <d v="2017-08-09T00:00:00"/>
    <d v="2017-09-07T00:00:00"/>
    <d v="2017-08-08T00:00:00"/>
    <d v="2017-10-24T00:00:00"/>
    <s v="Variation submitted 9/8/17"/>
    <s v="Jul-17"/>
    <x v="5"/>
    <s v="MW20669 - AYCA-47X9GS - Mackenzie Residences - Strathfield - 1 "/>
    <s v="Strathfield"/>
    <n v="1633.8"/>
    <n v="826.67"/>
    <n v="2460.4699999999998"/>
    <n v="2706.5169999999998"/>
    <m/>
    <m/>
    <n v="0"/>
    <n v="2460.4699999999998"/>
    <n v="1"/>
    <s v="Invoiced"/>
    <d v="2017-07-15T00:00:00"/>
    <s v="Completed and handover forwarded"/>
    <s v="Lindy Chan"/>
    <s v="Direct Award"/>
    <d v="2017-05-08T00:00:00"/>
    <m/>
    <m/>
    <m/>
  </r>
  <r>
    <s v="A417 Greenfield MDU"/>
    <s v="Sydney"/>
    <m/>
    <m/>
    <m/>
    <d v="2018-07-30T00:00:00"/>
    <m/>
    <m/>
    <m/>
    <m/>
    <m/>
    <s v="Jul-18"/>
    <x v="8"/>
    <s v="MW20698 - AYCA-1SQ3K5 - 189 Macquarie Street"/>
    <s v="Parramatta"/>
    <n v="1056.78"/>
    <m/>
    <n v="1056.78"/>
    <n v="1162.4580000000001"/>
    <n v="235"/>
    <m/>
    <n v="235"/>
    <n v="821.78"/>
    <n v="0.77762637445825999"/>
    <m/>
    <d v="2018-08-13T00:00:00"/>
    <m/>
    <s v="Lindy Chan"/>
    <s v="Direct Award"/>
    <d v="2017-05-08T00:00:00"/>
    <m/>
    <m/>
    <m/>
  </r>
  <r>
    <s v="A417 Greenfield MDU"/>
    <s v="Sydney"/>
    <s v="Inv 12600"/>
    <d v="2017-09-15T00:00:00"/>
    <d v="2017-07-11T00:00:00"/>
    <d v="2017-07-11T00:00:00"/>
    <d v="2017-08-09T00:00:00"/>
    <d v="2017-09-01T00:00:00"/>
    <d v="2017-08-08T00:00:00"/>
    <d v="2017-09-21T00:00:00"/>
    <m/>
    <s v="Jul-17"/>
    <x v="7"/>
    <s v="MW20686 - AYCA-1RBL6L - The North Village , Kellyville - 1"/>
    <s v="Kellyville"/>
    <n v="1317.54"/>
    <n v="7782.07"/>
    <n v="9099.61"/>
    <n v="10009.571000000002"/>
    <n v="2486.86"/>
    <m/>
    <n v="2486.86"/>
    <n v="6612.75"/>
    <n v="0.72670696876019958"/>
    <s v="Invoiced"/>
    <d v="2017-07-25T00:00:00"/>
    <s v="Completed and handover forwarded"/>
    <s v="Michael Tram"/>
    <s v="Direct Award"/>
    <d v="2017-05-11T00:00:00"/>
    <m/>
    <m/>
    <m/>
  </r>
  <r>
    <s v="A417 Greenfield MDU"/>
    <s v="Sydney"/>
    <s v="Inv 13121"/>
    <d v="2018-01-23T00:00:00"/>
    <d v="2017-11-23T00:00:00"/>
    <d v="2017-11-23T00:00:00"/>
    <d v="2017-12-04T00:00:00"/>
    <d v="2017-12-08T00:00:00"/>
    <d v="2017-12-14T00:00:00"/>
    <d v="2018-02-06T00:00:00"/>
    <m/>
    <s v="Nov-17"/>
    <x v="11"/>
    <s v="MW20692 - AYCA-2HTGPP - Scalabrini Village Residential"/>
    <s v="Drummoyne "/>
    <n v="2134.75"/>
    <n v="8039.13"/>
    <n v="10173.880000000001"/>
    <n v="11191.268000000002"/>
    <n v="7738.49"/>
    <m/>
    <n v="7738.49"/>
    <n v="2435.3900000000012"/>
    <n v="0.23937671763378388"/>
    <s v="Invoiced"/>
    <d v="2017-12-07T00:00:00"/>
    <s v="Completed and handover forwarded"/>
    <s v="Michael Tram"/>
    <s v="Direct Award"/>
    <d v="2017-05-26T00:00:00"/>
    <m/>
    <m/>
    <m/>
  </r>
  <r>
    <s v="A417 Greenfield MDU"/>
    <s v="Sydney"/>
    <s v="Inv 12361 &amp;12361b"/>
    <d v="2017-06-30T00:00:00"/>
    <d v="2017-07-01T00:00:00"/>
    <d v="2017-06-30T00:00:00"/>
    <d v="2017-08-09T00:00:00"/>
    <d v="2017-09-07T00:00:00"/>
    <d v="2017-08-08T00:00:00"/>
    <d v="2017-09-14T00:00:00"/>
    <s v="Variation Submitted 09/08/17"/>
    <s v="Jun-17"/>
    <x v="7"/>
    <s v="MW20699 - AYCA-3BSZ4M - 41 &amp; 55 Rynan Ave"/>
    <s v="Edmondson Park"/>
    <n v="254.28"/>
    <n v="780"/>
    <n v="1034.28"/>
    <n v="1137.7080000000001"/>
    <m/>
    <m/>
    <n v="0"/>
    <n v="1034.28"/>
    <n v="1"/>
    <s v="Invoiced"/>
    <d v="2017-07-14T00:00:00"/>
    <s v="Completed and handover forwarded"/>
    <s v="Andrew Mahassy"/>
    <s v="Direct Award"/>
    <d v="2017-05-08T00:00:00"/>
    <m/>
    <m/>
    <m/>
  </r>
  <r>
    <s v="A417 Greenfield MDU"/>
    <s v="Sydney"/>
    <s v="Inv 12873"/>
    <d v="2017-11-29T00:00:00"/>
    <d v="2017-08-09T00:00:00"/>
    <d v="2017-09-06T00:00:00"/>
    <m/>
    <m/>
    <d v="2017-09-20T00:00:00"/>
    <d v="2017-11-30T00:00:00"/>
    <m/>
    <s v="Sep-17"/>
    <x v="4"/>
    <s v="MW20727 - 2NRN-10 - AYCA-3UYW26 - P150 - Internals"/>
    <s v="Smeaton Grange"/>
    <n v="1120"/>
    <m/>
    <n v="1120"/>
    <n v="1232"/>
    <m/>
    <m/>
    <n v="0"/>
    <n v="1120"/>
    <n v="1"/>
    <s v="Invoiced"/>
    <d v="2017-09-20T00:00:00"/>
    <s v="Completed and handover forwarded"/>
    <s v="Nabeel Jaimon"/>
    <s v="Direct Award"/>
    <d v="2017-05-11T00:00:00"/>
    <m/>
    <d v="2017-05-30T00:00:00"/>
    <m/>
  </r>
  <r>
    <s v="A401/Greenfield"/>
    <s v="Newcastle"/>
    <s v="Inv 12263"/>
    <d v="2017-05-31T00:00:00"/>
    <d v="2017-05-19T00:00:00"/>
    <d v="2017-05-30T00:00:00"/>
    <m/>
    <m/>
    <d v="2017-08-08T00:00:00"/>
    <d v="2017-08-24T00:00:00"/>
    <s v="Payment Claim submitted 9/9/17"/>
    <s v="May-17"/>
    <x v="0"/>
    <s v="MW20660 - AYCA-45D358 NSB Albuera Close SITE SURVEY"/>
    <s v="Matiland"/>
    <n v="2760"/>
    <m/>
    <n v="2760"/>
    <n v="3036.0000000000005"/>
    <m/>
    <m/>
    <n v="0"/>
    <n v="2760"/>
    <n v="1"/>
    <s v="Invoiced"/>
    <d v="2017-06-13T00:00:00"/>
    <s v="Completed and handover forwarded"/>
    <s v="Mark Leal"/>
    <d v="2017-05-10T00:00:00"/>
    <d v="2017-05-23T00:00:00"/>
    <n v="13"/>
    <m/>
    <m/>
  </r>
  <r>
    <s v="A417 Greenfield MDU"/>
    <s v="Sydney"/>
    <s v="Inv 12269"/>
    <d v="2017-05-31T00:00:00"/>
    <d v="2017-05-31T00:00:00"/>
    <d v="2017-05-31T00:00:00"/>
    <m/>
    <m/>
    <d v="2017-06-09T00:00:00"/>
    <d v="2017-08-15T00:00:00"/>
    <m/>
    <s v="May-17"/>
    <x v="0"/>
    <s v="MW20749 - 2KEL-07 - AYCA-3R9JM5 - 31 Memorial Av"/>
    <s v="Kellyville"/>
    <n v="465.57"/>
    <m/>
    <n v="465.57"/>
    <n v="512.12700000000007"/>
    <m/>
    <m/>
    <n v="0"/>
    <n v="465.57"/>
    <n v="1"/>
    <s v="Invoiced"/>
    <d v="2017-06-14T00:00:00"/>
    <s v="Completed and handover forwarded"/>
    <s v="Andrew Mahassy"/>
    <s v="Direct Award"/>
    <d v="2017-05-17T00:00:00"/>
    <m/>
    <m/>
    <m/>
  </r>
  <r>
    <s v="A401/Minor works"/>
    <s v="Sydney"/>
    <s v="Inv 12065b"/>
    <d v="2017-05-31T00:00:00"/>
    <d v="2017-03-31T00:00:00"/>
    <d v="2017-05-16T00:00:00"/>
    <d v="2017-07-07T00:00:00"/>
    <d v="2017-08-10T00:00:00"/>
    <d v="2017-04-20T00:00:00"/>
    <d v="2017-08-24T00:00:00"/>
    <s v="Up to V3 of Variation request, Chris A handling it now.  Submitted payment claim on the 10/8"/>
    <s v="May-17"/>
    <x v="0"/>
    <s v="MW20187 - 2CBT-01-14_10 &amp; 2CBT-04-14"/>
    <s v="Campbelltown"/>
    <n v="0"/>
    <n v="39403.65"/>
    <n v="39403.65"/>
    <n v="43344.015000000007"/>
    <m/>
    <m/>
    <n v="0"/>
    <n v="39403.65"/>
    <n v="1"/>
    <s v="Invoiced"/>
    <d v="2017-05-30T00:00:00"/>
    <s v="Completed and handover forwarded"/>
    <s v="Anna Juranic"/>
    <d v="2016-10-19T00:00:00"/>
    <d v="2016-11-21T00:00:00"/>
    <n v="33"/>
    <d v="2017-01-30T00:00:00"/>
    <n v="70"/>
  </r>
  <r>
    <s v="A401/Greenfield"/>
    <s v="Sydney"/>
    <s v="Inv 12338"/>
    <d v="2017-06-27T00:00:00"/>
    <d v="2017-06-05T00:00:00"/>
    <d v="2017-06-05T00:00:00"/>
    <m/>
    <m/>
    <d v="2017-08-08T00:00:00"/>
    <d v="2017-08-22T00:00:00"/>
    <m/>
    <s v="Jun-17"/>
    <x v="0"/>
    <s v="MW20662 - 2KEL-08 - AYCA-42POJA - NSB - Memorial Ave Kelly Survey"/>
    <s v="Kellyville"/>
    <n v="2100"/>
    <m/>
    <n v="2100"/>
    <n v="2310"/>
    <m/>
    <m/>
    <n v="0"/>
    <n v="2100"/>
    <n v="1"/>
    <s v="Invoiced"/>
    <d v="2017-06-19T00:00:00"/>
    <s v="Completed and handover forwarded"/>
    <s v="Andrew Mahassy"/>
    <d v="2017-05-11T00:00:00"/>
    <d v="2017-05-25T00:00:00"/>
    <n v="14"/>
    <d v="2017-05-30T00:00:00"/>
    <n v="5"/>
  </r>
  <r>
    <s v="A401/Greenfield"/>
    <s v="Sydney"/>
    <s v="Inv 12359"/>
    <d v="2017-06-30T00:00:00"/>
    <d v="2017-06-26T00:00:00"/>
    <d v="2017-06-30T00:00:00"/>
    <m/>
    <m/>
    <d v="2017-08-08T00:00:00"/>
    <d v="2017-08-29T00:00:00"/>
    <s v="Payment Claim submitted 9/9/17"/>
    <s v="Jun-17"/>
    <x v="0"/>
    <s v="MW20661 - 2LIV-04 - AYCA-476RM9 - 87-91 Campbell St NSB Survey"/>
    <s v="Liverpool"/>
    <n v="2100"/>
    <m/>
    <n v="2100"/>
    <n v="2310"/>
    <m/>
    <m/>
    <n v="0"/>
    <n v="2100"/>
    <n v="1"/>
    <s v="Invoiced"/>
    <d v="2017-07-14T00:00:00"/>
    <s v="Completed and handover forwarded"/>
    <s v="Andrew Mahassy"/>
    <d v="2017-05-11T00:00:00"/>
    <d v="2017-05-25T00:00:00"/>
    <n v="14"/>
    <d v="2017-05-30T00:00:00"/>
    <n v="5"/>
  </r>
  <r>
    <s v="A401/Greenfield"/>
    <s v="Sth Coast"/>
    <s v="Inv 12049b"/>
    <d v="2017-08-17T00:00:00"/>
    <d v="2017-07-13T00:00:00"/>
    <d v="2017-07-18T00:00:00"/>
    <d v="2017-07-18T00:00:00"/>
    <d v="2017-08-11T00:00:00"/>
    <d v="2017-08-18T00:00:00"/>
    <d v="2017-09-19T00:00:00"/>
    <m/>
    <s v="Jul-17"/>
    <x v="7"/>
    <s v="MW20667 - AYCA-41NF6X - Non Standard Builds - Miller St    BUILD"/>
    <s v="Coniston"/>
    <n v="10585.7"/>
    <n v="2720.57"/>
    <n v="13306.27"/>
    <n v="14636.897000000001"/>
    <m/>
    <m/>
    <n v="0"/>
    <n v="13306.27"/>
    <n v="1"/>
    <s v="Invoiced"/>
    <d v="2017-08-01T00:00:00"/>
    <s v="Completed and handover forwarded"/>
    <s v="Andrew Mahassy"/>
    <d v="2017-05-15T00:00:00"/>
    <d v="2017-05-23T00:00:00"/>
    <n v="8"/>
    <d v="2017-05-30T00:00:00"/>
    <n v="7"/>
  </r>
  <r>
    <s v="A401/Greenfield"/>
    <s v="Central Coast"/>
    <s v="Inv 12640"/>
    <d v="2017-10-11T00:00:00"/>
    <d v="2017-08-17T00:00:00"/>
    <d v="2017-08-17T00:00:00"/>
    <d v="2017-08-17T00:00:00"/>
    <d v="2017-09-11T00:00:00"/>
    <d v="2017-09-11T00:00:00"/>
    <d v="2017-10-17T00:00:00"/>
    <s v="Waiting on DY NBN"/>
    <s v="Aug-17"/>
    <x v="5"/>
    <s v="MW20604 - AYCA-46I5YX - 878 Pacific Hwy, Lisarow"/>
    <s v="Lisarow"/>
    <n v="6610.72"/>
    <n v="2460.3428571428572"/>
    <n v="9071.062857142857"/>
    <n v="9978.169142857143"/>
    <n v="6348.9"/>
    <m/>
    <n v="6348.9"/>
    <n v="2722.1628571428573"/>
    <n v="0.30009304312110852"/>
    <s v="Invoiced"/>
    <d v="2017-08-31T00:00:00"/>
    <s v="Completed and handover forwarded"/>
    <s v="Dave Yoemans"/>
    <d v="2017-05-19T00:00:00"/>
    <m/>
    <m/>
    <m/>
    <m/>
  </r>
  <r>
    <s v="A401/Minor works"/>
    <s v="Central Coast"/>
    <s v="Inv 12360a"/>
    <d v="2017-06-30T00:00:00"/>
    <d v="2017-06-26T00:00:00"/>
    <d v="2017-06-26T00:00:00"/>
    <d v="2017-07-20T00:00:00"/>
    <d v="2017-07-28T00:00:00"/>
    <d v="2017-07-20T00:00:00"/>
    <d v="2017-08-31T00:00:00"/>
    <s v="Waiting on Variation Approval"/>
    <s v="Jun-17"/>
    <x v="0"/>
    <s v="MW20679 - 2LJT-02 - MPS-012 - 3 Corella"/>
    <s v="Long Jetty"/>
    <n v="6239.62"/>
    <n v="-4880.3"/>
    <n v="1359.3199999999997"/>
    <n v="1495.2519999999997"/>
    <m/>
    <m/>
    <n v="0"/>
    <n v="1359.3199999999997"/>
    <n v="1"/>
    <s v="Invoiced"/>
    <d v="2017-07-10T00:00:00"/>
    <s v="Completed and handover forwarded"/>
    <s v="Jay Shrestha"/>
    <d v="2017-05-16T00:00:00"/>
    <d v="2017-05-23T00:00:00"/>
    <n v="7"/>
    <d v="2017-06-16T00:00:00"/>
    <n v="24"/>
  </r>
  <r>
    <s v="A401/Greenfield"/>
    <s v="Sydney"/>
    <s v="Inv 13434"/>
    <d v="2018-03-27T00:00:00"/>
    <d v="2018-03-07T00:00:00"/>
    <d v="2018-03-08T00:00:00"/>
    <m/>
    <m/>
    <d v="2018-03-21T00:00:00"/>
    <d v="2018-03-28T00:00:00"/>
    <m/>
    <s v="Mar-18"/>
    <x v="2"/>
    <s v="MW21642- AYCA-48KUSD-2NRN-10 - 79-85 TURNER ROAD, GREGORY HILLS"/>
    <s v="Gregory Hills"/>
    <n v="2107.06"/>
    <m/>
    <n v="2107.06"/>
    <n v="2317.7660000000001"/>
    <n v="676.5"/>
    <m/>
    <n v="676.5"/>
    <n v="1430.56"/>
    <n v="0.67893652767363055"/>
    <s v="Invoiced"/>
    <d v="2018-03-22T00:00:00"/>
    <s v="Completed and handover forwarded"/>
    <s v="Andrew Mahassy"/>
    <d v="2017-11-23T00:00:00"/>
    <d v="2018-01-04T00:00:00"/>
    <n v="42"/>
    <d v="2018-01-10T00:00:00"/>
    <n v="6"/>
  </r>
  <r>
    <s v="A417 Greenfield MDU"/>
    <s v="Sydney"/>
    <s v="Inv 12588"/>
    <d v="2017-09-18T00:00:00"/>
    <d v="2017-08-04T00:00:00"/>
    <d v="2017-08-04T00:00:00"/>
    <d v="2017-08-09T00:00:00"/>
    <d v="2017-08-23T00:00:00"/>
    <d v="2017-09-04T00:00:00"/>
    <d v="2017-09-21T00:00:00"/>
    <s v="Variation submitted 9/08/17"/>
    <s v="Aug-17"/>
    <x v="7"/>
    <s v="MW20786 - 2LIV-03 - AYCA-47DIBW - Dale Development – 1"/>
    <s v="Liverpool"/>
    <n v="945.25"/>
    <n v="2842.35"/>
    <n v="3787.6"/>
    <n v="4166.3600000000006"/>
    <m/>
    <m/>
    <n v="0"/>
    <n v="3787.6"/>
    <n v="1"/>
    <s v="Invoiced"/>
    <d v="2017-08-18T00:00:00"/>
    <s v="Completed and handover forwarded"/>
    <s v="Andrew Mahassy"/>
    <s v="Direct Award"/>
    <d v="2017-05-25T00:00:00"/>
    <m/>
    <m/>
    <m/>
  </r>
  <r>
    <s v="A417 Greenfield MDU"/>
    <s v="Sydney"/>
    <s v="Inv 13399"/>
    <d v="2018-03-22T00:00:00"/>
    <d v="2018-02-26T00:00:00"/>
    <d v="2018-02-27T00:00:00"/>
    <d v="2018-02-27T00:00:00"/>
    <d v="2018-03-14T00:00:00"/>
    <d v="2018-03-12T00:00:00"/>
    <d v="2018-03-22T00:00:00"/>
    <s v="Waiting on PC and Variation submission"/>
    <s v="Feb-18"/>
    <x v="2"/>
    <s v="MW20767 - AYCA-1PM9JB - 2GRA-64 -  Merrylands Rd"/>
    <s v="Merrylands"/>
    <n v="982.6"/>
    <n v="14413.24"/>
    <n v="15395.84"/>
    <n v="16935.424000000003"/>
    <n v="5328.82"/>
    <m/>
    <n v="5328.82"/>
    <n v="10067.02"/>
    <n v="0.6538792297140007"/>
    <s v="Invoiced"/>
    <d v="2018-03-13T00:00:00"/>
    <s v="Completed and handover forwarded"/>
    <s v="Michael Tram"/>
    <s v="Direct Award"/>
    <d v="2017-05-25T00:00:00"/>
    <m/>
    <d v="2017-07-01T00:00:00"/>
    <n v="37"/>
  </r>
  <r>
    <s v="A401/Greenfield"/>
    <s v="Sydney"/>
    <s v="Inv 12573"/>
    <d v="2017-09-11T00:00:00"/>
    <d v="2017-07-03T00:00:00"/>
    <d v="2017-07-03T00:00:00"/>
    <d v="2017-07-03T00:00:00"/>
    <d v="2017-08-18T00:00:00"/>
    <d v="2017-09-04T00:00:00"/>
    <d v="2017-09-21T00:00:00"/>
    <s v="Waiting for PC &amp; Variation approval"/>
    <s v="Jul-17"/>
    <x v="7"/>
    <s v="MW20725 - AYCA-3I8QKP - 6-8 Biara Street, Bargo – 11"/>
    <s v="Bargo"/>
    <n v="4091.52"/>
    <n v="1416.6946428571423"/>
    <n v="5508.2146428571423"/>
    <n v="6059.036107142857"/>
    <m/>
    <m/>
    <n v="0"/>
    <n v="5508.2146428571423"/>
    <n v="1"/>
    <s v="Invoiced"/>
    <d v="2017-07-17T00:00:00"/>
    <s v="Completed and handover forwarded"/>
    <s v="Ertan Cicek"/>
    <d v="2017-05-18T00:00:00"/>
    <d v="2017-05-26T00:00:00"/>
    <n v="8"/>
    <d v="2017-05-30T00:00:00"/>
    <n v="4"/>
  </r>
  <r>
    <s v="A417 Greenfield MDU"/>
    <s v="Sydney"/>
    <s v="Inv 12798"/>
    <d v="2017-11-09T00:00:00"/>
    <d v="2017-09-12T00:00:00"/>
    <d v="2017-09-12T00:00:00"/>
    <d v="2017-09-12T00:00:00"/>
    <d v="2017-10-03T00:00:00"/>
    <d v="2017-09-26T00:00:00"/>
    <d v="2017-11-23T00:00:00"/>
    <m/>
    <s v="Sep-17"/>
    <x v="4"/>
    <s v="MW20765 - 2HOR-63 - AYCA-2ZE1AV - 1 &amp; 1A Cowan Road, Mount Colah - Killara "/>
    <s v="Hornsby"/>
    <n v="1984.44"/>
    <n v="2687.91"/>
    <n v="4672.3500000000004"/>
    <n v="5139.5850000000009"/>
    <m/>
    <m/>
    <n v="0"/>
    <n v="4672.3500000000004"/>
    <n v="1"/>
    <s v="Invoiced"/>
    <d v="2017-09-26T00:00:00"/>
    <s v="Completed and handover forwarded"/>
    <s v="Andrew Partalis"/>
    <s v="Direct Award"/>
    <d v="2017-05-24T00:00:00"/>
    <m/>
    <m/>
    <m/>
  </r>
  <r>
    <s v="A401/Minor works"/>
    <s v="Sydney"/>
    <s v="Inv 12268"/>
    <d v="2017-05-31T00:00:00"/>
    <d v="2017-05-31T00:00:00"/>
    <d v="2017-05-16T00:00:00"/>
    <m/>
    <m/>
    <d v="2017-06-28T00:00:00"/>
    <d v="2017-07-28T00:00:00"/>
    <m/>
    <s v="May-17"/>
    <x v="6"/>
    <s v="MW20680 - 2BLK-02/07 - MPS-032 &amp; MPS-010"/>
    <s v="Blacktown"/>
    <n v="18758.95"/>
    <m/>
    <n v="18758.95"/>
    <n v="20634.845000000001"/>
    <n v="1501.72"/>
    <m/>
    <n v="1501.72"/>
    <n v="17257.23"/>
    <n v="0.91994647888074754"/>
    <s v="Invoiced"/>
    <d v="2017-05-30T00:00:00"/>
    <s v="Completed and handover forwarded"/>
    <s v="Jay Shrestha"/>
    <d v="2017-05-16T00:00:00"/>
    <d v="2017-05-25T00:00:00"/>
    <n v="9"/>
    <d v="2017-06-16T00:00:00"/>
    <n v="22"/>
  </r>
  <r>
    <s v="A417 Greenfield MDU"/>
    <s v="Sydney"/>
    <s v="Inv 12562"/>
    <d v="2017-09-07T00:00:00"/>
    <d v="2017-07-21T00:00:00"/>
    <d v="2017-07-21T00:00:00"/>
    <d v="2017-08-09T00:00:00"/>
    <d v="2017-08-18T00:00:00"/>
    <d v="2017-08-08T00:00:00"/>
    <d v="2017-09-12T00:00:00"/>
    <m/>
    <s v="Jul-17"/>
    <x v="7"/>
    <s v="MW20791 - 2RIV-01 - AYCA-3W8B3W - 43 Church St - 1"/>
    <s v="Riverstone"/>
    <n v="891.6"/>
    <n v="601.80999999999995"/>
    <n v="1493.4099999999999"/>
    <n v="1642.751"/>
    <m/>
    <m/>
    <n v="0"/>
    <n v="1493.4099999999999"/>
    <n v="1"/>
    <s v="Invoiced"/>
    <d v="2017-08-04T00:00:00"/>
    <s v="Completed and handover forwarded"/>
    <s v="Andrew Mahassy"/>
    <s v="Direct Award"/>
    <d v="2017-05-25T00:00:00"/>
    <m/>
    <m/>
    <m/>
  </r>
  <r>
    <s v="A401/Greenfield"/>
    <s v="Newcastle"/>
    <s v="Inv 12586"/>
    <d v="2017-09-18T00:00:00"/>
    <d v="2017-07-04T00:00:00"/>
    <d v="2017-07-04T00:00:00"/>
    <m/>
    <m/>
    <d v="2017-08-08T00:00:00"/>
    <d v="2017-09-21T00:00:00"/>
    <m/>
    <s v="Jul-17"/>
    <x v="7"/>
    <s v="MW20719 - AYCA-3RWSQB - 26 Kalinya Close, Cameron Park – 1"/>
    <s v="Cameron Park"/>
    <n v="3684.78"/>
    <m/>
    <n v="3684.78"/>
    <n v="4053.2580000000007"/>
    <m/>
    <m/>
    <n v="0"/>
    <n v="3684.78"/>
    <n v="1"/>
    <s v="Invoiced"/>
    <d v="2017-07-18T00:00:00"/>
    <s v="Completed and handover forwarded"/>
    <s v="Mark Leal"/>
    <d v="2017-05-11T00:00:00"/>
    <d v="2017-05-29T00:00:00"/>
    <n v="18"/>
    <d v="2017-05-29T00:00:00"/>
    <n v="0"/>
  </r>
  <r>
    <s v="A401/Greenfield"/>
    <s v="Sth NSW"/>
    <s v="Inv 12496"/>
    <d v="2017-08-17T00:00:00"/>
    <d v="2017-07-03T00:00:00"/>
    <d v="2017-07-03T00:00:00"/>
    <m/>
    <m/>
    <d v="2017-08-08T00:00:00"/>
    <d v="2017-08-24T00:00:00"/>
    <m/>
    <s v="Jul-17"/>
    <x v="0"/>
    <s v="MW20720 - AYCA-4BHWVV - Argyle Community Housing - 1 "/>
    <s v="Bowral"/>
    <n v="3135.04"/>
    <m/>
    <n v="3135.04"/>
    <n v="3448.5440000000003"/>
    <m/>
    <m/>
    <n v="0"/>
    <n v="3135.04"/>
    <n v="1"/>
    <s v="Invoiced"/>
    <d v="2017-07-17T00:00:00"/>
    <s v="Completed and handover forwarded"/>
    <s v="Nabel Jaimon"/>
    <d v="2017-05-21T00:00:00"/>
    <d v="2017-06-05T00:00:00"/>
    <n v="15"/>
    <d v="2017-05-31T00:00:00"/>
    <n v="-5"/>
  </r>
  <r>
    <s v="A417 Greenfield MDU"/>
    <s v="Sydney"/>
    <s v="Inv 12685"/>
    <d v="2017-10-10T00:00:00"/>
    <d v="2017-08-12T00:00:00"/>
    <d v="2017-08-14T00:00:00"/>
    <d v="2017-08-16T00:00:00"/>
    <d v="2017-08-25T00:00:00"/>
    <d v="2017-09-08T00:00:00"/>
    <d v="2017-10-12T00:00:00"/>
    <m/>
    <s v="Aug-17"/>
    <x v="5"/>
    <s v="MW20801 - 2RCH-05- AYCA-35BURW - 503-505 Londonderry Road "/>
    <s v="Londonderry"/>
    <n v="1539.68"/>
    <n v="2526.21"/>
    <n v="4065.8900000000003"/>
    <n v="4472.4790000000003"/>
    <m/>
    <m/>
    <n v="0"/>
    <n v="4065.8900000000003"/>
    <n v="1"/>
    <s v="Invoiced"/>
    <d v="2017-08-28T00:00:00"/>
    <s v="Completed and handover forwarded"/>
    <s v="Andrew Mahassy"/>
    <s v="Direct Award"/>
    <d v="2017-06-05T00:00:00"/>
    <m/>
    <m/>
    <m/>
  </r>
  <r>
    <s v="A417 Greenfield MDU"/>
    <s v="Sydney"/>
    <s v="Inv 12799"/>
    <d v="2017-11-13T00:00:00"/>
    <d v="2017-09-21T00:00:00"/>
    <d v="2017-09-25T00:00:00"/>
    <d v="2017-09-27T00:00:00"/>
    <d v="2017-10-02T00:00:00"/>
    <d v="2017-10-02T00:00:00"/>
    <d v="2017-11-16T00:00:00"/>
    <m/>
    <s v="Sep-17"/>
    <x v="4"/>
    <s v="MW20817 - 2LIV-12 - 2QUA – 02- 2PTH-02 - Glenfield_Margo_Jamison"/>
    <s v="Various"/>
    <n v="1876.95"/>
    <n v="2105.2800000000002"/>
    <n v="3982.2300000000005"/>
    <n v="4380.4530000000004"/>
    <m/>
    <m/>
    <n v="0"/>
    <n v="3982.2300000000005"/>
    <n v="1"/>
    <s v="Invoiced"/>
    <d v="2017-10-09T00:00:00"/>
    <s v="Completed and handover forwarded"/>
    <s v="Andrew Mahassy"/>
    <s v="Direct Award"/>
    <d v="2017-06-05T00:00:00"/>
    <m/>
    <m/>
    <m/>
  </r>
  <r>
    <s v="A417 Greenfield MDU"/>
    <s v="Sydney"/>
    <s v="Inv 12639"/>
    <d v="2017-09-27T00:00:00"/>
    <d v="2017-07-21T00:00:00"/>
    <d v="2017-07-21T00:00:00"/>
    <d v="2017-08-09T00:00:00"/>
    <d v="2017-08-31T00:00:00"/>
    <d v="2017-09-07T00:00:00"/>
    <d v="2017-09-27T00:00:00"/>
    <m/>
    <s v="Jul-17"/>
    <x v="7"/>
    <s v="MW20688 - AYCA-42LEI4 - MNR Investment Group Pty Ltd - 1 "/>
    <s v="Lidcombe"/>
    <n v="1706.42"/>
    <n v="2638"/>
    <n v="4344.42"/>
    <n v="4778.8620000000001"/>
    <m/>
    <m/>
    <n v="0"/>
    <n v="4344.42"/>
    <n v="1"/>
    <s v="Invoiced"/>
    <d v="2017-08-04T00:00:00"/>
    <s v="Completed and handover forwarded"/>
    <s v="Mary Angly"/>
    <s v="Direct Award"/>
    <d v="2017-06-06T00:00:00"/>
    <m/>
    <m/>
    <m/>
  </r>
  <r>
    <s v="A417 Greenfield MDU"/>
    <s v="Sydney"/>
    <s v="Inv 12499"/>
    <d v="2017-08-17T00:00:00"/>
    <d v="2017-07-21T00:00:00"/>
    <d v="2017-07-21T00:00:00"/>
    <d v="2017-08-10T00:00:00"/>
    <d v="2017-08-24T00:00:00"/>
    <d v="2017-08-09T00:00:00"/>
    <d v="2017-09-14T00:00:00"/>
    <m/>
    <s v="Jul-17"/>
    <x v="7"/>
    <s v="MW20876 - SOPR MWI - 2RIV-02 - 34-36 Schofields - North Park - 10"/>
    <s v="Schofields"/>
    <n v="815.12"/>
    <n v="142.16"/>
    <n v="957.28"/>
    <n v="1053.008"/>
    <m/>
    <m/>
    <n v="0"/>
    <n v="957.28"/>
    <n v="1"/>
    <s v="Invoiced"/>
    <d v="2017-08-04T00:00:00"/>
    <s v="Completed and handover forwarded"/>
    <s v="Andrew Mahassy"/>
    <s v="Direct Award"/>
    <d v="2017-06-20T00:00:00"/>
    <m/>
    <m/>
    <m/>
  </r>
  <r>
    <s v="A417 Greenfield MDU"/>
    <s v="Sydney"/>
    <s v="Inv 12590"/>
    <d v="2017-09-18T00:00:00"/>
    <d v="2017-07-04T00:00:00"/>
    <d v="2017-07-04T00:00:00"/>
    <d v="2017-08-09T00:00:00"/>
    <d v="2017-08-18T00:00:00"/>
    <d v="2017-09-04T00:00:00"/>
    <d v="2017-09-21T00:00:00"/>
    <m/>
    <s v="Jul-17"/>
    <x v="7"/>
    <s v="MW20877 - 2RIV-02 - 34-36 Schofields - North Park  - 9"/>
    <s v="Schofields"/>
    <n v="124.97"/>
    <n v="390"/>
    <n v="514.97"/>
    <n v="566.4670000000001"/>
    <m/>
    <m/>
    <n v="0"/>
    <n v="514.97"/>
    <n v="1"/>
    <s v="Invoiced"/>
    <d v="2017-07-18T00:00:00"/>
    <s v="Completed and handover forwarded"/>
    <s v="Andrew Mahassy"/>
    <s v="Direct Award"/>
    <d v="2017-06-20T00:00:00"/>
    <m/>
    <m/>
    <m/>
  </r>
  <r>
    <s v="A417 Greenfield MDU"/>
    <s v="Sydney"/>
    <s v="Inv 12568"/>
    <d v="2017-09-08T00:00:00"/>
    <d v="2017-07-21T00:00:00"/>
    <d v="2017-07-21T00:00:00"/>
    <d v="2017-08-09T00:00:00"/>
    <d v="2017-08-18T00:00:00"/>
    <d v="2017-08-08T00:00:00"/>
    <d v="2017-09-08T00:00:00"/>
    <m/>
    <s v="Jul-17"/>
    <x v="7"/>
    <s v="MW20882 - 2BLK-07 - AYCA-468EU5 - 299 Flushcombe - 1"/>
    <s v="Blacktown"/>
    <n v="288.08"/>
    <n v="692.46"/>
    <n v="980.54"/>
    <n v="1078.5940000000001"/>
    <m/>
    <m/>
    <n v="0"/>
    <n v="980.54"/>
    <n v="1"/>
    <s v="Invoiced"/>
    <d v="2017-08-04T00:00:00"/>
    <s v="Completed and handover forwarded"/>
    <s v="Andrew Mahassy"/>
    <s v="Direct Award"/>
    <d v="2017-06-16T00:00:00"/>
    <m/>
    <m/>
    <m/>
  </r>
  <r>
    <s v="A417 Greenfield MDU"/>
    <s v="Sydney"/>
    <s v="Inv 12606"/>
    <d v="2017-09-06T00:00:00"/>
    <d v="2017-07-12T00:00:00"/>
    <d v="2017-07-03T00:00:00"/>
    <d v="2017-08-09T00:00:00"/>
    <d v="2017-09-01T00:00:00"/>
    <d v="2017-08-08T00:00:00"/>
    <d v="2017-09-21T00:00:00"/>
    <s v="Variation Proposal Submitted 9/8/17"/>
    <s v="Jul-17"/>
    <x v="7"/>
    <s v="MW20898 - 2MIL-01 -AYCA-45L86C-Non Standard Builds - Zulu Road – Build"/>
    <s v="Edmonton"/>
    <n v="1026.45"/>
    <n v="112.25"/>
    <n v="1138.7"/>
    <n v="1252.5700000000002"/>
    <m/>
    <m/>
    <n v="0"/>
    <n v="1138.7"/>
    <n v="1"/>
    <s v="Invoiced"/>
    <d v="2017-07-17T00:00:00"/>
    <s v="Completed and handover forwarded"/>
    <s v="Andrew Mahassy"/>
    <s v="Direct Award"/>
    <d v="2017-06-19T00:00:00"/>
    <m/>
    <m/>
    <m/>
  </r>
  <r>
    <s v="A417 Greenfield MDU"/>
    <s v="Sydney"/>
    <s v="Inv 12744"/>
    <d v="2017-10-25T00:00:00"/>
    <d v="2017-08-01T00:00:00"/>
    <d v="2017-08-04T00:00:00"/>
    <d v="2017-08-09T00:00:00"/>
    <d v="2017-09-15T00:00:00"/>
    <d v="2017-09-07T00:00:00"/>
    <d v="2017-10-31T00:00:00"/>
    <m/>
    <s v="Aug-17"/>
    <x v="5"/>
    <s v="MW20897 - AYCA-3UMID0 - 2BLK-01 - 25 ALLAWAH ST, BLACKTOWN"/>
    <s v="Blacktown"/>
    <n v="182.87"/>
    <n v="375.17"/>
    <n v="558.04"/>
    <n v="613.84400000000005"/>
    <m/>
    <m/>
    <n v="0"/>
    <n v="558.04"/>
    <n v="1"/>
    <s v="Invoiced"/>
    <d v="2017-08-18T00:00:00"/>
    <s v="Completed and handover forwarded"/>
    <s v="Mark Leal"/>
    <s v="Direct Award"/>
    <d v="2017-06-20T00:00:00"/>
    <m/>
    <m/>
    <m/>
  </r>
  <r>
    <s v="A401/Greenfield"/>
    <s v="Sydney"/>
    <s v="Inv 12872"/>
    <d v="2017-11-29T00:00:00"/>
    <d v="2017-09-04T00:00:00"/>
    <d v="2017-09-04T00:00:00"/>
    <m/>
    <m/>
    <d v="2017-09-18T00:00:00"/>
    <d v="2017-11-30T00:00:00"/>
    <m/>
    <s v="Sep-17"/>
    <x v="4"/>
    <s v="MW20705 - AYCA-3QCL7A - 48 Arnold Avenue Kellyville"/>
    <s v="Kellyville"/>
    <n v="2090.71"/>
    <m/>
    <n v="2090.71"/>
    <n v="2299.7810000000004"/>
    <m/>
    <m/>
    <n v="0"/>
    <n v="2090.71"/>
    <n v="1"/>
    <s v="Invoiced"/>
    <d v="2017-09-18T00:00:00"/>
    <s v="Completed and handover forwarded"/>
    <s v="Dave Yoemans"/>
    <d v="2017-05-15T00:00:00"/>
    <d v="2017-06-16T00:00:00"/>
    <n v="32"/>
    <d v="2017-07-30T00:00:00"/>
    <n v="44"/>
  </r>
  <r>
    <s v="A417 Greenfield MDU"/>
    <s v="Sydney"/>
    <s v="Inv 12686"/>
    <d v="2017-10-10T00:00:00"/>
    <d v="2017-08-13T00:00:00"/>
    <d v="2017-08-14T00:00:00"/>
    <d v="2017-08-15T00:00:00"/>
    <d v="2017-09-01T00:00:00"/>
    <d v="2017-08-28T00:00:00"/>
    <d v="2017-10-12T00:00:00"/>
    <m/>
    <s v="Aug-17"/>
    <x v="5"/>
    <s v="MW20875 - ACYA-3W8TJD - 31-33 Irelands Road Blacktown "/>
    <s v="Blacktown"/>
    <n v="300.05"/>
    <n v="3632.01"/>
    <n v="3932.0600000000004"/>
    <n v="4325.2660000000005"/>
    <n v="2573.9699999999998"/>
    <m/>
    <n v="2573.9699999999998"/>
    <n v="1358.0900000000006"/>
    <n v="0.34538893099291479"/>
    <s v="Invoiced"/>
    <d v="2017-08-28T00:00:00"/>
    <s v="Completed and handover forwarded"/>
    <s v="Andrew Mahassy"/>
    <s v="Direct Award"/>
    <d v="2017-06-28T00:00:00"/>
    <m/>
    <m/>
    <m/>
  </r>
  <r>
    <s v="A401/Greenfield"/>
    <s v="Sydney"/>
    <s v="Inv 12871"/>
    <d v="2017-11-29T00:00:00"/>
    <d v="2017-10-05T00:00:00"/>
    <d v="2017-10-05T00:00:00"/>
    <d v="2017-10-16T00:00:00"/>
    <d v="2017-11-17T00:00:00"/>
    <d v="2017-10-20T00:00:00"/>
    <d v="2017-12-05T00:00:00"/>
    <m/>
    <s v="Oct-17"/>
    <x v="3"/>
    <s v="MW20677 - AYCA-3ENYEX - Cleopatra St Blackheath"/>
    <s v="Blackheath"/>
    <n v="2844.81"/>
    <n v="-106.5"/>
    <n v="2738.31"/>
    <n v="3012.1410000000001"/>
    <m/>
    <m/>
    <n v="0"/>
    <n v="2738.31"/>
    <n v="1"/>
    <s v="Invoiced"/>
    <d v="2017-10-19T00:00:00"/>
    <s v="Completed and handover forwarded"/>
    <s v="Mark Leal"/>
    <d v="2017-05-11T00:00:00"/>
    <d v="2017-05-15T00:00:00"/>
    <n v="4"/>
    <d v="2017-05-19T00:00:00"/>
    <n v="4"/>
  </r>
  <r>
    <s v="A401/Greenfield"/>
    <s v="Sydney"/>
    <s v="Inv 12572"/>
    <d v="2017-09-11T00:00:00"/>
    <d v="2017-07-10T00:00:00"/>
    <d v="2017-07-11T00:00:00"/>
    <m/>
    <m/>
    <d v="2017-08-08T00:00:00"/>
    <d v="2017-09-21T00:00:00"/>
    <m/>
    <s v="Jul-17"/>
    <x v="7"/>
    <s v="MW20730 - AYCA-3ZFK8V - 2NRN-10 - 11-19 Waler "/>
    <s v="Narellan"/>
    <n v="12365.6"/>
    <m/>
    <n v="12365.6"/>
    <n v="13602.160000000002"/>
    <m/>
    <m/>
    <n v="0"/>
    <n v="12365.6"/>
    <n v="1"/>
    <s v="Invoiced"/>
    <d v="2017-07-25T00:00:00"/>
    <s v="Completed and handover forwarded"/>
    <s v="Andrew Partalis"/>
    <d v="2017-05-31T00:00:00"/>
    <d v="2017-07-03T00:00:00"/>
    <n v="33"/>
    <d v="2017-06-09T00:00:00"/>
    <n v="-24"/>
  </r>
  <r>
    <s v="A417 Greenfield MDU"/>
    <s v="Sydney"/>
    <m/>
    <m/>
    <m/>
    <d v="2018-05-30T00:00:00"/>
    <m/>
    <m/>
    <s v=" "/>
    <m/>
    <m/>
    <s v="May-18"/>
    <x v="8"/>
    <s v="MW20888 - 2HOR-62 - AYCA-39AB50 -2HOR-62 -JAAN – 1"/>
    <s v="Asquith"/>
    <n v="1035.19"/>
    <m/>
    <n v="1035.19"/>
    <n v="1138.7090000000001"/>
    <n v="2974.72"/>
    <m/>
    <n v="2974.72"/>
    <n v="-1939.5299999999997"/>
    <n v="-1.8735980834436188"/>
    <m/>
    <d v="2018-06-13T00:00:00"/>
    <m/>
    <s v="Andrew Partalis"/>
    <s v="Direct Award"/>
    <d v="2017-07-04T00:00:00"/>
    <m/>
    <m/>
    <m/>
  </r>
  <r>
    <s v="A401/Minor works"/>
    <s v="Sth NSW"/>
    <s v="Inv 12934"/>
    <d v="2017-12-07T00:00:00"/>
    <d v="2017-08-10T00:00:00"/>
    <d v="2017-10-23T00:00:00"/>
    <d v="2017-11-04T00:00:00"/>
    <d v="2017-11-24T00:00:00"/>
    <d v="2017-11-02T00:00:00"/>
    <d v="2017-12-13T00:00:00"/>
    <m/>
    <s v="Oct-17"/>
    <x v="3"/>
    <s v="MW20812 - 2WLG-01 - 2LIV-04 - Crown, Kembla, Macquarie, George"/>
    <s v="Wollongong / Liverpool"/>
    <n v="10612"/>
    <n v="9213"/>
    <n v="19825"/>
    <n v="21807.5"/>
    <n v="8083.95"/>
    <m/>
    <n v="8083.95"/>
    <n v="11741.05"/>
    <n v="0.592234552332913"/>
    <s v="Invoiced"/>
    <d v="2017-11-06T00:00:00"/>
    <s v="Completed and handover forwarded"/>
    <s v="Milan Khanal"/>
    <d v="2017-06-06T00:00:00"/>
    <d v="2017-07-06T00:00:00"/>
    <n v="30"/>
    <d v="2017-06-30T00:00:00"/>
    <n v="-6"/>
  </r>
  <r>
    <s v="A401/Minor works"/>
    <s v="Sth NSW"/>
    <s v="Inv 12687"/>
    <d v="2017-10-10T00:00:00"/>
    <d v="2017-08-07T00:00:00"/>
    <d v="2017-08-10T00:00:00"/>
    <m/>
    <m/>
    <d v="2017-09-19T00:00:00"/>
    <d v="2017-10-12T00:00:00"/>
    <m/>
    <s v="Aug-17"/>
    <x v="5"/>
    <s v="MW20828 - 2WLG-07 - MPS-889 - 438 Crown Street Wollongong."/>
    <s v="Wollongong"/>
    <n v="6272.99"/>
    <m/>
    <n v="6272.99"/>
    <n v="6900.2890000000007"/>
    <m/>
    <m/>
    <n v="0"/>
    <n v="6272.99"/>
    <n v="1"/>
    <s v="Invoiced"/>
    <d v="2017-08-24T00:00:00"/>
    <s v="Completed and handover forwarded"/>
    <s v="Milan Khanal"/>
    <d v="2017-06-06T00:00:00"/>
    <d v="2017-07-06T00:00:00"/>
    <n v="30"/>
    <d v="2017-06-30T00:00:00"/>
    <n v="-6"/>
  </r>
  <r>
    <s v="A417 Greenfield MDU"/>
    <s v="Sydney"/>
    <s v="Inv 12830"/>
    <d v="2017-11-16T00:00:00"/>
    <d v="2017-10-16T00:00:00"/>
    <d v="2017-10-16T00:00:00"/>
    <d v="2017-10-24T00:00:00"/>
    <d v="2017-10-24T00:00:00"/>
    <d v="2017-10-23T00:00:00"/>
    <d v="2017-11-21T00:00:00"/>
    <m/>
    <s v="Oct-17"/>
    <x v="4"/>
    <s v="MW20833 - 2RIV-02 - AYCA-334H1X - The Maples - 4"/>
    <s v="Schofields"/>
    <n v="2766.71"/>
    <n v="-1040.96"/>
    <n v="1725.75"/>
    <n v="1898.325"/>
    <m/>
    <m/>
    <n v="0"/>
    <n v="1725.75"/>
    <n v="1"/>
    <s v="Invoiced"/>
    <d v="2017-10-30T00:00:00"/>
    <s v="Completed and handover forwarded"/>
    <s v="Andrew Mahassy"/>
    <s v="Direct Award"/>
    <d v="2017-07-05T00:00:00"/>
    <m/>
    <m/>
    <m/>
  </r>
  <r>
    <s v="A417 Greenfield MDU"/>
    <s v="Sydney"/>
    <s v="Inv 12811"/>
    <d v="2017-11-16T00:00:00"/>
    <d v="2017-09-27T00:00:00"/>
    <d v="2017-09-27T00:00:00"/>
    <d v="2017-09-28T00:00:00"/>
    <d v="2017-10-03T00:00:00"/>
    <d v="2017-10-13T00:00:00"/>
    <d v="2017-11-21T00:00:00"/>
    <m/>
    <s v="Sep-17"/>
    <x v="4"/>
    <s v="MW20966 - 2BLK-11 - AYCA-3W8LJB - 42-44 Norfolk St"/>
    <s v="Blacktown"/>
    <n v="232.27"/>
    <n v="7875.13"/>
    <n v="8107.4000000000005"/>
    <n v="8918.1400000000012"/>
    <n v="5913.37"/>
    <m/>
    <n v="5913.37"/>
    <n v="2194.0300000000007"/>
    <n v="0.27062066753829839"/>
    <s v="Invoiced"/>
    <d v="2017-10-11T00:00:00"/>
    <s v="Completed and handover forwarded"/>
    <s v="Andrew Mahassy"/>
    <s v="Direct Award"/>
    <d v="2017-07-05T00:00:00"/>
    <m/>
    <m/>
    <m/>
  </r>
  <r>
    <s v="A417 Greenfield MDU"/>
    <s v="Sydney"/>
    <s v="Inv 12802"/>
    <d v="2017-11-13T00:00:00"/>
    <d v="2017-10-04T00:00:00"/>
    <d v="2017-10-06T00:00:00"/>
    <d v="2017-10-18T00:00:00"/>
    <d v="2017-10-25T00:00:00"/>
    <d v="2017-10-20T00:00:00"/>
    <d v="2017-11-16T00:00:00"/>
    <m/>
    <s v="Oct-17"/>
    <x v="4"/>
    <s v="MW20939 - AYCA-2Y4BYB -2PEN-64 - 344 GWH Wentworthville – 1- EXTERNAL"/>
    <s v="Wentworthville"/>
    <n v="1768.07"/>
    <n v="2146.79"/>
    <n v="3914.8599999999997"/>
    <n v="4306.3459999999995"/>
    <n v="2739.01"/>
    <m/>
    <n v="2739.01"/>
    <n v="1175.8499999999995"/>
    <n v="0.30035556827064047"/>
    <s v="Invoiced"/>
    <d v="2017-10-20T00:00:00"/>
    <s v="Completed and handover forwarded"/>
    <s v="Michael Tram"/>
    <s v="Direct Award"/>
    <d v="2017-07-06T00:00:00"/>
    <m/>
    <m/>
    <m/>
  </r>
  <r>
    <s v="A401/Greenfield"/>
    <s v="Sydney"/>
    <s v="Inv 12803"/>
    <d v="2017-11-13T00:00:00"/>
    <d v="2017-09-25T00:00:00"/>
    <d v="2017-09-25T00:00:00"/>
    <d v="2017-09-27T00:00:00"/>
    <d v="2017-10-02T00:00:00"/>
    <d v="2017-10-04T00:00:00"/>
    <d v="2017-11-16T00:00:00"/>
    <m/>
    <s v="Sep-17"/>
    <x v="4"/>
    <s v="MW20806 - 2EPS-61 -AYCA-42J4C9– 54 Tyrone Place, Erskine Park - Loscam"/>
    <s v="Erskine Park"/>
    <n v="6073.69"/>
    <n v="3516.71"/>
    <n v="9590.4"/>
    <n v="10549.44"/>
    <n v="6233.7"/>
    <m/>
    <n v="6233.7"/>
    <n v="3356.7"/>
    <n v="0.35000625625625625"/>
    <s v="Invoiced"/>
    <d v="2017-10-09T00:00:00"/>
    <s v="Completed and handover forwarded"/>
    <s v="Andrew Mahassy"/>
    <d v="2017-06-13T00:00:00"/>
    <d v="2017-06-30T00:00:00"/>
    <n v="17"/>
    <d v="2017-07-28T00:00:00"/>
    <n v="28"/>
  </r>
  <r>
    <s v="A401/Greenfield"/>
    <s v="Newcastle"/>
    <s v="Inv 12497"/>
    <d v="2017-10-03T00:00:00"/>
    <d v="2017-08-14T00:00:00"/>
    <d v="2017-08-14T00:00:00"/>
    <d v="2017-08-15T00:00:00"/>
    <d v="2017-09-15T00:00:00"/>
    <d v="2017-08-25T00:00:00"/>
    <d v="2017-10-05T00:00:00"/>
    <m/>
    <s v="Aug-17"/>
    <x v="5"/>
    <s v="MW20821 - AYCA-45D358 NSB Albuera Close -  BUILD"/>
    <s v="Morphet"/>
    <n v="7531.6314285714288"/>
    <n v="464.5"/>
    <n v="7996.1314285714288"/>
    <n v="8795.7445714285732"/>
    <n v="6043.99"/>
    <m/>
    <n v="6043.99"/>
    <n v="1952.1414285714291"/>
    <n v="0.24413573563787636"/>
    <s v="Invoiced"/>
    <d v="2017-08-28T00:00:00"/>
    <s v="Completed and handover forwarded"/>
    <s v="Mark Leal"/>
    <d v="2017-06-02T00:00:00"/>
    <d v="2017-07-11T00:00:00"/>
    <n v="39"/>
    <d v="2017-07-13T00:00:00"/>
    <n v="2"/>
  </r>
  <r>
    <s v="A417 Greenfield MDU"/>
    <s v="Sydney"/>
    <s v="Inv 12807"/>
    <d v="2017-11-14T00:00:00"/>
    <d v="2017-08-22T00:00:00"/>
    <d v="2017-08-22T00:00:00"/>
    <d v="2017-08-22T00:00:00"/>
    <d v="2017-10-06T00:00:00"/>
    <d v="2017-09-07T00:00:00"/>
    <d v="2017-11-16T00:00:00"/>
    <m/>
    <s v="Aug-17"/>
    <x v="4"/>
    <s v="MW20927 - 2ASH-61 - AYCA-482KZM - Lionsgate Projects – 1"/>
    <s v="Croydon park"/>
    <n v="3340.88"/>
    <n v="2772.83"/>
    <n v="6113.71"/>
    <n v="6725.0810000000001"/>
    <n v="4280.95"/>
    <m/>
    <n v="4280.95"/>
    <n v="1832.7600000000002"/>
    <n v="0.29977869411535718"/>
    <s v="Invoiced"/>
    <d v="2017-09-05T00:00:00"/>
    <s v="Completed and handover forwarded"/>
    <s v="Michael Tram"/>
    <s v="Direct Award"/>
    <d v="2017-07-11T00:00:00"/>
    <m/>
    <m/>
    <m/>
  </r>
  <r>
    <s v="A417 Greenfield MDU"/>
    <s v="Sydney"/>
    <s v="Inv 12501"/>
    <d v="2017-08-17T00:00:00"/>
    <d v="2017-08-16T00:00:00"/>
    <d v="2017-08-16T00:00:00"/>
    <d v="2017-08-16T00:00:00"/>
    <d v="2017-09-23T00:00:00"/>
    <d v="2017-10-16T00:00:00"/>
    <d v="2017-10-26T00:00:00"/>
    <m/>
    <s v="Aug-17"/>
    <x v="5"/>
    <s v="MW20894 - 2KEL-08 - AYCA-42POJA - NSB - Memorial Ave Kelly Build"/>
    <s v="Kellyville"/>
    <n v="10316"/>
    <n v="155.54"/>
    <n v="10471.540000000001"/>
    <n v="11518.694000000001"/>
    <m/>
    <m/>
    <n v="0"/>
    <n v="10471.540000000001"/>
    <n v="1"/>
    <s v="Invoiced"/>
    <d v="2017-08-30T00:00:00"/>
    <s v="Completed and handover forwarded"/>
    <s v="Andrew Mahassy"/>
    <s v="Direct Award"/>
    <d v="2017-06-14T00:00:00"/>
    <m/>
    <m/>
    <m/>
  </r>
  <r>
    <s v="A401/Greenfield"/>
    <s v="Nth Coast"/>
    <s v="Inv 12828"/>
    <d v="2017-11-17T00:00:00"/>
    <d v="2017-08-27T00:00:00"/>
    <d v="2017-08-27T00:00:00"/>
    <m/>
    <m/>
    <d v="2017-11-01T00:00:00"/>
    <d v="2017-11-23T00:00:00"/>
    <m/>
    <s v="Aug-17"/>
    <x v="4"/>
    <s v="MW20946 - 2OBA-20 - AYCA-4DWSZZ-  81 Albatross Way - NSB - SURVEY"/>
    <s v="Old Bar"/>
    <n v="1430"/>
    <m/>
    <n v="1430"/>
    <n v="1573.0000000000002"/>
    <m/>
    <m/>
    <n v="0"/>
    <n v="1430"/>
    <n v="1"/>
    <s v="Invoiced"/>
    <d v="2017-09-10T00:00:00"/>
    <s v="Completed and handover forwarded"/>
    <s v="Mark Leal"/>
    <d v="2017-06-13T00:00:00"/>
    <d v="2017-07-17T00:00:00"/>
    <n v="34"/>
    <d v="2017-06-13T00:00:00"/>
    <n v="-34"/>
  </r>
  <r>
    <s v="A417 Greenfield MDU"/>
    <s v="Sydney"/>
    <s v="Inv 12875"/>
    <d v="2017-11-29T00:00:00"/>
    <d v="2017-08-29T00:00:00"/>
    <d v="2017-08-29T00:00:00"/>
    <d v="2017-09-14T00:00:00"/>
    <d v="2017-10-09T00:00:00"/>
    <d v="2017-10-31T00:00:00"/>
    <d v="2017-11-29T00:00:00"/>
    <m/>
    <s v="Aug-17"/>
    <x v="4"/>
    <s v="MW20983 - 2RYD-01 - AYCA-2ZD7NM - 86-94 Blaxland Rd "/>
    <s v="Parramatta Road"/>
    <n v="4035.55"/>
    <n v="1147.97"/>
    <n v="5183.5200000000004"/>
    <n v="5701.8720000000012"/>
    <m/>
    <m/>
    <n v="0"/>
    <n v="5183.5200000000004"/>
    <n v="1"/>
    <s v="Invoiced"/>
    <d v="2017-09-12T00:00:00"/>
    <s v="Completed and handover forwarded"/>
    <s v="Lindy Chan"/>
    <s v="Direct Award"/>
    <d v="2017-07-19T00:00:00"/>
    <m/>
    <m/>
    <m/>
  </r>
  <r>
    <s v="A401/Minor works"/>
    <s v="Central Coast"/>
    <s v="Inv 12985"/>
    <d v="2017-12-19T00:00:00"/>
    <d v="2017-11-04T00:00:00"/>
    <d v="2017-11-04T00:00:00"/>
    <d v="2017-11-17T00:00:00"/>
    <d v="2017-11-24T00:00:00"/>
    <d v="2017-12-04T00:00:00"/>
    <d v="2018-12-19T00:00:00"/>
    <m/>
    <s v="Nov-17"/>
    <x v="12"/>
    <s v="MW20718 - 2LJT-04-07-08 Unit 2, 234 The Entrance Road"/>
    <s v="Long Jetty"/>
    <n v="1829.49"/>
    <n v="11994.14"/>
    <n v="13823.63"/>
    <n v="15205.993"/>
    <m/>
    <m/>
    <n v="0"/>
    <n v="13823.63"/>
    <n v="1"/>
    <s v="Invoiced"/>
    <d v="2017-11-18T00:00:00"/>
    <s v="Completed and handover forwarded"/>
    <s v="Jay Shrestha"/>
    <m/>
    <m/>
    <m/>
    <m/>
    <m/>
  </r>
  <r>
    <s v="A401/Minor works"/>
    <s v="Central Coast"/>
    <s v="Inv 12933"/>
    <d v="2017-12-07T00:00:00"/>
    <d v="2017-09-26T00:00:00"/>
    <d v="2017-09-26T00:00:00"/>
    <d v="2017-11-04T00:00:00"/>
    <d v="2017-11-24T00:00:00"/>
    <d v="2017-11-03T00:00:00"/>
    <d v="2017-12-13T00:00:00"/>
    <m/>
    <s v="Sep-17"/>
    <x v="3"/>
    <s v="MW20736 - 2GOS-01-04 - 3-7 Wharf-East Gosford Public School-Unit 3 354 Mann."/>
    <s v="Gosford"/>
    <n v="1829.49"/>
    <n v="2155.37"/>
    <n v="3984.8599999999997"/>
    <n v="4383.3459999999995"/>
    <m/>
    <m/>
    <n v="0"/>
    <n v="3984.8599999999997"/>
    <n v="1"/>
    <s v="Invoiced"/>
    <d v="2017-10-10T00:00:00"/>
    <s v="Completed and handover forwarded"/>
    <s v="Jay Shrestha"/>
    <m/>
    <m/>
    <m/>
    <m/>
    <m/>
  </r>
  <r>
    <s v="A401/Minor works"/>
    <s v="Sydney"/>
    <s v="Inv 13028"/>
    <d v="2018-01-08T00:00:00"/>
    <d v="2017-11-27T00:00:00"/>
    <d v="2017-12-01T00:00:00"/>
    <d v="2017-11-27T00:00:00"/>
    <d v="2017-12-14T00:00:00"/>
    <d v="2017-12-13T00:00:00"/>
    <d v="2018-01-11T00:00:00"/>
    <m/>
    <s v="Dec-17"/>
    <x v="13"/>
    <s v="MW20764 - 2BLK-12-07 - Lot 21 Western MTQY/2 Rudders/Unit 40 - 15 Valediction"/>
    <s v="Blacktown"/>
    <n v="1829.49"/>
    <n v="37470.15"/>
    <n v="39299.64"/>
    <n v="43229.603999999999"/>
    <n v="9711.4490909090891"/>
    <m/>
    <n v="9711.4490909090891"/>
    <n v="29588.19090909091"/>
    <n v="0.75288707247931308"/>
    <s v="Invoiced"/>
    <d v="2017-12-15T00:00:00"/>
    <s v="Completed and handover forwarded"/>
    <s v="Jay Shrestha"/>
    <d v="2017-06-02T00:00:00"/>
    <d v="2017-07-24T00:00:00"/>
    <n v="52"/>
    <m/>
    <m/>
  </r>
  <r>
    <s v="A417 Greenfield MDU"/>
    <s v="Sydney"/>
    <s v="Inv 12826"/>
    <d v="2017-11-16T00:00:00"/>
    <d v="2017-10-02T00:00:00"/>
    <d v="2017-10-04T00:00:00"/>
    <d v="2017-10-16T00:00:00"/>
    <d v="2017-10-24T00:00:00"/>
    <d v="2017-10-13T00:00:00"/>
    <d v="2017-11-16T00:00:00"/>
    <m/>
    <s v="Oct-17"/>
    <x v="4"/>
    <s v="MW20951   - 2ROU-03 - AYCA-486V6Q  - Non Standard Builds - McCarthy Street "/>
    <s v="Kellyville"/>
    <n v="9841.41"/>
    <n v="4157.68"/>
    <n v="13999.09"/>
    <n v="15398.999000000002"/>
    <m/>
    <m/>
    <n v="0"/>
    <n v="13999.09"/>
    <n v="1"/>
    <s v="Invoiced"/>
    <d v="2017-10-18T00:00:00"/>
    <s v="Completed and handover forwarded"/>
    <s v="Andrew Mahassy"/>
    <s v="Direct Award"/>
    <d v="2017-07-25T00:00:00"/>
    <m/>
    <m/>
    <m/>
  </r>
  <r>
    <s v="A417 Greenfield MDU"/>
    <s v="ACT"/>
    <s v="Inv 12915"/>
    <d v="2017-12-04T00:00:00"/>
    <d v="2017-09-20T00:00:00"/>
    <d v="2017-09-25T00:00:00"/>
    <d v="2017-09-27T00:00:00"/>
    <d v="2017-11-17T00:00:00"/>
    <d v="2017-10-04T00:00:00"/>
    <d v="2017-12-07T00:00:00"/>
    <m/>
    <s v="Sep-17"/>
    <x v="3"/>
    <s v="MW21016 - AYCA-3UESPG -9CRC-06 -IVAR Villas Externals"/>
    <s v="Franklin"/>
    <n v="5109.41"/>
    <n v="883.35"/>
    <n v="5992.76"/>
    <n v="6592.036000000001"/>
    <m/>
    <m/>
    <n v="0"/>
    <n v="5992.76"/>
    <n v="1"/>
    <s v="Invoiced"/>
    <d v="2017-10-09T00:00:00"/>
    <s v="Completed and handover forwarded"/>
    <s v="Shaher Aslam"/>
    <s v="Direct Award"/>
    <d v="2017-07-21T00:00:00"/>
    <m/>
    <m/>
    <m/>
  </r>
  <r>
    <s v="A417 Greenfield MDU"/>
    <s v="ACT"/>
    <s v="Inv 12916"/>
    <d v="2017-12-04T00:00:00"/>
    <d v="2017-09-20T00:00:00"/>
    <d v="2017-09-25T00:00:00"/>
    <m/>
    <m/>
    <d v="2017-10-04T00:00:00"/>
    <d v="2017-12-07T00:00:00"/>
    <m/>
    <s v="Sep-17"/>
    <x v="3"/>
    <s v="MW21016 - AYCA-3UESPG -9CRC-06 -IVAR Villas Internals"/>
    <s v="Franklin"/>
    <n v="10627.34"/>
    <m/>
    <n v="10627.34"/>
    <n v="11690.074000000001"/>
    <m/>
    <m/>
    <n v="0"/>
    <n v="10627.34"/>
    <n v="1"/>
    <s v="Invoiced"/>
    <d v="2017-10-09T00:00:00"/>
    <s v="Completed and handover forwarded"/>
    <s v="Shaher Aslam"/>
    <s v="Direct Award"/>
    <d v="2017-07-22T00:00:00"/>
    <m/>
    <m/>
    <m/>
  </r>
  <r>
    <s v="A417 Greenfield MDU"/>
    <s v="Sydney"/>
    <s v="Inv 12829"/>
    <d v="2017-11-16T00:00:00"/>
    <d v="2017-10-10T00:00:00"/>
    <d v="2017-10-12T00:00:00"/>
    <d v="2017-10-17T00:00:00"/>
    <d v="2017-10-25T00:00:00"/>
    <d v="2017-10-20T00:00:00"/>
    <d v="2017-11-21T00:00:00"/>
    <m/>
    <s v="Oct-17"/>
    <x v="4"/>
    <s v="MW21067 - 2PTH-01 - AYCA-3VF189 - 293-295 Jamison - 1"/>
    <s v="Penrith"/>
    <n v="2496.87"/>
    <n v="-147.13999999999999"/>
    <n v="2349.73"/>
    <n v="2584.7030000000004"/>
    <n v="689.79"/>
    <m/>
    <n v="689.79"/>
    <n v="1659.94"/>
    <n v="0.70643861209585779"/>
    <s v="Invoiced"/>
    <d v="2017-10-26T00:00:00"/>
    <s v="Completed and handover forwarded"/>
    <s v="Michael Tram"/>
    <s v="Direct Award"/>
    <d v="2017-07-24T00:00:00"/>
    <m/>
    <m/>
    <m/>
  </r>
  <r>
    <s v="A417 Greenfield MDU"/>
    <s v="Newcastle"/>
    <s v="Inv 12653"/>
    <d v="2017-10-03T00:00:00"/>
    <d v="2017-08-20T00:00:00"/>
    <d v="2017-08-25T00:00:00"/>
    <d v="2017-09-19T00:00:00"/>
    <d v="2017-09-22T00:00:00"/>
    <d v="2017-09-06T00:00:00"/>
    <d v="2017-10-05T00:00:00"/>
    <m/>
    <s v="Aug-17"/>
    <x v="5"/>
    <s v="MW21052 - 2MAI-11 - AYCA-3OLAP3-WA Brown INTERNAL"/>
    <s v="Morphet"/>
    <n v="3600"/>
    <n v="5391.9"/>
    <n v="8991.9"/>
    <n v="9891.09"/>
    <n v="6294.34"/>
    <m/>
    <n v="6294.34"/>
    <n v="2697.5599999999995"/>
    <n v="0.29999888788798801"/>
    <s v="Invoiced"/>
    <d v="2017-09-08T00:00:00"/>
    <s v="Completed and handover forwarded"/>
    <s v="Shaher Aslam"/>
    <s v="Direct Award"/>
    <d v="2017-07-21T00:00:00"/>
    <m/>
    <m/>
    <m/>
  </r>
  <r>
    <s v="A417 Greenfield MDU"/>
    <s v="Newcastle"/>
    <s v="Inv 13318"/>
    <d v="2018-03-06T00:00:00"/>
    <d v="2018-02-06T00:00:00"/>
    <d v="2018-02-06T00:00:00"/>
    <d v="2018-02-21T00:00:00"/>
    <d v="2018-02-27T00:00:00"/>
    <d v="2018-02-20T00:00:00"/>
    <d v="2018-03-02T00:00:00"/>
    <m/>
    <s v="Feb-18"/>
    <x v="2"/>
    <s v="MW21054 - 2MAI-11 - AYCA-2NU9NV - Northwood Retirement Village - 1 - INTERNAL"/>
    <s v="Rutherford"/>
    <n v="5760"/>
    <n v="-5760"/>
    <n v="288"/>
    <n v="316.8"/>
    <m/>
    <m/>
    <n v="0"/>
    <n v="288"/>
    <n v="1"/>
    <s v="Invoiced"/>
    <d v="2018-02-20T00:00:00"/>
    <s v="Completed and handover forwarded"/>
    <s v="Shaher Aslam"/>
    <s v="Direct Award"/>
    <d v="2017-07-21T00:00:00"/>
    <m/>
    <m/>
    <m/>
  </r>
  <r>
    <s v="A417 Greenfield MDU"/>
    <s v="Sydney"/>
    <s v="Inv 13114"/>
    <d v="2018-01-30T00:00:00"/>
    <d v="2017-12-13T00:00:00"/>
    <d v="2017-12-13T00:00:00"/>
    <d v="2017-12-21T00:00:00"/>
    <d v="2017-01-03T00:00:00"/>
    <d v="2018-01-03T00:00:00"/>
    <d v="2018-01-25T00:00:00"/>
    <m/>
    <s v="Dec-17"/>
    <x v="13"/>
    <s v="MW21026 - 2HOR-62 - AYCA-3TQB8K - MOUNT COLAH GARDENS - 2 - EXTERNAL"/>
    <s v="Mt Colah"/>
    <n v="2338.56"/>
    <n v="1630.43"/>
    <n v="3968.99"/>
    <n v="4365.8890000000001"/>
    <n v="2919.77"/>
    <m/>
    <n v="2919.77"/>
    <n v="1049.2199999999998"/>
    <n v="0.26435440754448863"/>
    <s v="Invoiced"/>
    <d v="2017-12-27T00:00:00"/>
    <s v="Completed and handover forwarded"/>
    <s v="Andrew Partalis"/>
    <s v="Direct Award"/>
    <d v="2017-07-19T00:00:00"/>
    <m/>
    <m/>
    <m/>
  </r>
  <r>
    <s v="A401/Minor works"/>
    <s v="Sydney"/>
    <s v="Inv 12652"/>
    <d v="2017-10-03T00:00:00"/>
    <d v="2017-08-22T00:00:00"/>
    <d v="2017-08-22T00:00:00"/>
    <d v="2017-08-28T00:00:00"/>
    <d v="2017-09-06T00:00:00"/>
    <d v="2017-09-06T00:00:00"/>
    <d v="2017-10-05T00:00:00"/>
    <m/>
    <s v="Aug-17"/>
    <x v="5"/>
    <s v="MW21062 - 2REV-20  - AYCA-4IDMPC- 9 Fitzpatrick St - 1"/>
    <s v="Milpera"/>
    <n v="8099.36"/>
    <n v="-3540"/>
    <n v="4559.3599999999997"/>
    <n v="5015.2960000000003"/>
    <n v="1725.57"/>
    <m/>
    <n v="1725.57"/>
    <n v="2833.79"/>
    <n v="0.62153240805727128"/>
    <s v="Invoiced"/>
    <d v="2017-09-05T00:00:00"/>
    <s v="Completed and handover forwarded"/>
    <s v="Shaher Aslan"/>
    <d v="2017-08-03T00:00:00"/>
    <d v="2017-08-10T00:00:00"/>
    <n v="7"/>
    <d v="2017-08-18T00:00:00"/>
    <n v="8"/>
  </r>
  <r>
    <s v="A417 Greenfield MDU"/>
    <s v="Sydney"/>
    <s v="Inv 13025 &amp; 13151"/>
    <d v="2018-01-10T00:00:00"/>
    <d v="2017-12-01T00:00:00"/>
    <d v="2017-12-01T00:00:00"/>
    <d v="2017-12-05T00:00:00"/>
    <d v="2017-12-12T00:00:00"/>
    <d v="2017-12-15T00:00:00"/>
    <d v="2017-12-26T00:00:00"/>
    <m/>
    <s v="Dec-17"/>
    <x v="3"/>
    <s v="MW21031 - 2KEL-07 -AYCA-36X4LO - 7 Fairway Drive"/>
    <s v="Kellyville"/>
    <n v="7372.49"/>
    <n v="6818.21"/>
    <n v="14190.7"/>
    <n v="15609.770000000002"/>
    <m/>
    <m/>
    <n v="0"/>
    <n v="14190.7"/>
    <n v="1"/>
    <s v="Invoiced"/>
    <d v="2017-12-15T00:00:00"/>
    <s v="Completed and handover forwarded"/>
    <s v="Andrew Mahassy"/>
    <s v="Direct Award"/>
    <d v="2017-07-19T00:00:00"/>
    <m/>
    <m/>
    <m/>
  </r>
  <r>
    <s v="A417 Greenfield MDU"/>
    <s v="Sydney"/>
    <s v="Inv 12654"/>
    <d v="2017-10-03T00:00:00"/>
    <d v="2017-08-24T00:00:00"/>
    <d v="2017-08-24T00:00:00"/>
    <d v="2017-09-06T00:00:00"/>
    <d v="2017-09-15T00:00:00"/>
    <d v="2017-12-11T00:00:00"/>
    <d v="2017-10-05T00:00:00"/>
    <m/>
    <s v="Aug-17"/>
    <x v="5"/>
    <s v="MW21034 - 2LIV-04 - AYCA-2XM8XA - Castlereagh Projects PTY LTD - 1- EXTERNAL"/>
    <s v="Liverpool"/>
    <n v="1096.17"/>
    <n v="-1.1200000000000001"/>
    <n v="1095.0500000000002"/>
    <n v="1204.5550000000003"/>
    <m/>
    <m/>
    <n v="0"/>
    <n v="1095.0500000000002"/>
    <n v="1"/>
    <s v="Invoiced"/>
    <d v="2017-09-07T00:00:00"/>
    <s v="Completed and handover forwarded"/>
    <s v="Nabeel Jaimon"/>
    <s v="Direct Award"/>
    <d v="2017-07-19T00:00:00"/>
    <m/>
    <m/>
    <m/>
  </r>
  <r>
    <s v="A417 Greenfield MDU"/>
    <s v="Sydney"/>
    <s v="Inv 12689"/>
    <d v="2017-01-11T00:00:00"/>
    <d v="2017-08-28T00:00:00"/>
    <d v="2017-08-28T00:00:00"/>
    <d v="2017-09-06T00:00:00"/>
    <d v="2017-09-15T00:00:00"/>
    <d v="2017-09-11T00:00:00"/>
    <d v="2017-10-17T00:00:00"/>
    <m/>
    <s v="Aug-17"/>
    <x v="5"/>
    <s v="MW20941 - AYCA-2KQ04J -2KEL-01 - 112 Hambledon"/>
    <s v="Schofields"/>
    <n v="2908.06"/>
    <n v="-95.96"/>
    <n v="2812.1"/>
    <n v="3093.31"/>
    <n v="1039.3"/>
    <m/>
    <n v="1039.3"/>
    <n v="1772.8"/>
    <n v="0.63041854841577472"/>
    <s v="Invoiced"/>
    <d v="2017-09-11T00:00:00"/>
    <s v="Completed and handover forwarded"/>
    <s v="Ertan Cicek "/>
    <s v="Direct Award"/>
    <d v="2017-07-26T00:00:00"/>
    <m/>
    <m/>
    <m/>
  </r>
  <r>
    <s v="A401/Greenfield"/>
    <s v="Sydney"/>
    <s v="Inv 12574"/>
    <d v="2017-09-11T00:00:00"/>
    <d v="2017-07-31T00:00:00"/>
    <d v="2017-07-31T00:00:00"/>
    <d v="2017-08-15T00:00:00"/>
    <d v="2017-09-04T00:00:00"/>
    <d v="2017-08-15T00:00:00"/>
    <d v="2017-09-19T00:00:00"/>
    <m/>
    <s v="Jul-17"/>
    <x v="7"/>
    <s v="MW20627 - AYCA-40UYFT - 2PKE-06 - Berkeley "/>
    <s v="Port Kembla"/>
    <n v="8858.31"/>
    <n v="512.57000000000005"/>
    <n v="9370.8799999999992"/>
    <n v="10307.968000000001"/>
    <n v="2095.98"/>
    <m/>
    <n v="2095.98"/>
    <n v="7274.9"/>
    <n v="0.776330504712471"/>
    <s v="Invoiced"/>
    <d v="2017-08-14T00:00:00"/>
    <s v="Completed and handover forwarded"/>
    <s v="Nabeel Jaimon"/>
    <d v="2017-05-01T00:00:00"/>
    <d v="2017-05-10T00:00:00"/>
    <n v="9"/>
    <d v="2017-05-10T00:00:00"/>
    <n v="0"/>
  </r>
  <r>
    <s v="A417 Greenfield MDU"/>
    <s v="Sydney"/>
    <s v="Inv 12608"/>
    <d v="2017-09-25T00:00:00"/>
    <d v="2017-08-01T00:00:00"/>
    <d v="2017-08-01T00:00:00"/>
    <d v="2017-08-15T00:00:00"/>
    <d v="2017-09-01T00:00:00"/>
    <d v="2017-08-14T00:00:00"/>
    <d v="2017-09-19T00:00:00"/>
    <m/>
    <s v="Aug-17"/>
    <x v="7"/>
    <s v="MW21024 - AYCA-4JN54Z - 2NRN-05 - Elderslie - TH5"/>
    <s v="Elderslie"/>
    <n v="1561.37"/>
    <n v="698.01"/>
    <n v="2259.38"/>
    <n v="2485.3180000000002"/>
    <m/>
    <m/>
    <n v="0"/>
    <n v="2259.38"/>
    <n v="1"/>
    <s v="Invoiced"/>
    <d v="2017-08-15T00:00:00"/>
    <s v="Completed and handover forwarded"/>
    <s v="Andrew Mahassy"/>
    <s v="Direct Award"/>
    <d v="2017-07-26T00:00:00"/>
    <m/>
    <m/>
    <m/>
  </r>
  <r>
    <s v="A401/Greenfield"/>
    <s v="Sth Coast"/>
    <s v="Inv 12805"/>
    <d v="2017-11-14T00:00:00"/>
    <d v="2017-09-25T00:00:00"/>
    <d v="2017-09-25T00:00:00"/>
    <d v="2017-09-27T00:00:00"/>
    <d v="2017-10-04T00:00:00"/>
    <d v="2017-10-13T00:00:00"/>
    <d v="2017-11-16T00:00:00"/>
    <m/>
    <s v="Sep-17"/>
    <x v="4"/>
    <s v="MW20844 - 2TAH-02 - AYCA-3YUT4L - Brundah Road - 1"/>
    <s v="Thirlmere"/>
    <n v="6869.8742857142852"/>
    <n v="8608.4699999999993"/>
    <n v="15478.344285714284"/>
    <n v="17026.178714285714"/>
    <n v="6117.91"/>
    <m/>
    <n v="6117.91"/>
    <n v="9360.4342857142838"/>
    <n v="0.60474389979511467"/>
    <s v="Invoiced"/>
    <d v="2017-10-09T00:00:00"/>
    <s v="Completed and handover forwarded"/>
    <s v="Ertan Cicek "/>
    <d v="2017-07-07T00:00:00"/>
    <d v="2017-08-14T00:00:00"/>
    <n v="38"/>
    <d v="2017-08-25T00:00:00"/>
    <n v="11"/>
  </r>
  <r>
    <s v="A417 Greenfield MDU"/>
    <s v="Sydney"/>
    <s v="Inv 12787"/>
    <d v="2017-11-07T00:00:00"/>
    <d v="2017-08-01T00:00:00"/>
    <d v="2017-08-01T00:00:00"/>
    <d v="2017-08-09T00:00:00"/>
    <d v="2017-08-18T00:00:00"/>
    <d v="2017-09-06T00:00:00"/>
    <d v="2017-11-09T00:00:00"/>
    <s v="Vriation Submitted 9/08/17"/>
    <s v="Aug-17"/>
    <x v="4"/>
    <s v="MW20797 - SOPR MWI  - 2RYD-03 - AYCA-1SUDYS – 15 Porter Street, Ryde - La Pearl - 1"/>
    <s v="Ryde"/>
    <n v="226.41"/>
    <n v="2148.5500000000002"/>
    <n v="2374.96"/>
    <n v="2612.4560000000001"/>
    <m/>
    <m/>
    <n v="0"/>
    <n v="2374.96"/>
    <n v="1"/>
    <s v="Invoiced"/>
    <d v="2017-08-15T00:00:00"/>
    <s v="Completed and handover forwarded"/>
    <s v="Lindy Chan"/>
    <s v="Direct Award"/>
    <d v="2017-05-30T00:00:00"/>
    <m/>
    <m/>
    <m/>
  </r>
  <r>
    <s v="A401/Greenfield"/>
    <s v="Sydney"/>
    <s v="Inv 12690"/>
    <d v="2017-10-11T00:00:00"/>
    <d v="2017-09-10T00:00:00"/>
    <d v="2017-09-11T00:00:00"/>
    <d v="2017-09-20T00:00:00"/>
    <d v="2017-09-28T00:00:00"/>
    <d v="2017-09-26T00:00:00"/>
    <d v="2017-10-10T00:00:00"/>
    <m/>
    <s v="Sep-17"/>
    <x v="5"/>
    <s v="MW21021 - 2MGO-20 -AYCA-45UVAF - Non Standard Builds - 15 Baldi "/>
    <s v="Silverdale"/>
    <n v="18063.68"/>
    <n v="5154.37"/>
    <n v="23218.05"/>
    <n v="25539.855"/>
    <m/>
    <m/>
    <n v="0"/>
    <n v="23218.05"/>
    <n v="1"/>
    <s v="Invoiced"/>
    <d v="2017-09-25T00:00:00"/>
    <s v="Completed and handover forwarded"/>
    <s v="Andrew Mahassy"/>
    <d v="2017-07-31T00:00:00"/>
    <d v="2017-08-14T00:00:00"/>
    <n v="14"/>
    <d v="2017-08-31T00:00:00"/>
    <n v="17"/>
  </r>
  <r>
    <s v="A417 Greenfield MDU"/>
    <s v="Sydney"/>
    <s v="Inv 13122"/>
    <d v="2018-01-30T00:00:00"/>
    <d v="2017-12-01T00:00:00"/>
    <d v="2017-12-01T00:00:00"/>
    <d v="2017-12-04T00:00:00"/>
    <d v="2017-12-20T00:00:00"/>
    <d v="2017-12-13T00:00:00"/>
    <d v="2018-01-29T00:00:00"/>
    <m/>
    <s v="Dec-17"/>
    <x v="13"/>
    <s v="MW21104 - AYCA-3UHHF8-2LIV-12-25 Glenfield Road "/>
    <s v="Liverpool"/>
    <n v="8071.38"/>
    <n v="14816.270000000002"/>
    <n v="22887.65"/>
    <n v="25176.415000000005"/>
    <n v="11278.4"/>
    <m/>
    <n v="11278.4"/>
    <n v="11609.250000000002"/>
    <n v="0.50722769703311621"/>
    <s v="Invoiced"/>
    <d v="2017-12-15T00:00:00"/>
    <s v="Completed and handover forwarded"/>
    <s v="Shaher Aslan"/>
    <s v="Direct Award"/>
    <d v="2017-08-08T00:00:00"/>
    <m/>
    <d v="2017-09-29T00:00:00"/>
    <m/>
  </r>
  <r>
    <s v="A417 Greenfield MDU"/>
    <s v="Sydney"/>
    <s v="Inv 13279"/>
    <d v="2018-02-22T00:00:00"/>
    <d v="2017-12-27T00:00:00"/>
    <d v="2017-11-27T00:00:00"/>
    <d v="2018-01-16T00:00:00"/>
    <d v="2018-02-07T00:00:00"/>
    <d v="2017-12-11T00:00:00"/>
    <d v="2018-02-27T00:00:00"/>
    <m/>
    <s v="Nov-17"/>
    <x v="11"/>
    <s v="MW21108 - AYCA-4D6F80 - 2NEW-03 - CASA - Terraces - Estate"/>
    <s v="Erskinwille"/>
    <n v="7693.89"/>
    <n v="11728.23"/>
    <n v="19422.12"/>
    <n v="21364.332000000002"/>
    <n v="6867.81"/>
    <m/>
    <n v="6867.81"/>
    <n v="12554.309999999998"/>
    <n v="0.64639236087512575"/>
    <s v="Invoiced"/>
    <d v="2017-12-11T00:00:00"/>
    <s v="Completed and handover forwarded"/>
    <s v="Shaher Aslan"/>
    <s v="Direct Award"/>
    <d v="2017-08-08T00:00:00"/>
    <m/>
    <m/>
    <m/>
  </r>
  <r>
    <s v="A401/Greenfield"/>
    <s v="Sydney"/>
    <s v="Inv 13249"/>
    <d v="2018-02-19T00:00:00"/>
    <d v="2018-10-10T00:00:00"/>
    <d v="2018-01-10T00:00:00"/>
    <d v="2017-01-10T00:00:00"/>
    <d v="2018-01-24T00:00:00"/>
    <d v="2018-01-22T00:00:00"/>
    <d v="2018-02-20T00:00:00"/>
    <m/>
    <s v="Jan-18"/>
    <x v="11"/>
    <s v="MW20777 - 2HBD-21 - AYCA-46PUI1 - 724 Pittwater Rd"/>
    <s v="Brookvale"/>
    <n v="2139.2800000000002"/>
    <n v="3780.43"/>
    <n v="5919.71"/>
    <n v="6511.6810000000005"/>
    <n v="1612.32"/>
    <m/>
    <n v="1612.32"/>
    <n v="4307.3900000000003"/>
    <n v="0.72763530645926922"/>
    <s v="Invoiced"/>
    <d v="2018-01-24T00:00:00"/>
    <s v="Completed and handover forwarded"/>
    <s v="Andrew Partalis"/>
    <d v="2017-05-30T00:00:00"/>
    <d v="2017-08-04T00:00:00"/>
    <n v="66"/>
    <d v="2017-10-27T00:00:00"/>
    <n v="84"/>
  </r>
  <r>
    <s v="A417 Greenfield MDU"/>
    <s v="Sydney"/>
    <s v="Inv 12836"/>
    <d v="2017-11-29T00:00:00"/>
    <d v="2017-09-25T00:00:00"/>
    <d v="2017-09-25T00:00:00"/>
    <d v="2017-10-17T00:00:00"/>
    <d v="2017-11-01T00:00:00"/>
    <d v="2017-10-03T00:00:00"/>
    <d v="2017-10-17T00:00:00"/>
    <m/>
    <s v="Sep-17"/>
    <x v="5"/>
    <s v="MW21065 - AYCA-3JKNRK -2ROU-02 -15-19 Hillview - 2B"/>
    <s v="Kellyville"/>
    <n v="271.88"/>
    <n v="393.66"/>
    <n v="665.54"/>
    <n v="732.09400000000005"/>
    <m/>
    <m/>
    <n v="0"/>
    <n v="665.54"/>
    <n v="1"/>
    <s v="Invoiced"/>
    <d v="2017-10-09T00:00:00"/>
    <s v="Completed and handover forwarded"/>
    <s v="Ertan Cicek "/>
    <s v="Direct Award"/>
    <d v="2017-08-03T00:00:00"/>
    <m/>
    <m/>
    <m/>
  </r>
  <r>
    <s v="A417 Greenfield MDU"/>
    <s v="Sydney"/>
    <s v="Inv 12713"/>
    <d v="2017-10-18T00:00:00"/>
    <d v="2017-09-14T00:00:00"/>
    <d v="2017-09-25T00:00:00"/>
    <m/>
    <m/>
    <d v="2017-09-26T00:00:00"/>
    <d v="2017-10-24T00:00:00"/>
    <m/>
    <s v="Sep-17"/>
    <x v="5"/>
    <s v="MW21095 - AYCA-4K6BDG - Melito Drive Internals"/>
    <s v="Liverpool"/>
    <n v="560"/>
    <m/>
    <n v="560"/>
    <n v="616"/>
    <m/>
    <m/>
    <n v="0"/>
    <n v="560"/>
    <n v="1"/>
    <s v="Invoiced"/>
    <d v="2017-10-09T00:00:00"/>
    <s v="Completed and handover forwarded"/>
    <s v="Shaher Aslan"/>
    <s v="Direct Award"/>
    <d v="2017-08-04T00:00:00"/>
    <m/>
    <d v="2017-10-18T00:00:00"/>
    <m/>
  </r>
  <r>
    <s v="A401/Greenfield"/>
    <s v="Nth Coast"/>
    <s v="Inv 12634"/>
    <d v="2017-09-27T00:00:00"/>
    <d v="2017-07-20T00:00:00"/>
    <d v="2017-07-20T00:00:00"/>
    <d v="2017-07-20T00:00:00"/>
    <d v="2017-09-20T00:00:00"/>
    <d v="2017-08-08T00:00:00"/>
    <d v="2017-09-27T00:00:00"/>
    <m/>
    <s v="Jul-17"/>
    <x v="7"/>
    <s v="MW20436 - AYCA-3B8YY0 - Warrana Place – 2"/>
    <s v="Taree"/>
    <n v="10810.68"/>
    <n v="3518.7182857142861"/>
    <n v="14329.398285714287"/>
    <n v="15762.338114285718"/>
    <n v="10142.709999999999"/>
    <m/>
    <n v="10142.709999999999"/>
    <n v="4186.6882857142882"/>
    <n v="0.29217474469170229"/>
    <s v="Invoiced"/>
    <d v="2017-08-03T00:00:00"/>
    <s v="Completed and handover forwarded"/>
    <s v="Andrew Partalis"/>
    <d v="2017-03-07T00:00:00"/>
    <d v="2017-03-23T00:00:00"/>
    <n v="16"/>
    <d v="2017-03-22T00:00:00"/>
    <n v="-1"/>
  </r>
  <r>
    <s v="A417 Greenfield MDU"/>
    <s v="Sydney"/>
    <s v="Inv 13317"/>
    <d v="2018-03-02T00:00:00"/>
    <d v="2018-01-15T00:00:00"/>
    <d v="2018-01-15T00:00:00"/>
    <d v="2018-01-16T00:00:00"/>
    <d v="2018-02-19T00:00:00"/>
    <d v="2018-02-21T00:00:00"/>
    <d v="2018-03-06T00:00:00"/>
    <m/>
    <s v="Jan-18"/>
    <x v="2"/>
    <s v="MW21056 - 2KNS-04 - AYCA-4BYB3Q -33 Dunning Ave - 1- EXTERNAL"/>
    <s v="Rosebery"/>
    <n v="751.67"/>
    <n v="16052.96"/>
    <n v="16804.629999999997"/>
    <n v="18485.092999999997"/>
    <n v="8499.5"/>
    <m/>
    <n v="8499.5"/>
    <n v="8305.1299999999974"/>
    <n v="0.49421677240141548"/>
    <s v="Invoiced"/>
    <d v="2018-01-29T00:00:00"/>
    <s v="Completed and handover forwarded"/>
    <s v="Lindy Chan"/>
    <s v="Direct Award"/>
    <d v="2017-08-10T00:00:00"/>
    <m/>
    <m/>
    <m/>
  </r>
  <r>
    <s v="A417 Greenfield MDU"/>
    <s v="Sydney"/>
    <d v="1935-11-27T00:00:00"/>
    <d v="2018-01-19T00:00:00"/>
    <d v="2017-12-15T00:00:00"/>
    <d v="2017-12-18T00:00:00"/>
    <d v="2017-12-21T00:00:00"/>
    <d v="2017-01-02T00:00:00"/>
    <d v="2018-01-03T00:00:00"/>
    <d v="2018-01-25T00:00:00"/>
    <m/>
    <s v="Dec-17"/>
    <x v="13"/>
    <s v="MW21120 - 2EDG-62 - AYCA-4GJD8J - 10 COURT ROAD - External"/>
    <s v="Double Bay"/>
    <n v="875.4"/>
    <n v="1139.2"/>
    <n v="2014.6"/>
    <n v="2216.06"/>
    <n v="1523.39"/>
    <m/>
    <n v="1523.39"/>
    <n v="491.20999999999981"/>
    <n v="0.24382507693834995"/>
    <s v="Invoiced"/>
    <d v="2018-01-01T00:00:00"/>
    <s v="Completed and handover forwarded"/>
    <s v="Andrew Mahassy"/>
    <s v="Direct Award"/>
    <d v="2017-08-15T00:00:00"/>
    <m/>
    <m/>
    <m/>
  </r>
  <r>
    <s v="A401/Greenfield"/>
    <s v="Newcastle"/>
    <s v="Inv 12870"/>
    <d v="2017-11-29T00:00:00"/>
    <d v="2017-08-27T00:00:00"/>
    <d v="2017-08-27T00:00:00"/>
    <m/>
    <m/>
    <d v="2017-09-10T00:00:00"/>
    <d v="2017-11-30T00:00:00"/>
    <m/>
    <s v="Aug-17"/>
    <x v="4"/>
    <s v="MW20949 - AYCA-4F1FWW_AYCA-4GRO21 -2MAI-06 -  NSB 13 Vantage 55 Kingston"/>
    <s v="Maitland"/>
    <n v="1905.5"/>
    <m/>
    <n v="1905.5"/>
    <n v="2096.0500000000002"/>
    <m/>
    <m/>
    <n v="0"/>
    <n v="1905.5"/>
    <n v="1"/>
    <s v="Invoiced"/>
    <d v="2017-09-10T00:00:00"/>
    <s v="Completed and handover forwarded"/>
    <s v="Mark Leal"/>
    <d v="2017-07-17T00:00:00"/>
    <d v="2017-08-14T00:00:00"/>
    <n v="28"/>
    <d v="2017-08-30T00:00:00"/>
    <n v="16"/>
  </r>
  <r>
    <s v="A401/Greenfield"/>
    <s v="Sydney"/>
    <s v="Inv 12797"/>
    <d v="2017-11-13T00:00:00"/>
    <d v="2017-09-15T00:00:00"/>
    <d v="2017-09-15T00:00:00"/>
    <d v="2017-09-27T00:00:00"/>
    <d v="2017-10-03T00:00:00"/>
    <d v="2017-09-27T00:00:00"/>
    <d v="2017-11-16T00:00:00"/>
    <m/>
    <s v="Sep-17"/>
    <x v="4"/>
    <s v="MW21085 - 2ROU-02 - AYCA-47PV52 - Non Standard Builds - 22-24 Barry Road "/>
    <s v="Kellyville"/>
    <n v="17870.099999999999"/>
    <n v="-184.09"/>
    <n v="17686.009999999998"/>
    <n v="19454.611000000001"/>
    <n v="4410.54"/>
    <m/>
    <n v="4410.54"/>
    <n v="13275.469999999998"/>
    <n v="0.7506198402013794"/>
    <s v="Invoiced"/>
    <d v="2017-09-29T00:00:00"/>
    <s v="Completed and handover forwarded"/>
    <s v="Andrew Mahassy"/>
    <d v="2017-08-09T00:00:00"/>
    <d v="2017-08-17T00:00:00"/>
    <n v="8"/>
    <m/>
    <m/>
  </r>
  <r>
    <s v="A401/Greenfield"/>
    <s v="Sydney"/>
    <s v="Inv 12688"/>
    <d v="2017-10-11T00:00:00"/>
    <d v="2017-09-14T00:00:00"/>
    <d v="2017-09-14T00:00:00"/>
    <m/>
    <m/>
    <d v="2017-09-26T00:00:00"/>
    <d v="2017-10-17T00:00:00"/>
    <m/>
    <s v="Sep-17"/>
    <x v="5"/>
    <s v="MW21095 - AYCA-4K6BDG - Melito Drive Externals"/>
    <s v="Liverpool"/>
    <n v="8291.4699999999993"/>
    <m/>
    <n v="8291.4699999999993"/>
    <n v="9120.6170000000002"/>
    <n v="4155.96"/>
    <m/>
    <n v="4155.96"/>
    <n v="4135.5099999999993"/>
    <n v="0.49876680492120212"/>
    <s v="Invoiced"/>
    <d v="2017-09-28T00:00:00"/>
    <s v="Completed and handover forwarded"/>
    <s v="Shaher Aslan"/>
    <d v="2017-08-29T00:00:00"/>
    <d v="2017-08-29T00:00:00"/>
    <m/>
    <d v="2017-10-18T00:00:00"/>
    <m/>
  </r>
  <r>
    <s v="A401/Greenfield"/>
    <s v="Newcastle"/>
    <s v="Inv 12589"/>
    <d v="2017-09-15T00:00:00"/>
    <d v="2017-07-25T00:00:00"/>
    <d v="2017-07-25T00:00:00"/>
    <m/>
    <m/>
    <d v="2017-09-07T00:00:00"/>
    <d v="2017-09-21T00:00:00"/>
    <m/>
    <s v="Jul-17"/>
    <x v="7"/>
    <s v="MW20814 - 2NLB-05  - AYCA-4E7Y0D - Albatross Ave and Cu, Survey"/>
    <s v="Salamanda Bay"/>
    <n v="1365"/>
    <m/>
    <n v="1365"/>
    <n v="1501.5000000000002"/>
    <m/>
    <m/>
    <n v="0"/>
    <n v="1365"/>
    <n v="1"/>
    <s v="Invoiced"/>
    <d v="2017-08-08T00:00:00"/>
    <s v="Completed and handover forwarded"/>
    <s v="Mark Leal"/>
    <d v="2017-06-13T00:00:00"/>
    <d v="2017-07-17T00:00:00"/>
    <n v="34"/>
    <d v="2017-06-13T00:00:00"/>
    <n v="-34"/>
  </r>
  <r>
    <s v="A401/Greenfield"/>
    <s v="Sth Coast"/>
    <s v="Inv 12684"/>
    <d v="2017-10-10T00:00:00"/>
    <d v="2017-08-05T00:00:00"/>
    <d v="2017-08-07T00:00:00"/>
    <d v="2017-08-07T00:00:00"/>
    <d v="2017-08-31T00:00:00"/>
    <d v="2017-09-15T00:00:00"/>
    <d v="2017-10-10T00:00:00"/>
    <m/>
    <s v="Aug-17"/>
    <x v="5"/>
    <s v="MW20729 - COR-04 - AYCA-4D6AY6 - 94 POPES RD"/>
    <s v="Wonoona"/>
    <n v="10398.84"/>
    <n v="13152.88"/>
    <n v="23551.72"/>
    <n v="25906.892000000003"/>
    <n v="10667.8"/>
    <m/>
    <n v="10667.8"/>
    <n v="12883.920000000002"/>
    <n v="0.54704794384444111"/>
    <s v="Invoiced"/>
    <d v="2017-08-21T00:00:00"/>
    <s v="Completed and handover forwarded"/>
    <s v="Ertan Cicek "/>
    <d v="2017-05-18T00:00:00"/>
    <d v="2017-05-26T00:00:00"/>
    <n v="8"/>
    <d v="2017-05-26T00:00:00"/>
    <n v="0"/>
  </r>
  <r>
    <s v="A417 Greenfield MDU"/>
    <s v="Sydney"/>
    <s v="Inv 12827"/>
    <d v="2017-11-17T00:00:00"/>
    <d v="2017-08-31T00:00:00"/>
    <d v="2017-08-31T00:00:00"/>
    <d v="2017-09-05T00:00:00"/>
    <d v="2017-09-13T00:00:00"/>
    <d v="2017-11-01T00:00:00"/>
    <d v="2017-11-15T00:00:00"/>
    <m/>
    <s v="Aug-17"/>
    <x v="4"/>
    <s v="MW20858 - 2ROU-03 - AYCA-3R9WD2 - 2 Foxall Rd"/>
    <s v="Kellyville"/>
    <n v="350.24"/>
    <n v="-95.96"/>
    <n v="254.28000000000003"/>
    <n v="279.70800000000003"/>
    <m/>
    <m/>
    <n v="0"/>
    <n v="254.28000000000003"/>
    <n v="1"/>
    <s v="Invoiced"/>
    <d v="2017-09-14T00:00:00"/>
    <s v="Completed and handover forwarded"/>
    <s v="Andrew Mahassy"/>
    <s v="Direct Award"/>
    <d v="2017-06-16T00:00:00"/>
    <m/>
    <d v="2017-07-20T00:00:00"/>
    <n v="34"/>
  </r>
  <r>
    <s v="A417 Greenfield MDU"/>
    <s v="Sydney"/>
    <s v="Inv 12804"/>
    <d v="2017-11-14T00:00:00"/>
    <d v="2017-09-03T00:00:00"/>
    <d v="2017-09-04T00:00:00"/>
    <d v="2017-09-11T00:00:00"/>
    <d v="2017-09-14T00:00:00"/>
    <d v="2017-11-01T00:00:00"/>
    <d v="2017-11-16T00:00:00"/>
    <m/>
    <s v="Sep-17"/>
    <x v="4"/>
    <s v="MW21092 - AYCA-1NGPGW - 2BRG-03 - Gledswood"/>
    <s v="Kellyville"/>
    <n v="12757.7"/>
    <n v="668.4"/>
    <n v="13426.1"/>
    <n v="14768.710000000001"/>
    <n v="10608.279999999999"/>
    <m/>
    <n v="10608.279999999999"/>
    <n v="2817.8200000000015"/>
    <n v="0.2098762857419505"/>
    <s v="Invoiced"/>
    <d v="2017-09-18T00:00:00"/>
    <s v="Completed and handover forwarded"/>
    <s v="Andrew Mahassy"/>
    <s v="Direct Award"/>
    <d v="2017-08-22T00:00:00"/>
    <m/>
    <d v="2017-08-31T00:00:00"/>
    <n v="9"/>
  </r>
  <r>
    <s v="A401/Greenfield"/>
    <s v="Sth Coast"/>
    <s v="Inv 13118"/>
    <d v="2018-01-23T00:00:00"/>
    <d v="2017-12-15T00:00:00"/>
    <d v="2017-12-18T00:00:00"/>
    <d v="2017-12-21T00:00:00"/>
    <d v="2018-01-10T00:00:00"/>
    <d v="2018-01-09T00:00:00"/>
    <d v="2018-01-23T00:00:00"/>
    <m/>
    <s v="Dec-17"/>
    <x v="13"/>
    <s v="MW21006 - AYCA-49DNJ1 - 2NWR-02 - Nowra BP &amp; McDonalds - 1-  INTERNAL AND EXTERNAL"/>
    <s v="Nowra"/>
    <n v="6352.19"/>
    <n v="5603.16"/>
    <n v="11955.349999999999"/>
    <n v="13150.885"/>
    <n v="4349.75"/>
    <m/>
    <n v="4349.75"/>
    <n v="7605.5999999999985"/>
    <n v="0.63616707164574848"/>
    <s v="Invoiced"/>
    <d v="2018-01-01T00:00:00"/>
    <s v="Completed and handover forwarded"/>
    <s v="Nabeel Jaimon"/>
    <d v="2017-07-17T00:00:00"/>
    <m/>
    <m/>
    <d v="2017-11-01T00:00:00"/>
    <m/>
  </r>
  <r>
    <s v="A401/Greenfield"/>
    <s v="Sth Coast"/>
    <s v="Inv 13031"/>
    <d v="2018-01-10T00:00:00"/>
    <d v="2017-10-30T00:00:00"/>
    <d v="2017-10-31T00:00:00"/>
    <d v="2017-11-26T00:00:00"/>
    <d v="2017-12-13T00:00:00"/>
    <d v="2018-11-25T00:00:00"/>
    <d v="2018-01-16T00:00:00"/>
    <m/>
    <s v="Oct-17"/>
    <x v="13"/>
    <s v="MW21074 - 2ABN-01 - AYCA-461JCF - 8 Creole Road"/>
    <s v="Wollongong"/>
    <n v="5449.38"/>
    <n v="785.90892857142853"/>
    <n v="6235.2889285714282"/>
    <n v="6858.8178214285717"/>
    <m/>
    <m/>
    <n v="0"/>
    <n v="6235.2889285714282"/>
    <n v="1"/>
    <s v="Invoiced"/>
    <d v="2017-11-14T00:00:00"/>
    <s v="Completed and handover forwarded"/>
    <s v="Dave Yoemans"/>
    <d v="2017-08-11T00:00:00"/>
    <d v="2017-10-13T00:00:00"/>
    <n v="63"/>
    <d v="2017-10-13T00:00:00"/>
    <n v="0"/>
  </r>
  <r>
    <s v="A417 Greenfield MDU"/>
    <s v="Sth Coast"/>
    <s v="Inv 12814"/>
    <d v="2017-11-16T00:00:00"/>
    <d v="2017-09-12T00:00:00"/>
    <d v="2017-09-12T00:00:00"/>
    <d v="2017-10-04T00:00:00"/>
    <d v="2017-10-25T00:00:00"/>
    <d v="2017-09-26T00:00:00"/>
    <d v="2017-11-21T00:00:00"/>
    <m/>
    <s v="Sep-17"/>
    <x v="4"/>
    <s v="MW21223 - AYCA-2568YW - 25 29 Harbour St"/>
    <s v="Wollongong"/>
    <n v="1143.67"/>
    <n v="27049.75"/>
    <n v="28193.42"/>
    <n v="31012.761999999999"/>
    <n v="11125.84"/>
    <m/>
    <n v="11125.84"/>
    <n v="17067.579999999998"/>
    <n v="0.60537458740372752"/>
    <s v="Invoiced"/>
    <d v="2017-09-26T00:00:00"/>
    <s v="Completed and handover forwarded"/>
    <s v="Shaher Aslan"/>
    <s v="Direct Award"/>
    <d v="2017-09-05T00:00:00"/>
    <m/>
    <d v="2017-09-15T00:00:00"/>
    <n v="10"/>
  </r>
  <r>
    <s v="A417 Greenfield MDU"/>
    <s v="Sydney"/>
    <s v="Inv 12878"/>
    <d v="2017-11-29T00:00:00"/>
    <d v="2017-10-16T00:00:00"/>
    <d v="2017-10-16T00:00:00"/>
    <d v="2017-10-17T00:00:00"/>
    <d v="2017-11-17T00:00:00"/>
    <d v="2017-11-01T00:00:00"/>
    <d v="2017-12-05T00:00:00"/>
    <m/>
    <s v="Oct-17"/>
    <x v="3"/>
    <s v="MW21250 - AYCA-4BEC9X-2LIV-68-The Birdwood"/>
    <s v="Liverpool"/>
    <n v="1627.43"/>
    <n v="5149.76"/>
    <n v="6777.1900000000005"/>
    <n v="7454.9090000000015"/>
    <n v="4549.53"/>
    <m/>
    <n v="4549.53"/>
    <n v="2227.6600000000008"/>
    <n v="0.32869965280595653"/>
    <s v="Invoiced"/>
    <d v="2017-10-30T00:00:00"/>
    <s v="Completed and handover forwarded"/>
    <s v="Shaher Aslan"/>
    <s v="Direct Award"/>
    <d v="2017-09-05T00:00:00"/>
    <m/>
    <d v="2017-09-29T00:00:00"/>
    <n v="24"/>
  </r>
  <r>
    <s v="A417 Greenfield MDU"/>
    <s v="Sydney"/>
    <s v="Inv 12800"/>
    <d v="2017-11-13T00:00:00"/>
    <d v="2017-10-06T00:00:00"/>
    <d v="2017-10-06T00:00:00"/>
    <m/>
    <m/>
    <d v="2017-10-25T00:00:00"/>
    <d v="2017-11-16T00:00:00"/>
    <m/>
    <s v="Oct-17"/>
    <x v="4"/>
    <s v="MW21221 - 2CRO-01 - AYCA-1UEMOR - Shearwater Landing"/>
    <s v="Kurnell"/>
    <n v="980.54"/>
    <m/>
    <n v="980.54"/>
    <n v="1078.5940000000001"/>
    <m/>
    <m/>
    <n v="0"/>
    <n v="980.54"/>
    <n v="1"/>
    <s v="Invoiced"/>
    <d v="2017-10-20T00:00:00"/>
    <s v="Completed and handover forwarded"/>
    <s v="Ertan Cicek "/>
    <s v="Direct Award"/>
    <d v="2017-09-01T00:00:00"/>
    <m/>
    <d v="2017-09-22T00:00:00"/>
    <n v="21"/>
  </r>
  <r>
    <s v="A401/Greenfield"/>
    <s v="Sydney"/>
    <s v="Inv 13431"/>
    <d v="2018-03-27T00:00:00"/>
    <d v="2018-03-08T00:00:00"/>
    <d v="2018-03-08T00:00:00"/>
    <d v="2018-03-09T00:00:00"/>
    <d v="2018-03-14T00:00:00"/>
    <d v="2018-03-21T00:00:00"/>
    <d v="2018-03-27T00:00:00"/>
    <m/>
    <s v="Mar-18"/>
    <x v="2"/>
    <s v="MW21493 - AYCA-3O0SC6 - 2PTH-02 - Hope Gardens - 1"/>
    <s v="Hope Gardens"/>
    <n v="741.95"/>
    <n v="7519.2900000000009"/>
    <n v="8261.2400000000016"/>
    <n v="9087.3640000000032"/>
    <n v="5244.89"/>
    <m/>
    <n v="5244.89"/>
    <n v="3016.3500000000013"/>
    <n v="0.36512073248083832"/>
    <s v="Invoiced"/>
    <d v="2018-03-22T00:00:00"/>
    <s v="Completed and handover forwarded"/>
    <s v="Ertan Cicek"/>
    <d v="2017-11-08T00:00:00"/>
    <d v="2017-11-15T00:00:00"/>
    <n v="7"/>
    <d v="2017-12-15T00:00:00"/>
    <n v="30"/>
  </r>
  <r>
    <s v="A417 Greenfield MDU"/>
    <s v="Sydney"/>
    <s v="Inv 13316"/>
    <d v="2018-03-01T00:00:00"/>
    <d v="2018-01-23T00:00:00"/>
    <d v="2018-01-24T00:00:00"/>
    <m/>
    <m/>
    <d v="2018-02-07T00:00:00"/>
    <d v="2018-03-01T00:00:00"/>
    <m/>
    <s v="Jan-18"/>
    <x v="2"/>
    <s v="MW21153 - 2NRN-03 - AYCA-4EAKM1 - 63 SGR - 1 - INTERNAL"/>
    <s v="Smeaton Grange"/>
    <n v="1680"/>
    <m/>
    <n v="1680"/>
    <n v="1848.0000000000002"/>
    <m/>
    <m/>
    <n v="0"/>
    <n v="1680"/>
    <n v="1"/>
    <s v="Invoiced"/>
    <d v="2018-02-07T00:00:00"/>
    <s v="Completed and handover forwarded"/>
    <s v="Nabeel Jaimon"/>
    <s v="Direct Award"/>
    <d v="2017-08-22T00:00:00"/>
    <m/>
    <d v="2017-10-11T00:00:00"/>
    <n v="50"/>
  </r>
  <r>
    <s v="A401/Greenfield"/>
    <s v="Sydney"/>
    <s v="Inv 12587"/>
    <d v="2017-09-18T00:00:00"/>
    <d v="2017-08-09T00:00:00"/>
    <d v="2017-08-09T00:00:00"/>
    <m/>
    <m/>
    <d v="2017-09-07T00:00:00"/>
    <d v="2017-09-21T00:00:00"/>
    <s v="Aug-17"/>
    <s v="Aug-17"/>
    <x v="7"/>
    <s v="MW20728 - 2NRN-10 - AYCA-3UYW26 - P150 – Externals"/>
    <s v="Smeaton Grange"/>
    <n v="5825.12"/>
    <m/>
    <n v="5825.12"/>
    <n v="6407.6320000000005"/>
    <m/>
    <m/>
    <n v="0"/>
    <n v="5825.12"/>
    <n v="1"/>
    <s v="Invoiced"/>
    <d v="2017-08-23T00:00:00"/>
    <s v="Completed and handover forwarded"/>
    <s v="Nabeel Jaimon"/>
    <d v="2017-05-22T00:00:00"/>
    <d v="2017-06-14T00:00:00"/>
    <m/>
    <d v="2017-05-30T00:00:00"/>
    <m/>
  </r>
  <r>
    <s v="A401/Greenfield"/>
    <s v="Nth Coast"/>
    <s v="Inv 12813"/>
    <d v="2017-11-16T00:00:00"/>
    <d v="2017-09-26T00:00:00"/>
    <d v="2017-09-26T00:00:00"/>
    <m/>
    <m/>
    <d v="2017-10-13T00:00:00"/>
    <d v="2017-11-21T00:00:00"/>
    <m/>
    <s v="Sep-17"/>
    <x v="4"/>
    <s v="MW21209 - AYCA-4K7VB2 -2TWH-05 - River Views – 1"/>
    <s v="Tweed Heads"/>
    <n v="6516"/>
    <m/>
    <n v="6516"/>
    <n v="7167.6"/>
    <n v="2013"/>
    <m/>
    <n v="2013"/>
    <n v="4503"/>
    <n v="0.69106813996316763"/>
    <s v="Invoiced"/>
    <d v="2017-10-10T00:00:00"/>
    <s v="Completed and handover forwarded"/>
    <s v="Shaher Aslan"/>
    <d v="2017-09-01T00:00:00"/>
    <d v="2017-09-08T00:00:00"/>
    <n v="7"/>
    <d v="2017-09-08T00:00:00"/>
    <n v="0"/>
  </r>
  <r>
    <s v="A417 Greenfield MDU"/>
    <s v="Sydney"/>
    <s v="Inv 13281"/>
    <d v="2018-02-22T00:00:00"/>
    <d v="2018-01-29T00:00:00"/>
    <d v="2018-01-30T00:00:00"/>
    <m/>
    <m/>
    <d v="2018-02-12T00:00:00"/>
    <d v="2018-02-27T00:00:00"/>
    <m/>
    <s v="Jan-18"/>
    <x v="11"/>
    <s v="MW21261 - AYCA-30PYA6 - 2MIL-01 - CEO St Francis College - 1"/>
    <s v="Miller"/>
    <n v="280"/>
    <m/>
    <n v="280"/>
    <n v="308"/>
    <m/>
    <m/>
    <n v="0"/>
    <n v="280"/>
    <n v="1"/>
    <s v="Invoiced"/>
    <d v="2018-02-13T00:00:00"/>
    <s v="Completed and handover forwarded"/>
    <s v="Nabeel Jaimon"/>
    <s v="Driect Award"/>
    <d v="2017-09-08T00:00:00"/>
    <m/>
    <d v="2017-11-22T00:00:00"/>
    <n v="75"/>
  </r>
  <r>
    <s v="A417 Greenfield MDU"/>
    <s v="Sydney"/>
    <s v="Inv 13302"/>
    <d v="2018-03-02T00:00:00"/>
    <d v="2017-12-16T00:00:00"/>
    <d v="2017-12-18T00:00:00"/>
    <d v="2018-01-09T00:00:00"/>
    <d v="2018-02-12T00:00:00"/>
    <d v="2017-01-02T00:00:00"/>
    <d v="2018-03-01T00:00:00"/>
    <m/>
    <s v="Dec-17"/>
    <x v="2"/>
    <s v="MW21244 - AYCA-4J7JTW - 2LIV-03 - Passefield St"/>
    <s v="Liverpool"/>
    <n v="2643.57"/>
    <n v="3359.82"/>
    <n v="6003.39"/>
    <n v="6603.7290000000012"/>
    <n v="4295.7000000000007"/>
    <m/>
    <n v="4295.7000000000007"/>
    <n v="1707.6899999999996"/>
    <n v="0.28445428332991851"/>
    <s v="Invoiced"/>
    <d v="2018-01-01T00:00:00"/>
    <s v="Completed and handover forwarded"/>
    <s v="Shaher Aslan"/>
    <s v="Driect Award"/>
    <d v="2017-09-07T00:00:00"/>
    <m/>
    <d v="2017-09-22T00:00:00"/>
    <n v="15"/>
  </r>
  <r>
    <s v="A417 Greenfield MDU"/>
    <s v="Sydney"/>
    <s v="Inv 13244"/>
    <d v="2018-02-16T00:00:00"/>
    <d v="2017-12-05T00:00:00"/>
    <d v="2017-12-05T00:00:00"/>
    <m/>
    <m/>
    <d v="2017-12-22T00:00:00"/>
    <d v="2018-01-05T00:00:00"/>
    <m/>
    <s v="Dec-17"/>
    <x v="13"/>
    <s v="MW21281 - AYCA-3K4RCM - 2RIV-03 - Marsden Park Tonzat Development - 2"/>
    <s v="Marsden Park"/>
    <n v="1960"/>
    <m/>
    <n v="1960"/>
    <n v="2156"/>
    <n v="1465.4545454545455"/>
    <m/>
    <n v="1465.4545454545455"/>
    <n v="494.5454545454545"/>
    <n v="0.25231910946196656"/>
    <s v="Invoiced"/>
    <d v="2017-12-19T00:00:00"/>
    <s v="Completed and handover forwarded"/>
    <s v="Michael Tram"/>
    <s v="Driect Award"/>
    <d v="2017-09-08T00:00:00"/>
    <m/>
    <d v="2017-10-12T00:00:00"/>
    <n v="34"/>
  </r>
  <r>
    <s v="A401/Greenfield"/>
    <s v="Central West"/>
    <s v="Inv 12984"/>
    <d v="2017-12-18T00:00:00"/>
    <d v="2017-10-31T00:00:00"/>
    <d v="2017-10-31T00:00:00"/>
    <d v="2017-11-08T00:00:00"/>
    <d v="2017-11-21T00:00:00"/>
    <d v="2017-11-24T00:00:00"/>
    <d v="2017-12-18T00:00:00"/>
    <m/>
    <s v="Oct-17"/>
    <x v="3"/>
    <s v="MW21072 - 2PKS-20 - AYCA-49I4SO - 72 Brolgan Road "/>
    <s v="Parkes"/>
    <n v="7731.53"/>
    <n v="1439.14"/>
    <n v="9170.67"/>
    <n v="10087.737000000001"/>
    <n v="2570.91"/>
    <m/>
    <n v="2570.91"/>
    <n v="6599.76"/>
    <n v="0.71965952324094096"/>
    <s v="Invoiced"/>
    <d v="2017-11-14T00:00:00"/>
    <s v="Completed and handover forwarded"/>
    <s v="Dave Yoemans"/>
    <d v="2017-08-11T00:00:00"/>
    <d v="2017-09-14T00:00:00"/>
    <n v="34"/>
    <d v="2017-10-13T00:00:00"/>
    <n v="29"/>
  </r>
  <r>
    <s v="A417 Greenfield MDU"/>
    <s v="Sydney"/>
    <s v="Inv 13082"/>
    <d v="2018-01-17T00:00:00"/>
    <d v="2017-12-03T00:00:00"/>
    <d v="2017-12-04T00:00:00"/>
    <d v="2017-12-04T00:00:00"/>
    <d v="2017-12-12T00:00:00"/>
    <d v="2017-12-14T00:00:00"/>
    <d v="2018-01-18T00:00:00"/>
    <m/>
    <s v="Dec-17"/>
    <x v="13"/>
    <s v="MW21293 - 2LIV-63 - AYCA-4GNO0E - Coopers Paddock - 1-  INTERNAL "/>
    <s v="Liverpool"/>
    <n v="1400"/>
    <n v="1060.6857142857141"/>
    <n v="2460.6857142857143"/>
    <n v="2706.7542857142857"/>
    <n v="1387.2727272727273"/>
    <m/>
    <n v="1387.2727272727273"/>
    <n v="1073.4129870129871"/>
    <n v="0.43622514682846297"/>
    <s v="Invoiced"/>
    <d v="2017-12-18T00:00:00"/>
    <s v="Completed and handover forwarded"/>
    <s v="Michael Tram"/>
    <s v="Driect Award"/>
    <d v="2017-09-12T00:00:00"/>
    <m/>
    <d v="2017-11-11T00:00:00"/>
    <n v="60"/>
  </r>
  <r>
    <s v="A401/Greenfield"/>
    <s v="Newcastle"/>
    <s v="Inv 12884"/>
    <d v="2017-11-30T00:00:00"/>
    <d v="2017-10-17T00:00:00"/>
    <d v="2017-10-17T00:00:00"/>
    <d v="2017-10-17T00:00:00"/>
    <d v="2017-11-17T00:00:00"/>
    <d v="2017-11-01T00:00:00"/>
    <d v="2017-12-05T00:00:00"/>
    <m/>
    <s v="Oct-17"/>
    <x v="3"/>
    <s v="MW20905 - 2NLT-09 - AYCA-47ENGU - 16 WALL – 1"/>
    <s v="Wallsend"/>
    <n v="5557.33"/>
    <n v="6059.7460000000001"/>
    <n v="11617.076000000001"/>
    <n v="12778.783600000002"/>
    <m/>
    <m/>
    <n v="0"/>
    <n v="11617.076000000001"/>
    <n v="1"/>
    <s v="Invoiced"/>
    <d v="2017-10-31T00:00:00"/>
    <s v="Completed and handover forwarded"/>
    <s v="Mark Leal"/>
    <d v="2017-06-26T00:00:00"/>
    <m/>
    <m/>
    <d v="2017-11-01T00:00:00"/>
    <m/>
  </r>
  <r>
    <s v="A401/Greenfield"/>
    <s v="Sydney"/>
    <m/>
    <m/>
    <m/>
    <d v="2018-05-30T00:00:00"/>
    <m/>
    <m/>
    <m/>
    <m/>
    <m/>
    <s v="May-18"/>
    <x v="8"/>
    <s v="MW21097 - 2LIV-04 - AYCA-476RM9 - NSB - 87-91 Campbell St Build"/>
    <s v="Liverpool"/>
    <n v="8773.94"/>
    <m/>
    <n v="8773.94"/>
    <n v="9651.3340000000007"/>
    <n v="300"/>
    <m/>
    <n v="300"/>
    <n v="8473.94"/>
    <n v="0.96580783547642224"/>
    <m/>
    <d v="2018-06-13T00:00:00"/>
    <m/>
    <s v="Andrew Mahassy"/>
    <d v="2017-08-22T00:00:00"/>
    <m/>
    <m/>
    <d v="2017-09-30T00:00:00"/>
    <m/>
  </r>
  <r>
    <s v="A417 Greenfield MDU"/>
    <s v="ACT"/>
    <s v="Inv 13192"/>
    <d v="2018-02-07T00:00:00"/>
    <d v="2017-10-23T00:00:00"/>
    <d v="2017-10-23T00:00:00"/>
    <d v="2017-11-22T00:00:00"/>
    <d v="2017-12-20T00:00:00"/>
    <d v="2017-11-02T00:00:00"/>
    <d v="2018-02-08T00:00:00"/>
    <m/>
    <s v="Oct-17"/>
    <x v="11"/>
    <s v="MW21284 - 9DKI-07 - AYCA-3ZXA9V - 10 BAKEWELL ST -  COOMBS"/>
    <s v="Deakin"/>
    <n v="8321.6"/>
    <n v="12809.51"/>
    <n v="21131.11"/>
    <n v="23244.221000000001"/>
    <m/>
    <m/>
    <n v="0"/>
    <n v="21131.11"/>
    <n v="1"/>
    <s v="Invoiced"/>
    <d v="2017-11-06T00:00:00"/>
    <s v="Completed and handover forwarded"/>
    <s v="Shaher Aslan"/>
    <s v="Driect Award"/>
    <d v="2017-09-12T00:00:00"/>
    <m/>
    <d v="2017-09-22T00:00:00"/>
    <n v="10"/>
  </r>
  <r>
    <s v="A401/Greenfield"/>
    <s v="Sth NSW"/>
    <s v="Inv 13386"/>
    <d v="2018-03-19T00:00:00"/>
    <d v="2018-02-08T00:00:00"/>
    <d v="2018-02-13T00:00:00"/>
    <d v="2018-03-06T00:00:00"/>
    <d v="2018-03-14T00:00:00"/>
    <d v="2018-02-26T00:00:00"/>
    <d v="2018-03-20T00:00:00"/>
    <m/>
    <s v="Feb-18"/>
    <x v="2"/>
    <s v="MW21073 - 2WAG-05 AYCA-48HYBB - 89 Hammond Ave"/>
    <s v="Wagga Wagga"/>
    <n v="6447.82"/>
    <n v="2330.9699999999998"/>
    <n v="8778.7899999999991"/>
    <n v="9656.6689999999999"/>
    <m/>
    <m/>
    <n v="0"/>
    <n v="8778.7899999999991"/>
    <n v="1"/>
    <m/>
    <d v="2018-02-27T00:00:00"/>
    <m/>
    <s v="Dave Yoemans"/>
    <d v="2017-08-11T00:00:00"/>
    <d v="2017-09-14T00:00:00"/>
    <m/>
    <d v="2017-10-13T00:00:00"/>
    <n v="29"/>
  </r>
  <r>
    <s v="A401/Greenfield"/>
    <s v="Sth Coast"/>
    <s v="Inv 12877"/>
    <d v="2017-11-29T00:00:00"/>
    <d v="2017-10-12T00:00:00"/>
    <d v="2017-10-12T00:00:00"/>
    <d v="2017-10-24T00:00:00"/>
    <d v="2017-11-16T00:00:00"/>
    <d v="2017-10-26T00:00:00"/>
    <d v="2017-12-05T00:00:00"/>
    <m/>
    <s v="Oct-17"/>
    <x v="3"/>
    <s v="MW20865 - 2NWR-03 - AYCA-2K3SGD - Elian Crescent 1."/>
    <s v="Nowra"/>
    <n v="8598.36"/>
    <n v="2094.25"/>
    <n v="10692.61"/>
    <n v="11761.871000000001"/>
    <n v="1480"/>
    <m/>
    <n v="1480"/>
    <n v="9212.61"/>
    <n v="0.86158664722644895"/>
    <s v="Invoiced"/>
    <d v="2017-10-26T00:00:00"/>
    <s v="Completed and handover forwarded"/>
    <s v="Ertan Cicek "/>
    <d v="2017-09-05T00:00:00"/>
    <d v="2017-09-18T00:00:00"/>
    <n v="13"/>
    <d v="2017-09-25T00:00:00"/>
    <n v="7"/>
  </r>
  <r>
    <s v="A401/Greenfield"/>
    <s v="Sydney"/>
    <s v="Inv 12825"/>
    <d v="2017-11-16T00:00:00"/>
    <d v="2017-10-04T00:00:00"/>
    <d v="2017-10-06T00:00:00"/>
    <d v="2017-10-17T00:00:00"/>
    <d v="2017-10-25T00:00:00"/>
    <d v="2017-10-13T00:00:00"/>
    <d v="2017-11-21T00:00:00"/>
    <m/>
    <s v="Oct-17"/>
    <x v="4"/>
    <s v="MW21015 - AYCA-1Z6XAC -1-9 Florence Street &amp; 19-23 Quinn Street "/>
    <s v="Pendle Hill"/>
    <n v="37391.760000000002"/>
    <n v="-1916.7276785714289"/>
    <n v="35475.032321428575"/>
    <n v="39022.535553571433"/>
    <n v="27764.9"/>
    <m/>
    <n v="27764.9"/>
    <n v="7710.1323214285731"/>
    <n v="0.21733968419167002"/>
    <s v="Invoiced"/>
    <d v="2017-10-20T00:00:00"/>
    <s v="Completed and handover forwarded"/>
    <s v="Michael Tram"/>
    <d v="2017-08-15T00:00:00"/>
    <d v="2017-09-25T00:00:00"/>
    <n v="41"/>
    <d v="2017-11-01T00:00:00"/>
    <n v="37"/>
  </r>
  <r>
    <s v="Craig Comms"/>
    <s v="Sydney"/>
    <s v="Inv 12631"/>
    <d v="2017-09-26T00:00:00"/>
    <d v="2017-09-26T00:00:00"/>
    <d v="2017-09-26T00:00:00"/>
    <m/>
    <m/>
    <d v="2017-09-26T00:00:00"/>
    <d v="2017-10-26T00:00:00"/>
    <m/>
    <s v="Sep-17"/>
    <x v="5"/>
    <s v="2RIV-02-AYCA-1XO4MJ,  Hub install for Craig Comms"/>
    <s v="Rouse Hill"/>
    <n v="1475"/>
    <m/>
    <n v="1475"/>
    <n v="1622.5000000000002"/>
    <m/>
    <m/>
    <n v="0"/>
    <n v="1475"/>
    <n v="1"/>
    <s v="Invoiced"/>
    <d v="2017-10-10T00:00:00"/>
    <s v="Completed and handover forwarded"/>
    <s v="Craig Smith (Craig Comms)"/>
    <m/>
    <m/>
    <m/>
    <m/>
    <m/>
  </r>
  <r>
    <s v="A417 Greenfield MDU"/>
    <s v="Sth NSW"/>
    <s v="Inv 13300"/>
    <d v="2018-03-01T00:00:00"/>
    <d v="2018-01-29T00:00:00"/>
    <d v="2018-01-30T00:00:00"/>
    <d v="2018-01-30T00:00:00"/>
    <d v="2018-02-09T00:00:00"/>
    <d v="2018-02-09T00:00:00"/>
    <d v="2018-03-01T00:00:00"/>
    <m/>
    <s v="Jan-18"/>
    <x v="2"/>
    <s v="MW21324 - AYCA-4L3K9Q - 2GLB-01 - Kidd Crt - 1 "/>
    <s v="Goulburn"/>
    <n v="560.70000000000005"/>
    <n v="1627.9699999999998"/>
    <n v="2188.67"/>
    <n v="2407.5370000000003"/>
    <m/>
    <m/>
    <n v="0"/>
    <n v="2188.67"/>
    <n v="1"/>
    <s v="Invoiced"/>
    <d v="2018-02-13T00:00:00"/>
    <s v="Completed and handover forwarded"/>
    <s v="Ertan Cicek "/>
    <s v="Direct Award"/>
    <d v="2017-09-20T00:00:00"/>
    <m/>
    <d v="2017-10-26T00:00:00"/>
    <n v="36"/>
  </r>
  <r>
    <s v="A417 Greenfield MDU"/>
    <s v="Sydney"/>
    <s v="Inv 13301"/>
    <d v="2018-03-06T00:00:00"/>
    <d v="2018-01-17T00:00:00"/>
    <d v="2018-01-18T00:00:00"/>
    <d v="2017-01-18T00:00:00"/>
    <d v="2018-02-19T00:00:00"/>
    <d v="2018-02-01T00:00:00"/>
    <d v="2018-02-15T00:00:00"/>
    <m/>
    <s v="Jan-18"/>
    <x v="11"/>
    <s v="MW21369 - AYCA-4EEPL6 - 2KNS-03 - Rosebery Park - 3 "/>
    <s v="Rosebery"/>
    <n v="2155.7399999999998"/>
    <n v="6398.35"/>
    <n v="8554.09"/>
    <n v="9409.4990000000016"/>
    <n v="2427.2600000000002"/>
    <m/>
    <n v="2427.2600000000002"/>
    <n v="6126.83"/>
    <n v="0.71624567896760494"/>
    <m/>
    <d v="2018-02-01T00:00:00"/>
    <m/>
    <s v="Lindy Chan"/>
    <s v="Direct Award"/>
    <d v="2017-09-26T00:00:00"/>
    <m/>
    <d v="2017-09-29T00:00:00"/>
    <n v="3"/>
  </r>
  <r>
    <s v="A401/Greenfield"/>
    <s v="Sydney"/>
    <s v="Inv 13515"/>
    <d v="2018-04-20T00:00:00"/>
    <d v="2018-03-09T00:00:00"/>
    <d v="2018-03-13T00:00:00"/>
    <d v="2018-03-13T00:00:00"/>
    <d v="2018-04-13T00:00:00"/>
    <d v="2018-03-26T00:00:00"/>
    <d v="2018-04-24T00:00:00"/>
    <m/>
    <s v="Mar-18"/>
    <x v="14"/>
    <s v="MW21911-AYCA-4YPSLH-2ROU-02-6/4 COMMMERCIAL RD, ROUSE HILL"/>
    <s v="Rouse Hill"/>
    <n v="680.36"/>
    <n v="512.55999999999995"/>
    <n v="1192.92"/>
    <n v="1312.2120000000002"/>
    <m/>
    <m/>
    <n v="0"/>
    <n v="1192.92"/>
    <n v="1"/>
    <m/>
    <d v="2018-03-27T00:00:00"/>
    <m/>
    <s v="Ertan Cicek"/>
    <s v="Direct Award"/>
    <d v="2018-02-22T00:00:00"/>
    <m/>
    <m/>
    <n v="-43153"/>
  </r>
  <r>
    <s v="A417 Greenfield MDU"/>
    <s v="Sydney"/>
    <s v="Inv 13024"/>
    <d v="2018-01-08T00:00:00"/>
    <d v="2017-11-14T00:00:00"/>
    <d v="2017-11-16T00:00:00"/>
    <d v="2017-11-16T00:00:00"/>
    <d v="2017-11-24T00:00:00"/>
    <d v="2017-11-30T00:00:00"/>
    <d v="2018-01-11T00:00:00"/>
    <m/>
    <s v="Nov-17"/>
    <x v="13"/>
    <s v="MW21314 - 2BLK-10 - AYCA-4NCJ90 - Fine Property Group - 1- EXTERNAL"/>
    <s v="Doonside"/>
    <n v="1080.54"/>
    <n v="473.56"/>
    <n v="1554.1"/>
    <n v="1709.51"/>
    <m/>
    <m/>
    <n v="0"/>
    <n v="1554.1"/>
    <n v="1"/>
    <m/>
    <d v="2017-11-30T00:00:00"/>
    <m/>
    <s v="Lindy Chan"/>
    <s v="Direct Award"/>
    <d v="2017-09-27T00:00:00"/>
    <m/>
    <d v="2017-10-21T00:00:00"/>
    <n v="24"/>
  </r>
  <r>
    <s v="A401/Greenfield"/>
    <s v="West NSW"/>
    <s v="Inv 12914"/>
    <d v="2017-12-04T00:00:00"/>
    <d v="2017-10-12T00:00:00"/>
    <d v="2017-10-12T00:00:00"/>
    <m/>
    <m/>
    <d v="2017-11-24T00:00:00"/>
    <d v="2017-12-07T00:00:00"/>
    <m/>
    <s v="Oct-17"/>
    <x v="3"/>
    <s v="MW21032 - AYCA-4L57RB - 2MDG-01 -NSB - Bateman Ave Mudgee"/>
    <s v="Mudgee"/>
    <n v="1760"/>
    <m/>
    <n v="1760"/>
    <n v="1936.0000000000002"/>
    <m/>
    <m/>
    <n v="0"/>
    <n v="1760"/>
    <n v="1"/>
    <s v="Invoiced"/>
    <d v="2017-10-26T00:00:00"/>
    <s v="Completed and handover forwarded"/>
    <s v="Mark Leal"/>
    <d v="2017-09-08T00:00:00"/>
    <d v="2017-09-28T00:00:00"/>
    <n v="20"/>
    <d v="2017-10-07T00:00:00"/>
    <n v="9"/>
  </r>
  <r>
    <s v="A417 Greenfield MDU"/>
    <s v="Sydney"/>
    <s v="Inv 13117"/>
    <d v="2018-01-23T00:00:00"/>
    <d v="2017-12-12T00:00:00"/>
    <d v="2017-12-13T00:00:00"/>
    <d v="2017-12-18T00:00:00"/>
    <d v="2017-12-20T00:00:00"/>
    <d v="2017-01-02T00:00:00"/>
    <d v="2018-01-23T00:00:00"/>
    <m/>
    <s v="Dec-17"/>
    <x v="13"/>
    <s v="MW21381 - 2LIV-03 - AYCA-4B5X29 - 209-213 Memorial Ave - 1- EXTERNAL"/>
    <s v="Liverpool"/>
    <n v="5179.88"/>
    <n v="-125.23"/>
    <n v="5054.6500000000005"/>
    <n v="5560.1150000000007"/>
    <n v="931.3609090909091"/>
    <m/>
    <n v="931.3609090909091"/>
    <n v="4123.2890909090911"/>
    <n v="0.81574176073696314"/>
    <m/>
    <d v="2017-12-27T00:00:00"/>
    <m/>
    <s v="Lindy Chan"/>
    <s v="Direct Award"/>
    <d v="2017-09-29T00:00:00"/>
    <m/>
    <d v="2017-10-31T00:00:00"/>
    <n v="32"/>
  </r>
  <r>
    <s v="A417 Greenfield MDU"/>
    <s v="Sydney"/>
    <s v="Inv 13283"/>
    <d v="2018-02-22T00:00:00"/>
    <d v="2018-01-10T00:00:00"/>
    <d v="2018-01-10T00:00:00"/>
    <d v="2018-01-25T00:00:00"/>
    <d v="2018-02-07T00:00:00"/>
    <d v="2018-01-19T00:00:00"/>
    <d v="2018-02-27T00:00:00"/>
    <m/>
    <s v="Jan-18"/>
    <x v="11"/>
    <s v="MW21384 - 2PEN-65  - AYCA-4LWMQ0 - 271 Dunmore Street - 1- EXTERNAL"/>
    <s v="Pendle Hill"/>
    <n v="2140.21"/>
    <n v="3046.46"/>
    <n v="5186.67"/>
    <n v="5705.3370000000004"/>
    <n v="3121.35"/>
    <m/>
    <n v="3121.35"/>
    <n v="2065.3200000000002"/>
    <n v="0.39819768753361984"/>
    <m/>
    <d v="2018-01-24T00:00:00"/>
    <m/>
    <s v="Lindy Chan"/>
    <s v="Direct Award"/>
    <d v="2017-09-29T00:00:00"/>
    <m/>
    <d v="2017-10-31T00:00:00"/>
    <n v="32"/>
  </r>
  <r>
    <s v="A417 Greenfield MDU"/>
    <s v="Sydney"/>
    <s v="Inv 13685"/>
    <d v="2018-05-30T00:00:00"/>
    <d v="2018-04-17T00:00:00"/>
    <d v="2018-04-18T00:00:00"/>
    <d v="2028-04-24T00:00:00"/>
    <d v="2018-05-23T00:00:00"/>
    <d v="2018-05-02T00:00:00"/>
    <d v="2018-05-31T00:00:00"/>
    <m/>
    <s v="Apr-18"/>
    <x v="9"/>
    <s v="MW20116 - AYCA-3I8XUO - 2RDL-60 - Highgardens – 1- EXTERNAL"/>
    <s v="Eastwood"/>
    <n v="1559.83"/>
    <n v="13890.210000000001"/>
    <n v="15450.04"/>
    <n v="16995.044000000002"/>
    <n v="9603.8700000000008"/>
    <m/>
    <n v="9603.8700000000008"/>
    <n v="5846.17"/>
    <n v="0.37839190060349359"/>
    <m/>
    <d v="2018-05-02T00:00:00"/>
    <m/>
    <s v="Lindy Chan"/>
    <s v="Direct Award"/>
    <d v="2017-10-09T00:00:00"/>
    <m/>
    <d v="2017-11-14T00:00:00"/>
    <n v="36"/>
  </r>
  <r>
    <s v="A417 Greenfield MDU"/>
    <s v="Sydney"/>
    <s v="Inv 12932"/>
    <d v="2017-12-21T00:00:00"/>
    <d v="2017-10-16T00:00:00"/>
    <d v="2017-10-16T00:00:00"/>
    <d v="2017-11-17T00:00:00"/>
    <d v="2017-12-04T00:00:00"/>
    <d v="2017-10-23T00:00:00"/>
    <d v="2017-11-06T00:00:00"/>
    <m/>
    <s v="Oct-17"/>
    <x v="4"/>
    <s v="MW20106 - 2ROU-02 - AYCA-30C7IB - Hillview Rise - 6"/>
    <s v="Eastwood"/>
    <n v="742.2"/>
    <n v="321.29000000000002"/>
    <n v="1063.49"/>
    <n v="1169.8390000000002"/>
    <m/>
    <m/>
    <n v="0"/>
    <n v="1063.49"/>
    <n v="1"/>
    <s v="Invoiced"/>
    <d v="2017-10-30T00:00:00"/>
    <s v="Completed and handover forwarded"/>
    <s v="Lindy Chan"/>
    <s v="Direct Award"/>
    <d v="2017-10-09T00:00:00"/>
    <m/>
    <d v="2017-11-14T00:00:00"/>
    <n v="36"/>
  </r>
  <r>
    <s v="A417 Greenfield MDU"/>
    <s v="Sydney"/>
    <s v="Inv 13193"/>
    <d v="2017-02-06T00:00:00"/>
    <d v="2018-01-12T00:00:00"/>
    <d v="2018-01-12T00:00:00"/>
    <d v="2018-01-12T00:00:00"/>
    <d v="2018-01-16T00:00:00"/>
    <d v="2018-01-25T00:00:00"/>
    <d v="2018-02-06T00:00:00"/>
    <m/>
    <s v="Jan-18"/>
    <x v="11"/>
    <s v="MW20115 - 2PTH-02 - AYCA-4OSDE9 - ONYX - 1- EXTERNAL"/>
    <s v="Penrith"/>
    <n v="684.18"/>
    <n v="1930.07"/>
    <n v="2614.25"/>
    <n v="2875.6750000000002"/>
    <m/>
    <m/>
    <n v="0"/>
    <n v="2614.25"/>
    <n v="1"/>
    <m/>
    <d v="2018-01-26T00:00:00"/>
    <m/>
    <s v="Andrew Partalis"/>
    <s v="Direct Award"/>
    <d v="2017-10-10T00:00:00"/>
    <m/>
    <d v="2017-11-14T00:00:00"/>
    <n v="35"/>
  </r>
  <r>
    <s v="A417 Greenfield MDU"/>
    <s v="Sydney"/>
    <s v="Inv 12806"/>
    <d v="2017-11-14T00:00:00"/>
    <d v="2017-10-16T00:00:00"/>
    <d v="2017-10-16T00:00:00"/>
    <m/>
    <m/>
    <d v="2017-10-23T00:00:00"/>
    <d v="2017-11-16T00:00:00"/>
    <m/>
    <s v="Oct-17"/>
    <x v="4"/>
    <s v="MW21430 - 2RIV-02 - AYCA-3347PM - The Maples - 3 "/>
    <s v="Schofields"/>
    <n v="697.93"/>
    <m/>
    <n v="697.93"/>
    <n v="767.72299999999996"/>
    <m/>
    <m/>
    <n v="0"/>
    <n v="697.93"/>
    <n v="1"/>
    <s v="Invoiced"/>
    <d v="2017-10-30T00:00:00"/>
    <s v="Completed and handover forwarded"/>
    <s v="Andrew Mahassy"/>
    <s v="Direct Award"/>
    <d v="2017-10-03T00:00:00"/>
    <m/>
    <d v="2017-11-11T00:00:00"/>
    <n v="39"/>
  </r>
  <r>
    <s v="A417 Greenfield MDU"/>
    <s v="Sydney"/>
    <s v="Inv 13048"/>
    <d v="2018-01-12T00:00:00"/>
    <d v="2017-11-24T00:00:00"/>
    <d v="2017-11-24T00:00:00"/>
    <d v="2017-11-24T00:00:00"/>
    <d v="2017-12-20T00:00:00"/>
    <d v="2017-12-08T00:00:00"/>
    <d v="2018-01-16T00:00:00"/>
    <m/>
    <s v="Nov-17"/>
    <x v="13"/>
    <s v="MW21425 - 2LIV-04 - AYCA-2IQYU1 - Macquaire St Development – 1-EXTERNAL"/>
    <s v="Liverpool"/>
    <n v="787.99"/>
    <n v="3543.3989999999999"/>
    <n v="4331.3890000000001"/>
    <n v="4764.527900000001"/>
    <n v="2729.39"/>
    <m/>
    <n v="2729.39"/>
    <n v="1601.9990000000003"/>
    <n v="0.36985802937579615"/>
    <m/>
    <d v="2017-12-08T00:00:00"/>
    <m/>
    <s v="Lindy Chan"/>
    <s v="Direct Award"/>
    <d v="2017-10-03T00:00:00"/>
    <m/>
    <d v="2017-11-14T00:00:00"/>
    <n v="42"/>
  </r>
  <r>
    <s v="A417 Greenfield MDU"/>
    <s v="Sydney"/>
    <s v="Inv 13369"/>
    <d v="2018-03-15T00:00:00"/>
    <d v="2018-02-08T00:00:00"/>
    <d v="2018-02-08T00:00:00"/>
    <d v="2018-02-08T00:00:00"/>
    <d v="2018-02-21T00:00:00"/>
    <d v="2018-02-20T00:00:00"/>
    <d v="2018-03-15T00:00:00"/>
    <m/>
    <s v="Feb-18"/>
    <x v="2"/>
    <s v="MW21385 - 2BLK-10 - AYCA-4A93XN - 43 Graham St - Doonside - 1"/>
    <s v="Doonside"/>
    <n v="550.82000000000005"/>
    <n v="2183.1"/>
    <n v="2733.92"/>
    <n v="3007.3120000000004"/>
    <m/>
    <m/>
    <n v="0"/>
    <n v="2733.92"/>
    <n v="1"/>
    <m/>
    <d v="2018-02-22T00:00:00"/>
    <m/>
    <s v="Andrew Mahassy\Ertan Cicek "/>
    <s v="Direct Award"/>
    <d v="2017-10-04T00:00:00"/>
    <m/>
    <d v="2017-10-31T00:00:00"/>
    <n v="27"/>
  </r>
  <r>
    <s v="A417 Greenfield MDU"/>
    <s v="Sydney"/>
    <s v="Inv 13022"/>
    <d v="2017-01-08T00:00:00"/>
    <d v="2017-11-23T00:00:00"/>
    <d v="2017-11-23T00:00:00"/>
    <d v="2017-11-23T00:00:00"/>
    <d v="2017-11-28T00:00:00"/>
    <d v="2017-12-12T00:00:00"/>
    <d v="2017-12-28T00:00:00"/>
    <m/>
    <s v="Nov-17"/>
    <x v="3"/>
    <s v="MW21426 - 2PTH-05 - AYCA-3QAOV2 - Meyer Timber NSW - 1-EXTERNAL and INTERNAL"/>
    <s v="Penrith"/>
    <n v="1098.26"/>
    <n v="994.09"/>
    <n v="2092.35"/>
    <n v="2301.585"/>
    <n v="1331.8"/>
    <m/>
    <n v="1331.8"/>
    <n v="760.55"/>
    <n v="0.3634908117666738"/>
    <s v="Invoiced"/>
    <d v="2017-12-07T00:00:00"/>
    <s v="Completed and handover forwarded"/>
    <s v="Nabeel Jaimon"/>
    <s v="Direct Award"/>
    <d v="2017-10-04T00:00:00"/>
    <m/>
    <d v="2017-11-14T00:00:00"/>
    <n v="41"/>
  </r>
  <r>
    <s v="A401/Greenfield"/>
    <s v="Sth NSW"/>
    <s v="Inv 12988"/>
    <d v="2018-12-21T00:00:00"/>
    <d v="2017-11-21T00:00:00"/>
    <d v="2017-11-21T00:00:00"/>
    <d v="2017-11-21T00:00:00"/>
    <d v="2017-11-28T00:00:00"/>
    <d v="2017-12-06T00:00:00"/>
    <d v="2017-12-21T00:00:00"/>
    <m/>
    <s v="Nov-17"/>
    <x v="3"/>
    <s v="MW21080 - AYCA-2K262F - 2MSV-05 - Rochester Park - 1"/>
    <s v="Moss Vale"/>
    <n v="5689.31"/>
    <n v="1388.17"/>
    <n v="7077.4800000000005"/>
    <n v="7785.228000000001"/>
    <m/>
    <m/>
    <n v="0"/>
    <n v="7077.4800000000005"/>
    <n v="1"/>
    <s v="Invoiced"/>
    <d v="2017-12-05T00:00:00"/>
    <s v="Completed and handover forwarded"/>
    <s v="Ertan Cicek "/>
    <d v="2017-09-18T00:00:00"/>
    <d v="2017-10-24T00:00:00"/>
    <m/>
    <d v="2017-11-23T00:00:00"/>
    <n v="30"/>
  </r>
  <r>
    <s v="A401/Greenfield"/>
    <s v="Sth NSW"/>
    <s v="Inv 12983"/>
    <d v="2018-12-18T00:00:00"/>
    <d v="2017-11-17T00:00:00"/>
    <d v="2017-11-17T00:00:00"/>
    <d v="2017-11-22T00:00:00"/>
    <d v="2017-11-28T00:00:00"/>
    <d v="2017-12-04T00:00:00"/>
    <d v="2017-12-12T00:00:00"/>
    <m/>
    <s v="Nov-17"/>
    <x v="3"/>
    <s v="MW21400 - 2MTT-02 - AYCA-4JV9PM - Wattle St Colo Vale - 1"/>
    <s v="Colo Vale"/>
    <n v="6328.8649999999998"/>
    <n v="14364.323571428573"/>
    <n v="20693.188571428575"/>
    <n v="22762.507428571433"/>
    <m/>
    <m/>
    <n v="0"/>
    <n v="20693.188571428575"/>
    <n v="1"/>
    <s v="Invoiced"/>
    <d v="2017-12-01T00:00:00"/>
    <s v="Completed and handover forwarded"/>
    <s v="Ertan Cicek "/>
    <d v="2017-10-02T00:00:00"/>
    <m/>
    <m/>
    <m/>
    <m/>
  </r>
  <r>
    <s v="A401/Greenfield"/>
    <s v="Sth NSW"/>
    <s v="Inv 13299"/>
    <d v="2018-02-22T00:00:00"/>
    <d v="2018-01-22T00:00:00"/>
    <d v="2018-01-22T00:00:00"/>
    <d v="2018-01-22T00:00:00"/>
    <d v="2018-02-07T00:00:00"/>
    <d v="2018-02-07T00:00:00"/>
    <d v="2018-02-27T00:00:00"/>
    <m/>
    <s v="Jan-18"/>
    <x v="11"/>
    <s v="MW21398 - 2MSV-03 - AYCA-3MIX48 - Sutherland Park Estate - 1"/>
    <s v="Moss Vale"/>
    <n v="8670.86"/>
    <n v="4015.54"/>
    <n v="12686.400000000001"/>
    <n v="13955.040000000003"/>
    <m/>
    <m/>
    <n v="0"/>
    <n v="12686.400000000001"/>
    <n v="1"/>
    <m/>
    <d v="2018-02-05T00:00:00"/>
    <m/>
    <s v="Ertan Cicek "/>
    <d v="2017-10-02T00:00:00"/>
    <m/>
    <m/>
    <m/>
    <m/>
  </r>
  <r>
    <s v="A401/Minor works"/>
    <s v="ACT"/>
    <s v="Inv 13326"/>
    <d v="2018-02-06T00:00:00"/>
    <d v="2018-01-31T00:00:00"/>
    <d v="2018-01-25T00:00:00"/>
    <d v="2018-01-31T00:00:00"/>
    <d v="2018-02-12T00:00:00"/>
    <d v="2018-02-02T00:00:00"/>
    <d v="2018-03-08T00:00:00"/>
    <m/>
    <s v="Jan-18"/>
    <x v="2"/>
    <s v="MW21423 - 9QBN-03 - 16 Ellerton Drive Queanbeyan NSW"/>
    <s v="Queanbeyan"/>
    <n v="1281.43"/>
    <n v="69306.039999999994"/>
    <n v="70587.469999999987"/>
    <n v="77646.21699999999"/>
    <m/>
    <m/>
    <n v="0"/>
    <n v="70587.469999999987"/>
    <n v="1"/>
    <m/>
    <d v="2018-02-08T00:00:00"/>
    <m/>
    <s v="Linda Stahlgren Bouveng"/>
    <d v="2017-09-29T00:00:00"/>
    <d v="2017-10-16T00:00:00"/>
    <m/>
    <m/>
    <m/>
  </r>
  <r>
    <s v="A417 Greenfield MDU"/>
    <s v="Sydney"/>
    <s v="Inv 13202"/>
    <d v="2018-02-07T00:00:00"/>
    <d v="2017-12-12T00:00:00"/>
    <d v="2017-12-13T00:00:00"/>
    <d v="2018-01-12T00:00:00"/>
    <d v="2018-01-24T00:00:00"/>
    <d v="2018-01-02T00:00:00"/>
    <d v="2018-02-08T00:00:00"/>
    <m/>
    <s v="Dec-17"/>
    <x v="11"/>
    <s v="MW20150 - 2BLK-06 - AYCA-3W8B2F - 6 Old Church Lane "/>
    <s v="Blacktown"/>
    <n v="2633.83"/>
    <n v="-2118.86"/>
    <n v="514.9699999999998"/>
    <n v="566.46699999999987"/>
    <m/>
    <m/>
    <n v="0"/>
    <n v="514.9699999999998"/>
    <n v="1"/>
    <m/>
    <d v="2017-12-27T00:00:00"/>
    <m/>
    <s v="Andrew Mahassy"/>
    <s v="Direct Award"/>
    <d v="2017-10-14T00:00:00"/>
    <m/>
    <d v="2017-11-14T00:00:00"/>
    <n v="31"/>
  </r>
  <r>
    <s v="A401/Greenfield"/>
    <s v="Sydney"/>
    <s v="Inv 13278"/>
    <d v="2018-02-22T00:00:00"/>
    <d v="2017-12-21T00:00:00"/>
    <d v="2017-12-22T00:00:00"/>
    <d v="2018-01-09T00:00:00"/>
    <d v="2018-02-07T00:00:00"/>
    <d v="2018-01-08T00:00:00"/>
    <d v="2018-02-27T00:00:00"/>
    <m/>
    <s v="Dec-17"/>
    <x v="11"/>
    <s v="MW21145 - AYCA-4KU6BE -OOMWI - 2WET-20 - Seniors Housing"/>
    <s v="Bossley Park"/>
    <n v="2751.085"/>
    <n v="1880.81"/>
    <n v="4631.8950000000004"/>
    <n v="5095.0845000000008"/>
    <n v="1316.57"/>
    <m/>
    <n v="1316.57"/>
    <n v="3315.3250000000007"/>
    <n v="0.71575996433425204"/>
    <m/>
    <d v="2018-01-05T00:00:00"/>
    <m/>
    <s v="Michael Tram"/>
    <d v="2017-09-18T00:00:00"/>
    <d v="2017-10-13T00:00:00"/>
    <m/>
    <d v="2017-10-14T00:00:00"/>
    <m/>
  </r>
  <r>
    <s v="A417 Greenfield MDU"/>
    <s v="Sydney"/>
    <s v="Inv 12801"/>
    <d v="2017-11-13T00:00:00"/>
    <d v="2017-10-16T00:00:00"/>
    <d v="2017-10-16T00:00:00"/>
    <d v="2017-10-24T00:00:00"/>
    <d v="2017-10-31T00:00:00"/>
    <d v="2017-10-23T00:00:00"/>
    <d v="2017-11-16T00:00:00"/>
    <m/>
    <s v="Oct-17"/>
    <x v="4"/>
    <s v="MW21205 - 2RIV-02 - AYCA-3349N6 - Schofields Farm Road - The Maples 2"/>
    <s v="Schofields"/>
    <n v="1740.59"/>
    <n v="-95.96"/>
    <n v="1644.6299999999999"/>
    <n v="1809.0930000000001"/>
    <n v="637.19090909090903"/>
    <m/>
    <n v="637.19090909090903"/>
    <n v="1007.4390909090909"/>
    <n v="0.6125627593495746"/>
    <s v="Invoiced"/>
    <d v="2017-10-30T00:00:00"/>
    <s v="Completed and handover forwarded"/>
    <s v="Andrew Mahassy"/>
    <s v="Direct Award"/>
    <d v="2017-08-24T00:00:00"/>
    <m/>
    <d v="2017-09-15T00:00:00"/>
    <n v="22"/>
  </r>
  <r>
    <s v="A401/Greenfield"/>
    <s v="Nth Coast"/>
    <s v="Inv 13006"/>
    <d v="2017-12-21T00:00:00"/>
    <d v="2017-11-22T00:00:00"/>
    <d v="2017-11-22T00:00:00"/>
    <m/>
    <m/>
    <d v="2017-12-06T00:00:00"/>
    <d v="2017-12-20T00:00:00"/>
    <m/>
    <s v="Nov-17"/>
    <x v="3"/>
    <s v="MW21041 - 2OBA-20 - AYCA-4L6PEC - NSB - Old Bar Survey"/>
    <s v="Old Bar"/>
    <n v="1430"/>
    <m/>
    <n v="1430"/>
    <n v="1573.0000000000002"/>
    <m/>
    <m/>
    <n v="0"/>
    <n v="1430"/>
    <n v="1"/>
    <s v="Invoiced"/>
    <d v="2017-12-06T00:00:00"/>
    <s v="Completed and handover forwarded"/>
    <s v="Mark Leal"/>
    <d v="2017-09-08T00:00:00"/>
    <m/>
    <n v="-42986"/>
    <m/>
    <m/>
  </r>
  <r>
    <s v="A401/Greenfield"/>
    <s v="Sydney"/>
    <m/>
    <m/>
    <m/>
    <d v="2018-05-30T00:00:00"/>
    <m/>
    <m/>
    <m/>
    <m/>
    <m/>
    <s v="May-18"/>
    <x v="8"/>
    <s v="MW21325 - 2NRL-20 - AYCA-2QFUTJ - Camden Day Hospital - 1"/>
    <s v="Elderslie"/>
    <n v="2322.6892857142852"/>
    <m/>
    <n v="2322.6892857142852"/>
    <n v="2554.9582142857139"/>
    <m/>
    <m/>
    <n v="0"/>
    <n v="2322.6892857142852"/>
    <n v="1"/>
    <m/>
    <d v="2018-06-13T00:00:00"/>
    <s v="Completed and handover forwarded"/>
    <s v="Nabeel Jaimon"/>
    <d v="2017-09-29T00:00:00"/>
    <d v="2017-10-18T00:00:00"/>
    <n v="19"/>
    <d v="2017-10-26T00:00:00"/>
    <n v="8"/>
  </r>
  <r>
    <s v="A401/Greenfield"/>
    <s v="West NSW"/>
    <s v="Inv 13119"/>
    <d v="2018-01-23T00:00:00"/>
    <d v="2017-12-20T00:00:00"/>
    <d v="2017-12-20T00:00:00"/>
    <m/>
    <m/>
    <d v="2018-01-08T00:00:00"/>
    <d v="2018-01-23T00:00:00"/>
    <m/>
    <s v="Dec-17"/>
    <x v="13"/>
    <s v="MW21270 - 2BTH-01 - AYCA-47Y3BF - Arndilly"/>
    <s v="Bathurst"/>
    <n v="6664.39"/>
    <m/>
    <n v="6664.39"/>
    <n v="7330.8290000000006"/>
    <m/>
    <m/>
    <n v="0"/>
    <n v="6664.39"/>
    <n v="1"/>
    <m/>
    <d v="2018-01-03T00:00:00"/>
    <m/>
    <m/>
    <m/>
    <m/>
    <m/>
    <m/>
    <m/>
  </r>
  <r>
    <s v="A417 Greenfield MDU"/>
    <s v="Nth Coast"/>
    <s v="Inv 13414"/>
    <d v="2018-03-27T00:00:00"/>
    <d v="2018-02-23T00:00:00"/>
    <d v="2018-02-28T00:00:00"/>
    <d v="2018-03-01T00:00:00"/>
    <d v="2018-03-07T00:00:00"/>
    <d v="2018-03-16T00:00:00"/>
    <d v="2018-03-27T00:00:00"/>
    <m/>
    <s v="Feb-18"/>
    <x v="2"/>
    <s v="MW20843 - 2KCL-02 - AYCA-4EIN5M - 171 Casuarina Way Pty Ltd – 1- EXTERNAL"/>
    <s v="Casuarina"/>
    <n v="1790.44"/>
    <n v="4547.3999999999996"/>
    <n v="6337.84"/>
    <n v="6971.6240000000007"/>
    <n v="5237.6000000000004"/>
    <m/>
    <n v="5237.6000000000004"/>
    <n v="1100.2399999999998"/>
    <n v="0.17359857617106139"/>
    <m/>
    <d v="2018-03-14T00:00:00"/>
    <m/>
    <s v="Andrew Partalis"/>
    <m/>
    <m/>
    <m/>
    <m/>
    <m/>
  </r>
  <r>
    <s v="A401/Greenfield"/>
    <s v="Sth NSW"/>
    <s v="Inv 13584"/>
    <d v="2018-05-10T00:00:00"/>
    <d v="2018-02-25T00:00:00"/>
    <d v="2018-02-28T00:00:00"/>
    <d v="2018-03-22T00:00:00"/>
    <d v="2018-04-20T00:00:00"/>
    <d v="2018-03-12T00:00:00"/>
    <d v="2018-05-03T00:00:00"/>
    <m/>
    <s v="Feb-18"/>
    <x v="9"/>
    <s v="MW21289 -  2WAG-05 - AYCA-45YGSM - 138 Elizabeth Avenue Forest Hill"/>
    <s v="Wagga Wagga"/>
    <n v="12652.97"/>
    <n v="1876.25"/>
    <n v="14529.22"/>
    <n v="15982.142"/>
    <m/>
    <m/>
    <n v="0"/>
    <n v="14529.22"/>
    <n v="1"/>
    <m/>
    <d v="2018-03-14T00:00:00"/>
    <m/>
    <s v="Dave Yoemans"/>
    <d v="2017-09-18T00:00:00"/>
    <d v="2017-10-18T00:00:00"/>
    <n v="30"/>
    <d v="2017-11-30T00:00:00"/>
    <n v="43"/>
  </r>
  <r>
    <s v="A401/Greenfield"/>
    <s v="Sth NSW"/>
    <s v="Inv 13587"/>
    <d v="2018-05-10T00:00:00"/>
    <d v="2018-01-23T00:00:00"/>
    <d v="2018-01-23T00:00:00"/>
    <m/>
    <m/>
    <d v="2018-02-07T00:00:00"/>
    <d v="2018-05-08T00:00:00"/>
    <m/>
    <s v="Jan-18"/>
    <x v="9"/>
    <s v="MW21287 - AYCA-4BSSM6 - 2WAG-10 - 10 Fisher Place Lloyd"/>
    <s v="Wagga Wagga"/>
    <n v="4882.83"/>
    <m/>
    <n v="4882.83"/>
    <n v="5371.1130000000003"/>
    <m/>
    <m/>
    <n v="0"/>
    <n v="4882.83"/>
    <n v="1"/>
    <m/>
    <d v="2018-02-06T00:00:00"/>
    <m/>
    <s v="Dave Yoemans"/>
    <d v="2017-09-19T00:00:00"/>
    <d v="2017-10-18T00:00:00"/>
    <n v="29"/>
    <d v="2017-11-30T00:00:00"/>
    <n v="43"/>
  </r>
  <r>
    <s v="A401/Greenfield"/>
    <s v="Sth NSW"/>
    <s v="Inv 13027"/>
    <d v="2018-01-30T00:00:00"/>
    <d v="2017-12-04T00:00:00"/>
    <d v="2017-12-04T00:00:00"/>
    <d v="2017-12-04T00:00:00"/>
    <d v="2017-12-13T00:00:00"/>
    <d v="2017-12-14T00:00:00"/>
    <d v="2018-01-30T00:00:00"/>
    <m/>
    <s v="Dec-17"/>
    <x v="13"/>
    <s v="MW21285 - 2MSV-04 - AYCA-496F3H - 8 Bendooley Street Bowral"/>
    <s v="Bowral"/>
    <n v="4895.03"/>
    <n v="10424.728000000001"/>
    <n v="15319.758000000002"/>
    <n v="16851.733800000002"/>
    <n v="7890.75"/>
    <m/>
    <n v="7890.75"/>
    <n v="7429.0080000000016"/>
    <n v="0.48492985333058136"/>
    <s v="Invoiced"/>
    <d v="2017-12-18T00:00:00"/>
    <s v="Completed and handover forwarded"/>
    <s v="Dave Yoemans"/>
    <d v="2017-09-18T00:00:00"/>
    <d v="2017-10-18T00:00:00"/>
    <n v="30"/>
    <d v="2017-11-30T00:00:00"/>
    <n v="43"/>
  </r>
  <r>
    <s v="A417 Greenfield MDU"/>
    <s v="Sydney"/>
    <s v="Inv 13026"/>
    <d v="2018-01-08T00:00:00"/>
    <d v="2017-12-05T00:00:00"/>
    <d v="2017-12-05T00:00:00"/>
    <d v="2017-12-05T00:00:00"/>
    <d v="2017-12-12T00:00:00"/>
    <d v="2017-12-19T00:00:00"/>
    <d v="2018-01-11T00:00:00"/>
    <m/>
    <s v="Dec-17"/>
    <x v="13"/>
    <s v="MW21386 - AYCA-3BBYF2 - 2PTH-05 - 40-50 Union Rd, Penrith  EXTERNAL"/>
    <s v="Penrith"/>
    <n v="1126.31"/>
    <n v="2848.31"/>
    <n v="3974.62"/>
    <n v="4372.0820000000003"/>
    <n v="2621.77"/>
    <m/>
    <n v="2621.77"/>
    <n v="1352.85"/>
    <n v="0.34037216136385362"/>
    <s v="Invoiced"/>
    <d v="2017-12-19T00:00:00"/>
    <s v="Completed and handover forwarded"/>
    <s v="Andrew Partalis"/>
    <s v="Direct Award"/>
    <d v="2017-10-18T00:00:00"/>
    <m/>
    <d v="2017-11-22T00:00:00"/>
    <n v="35"/>
  </r>
  <r>
    <s v="A401/Greenfield"/>
    <s v="Sydney"/>
    <s v="Inv 13233"/>
    <d v="2018-02-15T00:00:00"/>
    <d v="2017-12-21T00:00:00"/>
    <d v="2017-12-22T00:00:00"/>
    <d v="2018-01-10T00:00:00"/>
    <d v="2018-01-24T00:00:00"/>
    <d v="2018-01-12T00:00:00"/>
    <d v="2018-02-15T00:00:00"/>
    <m/>
    <s v="Dec-17"/>
    <x v="11"/>
    <s v="MW21373 - 2WET-65 - AYCA-4O5GBC - 106 - 108 Chifley St - Smithfield - 1- EXTERNAL"/>
    <s v="Smithfield"/>
    <n v="5336.9454285714291"/>
    <n v="9985.27"/>
    <n v="15322.21542857143"/>
    <n v="16854.436971428575"/>
    <n v="4774.4799999999996"/>
    <m/>
    <n v="4774.4799999999996"/>
    <n v="10547.73542857143"/>
    <n v="0.68839493072933844"/>
    <m/>
    <d v="2018-01-05T00:00:00"/>
    <m/>
    <s v="Lindy Chan"/>
    <d v="2017-09-29T00:00:00"/>
    <d v="2017-10-19T00:00:00"/>
    <n v="20"/>
    <d v="2017-10-26T00:00:00"/>
    <n v="7"/>
  </r>
  <r>
    <s v="A417 Greenfield MDU"/>
    <s v="Sydney"/>
    <s v="Inv 13697"/>
    <d v="2018-06-06T00:00:00"/>
    <d v="2018-05-17T00:00:00"/>
    <d v="2018-05-17T00:00:00"/>
    <d v="2018-05-18T00:00:00"/>
    <d v="2018-05-30T00:00:00"/>
    <d v="2018-05-30T00:00:00"/>
    <d v="2018-06-07T00:00:00"/>
    <m/>
    <s v="May-18"/>
    <x v="10"/>
    <s v="MW20917 - AYCA-3A485K -2LID-03 -  Lidbury Street Berala - 1 - EXTERNAL"/>
    <s v="Berala"/>
    <n v="82.91"/>
    <n v="6597.0000000000009"/>
    <n v="6679.9100000000008"/>
    <n v="7347.9010000000017"/>
    <n v="4651.88"/>
    <m/>
    <n v="4651.88"/>
    <n v="2028.0300000000007"/>
    <n v="0.30360139582718937"/>
    <m/>
    <d v="2018-05-31T00:00:00"/>
    <m/>
    <s v="Lindy Chan"/>
    <s v="Direct Award"/>
    <d v="2017-10-19T00:00:00"/>
    <m/>
    <d v="2017-11-22T00:00:00"/>
    <n v="34"/>
  </r>
  <r>
    <s v="A417 Greenfield MDU"/>
    <s v="Sydney"/>
    <s v="Inv 13023"/>
    <d v="2018-01-08T00:00:00"/>
    <d v="2017-11-30T00:00:00"/>
    <d v="2017-11-30T00:00:00"/>
    <d v="2017-12-01T00:00:00"/>
    <d v="2017-12-12T00:00:00"/>
    <d v="2017-12-13T00:00:00"/>
    <d v="2017-12-28T00:00:00"/>
    <m/>
    <s v="Nov-17"/>
    <x v="3"/>
    <s v="MW21452 - AYCA-4FFBGM - 2PIT-01 - The Oaks Development"/>
    <s v="Pitt Town"/>
    <n v="5919.34"/>
    <n v="3816.2100000000009"/>
    <n v="9735.5500000000011"/>
    <n v="10709.105000000001"/>
    <n v="6437.11"/>
    <m/>
    <n v="6437.11"/>
    <n v="3298.4400000000014"/>
    <n v="0.33880366286445052"/>
    <s v="Invoiced"/>
    <d v="2017-12-14T00:00:00"/>
    <s v="Completed and handover forwarded"/>
    <s v="Andrew Mahassy"/>
    <s v="Direct Award"/>
    <d v="2017-10-19T00:00:00"/>
    <m/>
    <d v="2017-11-22T00:00:00"/>
    <n v="34"/>
  </r>
  <r>
    <s v="A401/Greenfield"/>
    <s v="Central Coast"/>
    <s v="Inv 13466"/>
    <d v="2018-04-09T00:00:00"/>
    <d v="2018-03-19T00:00:00"/>
    <d v="2018-03-19T00:00:00"/>
    <m/>
    <m/>
    <d v="2018-04-03T00:00:00"/>
    <d v="2018-04-10T00:00:00"/>
    <m/>
    <s v="Mar-18"/>
    <x v="14"/>
    <s v="MW21271 - AYCA-45TAFX  - 2MRS-03-Cooranbong - 1"/>
    <s v="Morriset"/>
    <n v="8383.48"/>
    <m/>
    <n v="8383.48"/>
    <n v="9221.8279999999995"/>
    <n v="4446.68"/>
    <m/>
    <n v="4446.68"/>
    <n v="3936.7999999999993"/>
    <n v="0.46959019404829494"/>
    <m/>
    <d v="2018-04-02T00:00:00"/>
    <m/>
    <s v="Ertan Cicek "/>
    <d v="2017-11-13T00:00:00"/>
    <d v="2018-02-06T00:00:00"/>
    <n v="85"/>
    <d v="2018-03-02T00:00:00"/>
    <n v="24"/>
  </r>
  <r>
    <s v="A401/Greenfield"/>
    <s v="Sydney"/>
    <s v="Inv 13150"/>
    <d v="2018-01-30T00:00:00"/>
    <d v="2017-12-18T00:00:00"/>
    <d v="2017-12-18T00:00:00"/>
    <m/>
    <m/>
    <d v="2018-01-02T00:00:00"/>
    <d v="2018-01-16T00:00:00"/>
    <m/>
    <s v="Dec-17"/>
    <x v="13"/>
    <s v="MW21392 - 2MIL-20 - AYCA-4NGNW3 - LOT 421 &amp; 422, 10-12 PROGRESS CIRCUIT"/>
    <s v="Miller"/>
    <n v="2044.5"/>
    <m/>
    <n v="2044.5"/>
    <n v="2248.9500000000003"/>
    <m/>
    <m/>
    <n v="0"/>
    <n v="2044.5"/>
    <n v="1"/>
    <m/>
    <d v="2018-01-01T00:00:00"/>
    <m/>
    <s v="Nabeel Jaimon"/>
    <d v="2017-10-02T00:00:00"/>
    <d v="2017-10-20T00:00:00"/>
    <n v="18"/>
    <d v="2017-10-31T00:00:00"/>
    <n v="11"/>
  </r>
  <r>
    <s v="A401/Greenfield"/>
    <s v="Sydney"/>
    <s v="Inv 13201"/>
    <d v="2018-02-07T00:00:00"/>
    <d v="2017-12-21T00:00:00"/>
    <d v="2017-12-22T00:00:00"/>
    <d v="2018-01-12T00:00:00"/>
    <d v="2018-01-25T00:00:00"/>
    <d v="2018-01-12T00:00:00"/>
    <d v="2018-02-08T00:00:00"/>
    <m/>
    <s v="Dec-17"/>
    <x v="11"/>
    <s v="MW21322 - 2SHH-02 - AYCA-4FHB4D - 3 Bellbird Close Barrack Heights"/>
    <s v="Barrack Heights"/>
    <n v="5773.02"/>
    <n v="4353.71"/>
    <n v="10126.73"/>
    <n v="11139.403"/>
    <n v="3289.75"/>
    <m/>
    <n v="3289.75"/>
    <n v="6836.98"/>
    <n v="0.67514192636714909"/>
    <m/>
    <d v="2018-01-05T00:00:00"/>
    <m/>
    <s v="Dave Yoemans"/>
    <d v="2017-09-18T00:00:00"/>
    <d v="2017-10-23T00:00:00"/>
    <n v="35"/>
    <d v="2017-11-30T00:00:00"/>
    <n v="38"/>
  </r>
  <r>
    <s v="A401/Greenfield"/>
    <s v="West NSW"/>
    <m/>
    <m/>
    <m/>
    <d v="2018-07-30T00:00:00"/>
    <m/>
    <m/>
    <m/>
    <m/>
    <m/>
    <s v="Jul-18"/>
    <x v="8"/>
    <s v="MW21395 - 2BTH-01 - AYCA-4LYVIU - Arndilly - 2"/>
    <s v="Bathurst"/>
    <n v="4802.37"/>
    <m/>
    <n v="4802.37"/>
    <n v="5282.607"/>
    <m/>
    <m/>
    <n v="0"/>
    <n v="4802.37"/>
    <n v="1"/>
    <m/>
    <d v="2018-08-13T00:00:00"/>
    <m/>
    <s v="Mark Leal"/>
    <d v="2017-09-27T00:00:00"/>
    <d v="2017-10-23T00:00:00"/>
    <n v="26"/>
    <d v="2017-11-01T00:00:00"/>
    <n v="9"/>
  </r>
  <r>
    <s v="A401/Greenfield"/>
    <s v="West NSW"/>
    <s v="Inv 13116"/>
    <d v="2018-01-23T00:00:00"/>
    <d v="2017-12-14T00:00:00"/>
    <d v="2017-12-22T00:00:00"/>
    <m/>
    <m/>
    <d v="2018-01-04T00:00:00"/>
    <d v="2018-01-23T00:00:00"/>
    <m/>
    <s v="Dec-17"/>
    <x v="13"/>
    <s v="MW21416 - 2ORG-05 - AYCA-4H25NY - 12 Wakeford – 1"/>
    <s v="Orange"/>
    <n v="8637.2000000000007"/>
    <m/>
    <n v="8637.2000000000007"/>
    <n v="9500.9200000000019"/>
    <m/>
    <m/>
    <n v="0"/>
    <n v="8637.2000000000007"/>
    <n v="1"/>
    <m/>
    <d v="2018-01-05T00:00:00"/>
    <m/>
    <s v="Ertan Cicek "/>
    <d v="2017-10-02T00:00:00"/>
    <d v="2017-10-23T00:00:00"/>
    <n v="21"/>
    <d v="2017-11-01T00:00:00"/>
    <n v="9"/>
  </r>
  <r>
    <s v="A417 Greenfield MDU"/>
    <s v="Sydney"/>
    <s v="Inv 13232"/>
    <d v="2018-02-15T00:00:00"/>
    <d v="2018-01-11T00:00:00"/>
    <d v="2018-01-11T00:00:00"/>
    <d v="2018-01-12T00:00:00"/>
    <d v="2018-01-24T00:00:00"/>
    <d v="2018-01-23T00:00:00"/>
    <d v="2018-02-15T00:00:00"/>
    <m/>
    <s v="Jan-18"/>
    <x v="11"/>
    <s v="MW21457 - AYCA-4QLE5J -2NEW-63 -Ara on Park - 1-EXTERNAL"/>
    <s v="Eskineville"/>
    <n v="2012.61"/>
    <n v="6714.56"/>
    <n v="8727.17"/>
    <n v="9599.8870000000006"/>
    <n v="2603.91"/>
    <m/>
    <n v="2603.91"/>
    <n v="6123.26"/>
    <n v="0.70163180045765128"/>
    <m/>
    <d v="2018-01-25T00:00:00"/>
    <m/>
    <s v="Lindy Chan"/>
    <s v="Direct Award"/>
    <d v="2017-10-24T00:00:00"/>
    <m/>
    <d v="2017-11-29T00:00:00"/>
    <n v="36"/>
  </r>
  <r>
    <s v="A417 Greenfield MDU"/>
    <s v="Sydney"/>
    <s v="Inv 13019"/>
    <d v="2017-12-22T00:00:00"/>
    <d v="2017-11-03T00:00:00"/>
    <d v="2017-11-07T00:00:00"/>
    <d v="2017-11-08T00:00:00"/>
    <d v="2017-11-16T00:00:00"/>
    <d v="2017-12-11T00:00:00"/>
    <d v="2018-01-09T00:00:00"/>
    <m/>
    <s v="Nov-17"/>
    <x v="13"/>
    <s v="MW21458 - 2LID-07 - AYCA-4DZEDU-2LID-07-Auburn Vista - 1 - EXTERNAL"/>
    <s v="Aubrn"/>
    <n v="1680"/>
    <n v="7008.33"/>
    <n v="8688.33"/>
    <n v="9557.1630000000005"/>
    <n v="127.27272727272728"/>
    <m/>
    <n v="127.27272727272728"/>
    <n v="8561.057272727272"/>
    <n v="0.98535130142700289"/>
    <s v="Invoiced"/>
    <d v="2017-11-21T00:00:00"/>
    <s v="Completed and handover forwarded"/>
    <s v="Ertan Cicek "/>
    <s v="Direct Award"/>
    <d v="2017-10-24T00:00:00"/>
    <m/>
    <d v="2017-11-29T00:00:00"/>
    <n v="36"/>
  </r>
  <r>
    <s v="A417 Greenfield MDU"/>
    <s v="Sydney"/>
    <s v="Inv 13120"/>
    <d v="2018-01-23T00:00:00"/>
    <d v="2017-11-29T00:00:00"/>
    <d v="2017-11-30T00:00:00"/>
    <d v="2017-12-01T00:00:00"/>
    <d v="2017-12-20T00:00:00"/>
    <d v="2017-12-12T00:00:00"/>
    <d v="2018-01-23T00:00:00"/>
    <m/>
    <s v="Nov-17"/>
    <x v="13"/>
    <s v="MW21471 - 2KIL-63 - AYCA-2T1HEY -RIDGE CENTRE - 1-E XTERNAL "/>
    <s v="Gordon"/>
    <n v="1686.02"/>
    <n v="3182.07"/>
    <n v="4868.09"/>
    <n v="5354.8990000000003"/>
    <n v="3014.2"/>
    <m/>
    <n v="3014.2"/>
    <n v="1853.8900000000003"/>
    <n v="0.38082492312179939"/>
    <s v="Invoiced"/>
    <d v="2017-12-14T00:00:00"/>
    <s v="Completed and handover forwarded"/>
    <s v="Lindy Chan"/>
    <s v="Direct Award"/>
    <d v="2017-10-24T00:00:00"/>
    <m/>
    <d v="2017-11-30T00:00:00"/>
    <n v="37"/>
  </r>
  <r>
    <s v="A417 Greenfield MDU"/>
    <s v="Sydney"/>
    <s v="Inv 13328"/>
    <d v="2018-03-07T00:00:00"/>
    <d v="2017-11-07T00:00:00"/>
    <d v="2017-11-07T00:00:00"/>
    <d v="2017-01-16T00:00:00"/>
    <d v="2018-02-27T00:00:00"/>
    <d v="2017-11-21T00:00:00"/>
    <d v="2018-03-08T00:00:00"/>
    <m/>
    <s v="Nov-17"/>
    <x v="2"/>
    <s v="MW21483 - 2ASH-05  - AYCA-2Y1KQS - Charles Banks  1- EXTERNAL"/>
    <s v="Canterbury"/>
    <n v="2604.61"/>
    <n v="11602.07"/>
    <n v="14206.68"/>
    <n v="15627.348000000002"/>
    <n v="5541.28"/>
    <m/>
    <n v="5541.28"/>
    <n v="8665.4000000000015"/>
    <n v="0.60995250121773714"/>
    <s v="Invoiced"/>
    <d v="2017-11-21T00:00:00"/>
    <s v="Completed and handover forwarded"/>
    <s v="Andrew Partalis"/>
    <s v="Direct Award"/>
    <d v="2017-10-25T00:00:00"/>
    <m/>
    <d v="2017-11-22T00:00:00"/>
    <n v="28"/>
  </r>
  <r>
    <s v="A417 Greenfield MDU"/>
    <s v="Nth West "/>
    <s v="Inv 12986"/>
    <d v="2017-12-28T00:00:00"/>
    <d v="2017-11-24T00:00:00"/>
    <d v="2017-11-27T00:00:00"/>
    <d v="2017-11-27T00:00:00"/>
    <d v="2017-12-08T00:00:00"/>
    <d v="2017-12-08T00:00:00"/>
    <d v="2017-12-28T00:00:00"/>
    <m/>
    <s v="Nov-17"/>
    <x v="3"/>
    <s v="MW21484 - AYCA-2CO7SU - 2ARM-04 - Brown - 1"/>
    <s v="Armidale"/>
    <n v="1586.84"/>
    <n v="5543.8700000000017"/>
    <n v="7130.7100000000019"/>
    <n v="7843.7810000000027"/>
    <n v="4794.1000000000004"/>
    <m/>
    <n v="4794.1000000000004"/>
    <n v="2336.6100000000015"/>
    <n v="0.3276826571267098"/>
    <s v="Invoiced"/>
    <d v="2017-12-11T00:00:00"/>
    <s v="Completed and handover forwarded"/>
    <s v="Mark Leal"/>
    <s v="Direct Award"/>
    <d v="2017-10-31T00:00:00"/>
    <m/>
    <d v="2017-11-30T00:00:00"/>
    <n v="30"/>
  </r>
  <r>
    <s v="A417 Greenfield MDU"/>
    <s v="ACT"/>
    <s v="Inv 13248"/>
    <d v="2018-02-19T00:00:00"/>
    <d v="2018-01-17T00:00:00"/>
    <d v="2018-01-17T00:00:00"/>
    <d v="2018-01-17T00:00:00"/>
    <d v="2018-01-29T00:00:00"/>
    <d v="2018-01-29T00:00:00"/>
    <d v="2018-02-20T00:00:00"/>
    <m/>
    <s v="Jan-18"/>
    <x v="11"/>
    <s v="MW21467 - 9QBN-03- AYCA-4QEPB9- Ian &amp; Cathy Darman - 1- EXTERNAL"/>
    <s v="Queanbeyan"/>
    <n v="1139.1099999999999"/>
    <n v="2470.5100000000002"/>
    <n v="3609.62"/>
    <n v="3970.5820000000003"/>
    <m/>
    <m/>
    <n v="0"/>
    <n v="3609.62"/>
    <n v="1"/>
    <s v="Invoiced"/>
    <d v="2018-01-31T00:00:00"/>
    <s v="Completed and handover forwarded"/>
    <s v="Nabeel Jaimon"/>
    <s v="Direct Award"/>
    <d v="2017-10-31T00:00:00"/>
    <m/>
    <d v="2017-11-29T00:00:00"/>
    <n v="29"/>
  </r>
  <r>
    <s v="A417 Greenfield MDU"/>
    <s v="Newcastle"/>
    <s v="Inv 13030"/>
    <d v="2018-01-12T00:00:00"/>
    <d v="2017-11-17T00:00:00"/>
    <d v="2017-11-17T00:00:00"/>
    <d v="2017-12-06T00:00:00"/>
    <d v="2017-12-08T00:00:00"/>
    <d v="2017-12-12T00:00:00"/>
    <d v="2018-01-16T00:00:00"/>
    <m/>
    <s v="Nov-17"/>
    <x v="13"/>
    <s v="MW21478-AYCA-4PIZ8V  -2MYF-02 - The Furnace - 1 – EXTERNAL    "/>
    <s v="Mayfield"/>
    <n v="750.2"/>
    <n v="4376.74"/>
    <n v="5126.9399999999996"/>
    <n v="5639.634"/>
    <n v="1746.62"/>
    <m/>
    <n v="1746.62"/>
    <n v="3380.3199999999997"/>
    <n v="0.65932505549118969"/>
    <m/>
    <d v="2017-12-01T00:00:00"/>
    <m/>
    <s v="Andrew Partalis"/>
    <s v="Direct Award"/>
    <d v="2017-11-02T00:00:00"/>
    <m/>
    <d v="2017-11-22T00:00:00"/>
    <n v="20"/>
  </r>
  <r>
    <s v="A401/Greenfield"/>
    <s v="West NSW"/>
    <s v="Inv 13164"/>
    <d v="2018-01-31T00:00:00"/>
    <d v="2017-12-14T00:00:00"/>
    <d v="2017-12-25T00:00:00"/>
    <m/>
    <m/>
    <d v="2018-01-04T00:00:00"/>
    <d v="2018-01-18T00:00:00"/>
    <m/>
    <s v="Dec-17"/>
    <x v="13"/>
    <s v="MW21438 - 2ORG-01 - AYCA-4J2IIB - Majestic Way - 1"/>
    <s v="Orange"/>
    <n v="5568.32"/>
    <m/>
    <n v="5568.32"/>
    <n v="6125.152"/>
    <m/>
    <m/>
    <n v="0"/>
    <n v="5568.32"/>
    <n v="1"/>
    <m/>
    <d v="2018-01-08T00:00:00"/>
    <m/>
    <s v="Mark Leal"/>
    <d v="2017-10-17T00:00:00"/>
    <d v="2017-11-06T00:00:00"/>
    <n v="20"/>
    <d v="2017-11-14T00:00:00"/>
    <n v="8"/>
  </r>
  <r>
    <s v="A401/Greenfield"/>
    <s v="Nth Coast"/>
    <s v="Inv 13152"/>
    <d v="2018-01-30T00:00:00"/>
    <d v="2017-12-14T00:00:00"/>
    <d v="2017-12-14T00:00:00"/>
    <m/>
    <m/>
    <d v="2017-01-04T00:00:00"/>
    <d v="2018-01-29T00:00:00"/>
    <m/>
    <s v="Dec-17"/>
    <x v="13"/>
    <s v="MW21459 -  AYCA-4DWSZZ -2OBA-20 -NSB - 81 Albatross Way"/>
    <s v="Old Bar"/>
    <n v="13975.96"/>
    <m/>
    <n v="13975.96"/>
    <n v="15373.556"/>
    <m/>
    <m/>
    <n v="0"/>
    <n v="13975.96"/>
    <n v="1"/>
    <m/>
    <d v="2017-12-28T00:00:00"/>
    <m/>
    <s v="Mark Leal"/>
    <d v="2017-10-30T00:00:00"/>
    <d v="2017-11-06T00:00:00"/>
    <n v="7"/>
    <d v="2017-11-30T00:00:00"/>
    <n v="24"/>
  </r>
  <r>
    <s v="A417 Greenfield MDU"/>
    <s v="Sth Coast"/>
    <s v="Inv 13273"/>
    <d v="2018-02-22T00:00:00"/>
    <d v="2017-12-19T00:00:00"/>
    <d v="2017-12-20T00:00:00"/>
    <d v="2018-01-09T00:00:00"/>
    <d v="2018-01-23T00:00:00"/>
    <d v="2017-01-04T00:00:00"/>
    <d v="2018-02-27T00:00:00"/>
    <m/>
    <s v="Dec-17"/>
    <x v="11"/>
    <s v="MW20076 - 2NWR-03 - AYCA-4SHR9U -2NWR-03 -Sequacious - 1"/>
    <s v="South Nowra"/>
    <n v="1215.49"/>
    <n v="650.54"/>
    <n v="1866.03"/>
    <n v="2052.6330000000003"/>
    <m/>
    <m/>
    <n v="0"/>
    <n v="1866.03"/>
    <n v="1"/>
    <m/>
    <d v="2018-01-03T00:00:00"/>
    <m/>
    <s v="Sogand Mohtat"/>
    <s v="Direct Award"/>
    <d v="2017-11-09T00:00:00"/>
    <m/>
    <d v="2017-12-15T00:00:00"/>
    <n v="36"/>
  </r>
  <r>
    <s v="A401/Greenfield"/>
    <s v="Sydney"/>
    <s v="Inv 13277"/>
    <d v="2018-03-02T00:00:00"/>
    <d v="2018-01-23T00:00:00"/>
    <d v="2018-01-24T00:00:00"/>
    <d v="2017-01-25T00:00:00"/>
    <d v="2018-01-31T00:00:00"/>
    <d v="2018-02-06T00:00:00"/>
    <d v="2018-03-06T00:00:00"/>
    <m/>
    <s v="Jan-18"/>
    <x v="2"/>
    <s v="MW21464 - 2NRN-03 - AYCA-4EAKM1-63 SGR - 1- EXTERNAL"/>
    <s v="Smeaton Grange"/>
    <n v="4263.5600000000004"/>
    <n v="4345.3999999999996"/>
    <n v="8608.9599999999991"/>
    <n v="9469.8559999999998"/>
    <n v="2292.46"/>
    <m/>
    <n v="2292.46"/>
    <n v="6316.4999999999991"/>
    <n v="0.7337123183288109"/>
    <m/>
    <d v="2018-02-07T00:00:00"/>
    <m/>
    <s v="Nabeel Jaimon"/>
    <d v="2017-10-30T00:00:00"/>
    <d v="2017-11-09T00:00:00"/>
    <n v="10"/>
    <d v="2017-11-30T00:00:00"/>
    <n v="21"/>
  </r>
  <r>
    <s v="A401/Greenfield"/>
    <s v="Sth NSW"/>
    <s v="Inv 13387"/>
    <d v="2018-03-19T00:00:00"/>
    <d v="2018-02-16T00:00:00"/>
    <d v="2018-02-21T00:00:00"/>
    <d v="2018-02-21T00:00:00"/>
    <d v="2018-02-27T00:00:00"/>
    <d v="2018-03-05T00:00:00"/>
    <d v="2018-03-20T00:00:00"/>
    <m/>
    <s v="Feb-18"/>
    <x v="2"/>
    <s v="MW21909 - AYCA-32NN4T -2MSV-05 -Blue Gum Rd Estate – 1"/>
    <s v="Moss Vale"/>
    <n v="22553.22"/>
    <n v="2677.9657142857141"/>
    <n v="25231.185714285715"/>
    <n v="27754.30428571429"/>
    <m/>
    <m/>
    <n v="0"/>
    <n v="25231.185714285715"/>
    <n v="1"/>
    <m/>
    <d v="2018-03-07T00:00:00"/>
    <m/>
    <s v="Mark Leal"/>
    <d v="2017-10-24T00:00:00"/>
    <d v="2017-11-10T00:00:00"/>
    <n v="17"/>
    <d v="2017-11-17T00:00:00"/>
    <n v="7"/>
  </r>
  <r>
    <s v="A401/Greenfield"/>
    <s v="Nth Coast"/>
    <s v="Inv 12986"/>
    <d v="2017-12-21T00:00:00"/>
    <d v="2017-11-26T00:00:00"/>
    <d v="2017-11-27T00:00:00"/>
    <m/>
    <m/>
    <d v="2017-12-07T00:00:00"/>
    <d v="2017-12-21T00:00:00"/>
    <m/>
    <s v="Nov-17"/>
    <x v="3"/>
    <s v="MW21311 - 2WAU-21 - AYCA-4N13KQ - 127 Cameron St"/>
    <s v="Wauchope"/>
    <n v="8488.5"/>
    <m/>
    <n v="8488.5"/>
    <n v="9337.35"/>
    <n v="6106.05"/>
    <m/>
    <n v="6106.05"/>
    <n v="2382.4499999999998"/>
    <n v="0.28066796253755077"/>
    <s v="Invoiced"/>
    <d v="2017-12-11T00:00:00"/>
    <s v="Completed and handover forwarded"/>
    <s v="Mark Leal"/>
    <d v="2017-10-23T00:00:00"/>
    <d v="2017-11-10T00:00:00"/>
    <n v="18"/>
    <d v="2017-11-18T00:00:00"/>
    <n v="8"/>
  </r>
  <r>
    <s v="A401/Greenfield"/>
    <s v="Sydney"/>
    <s v="Inv 13047"/>
    <d v="2018-01-16T00:00:00"/>
    <d v="2017-12-05T00:00:00"/>
    <d v="2017-12-05T00:00:00"/>
    <m/>
    <m/>
    <d v="2017-12-15T00:00:00"/>
    <d v="2018-01-16T00:00:00"/>
    <m/>
    <s v="Dec-17"/>
    <x v="13"/>
    <s v="MW21488 - 2ROU-03 - AYCA-4877L8 - Non Standard Builds - Windon Avenue"/>
    <s v="Rouse Hill"/>
    <n v="2284.9699999999998"/>
    <m/>
    <n v="2284.9699999999998"/>
    <n v="2513.4670000000001"/>
    <m/>
    <m/>
    <n v="0"/>
    <n v="2284.9699999999998"/>
    <n v="1"/>
    <s v="Invoiced"/>
    <d v="2017-12-19T00:00:00"/>
    <s v="Completed and handover forwarded"/>
    <s v="Andrew Mahassy"/>
    <d v="2017-11-04T00:00:00"/>
    <d v="2017-11-10T00:00:00"/>
    <n v="6"/>
    <d v="2017-11-30T00:00:00"/>
    <n v="20"/>
  </r>
  <r>
    <s v="A401/Greenfield"/>
    <s v="Sydney"/>
    <s v="Inv 12068"/>
    <d v="2018-01-16T00:00:00"/>
    <d v="2017-11-30T00:00:00"/>
    <d v="2017-11-30T00:00:00"/>
    <m/>
    <m/>
    <d v="2017-12-12T00:00:00"/>
    <d v="2018-01-18T00:00:00"/>
    <m/>
    <s v="Nov-17"/>
    <x v="13"/>
    <s v="MW21516 - AYCA-4TB2X9 - NSB - Wirrinya Pl Grasmere - SURVEY"/>
    <s v="Narellan"/>
    <n v="800"/>
    <m/>
    <n v="800"/>
    <n v="880.00000000000011"/>
    <m/>
    <m/>
    <n v="0"/>
    <n v="800"/>
    <n v="1"/>
    <s v="Invoiced"/>
    <d v="2017-12-14T00:00:00"/>
    <s v="Completed and handover forwarded"/>
    <s v="Andrew Mahassy"/>
    <d v="2017-10-24T00:00:00"/>
    <d v="2017-11-13T00:00:00"/>
    <n v="20"/>
    <d v="2017-11-20T00:00:00"/>
    <n v="7"/>
  </r>
  <r>
    <s v="A401/Greenfield"/>
    <s v="Sth NSW"/>
    <s v="Inv 13098"/>
    <d v="2018-01-23T00:00:00"/>
    <d v="2017-12-07T00:00:00"/>
    <d v="2017-12-11T00:00:00"/>
    <m/>
    <m/>
    <d v="2017-12-19T00:00:00"/>
    <d v="2018-01-21T00:00:00"/>
    <m/>
    <s v="Dec-17"/>
    <x v="13"/>
    <s v="MW21495 -AYCA-4UUWX6 - NSB - 13 Popes Rd Woonona - SURVEY "/>
    <s v="Woonona"/>
    <n v="1350"/>
    <m/>
    <n v="1350"/>
    <n v="1485.0000000000002"/>
    <m/>
    <m/>
    <n v="0"/>
    <n v="1350"/>
    <n v="1"/>
    <m/>
    <d v="2017-12-25T00:00:00"/>
    <m/>
    <s v="Andrew Mahassy"/>
    <d v="2017-11-04T00:00:00"/>
    <d v="2017-11-16T00:00:00"/>
    <n v="12"/>
    <d v="2017-11-30T00:00:00"/>
    <n v="14"/>
  </r>
  <r>
    <s v="A401/Greenfield"/>
    <s v="Sth NSW"/>
    <s v="Inv 13400"/>
    <d v="2018-03-22T00:00:00"/>
    <d v="2018-02-21T00:00:00"/>
    <d v="2018-02-21T00:00:00"/>
    <d v="2018-02-21T00:00:00"/>
    <d v="2018-02-27T00:00:00"/>
    <d v="2018-03-05T00:00:00"/>
    <d v="2018-03-22T00:00:00"/>
    <m/>
    <s v="Feb-18"/>
    <x v="2"/>
    <s v="MW21380 - 2YON-01 - AYCA-4MRFUW - 1 Patterson Avenue, Young – 1"/>
    <s v="Young"/>
    <n v="12059.12"/>
    <n v="3133.8257142857137"/>
    <n v="15192.945714285714"/>
    <n v="16712.240285714288"/>
    <m/>
    <m/>
    <n v="0"/>
    <n v="15192.945714285714"/>
    <n v="1"/>
    <m/>
    <d v="2018-03-07T00:00:00"/>
    <m/>
    <s v="Mark Leal"/>
    <d v="2017-09-29T00:00:00"/>
    <d v="2017-11-17T00:00:00"/>
    <n v="49"/>
    <d v="2017-12-03T00:00:00"/>
    <n v="16"/>
  </r>
  <r>
    <s v="A401/Greenfield"/>
    <s v="Newcastle"/>
    <s v="Inv 13021"/>
    <d v="2018-01-08T00:00:00"/>
    <d v="2017-11-30T00:00:00"/>
    <d v="2017-11-30T00:00:00"/>
    <m/>
    <m/>
    <d v="2017-12-13T00:00:00"/>
    <d v="2017-12-28T00:00:00"/>
    <m/>
    <s v="Nov-17"/>
    <x v="3"/>
    <s v="MW21123 - 2TAR -02 - AYCA-4LIG38 - Non Standard Builds Survey"/>
    <s v="Thornton"/>
    <n v="1670"/>
    <m/>
    <n v="1670"/>
    <n v="1837.0000000000002"/>
    <m/>
    <m/>
    <n v="0"/>
    <n v="1670"/>
    <n v="1"/>
    <s v="Invoiced"/>
    <d v="2017-12-14T00:00:00"/>
    <s v="Completed and handover forwarded"/>
    <s v="Mark Leal"/>
    <d v="2017-09-15T00:00:00"/>
    <d v="2017-11-17T00:00:00"/>
    <n v="63"/>
    <d v="2017-11-30T00:00:00"/>
    <n v="13"/>
  </r>
  <r>
    <s v="VPL"/>
    <s v="Sydney"/>
    <s v="Inv 12851"/>
    <d v="2017-11-22T00:00:00"/>
    <d v="2017-09-06T00:00:00"/>
    <d v="2017-11-23T00:00:00"/>
    <m/>
    <m/>
    <m/>
    <m/>
    <m/>
    <s v="Nov-17"/>
    <x v="8"/>
    <s v="2DAL-23-MPS-003 FttB Build"/>
    <s v="Sydney"/>
    <n v="12629.08"/>
    <m/>
    <n v="12629.08"/>
    <n v="13891.988000000001"/>
    <n v="2300"/>
    <m/>
    <n v="2300"/>
    <n v="10329.08"/>
    <n v="0.81788063738609618"/>
    <s v="Invoiced"/>
    <d v="2017-12-07T00:00:00"/>
    <s v="Completed and handover forwarded"/>
    <s v="Sam Harwood"/>
    <s v="N/A"/>
    <s v="N/A"/>
    <s v="N/A"/>
    <s v="N/A"/>
    <s v="N/A"/>
  </r>
  <r>
    <s v="VPL"/>
    <s v="Sydney"/>
    <s v="Inv 12852"/>
    <d v="2017-11-22T00:00:00"/>
    <d v="2017-09-06T00:00:00"/>
    <d v="2017-11-23T00:00:00"/>
    <m/>
    <m/>
    <m/>
    <m/>
    <m/>
    <s v="Nov-17"/>
    <x v="8"/>
    <s v="2DAL-23-MPS-004 FttB Build"/>
    <s v="Sydney"/>
    <n v="8851.2800000000007"/>
    <m/>
    <n v="8851.2800000000007"/>
    <n v="9736.4080000000013"/>
    <n v="1736.5"/>
    <m/>
    <n v="1736.5"/>
    <n v="7114.7800000000007"/>
    <n v="0.80381368570421452"/>
    <s v="Invoiced"/>
    <d v="2017-12-07T00:00:00"/>
    <s v="Completed and handover forwarded"/>
    <s v="Sam Harwood"/>
    <s v="N/A"/>
    <s v="N/A"/>
    <s v="N/A"/>
    <s v="N/A"/>
    <s v="N/A"/>
  </r>
  <r>
    <s v="VPL"/>
    <s v="Sydney"/>
    <s v="Inv 12853"/>
    <d v="2017-11-22T00:00:00"/>
    <d v="2017-09-06T00:00:00"/>
    <d v="2017-11-23T00:00:00"/>
    <m/>
    <m/>
    <m/>
    <m/>
    <m/>
    <s v="Nov-17"/>
    <x v="8"/>
    <s v="2DAL-24-MPS-008 FttB Build"/>
    <s v="Sydney"/>
    <n v="11338.68"/>
    <m/>
    <n v="11338.68"/>
    <n v="12472.548000000001"/>
    <n v="1700"/>
    <m/>
    <n v="1700"/>
    <n v="9638.68"/>
    <n v="0.8500707313373338"/>
    <s v="Invoiced"/>
    <d v="2017-12-07T00:00:00"/>
    <s v="Completed and handover forwarded"/>
    <s v="Sam Harwood"/>
    <s v="N/A"/>
    <s v="N/A"/>
    <s v="N/A"/>
    <s v="N/A"/>
    <s v="N/A"/>
  </r>
  <r>
    <s v="A401/Greenfield"/>
    <s v="Sydney"/>
    <s v="Inv 13588"/>
    <d v="2018-05-10T00:00:00"/>
    <d v="2018-03-19T00:00:00"/>
    <d v="2018-03-19T00:00:00"/>
    <d v="2018-03-21T00:00:00"/>
    <d v="2018-04-04T00:00:00"/>
    <d v="2018-04-05T00:00:00"/>
    <d v="2018-05-08T00:00:00"/>
    <m/>
    <s v="Mar-18"/>
    <x v="9"/>
    <s v="MW21821-AYCA-52OMAH-2NRN-10-18 Bluett Dr, Smeaton Grange Externals"/>
    <s v="Smeaton Grange"/>
    <n v="7704.13"/>
    <n v="1721.05"/>
    <n v="9425.18"/>
    <n v="10367.698"/>
    <m/>
    <m/>
    <n v="0"/>
    <n v="9425.18"/>
    <n v="1"/>
    <m/>
    <d v="2018-04-02T00:00:00"/>
    <m/>
    <s v="Ertan Cicek "/>
    <d v="2018-02-12T00:00:00"/>
    <d v="2018-02-19T00:00:00"/>
    <n v="7"/>
    <d v="2018-03-19T00:00:00"/>
    <n v="28"/>
  </r>
  <r>
    <s v="A417 Greenfield MDU"/>
    <s v="Sydney"/>
    <m/>
    <m/>
    <d v="2018-06-06T00:00:00"/>
    <d v="2018-06-07T00:00:00"/>
    <d v="2018-06-06T00:00:00"/>
    <m/>
    <d v="2018-06-21T00:00:00"/>
    <d v="2018-07-05T00:00:00"/>
    <m/>
    <s v="Jun-18"/>
    <x v="15"/>
    <s v="MW21524 -  AYCA-47C97W-2BLK-01 -51 Kildare Rd Blacktown"/>
    <s v="Blacktown"/>
    <n v="1711.6"/>
    <n v="1825.26"/>
    <n v="3536.8599999999997"/>
    <n v="3890.5459999999998"/>
    <n v="1221.19"/>
    <m/>
    <n v="1221.19"/>
    <n v="2315.6699999999996"/>
    <n v="0.65472481240422287"/>
    <m/>
    <d v="2018-06-21T00:00:00"/>
    <m/>
    <s v="Ertan Cicek"/>
    <s v="Direct Award"/>
    <d v="2017-12-07T00:00:00"/>
    <m/>
    <d v="2017-12-15T00:00:00"/>
    <n v="8"/>
  </r>
  <r>
    <s v="A417 Greenfield MDU"/>
    <s v="Sydney"/>
    <s v="Inv 13519"/>
    <d v="2018-04-20T00:00:00"/>
    <d v="2018-02-14T00:00:00"/>
    <d v="2018-02-15T00:00:00"/>
    <d v="2018-03-22T00:00:00"/>
    <d v="2018-04-13T00:00:00"/>
    <d v="2018-02-28T00:00:00"/>
    <d v="2018-04-24T00:00:00"/>
    <m/>
    <s v="Feb-18"/>
    <x v="14"/>
    <s v="MW21521-AYCA-1OHQX6 -2ROU-02-Lake Promenade - Building C- EXTERNAL"/>
    <s v="Rouse Hill"/>
    <n v="3895.2"/>
    <n v="8849.84"/>
    <n v="12745.04"/>
    <n v="14019.544000000002"/>
    <n v="3361.68"/>
    <m/>
    <n v="3361.68"/>
    <n v="9383.36"/>
    <n v="0.73623621424491414"/>
    <m/>
    <d v="2018-03-01T00:00:00"/>
    <m/>
    <s v="Lindy Chan"/>
    <s v="Direct Award"/>
    <d v="2017-12-08T00:00:00"/>
    <m/>
    <d v="2017-12-15T00:00:00"/>
    <n v="7"/>
  </r>
  <r>
    <s v="A417 Greenfield MDU"/>
    <s v="Sydney"/>
    <m/>
    <m/>
    <m/>
    <d v="2018-07-30T00:00:00"/>
    <m/>
    <m/>
    <m/>
    <m/>
    <m/>
    <s v="Jul-18"/>
    <x v="8"/>
    <s v="MW21570-AYCA-1L7010  - 2LID-08 - Mixed Use Development - Tower A and B"/>
    <s v="Auburn"/>
    <n v="2066.42"/>
    <m/>
    <n v="2066.42"/>
    <n v="2273.0620000000004"/>
    <n v="4673.01"/>
    <m/>
    <n v="4673.01"/>
    <n v="-2606.59"/>
    <n v="-1.2614037804512153"/>
    <m/>
    <d v="2018-08-13T00:00:00"/>
    <m/>
    <s v="Ertan Cicek "/>
    <s v="Direct Award"/>
    <d v="2017-12-12T00:00:00"/>
    <m/>
    <d v="2018-01-04T00:00:00"/>
    <n v="23"/>
  </r>
  <r>
    <s v="A417 Greenfield MDU"/>
    <s v="Sydney"/>
    <s v="Inv 13274"/>
    <d v="2018-02-22T00:00:00"/>
    <d v="2018-01-12T00:00:00"/>
    <d v="2018-01-12T00:00:00"/>
    <d v="2017-01-15T00:00:00"/>
    <d v="2018-02-07T00:00:00"/>
    <d v="2018-01-29T00:00:00"/>
    <d v="2018-02-27T00:00:00"/>
    <m/>
    <s v="Jan-18"/>
    <x v="11"/>
    <s v="MW21549-2LIV-03-AYCA-48U5AE-Flat Building - 1"/>
    <s v="Liverpool"/>
    <n v="1093.2"/>
    <n v="4076.63"/>
    <n v="5169.83"/>
    <n v="5686.8130000000001"/>
    <m/>
    <m/>
    <n v="0"/>
    <n v="5169.83"/>
    <n v="1"/>
    <m/>
    <d v="2018-01-26T00:00:00"/>
    <m/>
    <s v="Ertan Cicek "/>
    <s v="Direct Award"/>
    <d v="2017-12-12T00:00:00"/>
    <m/>
    <d v="2017-12-15T00:00:00"/>
    <n v="3"/>
  </r>
  <r>
    <s v="A417 Greenfield MDU"/>
    <s v="Sth Coast"/>
    <s v="Inv 13276"/>
    <d v="2018-02-22T00:00:00"/>
    <d v="2018-01-12T00:00:00"/>
    <d v="2018-01-12T00:00:00"/>
    <d v="2018-01-12T00:00:00"/>
    <d v="2018-01-29T00:00:00"/>
    <d v="2018-01-31T00:00:00"/>
    <d v="2018-02-27T00:00:00"/>
    <m/>
    <s v="Jan-18"/>
    <x v="11"/>
    <s v="MW21539 - AYCA-4SJ1RQ - 2WLG-05 - 18 Armstrong St West Wollongong NSW 2500 -INTERNAL"/>
    <s v="Wollongong"/>
    <n v="339.17"/>
    <n v="2680.5549999999998"/>
    <n v="3019.7249999999999"/>
    <n v="3321.6975000000002"/>
    <n v="1266"/>
    <m/>
    <n v="1266"/>
    <n v="1753.7249999999999"/>
    <n v="0.58075652584258497"/>
    <m/>
    <d v="2018-01-26T00:00:00"/>
    <m/>
    <s v="Nabeel Jaimon"/>
    <s v="Direct Award"/>
    <d v="2017-12-12T00:00:00"/>
    <m/>
    <d v="2017-12-15T00:00:00"/>
    <n v="3"/>
  </r>
  <r>
    <s v="A417 Greenfield MDU"/>
    <s v="Sydney"/>
    <s v="Inv 13329"/>
    <d v="2018-08-07T00:00:00"/>
    <d v="2018-02-02T00:00:00"/>
    <d v="2018-02-02T00:00:00"/>
    <d v="2018-02-06T00:00:00"/>
    <d v="2018-02-27T00:00:00"/>
    <d v="2018-02-15T00:00:00"/>
    <d v="2018-03-08T00:00:00"/>
    <m/>
    <s v="Feb-18"/>
    <x v="2"/>
    <s v="MW21537-AYCA-424B5V- 2LID-05- 9-13 GELIBOLU PARADE, AUBURN"/>
    <s v="Auburn"/>
    <n v="436.29"/>
    <n v="5127.37"/>
    <n v="5563.66"/>
    <n v="6120.0260000000007"/>
    <n v="2088.0500000000002"/>
    <m/>
    <n v="2088.0500000000002"/>
    <n v="3475.6099999999997"/>
    <n v="0.62469848984301701"/>
    <m/>
    <d v="2018-02-16T00:00:00"/>
    <m/>
    <s v="Ertan Cicek "/>
    <s v="Direct Award"/>
    <d v="2017-12-12T00:00:00"/>
    <m/>
    <d v="2017-12-15T00:00:00"/>
    <n v="3"/>
  </r>
  <r>
    <s v="A417 Greenfield MDU"/>
    <s v="Sydney"/>
    <s v="Inv 13234"/>
    <d v="2018-02-15T00:00:00"/>
    <d v="2018-01-10T00:00:00"/>
    <d v="2018-01-10T00:00:00"/>
    <d v="2018-01-10T00:00:00"/>
    <d v="2018-01-24T00:00:00"/>
    <d v="2018-01-22T00:00:00"/>
    <d v="2018-02-15T00:00:00"/>
    <m/>
    <s v="Jan-18"/>
    <x v="11"/>
    <s v="MW21540-AYCA-3DOI9R -2LIV-02- 166/176-178 Terminus ST ,Liverpool "/>
    <s v="Liverpool"/>
    <n v="1441.28"/>
    <n v="3767.91"/>
    <n v="5209.1899999999996"/>
    <n v="5730.1090000000004"/>
    <n v="1325"/>
    <m/>
    <n v="1325"/>
    <n v="3884.1899999999996"/>
    <n v="0.74564183683067808"/>
    <m/>
    <d v="2018-01-24T00:00:00"/>
    <m/>
    <s v="Ertan Cicek "/>
    <s v="Direct Award"/>
    <d v="2017-12-12T00:00:00"/>
    <m/>
    <d v="2017-12-15T00:00:00"/>
    <n v="3"/>
  </r>
  <r>
    <s v="A401/Greenfield"/>
    <s v="Central Coast"/>
    <s v="Inv 13520"/>
    <d v="2018-04-20T00:00:00"/>
    <d v="2018-03-27T00:00:00"/>
    <d v="2018-03-27T00:00:00"/>
    <d v="2018-04-05T00:00:00"/>
    <d v="2018-04-13T00:00:00"/>
    <d v="2018-04-12T00:00:00"/>
    <d v="2018-04-24T00:00:00"/>
    <m/>
    <s v="Mar-18"/>
    <x v="14"/>
    <s v="MW21473 - AYCA-3TNJ90-64 - 2ERN-03 - James Sea Drive, Green Point"/>
    <s v="Green Point"/>
    <n v="5531.99"/>
    <n v="5861.7517292798038"/>
    <n v="11393.741729279804"/>
    <n v="12533.115902207785"/>
    <n v="5884.29"/>
    <m/>
    <n v="5884.29"/>
    <n v="5509.4517292798037"/>
    <n v="0.48355069477496881"/>
    <m/>
    <d v="2018-04-10T00:00:00"/>
    <m/>
    <s v="Dave Yoemans"/>
    <d v="2017-11-03T00:00:00"/>
    <d v="2018-01-23T00:00:00"/>
    <n v="81"/>
    <d v="2018-01-16T00:00:00"/>
    <n v="-7"/>
  </r>
  <r>
    <s v="A417 Greenfield MDU"/>
    <s v="Sydney"/>
    <s v="Inv 13246"/>
    <d v="2018-02-20T00:00:00"/>
    <d v="2017-12-14T00:00:00"/>
    <d v="2018-01-15T00:00:00"/>
    <d v="2018-01-15T00:00:00"/>
    <d v="2018-01-29T00:00:00"/>
    <d v="2018-01-30T00:00:00"/>
    <d v="2018-02-20T00:00:00"/>
    <m/>
    <s v="Jan-18"/>
    <x v="11"/>
    <s v="MW21538-2PAR-63-AYCA-44DU8G 8-10 FRASER ST, WESTMEAD"/>
    <s v="Westmead"/>
    <n v="624.42999999999995"/>
    <n v="1621.32"/>
    <n v="2245.75"/>
    <n v="2470.3250000000003"/>
    <n v="1359.64"/>
    <m/>
    <n v="1359.64"/>
    <n v="886.1099999999999"/>
    <n v="0.39457196927529775"/>
    <m/>
    <d v="2018-01-29T00:00:00"/>
    <m/>
    <s v="Ertan Cicek "/>
    <s v="Direct Award"/>
    <d v="2017-12-13T00:00:00"/>
    <m/>
    <d v="2017-12-15T00:00:00"/>
    <n v="2"/>
  </r>
  <r>
    <s v="A417 Greenfield MDU"/>
    <s v="Sydney"/>
    <s v="Inv 13282"/>
    <d v="2018-02-22T00:00:00"/>
    <d v="2018-01-29T00:00:00"/>
    <d v="2018-01-30T00:00:00"/>
    <m/>
    <m/>
    <d v="2018-02-12T00:00:00"/>
    <d v="2018-02-27T00:00:00"/>
    <m/>
    <s v="Jan-18"/>
    <x v="11"/>
    <s v="MW21613-AYCA-4M07QT- 2CBT-06-12 Capertee St Ruse"/>
    <s v="Ruse"/>
    <n v="1120"/>
    <m/>
    <n v="1120"/>
    <n v="1232"/>
    <m/>
    <m/>
    <n v="0"/>
    <n v="1120"/>
    <n v="1"/>
    <m/>
    <d v="2018-02-13T00:00:00"/>
    <m/>
    <s v="Nabeel Jaimon"/>
    <s v="Direct Award"/>
    <d v="2017-12-15T00:00:00"/>
    <m/>
    <d v="2018-01-09T00:00:00"/>
    <n v="25"/>
  </r>
  <r>
    <s v="A417 Greenfield MDU"/>
    <s v="Sydney"/>
    <s v="Inv 13371"/>
    <d v="2018-03-13T00:00:00"/>
    <d v="2018-02-01T00:00:00"/>
    <d v="2018-02-01T00:00:00"/>
    <d v="2018-02-08T00:00:00"/>
    <d v="2018-02-27T00:00:00"/>
    <d v="2018-02-14T00:00:00"/>
    <d v="2018-03-13T00:00:00"/>
    <m/>
    <s v="Feb-18"/>
    <x v="2"/>
    <s v="MW21591 - AYCA-3KWVLI - 2ROU-03 - 4 Curtis Road, Kellyville - 1"/>
    <s v="Kellyville"/>
    <n v="2663.97"/>
    <n v="9309.69"/>
    <n v="11973.66"/>
    <n v="13171.026000000002"/>
    <n v="7068"/>
    <m/>
    <n v="7068"/>
    <n v="4905.66"/>
    <n v="0.40970430094056454"/>
    <m/>
    <d v="2018-02-15T00:00:00"/>
    <m/>
    <s v="Sogand Mohtat"/>
    <s v="Direct Award"/>
    <d v="2017-12-16T00:00:00"/>
    <m/>
    <d v="2017-12-15T00:00:00"/>
    <n v="-1"/>
  </r>
  <r>
    <s v="A401/Greenfield"/>
    <s v="Sydney"/>
    <s v="Inv 13314"/>
    <d v="2018-03-02T00:00:00"/>
    <d v="2017-12-18T00:00:00"/>
    <d v="2018-02-07T00:00:00"/>
    <m/>
    <m/>
    <d v="2018-02-21T00:00:00"/>
    <d v="2018-03-01T00:00:00"/>
    <m/>
    <s v="Feb-18"/>
    <x v="2"/>
    <s v="MW21506 - AYCA-4TCZPJ-2MIL-20-LOT 421 &amp; 422, PROGRESS CIRCUIT"/>
    <s v="Miller"/>
    <n v="3069.5"/>
    <m/>
    <n v="3069.5"/>
    <n v="3376.4500000000003"/>
    <m/>
    <m/>
    <n v="0"/>
    <n v="3069.5"/>
    <n v="1"/>
    <m/>
    <d v="2018-02-21T00:00:00"/>
    <m/>
    <s v="Nabeel Jaimon"/>
    <d v="2017-11-16T00:00:00"/>
    <d v="2018-02-12T00:00:00"/>
    <n v="88"/>
    <d v="2018-03-02T00:00:00"/>
    <n v="18"/>
  </r>
  <r>
    <s v="A401/Greenfield"/>
    <s v="Sydney"/>
    <s v="Inv 13523"/>
    <d v="2018-04-24T00:00:00"/>
    <d v="2018-03-27T00:00:00"/>
    <d v="2018-03-28T00:00:00"/>
    <d v="2018-04-05T00:00:00"/>
    <d v="2018-04-13T00:00:00"/>
    <d v="2018-04-11T00:00:00"/>
    <d v="2018-04-24T00:00:00"/>
    <m/>
    <s v="Mar-18"/>
    <x v="14"/>
    <s v="MW21472 -  AYCA-4G5CSP - 2GRK-01 - 20 Stanley Street Wyongah"/>
    <s v="Wyongah"/>
    <n v="6634.97"/>
    <n v="4736.189029988177"/>
    <n v="11371.159029988177"/>
    <n v="12508.274932986997"/>
    <n v="1651.66"/>
    <m/>
    <n v="1651.66"/>
    <n v="9719.4990299881774"/>
    <n v="0.85475007467187647"/>
    <m/>
    <d v="2018-04-11T00:00:00"/>
    <m/>
    <s v="Dave Yoemans"/>
    <d v="2017-11-04T00:00:00"/>
    <d v="2017-12-18T00:00:00"/>
    <n v="44"/>
    <d v="2017-12-30T00:00:00"/>
    <n v="12"/>
  </r>
  <r>
    <s v="A417 Greenfield MDU"/>
    <s v="Sydney"/>
    <s v="Inv 13153"/>
    <d v="2018-01-30T00:00:00"/>
    <d v="2017-12-19T00:00:00"/>
    <d v="2017-12-20T00:00:00"/>
    <d v="2017-12-21T00:00:00"/>
    <d v="2018-01-04T00:00:00"/>
    <d v="2017-01-09T00:00:00"/>
    <d v="2018-01-29T00:00:00"/>
    <m/>
    <s v="Dec-17"/>
    <x v="13"/>
    <s v="MW21505-AYCA-2AS459-2LID-05 -22-26 Ann Street Lidcombe"/>
    <s v="Lidcombe"/>
    <n v="2993.87"/>
    <n v="10583.11"/>
    <n v="13576.98"/>
    <n v="14934.678"/>
    <n v="9312.630000000001"/>
    <m/>
    <n v="9312.630000000001"/>
    <n v="4264.3499999999985"/>
    <n v="0.31408678513189225"/>
    <m/>
    <d v="2018-01-03T00:00:00"/>
    <m/>
    <s v="Andrew Partalis"/>
    <s v="Direct Award"/>
    <d v="2017-11-09T00:00:00"/>
    <m/>
    <d v="2017-12-15T00:00:00"/>
    <n v="36"/>
  </r>
  <r>
    <s v="A401/Greenfield"/>
    <s v="Sydney"/>
    <s v="Inv 13522"/>
    <d v="2018-04-20T00:00:00"/>
    <d v="2018-04-04T00:00:00"/>
    <d v="2018-04-04T00:00:00"/>
    <d v="2018-04-09T00:00:00"/>
    <d v="2018-04-17T00:00:00"/>
    <d v="2018-04-16T00:00:00"/>
    <d v="2018-04-24T00:00:00"/>
    <m/>
    <s v="Apr-18"/>
    <x v="14"/>
    <s v="MW21756-AYCA-3K4RCM-2RIV-03-Marsden Park Tonzat Development - 2"/>
    <s v="Riverstone"/>
    <n v="21847.48"/>
    <n v="7995.6857142857134"/>
    <n v="29843.165714285715"/>
    <n v="32827.482285714286"/>
    <n v="9927.23"/>
    <m/>
    <n v="9927.23"/>
    <n v="19915.935714285715"/>
    <n v="0.66735331985078572"/>
    <m/>
    <d v="2018-04-18T00:00:00"/>
    <m/>
    <s v="Andrew Mahassy"/>
    <d v="2018-01-15T00:00:00"/>
    <d v="2018-01-25T00:00:00"/>
    <n v="10"/>
    <d v="2018-01-25T00:00:00"/>
    <n v="0"/>
  </r>
  <r>
    <s v="A417 Greenfield MDU"/>
    <s v="Sydney"/>
    <s v="Inv 13320"/>
    <d v="2018-03-20T00:00:00"/>
    <d v="2018-03-02T00:00:00"/>
    <d v="2018-03-02T00:00:00"/>
    <d v="2018-03-05T00:00:00"/>
    <d v="2018-03-14T00:00:00"/>
    <d v="2018-03-15T00:00:00"/>
    <d v="2018-03-20T00:00:00"/>
    <m/>
    <s v="Mar-18"/>
    <x v="2"/>
    <s v="MW21453 - AYCA-2RVC4H - 2LIV-04 - 100 Macquarie Street Liverpool - 1- EXTERNAL"/>
    <s v="Liverpool"/>
    <n v="9149.8799999999992"/>
    <n v="11162.67"/>
    <n v="20312.55"/>
    <n v="22343.805"/>
    <n v="2645.01"/>
    <m/>
    <n v="2645.01"/>
    <n v="17667.54"/>
    <n v="0.86978444360752349"/>
    <m/>
    <d v="2018-03-16T00:00:00"/>
    <m/>
    <s v="Nabeel Jaimon"/>
    <s v="Direct Award"/>
    <d v="2017-10-19T00:00:00"/>
    <m/>
    <d v="2017-11-22T00:00:00"/>
    <n v="34"/>
  </r>
  <r>
    <s v="A417 Greenfield MDU"/>
    <s v="Sydney"/>
    <s v="Inv 13532"/>
    <d v="2018-04-26T00:00:00"/>
    <d v="2018-02-13T00:00:00"/>
    <d v="2018-02-13T00:00:00"/>
    <d v="2018-02-13T00:00:00"/>
    <d v="2018-04-20T00:00:00"/>
    <d v="2018-02-23T00:00:00"/>
    <d v="2018-04-26T00:00:00"/>
    <m/>
    <s v="Feb-18"/>
    <x v="14"/>
    <s v="MW21639-AYCA-4SZLC6 -2PTH-02- William Younis - 1"/>
    <s v="Penrith"/>
    <n v="391.14"/>
    <n v="2114.7199999999998"/>
    <n v="2505.8599999999997"/>
    <n v="2756.4459999999999"/>
    <n v="893.6"/>
    <m/>
    <n v="893.6"/>
    <n v="1612.2599999999998"/>
    <n v="0.64339588005714599"/>
    <m/>
    <d v="2018-02-27T00:00:00"/>
    <m/>
    <s v="Ertan Cicek "/>
    <s v="Direct Award"/>
    <d v="2017-12-21T00:00:00"/>
    <m/>
    <d v="2017-12-30T00:00:00"/>
    <n v="9"/>
  </r>
  <r>
    <s v="A417 Greenfield MDU"/>
    <s v="Sydney"/>
    <s v="Inv 13505"/>
    <d v="2018-04-19T00:00:00"/>
    <d v="2018-03-04T00:00:00"/>
    <d v="2018-03-07T00:00:00"/>
    <d v="2018-03-07T00:00:00"/>
    <d v="2018-04-13T00:00:00"/>
    <d v="2018-03-20T00:00:00"/>
    <d v="2018-04-03T00:00:00"/>
    <m/>
    <s v="Mar-18"/>
    <x v="14"/>
    <s v="MW20778 - AYCA-40UXV5 - 163 Parker St, South Penrith Ext"/>
    <s v="Penrith"/>
    <n v="1571.26"/>
    <n v="96407.250000021595"/>
    <n v="97978.51000002159"/>
    <n v="107776.36100002375"/>
    <n v="26378.379999999997"/>
    <m/>
    <n v="26378.379999999997"/>
    <n v="71600.1300000216"/>
    <n v="0.73077381968766231"/>
    <m/>
    <d v="2018-03-21T00:00:00"/>
    <m/>
    <s v="Andrew Partalis"/>
    <s v="Direct Award"/>
    <d v="2017-05-25T00:00:00"/>
    <m/>
    <d v="2018-01-17T00:00:00"/>
    <n v="237"/>
  </r>
  <r>
    <s v="A417 Greenfield MDU"/>
    <s v="Sydney"/>
    <s v="Inv 13432"/>
    <d v="2018-03-27T00:00:00"/>
    <d v="2018-03-02T00:00:00"/>
    <d v="2018-03-07T00:00:00"/>
    <d v="2018-03-06T00:00:00"/>
    <d v="2018-03-14T00:00:00"/>
    <d v="2018-03-21T00:00:00"/>
    <d v="2018-03-27T00:00:00"/>
    <m/>
    <s v="Mar-18"/>
    <x v="2"/>
    <s v="MW21652-AYCA-2ILOMV - 2ASH-05-INFINTY - 1"/>
    <s v="Ashfield"/>
    <n v="1516.81"/>
    <n v="12893.51"/>
    <n v="14410.32"/>
    <n v="15851.352000000001"/>
    <n v="7676.2"/>
    <m/>
    <n v="7676.2"/>
    <n v="6734.12"/>
    <n v="0.46731231506309368"/>
    <m/>
    <d v="2018-03-21T00:00:00"/>
    <m/>
    <s v="Ertan Cicek "/>
    <s v="Direct Award"/>
    <d v="2018-01-04T00:00:00"/>
    <m/>
    <d v="2018-02-19T00:00:00"/>
    <n v="46"/>
  </r>
  <r>
    <s v="A417 Greenfield MDU"/>
    <s v="Sydney"/>
    <s v="Inv 13275"/>
    <d v="2018-02-22T00:00:00"/>
    <d v="2018-01-22T00:00:00"/>
    <d v="2018-01-22T00:00:00"/>
    <d v="2018-01-23T00:00:00"/>
    <d v="2018-02-07T00:00:00"/>
    <d v="2018-02-07T00:00:00"/>
    <d v="2018-02-27T00:00:00"/>
    <m/>
    <s v="Jan-18"/>
    <x v="11"/>
    <s v="MW21611-AYCA-3K2CFZ -2CBT-05-Modco Boarding House 1"/>
    <s v="Campbelltown"/>
    <n v="1863.69"/>
    <n v="1955.78"/>
    <n v="3819.4700000000003"/>
    <n v="4201.4170000000004"/>
    <n v="798.75"/>
    <m/>
    <n v="798.75"/>
    <n v="3020.7200000000003"/>
    <n v="0.79087412651493538"/>
    <m/>
    <d v="2018-02-05T00:00:00"/>
    <m/>
    <s v="Ertan Cicek "/>
    <s v="Direct Award"/>
    <d v="2017-01-04T00:00:00"/>
    <m/>
    <d v="2017-01-29T00:00:00"/>
    <n v="25"/>
  </r>
  <r>
    <s v="A417 Greenfield MDU"/>
    <s v="Sydney"/>
    <s v="Inv 13447"/>
    <d v="2018-04-04T00:00:00"/>
    <d v="2018-03-08T00:00:00"/>
    <d v="2018-03-07T00:00:00"/>
    <d v="2018-03-09T00:00:00"/>
    <d v="2018-03-26T00:00:00"/>
    <d v="2018-03-22T00:00:00"/>
    <d v="2018-04-03T00:00:00"/>
    <m/>
    <s v="Mar-18"/>
    <x v="14"/>
    <s v="MW21718-AYCA-4TB2X9- 2NRL-22-NSB - Wirrinya Pl Grasme"/>
    <s v="Grasmere"/>
    <n v="4429.6000000000004"/>
    <n v="6859.5199999999986"/>
    <n v="11289.119999999999"/>
    <n v="12418.031999999999"/>
    <m/>
    <m/>
    <n v="0"/>
    <n v="11289.119999999999"/>
    <n v="1"/>
    <m/>
    <d v="2018-03-21T00:00:00"/>
    <m/>
    <s v="Ertan Cicek "/>
    <s v="Direct Award"/>
    <d v="2018-01-09T00:00:00"/>
    <m/>
    <d v="2018-02-27T00:00:00"/>
    <n v="49"/>
  </r>
  <r>
    <s v="A417 Greenfield MDU"/>
    <s v="Sydney"/>
    <s v="Inv 13280"/>
    <d v="2018-02-22T00:00:00"/>
    <d v="2018-01-22T00:00:00"/>
    <d v="2018-01-22T00:00:00"/>
    <d v="2018-01-23T00:00:00"/>
    <d v="2018-02-06T00:00:00"/>
    <d v="2018-02-01T00:00:00"/>
    <d v="2018-02-22T00:00:00"/>
    <m/>
    <s v="Jan-18"/>
    <x v="11"/>
    <s v="MW21706 - AYCA-4IYJ4J -2PTH-02 - CRONIN EQUITY PTY LTD - 1"/>
    <s v="Penrith"/>
    <n v="616.64"/>
    <n v="-131.31"/>
    <n v="485.33"/>
    <n v="533.86300000000006"/>
    <m/>
    <m/>
    <n v="0"/>
    <n v="485.33"/>
    <n v="1"/>
    <m/>
    <d v="2018-02-05T00:00:00"/>
    <m/>
    <s v="Ertan Cicek "/>
    <s v="Direct Award"/>
    <d v="2018-01-04T00:00:00"/>
    <m/>
    <d v="2018-01-30T00:00:00"/>
    <n v="26"/>
  </r>
  <r>
    <s v="A417 Greenfield MDU"/>
    <s v="Sydney"/>
    <s v="Inv 13446"/>
    <d v="2018-04-04T00:00:00"/>
    <d v="2018-03-13T00:00:00"/>
    <d v="2018-03-13T00:00:00"/>
    <d v="2018-03-14T00:00:00"/>
    <m/>
    <d v="2018-03-23T00:00:00"/>
    <d v="2018-04-04T00:00:00"/>
    <m/>
    <s v="Mar-18"/>
    <x v="14"/>
    <s v="MW21947-AYCA-54T32P-2MIL-01-Ryan &amp; Burrows Avenue"/>
    <s v="Miller"/>
    <n v="3241.78"/>
    <n v="220.64"/>
    <n v="3462.42"/>
    <n v="3808.6620000000003"/>
    <n v="1560.1"/>
    <m/>
    <n v="1560.1"/>
    <n v="1902.3200000000002"/>
    <n v="0.54941919235679093"/>
    <m/>
    <d v="2018-03-27T00:00:00"/>
    <m/>
    <s v="Andrew Mahassy"/>
    <s v="Direct Award"/>
    <d v="2018-02-22T00:00:00"/>
    <m/>
    <d v="2018-04-30T00:00:00"/>
    <n v="67"/>
  </r>
  <r>
    <s v="A417 Greenfield MDU"/>
    <s v="Sydney"/>
    <m/>
    <m/>
    <m/>
    <d v="2018-08-30T00:00:00"/>
    <m/>
    <m/>
    <m/>
    <m/>
    <m/>
    <s v="Aug-18"/>
    <x v="8"/>
    <s v="MW21705-AYCA-468RZY-2LID-04-23 RAILWAY PARADE - externals"/>
    <s v="Lidcombe"/>
    <n v="671.72"/>
    <m/>
    <n v="671.72"/>
    <n v="738.89200000000005"/>
    <m/>
    <m/>
    <n v="0"/>
    <n v="671.72"/>
    <n v="1"/>
    <m/>
    <d v="2018-09-13T00:00:00"/>
    <m/>
    <s v="Nabeel Jaimon"/>
    <s v="Direct Award"/>
    <d v="2018-01-04T00:00:00"/>
    <m/>
    <d v="2018-02-15T00:00:00"/>
    <n v="42"/>
  </r>
  <r>
    <s v="A417 Greenfield MDU"/>
    <s v="Sydney"/>
    <m/>
    <m/>
    <m/>
    <d v="2018-08-30T00:00:00"/>
    <m/>
    <m/>
    <m/>
    <m/>
    <m/>
    <s v="Aug-18"/>
    <x v="8"/>
    <s v="MW21699-AYCA-3E5O97-2ROU-03-Hancy - 1"/>
    <s v="Kellyville"/>
    <n v="3447.12"/>
    <m/>
    <n v="3447.12"/>
    <n v="3791.8320000000003"/>
    <m/>
    <m/>
    <n v="0"/>
    <n v="3447.12"/>
    <n v="1"/>
    <m/>
    <d v="2018-09-13T00:00:00"/>
    <m/>
    <s v="Ertan Cicek "/>
    <s v="Direct Award"/>
    <d v="2018-01-04T00:00:00"/>
    <m/>
    <d v="2018-02-15T00:00:00"/>
    <n v="42"/>
  </r>
  <r>
    <s v="A417 Greenfield MDU"/>
    <s v="Sydney"/>
    <s v="Inv 13448"/>
    <d v="2018-04-05T00:00:00"/>
    <d v="2018-03-19T00:00:00"/>
    <d v="2018-03-19T00:00:00"/>
    <d v="2018-03-20T00:00:00"/>
    <d v="2018-03-22T00:00:00"/>
    <d v="2018-03-29T00:00:00"/>
    <d v="2018-04-05T00:00:00"/>
    <m/>
    <s v="Mar-18"/>
    <x v="14"/>
    <s v="MW21924-AYCA-41E0L5-2ROU-33-33 FOXALL RD, KELLYVILLE"/>
    <s v="Kellyville"/>
    <n v="2397.62"/>
    <n v="717.29"/>
    <n v="3114.91"/>
    <n v="3426.4010000000003"/>
    <m/>
    <m/>
    <n v="0"/>
    <n v="3114.91"/>
    <n v="1"/>
    <m/>
    <d v="2018-04-02T00:00:00"/>
    <m/>
    <s v="Sogand Mohtat"/>
    <s v="Direct Award"/>
    <d v="2018-03-05T00:00:00"/>
    <m/>
    <d v="2018-03-28T00:00:00"/>
    <n v="23"/>
  </r>
  <r>
    <s v="A417 Greenfield MDU"/>
    <s v="Sydney"/>
    <s v="Inv 13464"/>
    <d v="2018-04-09T00:00:00"/>
    <d v="2018-03-19T00:00:00"/>
    <d v="2018-03-19T00:00:00"/>
    <d v="2018-03-21T00:00:00"/>
    <d v="2018-04-04T00:00:00"/>
    <d v="2018-03-29T00:00:00"/>
    <d v="2018-04-10T00:00:00"/>
    <m/>
    <s v="Mar-18"/>
    <x v="14"/>
    <s v="MW21959-AYCA-52OMAH-2NRN-10-18 Bluett Dr Smeaton Grang Int"/>
    <s v="Smeaton Grange"/>
    <n v="1400"/>
    <n v="1500.7"/>
    <n v="2900.7"/>
    <n v="3190.77"/>
    <m/>
    <m/>
    <n v="0"/>
    <n v="2900.7"/>
    <n v="1"/>
    <m/>
    <d v="2018-04-02T00:00:00"/>
    <m/>
    <s v="Ertan Cicek"/>
    <s v="Direct Award"/>
    <d v="2018-02-27T00:00:00"/>
    <m/>
    <d v="2018-03-02T00:00:00"/>
    <n v="3"/>
  </r>
  <r>
    <s v="A417 Greenfield MDU"/>
    <s v="Sydney"/>
    <s v="inv 13612"/>
    <d v="2018-05-17T00:00:00"/>
    <d v="2018-04-21T00:00:00"/>
    <d v="2018-04-23T00:00:00"/>
    <d v="2018-05-01T00:00:00"/>
    <d v="2018-05-10T00:00:00"/>
    <d v="2018-05-04T00:00:00"/>
    <d v="2018-05-17T00:00:00"/>
    <m/>
    <s v="Apr-18"/>
    <x v="9"/>
    <s v="MW21724-AYCA-3TP6RP-2SIL-04-Majors Bay Mortlake Residential "/>
    <s v="Mortlake"/>
    <n v="5248.59"/>
    <n v="7137.58"/>
    <n v="12386.17"/>
    <n v="13624.787000000002"/>
    <n v="3269.94"/>
    <m/>
    <n v="3269.94"/>
    <n v="9116.23"/>
    <n v="0.73600071692863889"/>
    <m/>
    <d v="2018-05-07T00:00:00"/>
    <m/>
    <s v="Ertan Cicek "/>
    <s v="Direct Award"/>
    <d v="2018-01-09T00:00:00"/>
    <m/>
    <d v="2018-02-15T00:00:00"/>
    <n v="37"/>
  </r>
  <r>
    <s v="A417 Greenfield MDU"/>
    <s v="Sydney"/>
    <m/>
    <m/>
    <m/>
    <d v="2018-08-30T00:00:00"/>
    <m/>
    <m/>
    <m/>
    <m/>
    <m/>
    <s v="Aug-18"/>
    <x v="8"/>
    <s v="MW21728-AYCA-4HTS7R-2RIV-03-875 RICHMOND RD, MARSDEN PARK"/>
    <s v="Marsden Park"/>
    <n v="731.99"/>
    <m/>
    <n v="731.99"/>
    <n v="805.18900000000008"/>
    <m/>
    <m/>
    <n v="0"/>
    <n v="731.99"/>
    <n v="1"/>
    <m/>
    <d v="2018-09-13T00:00:00"/>
    <m/>
    <s v="Ertan Cicek "/>
    <s v="Direct Award"/>
    <d v="2018-01-09T00:00:00"/>
    <m/>
    <d v="2018-02-27T00:00:00"/>
    <n v="49"/>
  </r>
  <r>
    <s v="A401/Greenfield"/>
    <s v="Sydney"/>
    <m/>
    <m/>
    <d v="2018-01-10T00:00:00"/>
    <d v="2018-02-13T00:00:00"/>
    <d v="2018-02-13T00:00:00"/>
    <d v="2018-03-06T00:00:00"/>
    <d v="2018-02-23T00:00:00"/>
    <d v="2018-03-15T00:00:00"/>
    <m/>
    <s v="Feb-18"/>
    <x v="2"/>
    <s v="MW21408 - AYCA-4GCT7O - 2ROC-04 - Baxter International Hotel - 1 "/>
    <s v="Mascot"/>
    <n v="5871.23"/>
    <n v="3879.7714285714283"/>
    <n v="9751.0014285714278"/>
    <n v="10726.101571428571"/>
    <m/>
    <m/>
    <n v="0"/>
    <n v="9751.0014285714278"/>
    <n v="1"/>
    <m/>
    <d v="2018-02-27T00:00:00"/>
    <m/>
    <s v="Ertan Cicek "/>
    <d v="2017-11-16T00:00:00"/>
    <d v="2018-02-12T00:00:00"/>
    <n v="88"/>
    <d v="2018-03-02T00:00:00"/>
    <n v="18"/>
  </r>
  <r>
    <s v="A401/Greenfield"/>
    <s v="Newcastle"/>
    <s v="Inv 13327"/>
    <d v="2018-02-07T00:00:00"/>
    <d v="2018-01-12T00:00:00"/>
    <d v="2018-02-07T00:00:00"/>
    <d v="2018-02-07T00:00:00"/>
    <d v="2018-02-27T00:00:00"/>
    <d v="2018-02-20T00:00:00"/>
    <d v="2018-03-08T00:00:00"/>
    <m/>
    <s v="Feb-18"/>
    <x v="2"/>
    <s v="MW21512 - AYCA-4IUR86 -2NLT-09 - Clarendene - 1"/>
    <s v="Wallsend"/>
    <n v="6924.34"/>
    <n v="3879.77"/>
    <n v="10804.11"/>
    <n v="11884.521000000002"/>
    <n v="3626.8"/>
    <m/>
    <n v="3626.8"/>
    <n v="7177.31"/>
    <n v="0.66431293276355019"/>
    <m/>
    <d v="2018-02-21T00:00:00"/>
    <m/>
    <s v="Andrew Partalis"/>
    <d v="2017-11-14T00:00:00"/>
    <d v="2018-02-06T00:00:00"/>
    <n v="84"/>
    <d v="2018-03-02T00:00:00"/>
    <n v="24"/>
  </r>
  <r>
    <s v="A417 Greenfield MDU"/>
    <s v="Sth Coast"/>
    <s v="Inv 13247"/>
    <d v="2018-02-19T00:00:00"/>
    <d v="2018-01-12T00:00:00"/>
    <d v="2018-01-12T00:00:00"/>
    <d v="2018-01-30T00:00:00"/>
    <d v="2018-02-07T00:00:00"/>
    <d v="2018-01-31T00:00:00"/>
    <d v="2018-02-20T00:00:00"/>
    <s v="Jan-18"/>
    <s v="Jan-18"/>
    <x v="11"/>
    <s v="MW21552 - AYCA-4SJ1RQ - 2KNS-21 - 18 Armstrong St West Wollongong, Externals"/>
    <s v="Wollongong"/>
    <n v="339.17"/>
    <n v="1627.9699999999998"/>
    <n v="1967.1399999999999"/>
    <n v="2163.8539999999998"/>
    <n v="1075.44"/>
    <m/>
    <n v="1075.44"/>
    <n v="891.69999999999982"/>
    <n v="0.45329768089713995"/>
    <m/>
    <d v="2018-01-26T00:00:00"/>
    <m/>
    <s v="Nabeel Jaimon"/>
    <s v="Direct Award"/>
    <d v="2017-12-12T00:00:00"/>
    <m/>
    <d v="2017-12-15T00:00:00"/>
    <n v="3"/>
  </r>
  <r>
    <s v="A417 Greenfield MDU"/>
    <s v="Sydney"/>
    <s v="Inv 13315"/>
    <d v="2018-03-01T00:00:00"/>
    <d v="2018-01-25T00:00:00"/>
    <d v="2018-01-25T00:00:00"/>
    <m/>
    <m/>
    <d v="2018-02-07T00:00:00"/>
    <d v="2018-03-01T00:00:00"/>
    <m/>
    <s v="Jan-18"/>
    <x v="2"/>
    <s v="MW21328 - AYCA-40UXV5 - 2PTH-02 - 163 Parker St - South Penrith - 1-  INTERNAL"/>
    <s v="Penrith"/>
    <n v="2880"/>
    <m/>
    <n v="2880"/>
    <n v="3168.0000000000005"/>
    <m/>
    <m/>
    <n v="0"/>
    <n v="2880"/>
    <n v="1"/>
    <m/>
    <d v="2018-02-08T00:00:00"/>
    <m/>
    <s v="Andrew Partalis"/>
    <s v="Direct Award"/>
    <d v="2017-09-22T00:00:00"/>
    <m/>
    <d v="2018-01-17T00:00:00"/>
    <n v="117"/>
  </r>
  <r>
    <s v="A417 Greenfield MDU"/>
    <s v="Sydney"/>
    <s v="Inv 13534"/>
    <d v="2018-04-26T00:00:00"/>
    <d v="2018-03-18T00:00:00"/>
    <d v="2018-03-20T00:00:00"/>
    <d v="2018-03-22T00:00:00"/>
    <d v="2018-04-20T00:00:00"/>
    <d v="2018-04-03T00:00:00"/>
    <d v="2018-04-26T00:00:00"/>
    <m/>
    <s v="Mar-18"/>
    <x v="14"/>
    <s v="MW21620- AYCA-4SM2C7 - 2LIV-03-60-62 Passefield Street, Liverpool"/>
    <s v="Liverpool"/>
    <n v="582.23"/>
    <n v="6807.3099999999995"/>
    <n v="7389.5399999999991"/>
    <n v="8128.4939999999997"/>
    <n v="459.6"/>
    <m/>
    <n v="459.6"/>
    <n v="6929.9399999999987"/>
    <n v="0.93780397697285622"/>
    <m/>
    <d v="2018-04-03T00:00:00"/>
    <m/>
    <s v="Andrew Mahassy"/>
    <s v="Direct Award"/>
    <d v="2017-12-21T00:00:00"/>
    <m/>
    <d v="2018-01-30T00:00:00"/>
    <n v="40"/>
  </r>
  <r>
    <s v="A417 Greenfield MDU"/>
    <s v="Sydney"/>
    <m/>
    <m/>
    <m/>
    <d v="2018-08-30T00:00:00"/>
    <m/>
    <m/>
    <m/>
    <m/>
    <m/>
    <s v="Aug-18"/>
    <x v="8"/>
    <s v="MW21638- AYCA-3NFID7-2PTH-04 - Tench Ave Jamisontown 1 "/>
    <s v="Penrith"/>
    <n v="2209.46"/>
    <m/>
    <n v="2209.46"/>
    <n v="2430.4060000000004"/>
    <m/>
    <m/>
    <n v="0"/>
    <n v="2209.46"/>
    <n v="1"/>
    <m/>
    <d v="2018-09-13T00:00:00"/>
    <m/>
    <s v="Ertan Cicek "/>
    <s v="Direct Award"/>
    <d v="2017-12-19T00:00:00"/>
    <m/>
    <d v="2018-01-30T00:00:00"/>
    <n v="42"/>
  </r>
  <r>
    <s v="A417 Greenfield MDU"/>
    <s v="Sydney"/>
    <s v="Inv 13319"/>
    <d v="2017-06-06T00:00:00"/>
    <d v="2018-02-01T00:00:00"/>
    <d v="2018-02-01T00:00:00"/>
    <d v="2018-02-01T00:00:00"/>
    <d v="2018-02-07T00:00:00"/>
    <d v="2018-02-23T00:00:00"/>
    <d v="2018-03-06T00:00:00"/>
    <m/>
    <s v="Feb-18"/>
    <x v="2"/>
    <s v="MW21551 -AYCA-4EN7KA -  2KNS-04 - Lewis &amp; Co - 1"/>
    <s v="Alexandria"/>
    <n v="1838.95"/>
    <n v="13797.3"/>
    <n v="15636.25"/>
    <n v="17199.875"/>
    <n v="10452.950000000001"/>
    <m/>
    <n v="10452.950000000001"/>
    <n v="5183.2999999999993"/>
    <n v="0.33149252538172513"/>
    <m/>
    <d v="2018-02-15T00:00:00"/>
    <m/>
    <s v="Lindy Chan"/>
    <s v="Direct Award"/>
    <d v="2017-12-15T00:00:00"/>
    <m/>
    <d v="2017-12-15T00:00:00"/>
    <n v="0"/>
  </r>
  <r>
    <s v="A417 Greenfield MDU"/>
    <s v="Sydney"/>
    <m/>
    <m/>
    <m/>
    <d v="2018-08-30T00:00:00"/>
    <m/>
    <m/>
    <m/>
    <m/>
    <m/>
    <s v="Aug-18"/>
    <x v="8"/>
    <s v="MW21791-AYCA-468RZY-2LID-04-23 Railway Parade - Internals"/>
    <s v="Lidcombe"/>
    <n v="1400"/>
    <m/>
    <n v="1400"/>
    <n v="1540.0000000000002"/>
    <m/>
    <m/>
    <n v="0"/>
    <n v="1400"/>
    <n v="1"/>
    <m/>
    <d v="2018-09-13T00:00:00"/>
    <m/>
    <s v="Nabeel Jaimon"/>
    <s v="Direct Award"/>
    <d v="2018-02-01T00:00:00"/>
    <m/>
    <d v="2018-03-01T00:00:00"/>
    <n v="28"/>
  </r>
  <r>
    <s v="A417 Greenfield MDU"/>
    <s v="Sydney"/>
    <s v="Inv 13465"/>
    <d v="2018-04-09T00:00:00"/>
    <d v="2018-03-21T00:00:00"/>
    <d v="2018-03-21T00:00:00"/>
    <d v="2018-03-22T00:00:00"/>
    <d v="2018-04-03T00:00:00"/>
    <d v="2018-04-04T00:00:00"/>
    <d v="2018-04-10T00:00:00"/>
    <m/>
    <s v="Mar-18"/>
    <x v="14"/>
    <s v="MW21178 - 2LID-06 - AYCA-32WJ4A - John St - 2 - INTERNAL"/>
    <s v="Lidcombe"/>
    <n v="2240"/>
    <n v="2401.12"/>
    <n v="4641.12"/>
    <n v="5105.232"/>
    <n v="3248.8"/>
    <m/>
    <n v="3248.8"/>
    <n v="1392.3199999999997"/>
    <n v="0.29999655255627944"/>
    <m/>
    <d v="2018-04-04T00:00:00"/>
    <m/>
    <s v="Lindy Chan"/>
    <s v="Direct Award"/>
    <d v="2017-08-23T00:00:00"/>
    <m/>
    <d v="2017-11-03T00:00:00"/>
    <n v="72"/>
  </r>
  <r>
    <s v="A401/Greenfield"/>
    <s v="Sydney"/>
    <s v="Inv 13367"/>
    <d v="2018-03-13T00:00:00"/>
    <d v="2018-02-13T00:00:00"/>
    <d v="2018-02-13T00:00:00"/>
    <m/>
    <m/>
    <d v="2018-02-23T00:00:00"/>
    <d v="2018-02-27T00:00:00"/>
    <m/>
    <s v="Feb-18"/>
    <x v="11"/>
    <s v="MW21703 - AYCA-41SAXG - 2MIL-04 - Stage 2 Lagana"/>
    <s v="Miller"/>
    <n v="1404.18"/>
    <m/>
    <n v="1404.18"/>
    <n v="1544.5980000000002"/>
    <m/>
    <m/>
    <n v="0"/>
    <n v="1404.18"/>
    <n v="1"/>
    <m/>
    <d v="2018-02-27T00:00:00"/>
    <m/>
    <s v="Andrew Mahassy"/>
    <d v="2018-01-18T00:00:00"/>
    <d v="2018-02-06T00:00:00"/>
    <n v="19"/>
    <d v="2018-01-30T00:00:00"/>
    <n v="-7"/>
  </r>
  <r>
    <s v="A417 Greenfield MDU"/>
    <s v="ACT"/>
    <s v="Inv 13388"/>
    <d v="2018-03-19T00:00:00"/>
    <d v="2018-02-09T00:00:00"/>
    <d v="2018-02-09T00:00:00"/>
    <d v="2018-02-13T00:00:00"/>
    <d v="2018-03-07T00:00:00"/>
    <d v="2018-02-21T00:00:00"/>
    <d v="2018-03-20T00:00:00"/>
    <m/>
    <s v="Feb-18"/>
    <x v="2"/>
    <s v="MW21583 - AYCA-497W67- 9BLC-04- Hillside Villas Block"/>
    <s v="Lawson"/>
    <n v="1800.84"/>
    <n v="4436.93"/>
    <n v="6237.77"/>
    <n v="6861.5470000000014"/>
    <m/>
    <m/>
    <n v="0"/>
    <n v="6237.77"/>
    <n v="1"/>
    <m/>
    <d v="2018-02-23T00:00:00"/>
    <m/>
    <s v="Ertan Cicek "/>
    <s v="Direct Award"/>
    <d v="2018-12-13T00:00:00"/>
    <m/>
    <d v="2018-01-15T00:00:00"/>
    <n v="-332"/>
  </r>
  <r>
    <s v="A401/Greenfield"/>
    <s v="Sth NSW"/>
    <s v="Inv 13370"/>
    <d v="2018-03-15T00:00:00"/>
    <d v="2018-02-21T00:00:00"/>
    <d v="2018-02-23T00:00:00"/>
    <d v="2018-02-21T00:00:00"/>
    <d v="2018-02-27T00:00:00"/>
    <d v="2018-03-07T00:00:00"/>
    <d v="2018-03-15T00:00:00"/>
    <m/>
    <s v="Feb-18"/>
    <x v="2"/>
    <s v="MW21507 - AYCA-4Q1LKQ - 2WAG-05 - The Mill Commercial Development - 1"/>
    <s v="Wagga Wagga"/>
    <n v="3800.34"/>
    <n v="6538.04"/>
    <n v="10338.380000000001"/>
    <n v="11372.218000000003"/>
    <m/>
    <m/>
    <n v="0"/>
    <n v="10338.380000000001"/>
    <n v="1"/>
    <m/>
    <d v="2018-03-09T00:00:00"/>
    <m/>
    <s v="Mark Leal"/>
    <d v="2017-11-15T00:00:00"/>
    <d v="2018-02-13T00:00:00"/>
    <n v="90"/>
    <d v="2018-01-09T00:00:00"/>
    <n v="-35"/>
  </r>
  <r>
    <s v="A417 Greenfield MDU"/>
    <s v="Sydney"/>
    <s v="Inv 13477"/>
    <d v="2018-02-11T00:00:00"/>
    <d v="2018-03-21T00:00:00"/>
    <d v="2018-03-21T00:00:00"/>
    <d v="2018-03-22T00:00:00"/>
    <d v="2018-04-03T00:00:00"/>
    <d v="2018-04-05T00:00:00"/>
    <d v="2018-04-10T00:00:00"/>
    <m/>
    <s v="Mar-18"/>
    <x v="14"/>
    <s v="MW21397 - AYCA-32WJ4A - 2LID-06 -  John St - 2- EXTERNAL"/>
    <s v="Lidcombe"/>
    <n v="847"/>
    <n v="5043.7950000000001"/>
    <n v="5890.7950000000001"/>
    <n v="6479.8745000000008"/>
    <n v="3585.33"/>
    <m/>
    <n v="3585.33"/>
    <n v="2305.4650000000001"/>
    <n v="0.39136737910587621"/>
    <m/>
    <d v="2018-04-04T00:00:00"/>
    <m/>
    <s v="Lindy Chan"/>
    <s v="Direct Award"/>
    <d v="2017-09-26T00:00:00"/>
    <m/>
    <d v="2017-11-01T00:00:00"/>
    <n v="36"/>
  </r>
  <r>
    <s v="A417 Greenfield MDU"/>
    <s v="Sydney"/>
    <m/>
    <m/>
    <d v="2018-06-27T00:00:00"/>
    <d v="2018-06-27T00:00:00"/>
    <d v="2018-06-27T00:00:00"/>
    <m/>
    <d v="2018-07-11T00:00:00"/>
    <d v="2018-07-25T00:00:00"/>
    <m/>
    <s v="Jun-18"/>
    <x v="15"/>
    <s v="MW21819-AYCA-4KXY8F-2BTH-02-1 Wark Parade, Windradyne"/>
    <s v="Camden"/>
    <n v="1240.76"/>
    <n v="10448.27"/>
    <n v="11689.03"/>
    <n v="12857.933000000001"/>
    <m/>
    <m/>
    <n v="0"/>
    <n v="11689.03"/>
    <n v="1"/>
    <m/>
    <d v="2018-07-11T00:00:00"/>
    <m/>
    <s v="Ertan Cicek "/>
    <s v="Direct Award"/>
    <d v="2018-02-20T00:00:00"/>
    <m/>
    <d v="2018-03-22T00:00:00"/>
    <n v="30"/>
  </r>
  <r>
    <s v="A417 Greenfield MDU"/>
    <s v="Sydney"/>
    <s v="Inv 13504"/>
    <d v="2018-04-20T00:00:00"/>
    <d v="2018-03-22T00:00:00"/>
    <d v="2018-03-22T00:00:00"/>
    <d v="2018-03-27T00:00:00"/>
    <d v="2018-04-03T00:00:00"/>
    <d v="2018-04-10T00:00:00"/>
    <d v="2018-04-24T00:00:00"/>
    <m/>
    <s v="Mar-18"/>
    <x v="14"/>
    <s v="MW21637-AYCA-4OHMS3 - 2BLK-07 -35 Holbeche road, Arndell Park - EXT"/>
    <s v="Arndell Park"/>
    <n v="1586.44"/>
    <n v="127.89"/>
    <n v="1714.3300000000002"/>
    <n v="1885.7630000000004"/>
    <n v="703.2"/>
    <m/>
    <n v="703.2"/>
    <n v="1011.1300000000001"/>
    <n v="0.5898105965595889"/>
    <m/>
    <d v="2018-04-05T00:00:00"/>
    <m/>
    <s v="Ertan Cicek "/>
    <s v="Direct Award"/>
    <d v="2017-12-20T00:00:00"/>
    <m/>
    <d v="2018-01-30T00:00:00"/>
    <n v="41"/>
  </r>
  <r>
    <s v="A417 Greenfield MDU"/>
    <s v="Sydney"/>
    <m/>
    <m/>
    <m/>
    <d v="2018-07-30T00:00:00"/>
    <m/>
    <m/>
    <m/>
    <m/>
    <m/>
    <s v="Jul-18"/>
    <x v="8"/>
    <s v="MW21884-AYCA-47OO3O- 2LIV-03- 188-190 Moore st, Liverpool"/>
    <s v="Liverpool"/>
    <n v="857.61"/>
    <m/>
    <n v="857.61"/>
    <n v="943.37100000000009"/>
    <m/>
    <m/>
    <n v="0"/>
    <n v="857.61"/>
    <n v="1"/>
    <m/>
    <d v="2018-08-13T00:00:00"/>
    <m/>
    <s v="Ertan Cicek "/>
    <s v="Direct Award"/>
    <d v="2018-02-20T00:00:00"/>
    <m/>
    <d v="2018-03-22T00:00:00"/>
    <n v="30"/>
  </r>
  <r>
    <s v="A417 Greenfield MDU"/>
    <s v="Sydney"/>
    <m/>
    <m/>
    <m/>
    <d v="2018-07-30T00:00:00"/>
    <m/>
    <m/>
    <m/>
    <m/>
    <m/>
    <s v="Jul-18"/>
    <x v="8"/>
    <s v="MW21876-AYCA-21PVTM - 2BLK-03 - 5 Second Avenue, Blacktown"/>
    <s v="Blacktown"/>
    <n v="592.62"/>
    <m/>
    <n v="592.62"/>
    <n v="651.88200000000006"/>
    <m/>
    <m/>
    <n v="0"/>
    <n v="592.62"/>
    <n v="1"/>
    <m/>
    <d v="2018-08-13T00:00:00"/>
    <m/>
    <s v="Ertan Cicek "/>
    <s v="Direct Award"/>
    <d v="2018-02-20T00:00:00"/>
    <m/>
    <d v="2018-03-22T00:00:00"/>
    <n v="30"/>
  </r>
  <r>
    <s v="A401/Minor works"/>
    <s v="Sydney"/>
    <s v="Inv 13433"/>
    <d v="2018-03-27T00:00:00"/>
    <d v="2018-03-06T00:00:00"/>
    <d v="2018-03-08T00:00:00"/>
    <m/>
    <m/>
    <d v="2018-03-21T00:00:00"/>
    <d v="2017-03-27T00:00:00"/>
    <m/>
    <s v="Mar-18"/>
    <x v="16"/>
    <s v="MW21979-2RIV-03 - Schofield Rd, Schofield, NSW - Held Orders x 2"/>
    <s v="Schofields"/>
    <n v="15585.13"/>
    <m/>
    <n v="15585.13"/>
    <n v="17143.643"/>
    <m/>
    <m/>
    <n v="0"/>
    <n v="15585.13"/>
    <n v="1"/>
    <m/>
    <d v="2018-03-22T00:00:00"/>
    <m/>
    <s v="Erwin Kurniawan"/>
    <d v="2018-02-20T00:00:00"/>
    <d v="2018-03-07T00:00:00"/>
    <n v="15"/>
    <d v="2018-03-23T00:00:00"/>
    <n v="16"/>
  </r>
  <r>
    <s v="A401/Minor works"/>
    <s v="Sydney"/>
    <s v="Inv 13463"/>
    <d v="2018-04-09T00:00:00"/>
    <d v="2018-03-06T00:00:00"/>
    <d v="2018-03-16T00:00:00"/>
    <d v="2018-03-22T00:00:00"/>
    <d v="2018-03-29T00:00:00"/>
    <d v="2018-03-28T00:00:00"/>
    <d v="2018-04-10T00:00:00"/>
    <m/>
    <s v="Mar-18"/>
    <x v="14"/>
    <s v="MW21977-2RIV-03 - South St, Schofield NSW - Held Orders x 4"/>
    <s v="Schofields"/>
    <n v="36173.660000000003"/>
    <n v="12357.71"/>
    <n v="48531.37"/>
    <n v="53384.507000000005"/>
    <m/>
    <m/>
    <n v="0"/>
    <n v="48531.37"/>
    <n v="1"/>
    <m/>
    <d v="2018-03-30T00:00:00"/>
    <m/>
    <s v="Erwin Kurniawan"/>
    <d v="2018-02-22T00:00:00"/>
    <d v="2018-03-07T00:00:00"/>
    <n v="13"/>
    <d v="2018-03-23T00:00:00"/>
    <n v="16"/>
  </r>
  <r>
    <s v="A417 Greenfield MDU"/>
    <s v="Sydney"/>
    <s v="Inv 13521"/>
    <d v="2018-05-20T00:00:00"/>
    <d v="2018-03-27T00:00:00"/>
    <d v="2018-03-27T00:00:00"/>
    <d v="2018-03-27T00:00:00"/>
    <d v="2018-04-13T00:00:00"/>
    <d v="2018-04-11T00:00:00"/>
    <d v="2018-04-24T00:00:00"/>
    <m/>
    <s v="Mar-18"/>
    <x v="14"/>
    <s v="MW21523 - 2EPP-62 - AYCA-20PHAM-20-28 CAMBRIDGE ST EPPING"/>
    <s v="Epping"/>
    <n v="1252.5899999999999"/>
    <n v="11986.45"/>
    <n v="13239.04"/>
    <n v="14562.944000000001"/>
    <n v="4395.1400000000003"/>
    <m/>
    <n v="4395.1400000000003"/>
    <n v="8843.9000000000015"/>
    <n v="0.66801671420284259"/>
    <m/>
    <d v="2018-04-10T00:00:00"/>
    <m/>
    <s v="Ertan Cicek"/>
    <s v="Direct Award"/>
    <d v="2017-12-06T00:00:00"/>
    <m/>
    <d v="2017-12-15T00:00:00"/>
    <n v="9"/>
  </r>
  <r>
    <s v="A417 Greenfield MDU"/>
    <s v="Sydney"/>
    <m/>
    <m/>
    <d v="2018-06-22T00:00:00"/>
    <d v="2018-06-22T00:00:00"/>
    <d v="2018-02-26T00:00:00"/>
    <m/>
    <d v="2018-07-06T00:00:00"/>
    <d v="2018-07-20T00:00:00"/>
    <m/>
    <s v="Jun-18"/>
    <x v="15"/>
    <s v="MW21820-AYCA-4W4BKH-2HOM-02-38 Weeroona Rd, Strathfield Ext"/>
    <s v="Strathfield"/>
    <n v="5741.5"/>
    <n v="5141.04"/>
    <n v="10882.54"/>
    <n v="11970.794000000002"/>
    <n v="3623.46"/>
    <m/>
    <n v="3623.46"/>
    <n v="7259.0800000000008"/>
    <n v="0.66703912873281423"/>
    <m/>
    <d v="2018-07-06T00:00:00"/>
    <m/>
    <s v="Nabeel Jaimon"/>
    <s v="Direct Award"/>
    <d v="2018-02-20T00:00:00"/>
    <m/>
    <d v="2018-03-22T00:00:00"/>
    <n v="30"/>
  </r>
  <r>
    <s v="A417 Greenfield MDU"/>
    <s v="Sydney"/>
    <m/>
    <m/>
    <d v="2018-06-22T00:00:00"/>
    <d v="2018-06-22T00:00:00"/>
    <d v="2018-06-22T00:00:00"/>
    <m/>
    <d v="2018-07-06T00:00:00"/>
    <d v="2018-07-20T00:00:00"/>
    <m/>
    <s v="Jun-18"/>
    <x v="15"/>
    <s v="MW21857-AYCA-442ZEA- 2PAR-63-2 Good st, Westmead"/>
    <s v="Westmead"/>
    <n v="1825.19"/>
    <n v="11374.176475000002"/>
    <n v="13199.366475000003"/>
    <n v="14519.303122500003"/>
    <n v="7231.46"/>
    <n v="903.19549999999992"/>
    <n v="8134.6554999999998"/>
    <n v="5064.7109750000027"/>
    <n v="0.38370864121340353"/>
    <m/>
    <d v="2018-07-06T00:00:00"/>
    <m/>
    <s v="Ertan Cicek "/>
    <s v="Direct Award"/>
    <d v="2018-02-22T00:00:00"/>
    <m/>
    <d v="2018-03-22T00:00:00"/>
    <n v="28"/>
  </r>
  <r>
    <s v="A417 Greenfield MDU"/>
    <s v="Sydney"/>
    <s v="Inv 13518"/>
    <d v="2018-04-20T00:00:00"/>
    <d v="2018-03-27T00:00:00"/>
    <d v="2018-03-27T00:00:00"/>
    <d v="2018-04-04T00:00:00"/>
    <d v="2018-04-13T00:00:00"/>
    <d v="2018-04-12T00:00:00"/>
    <d v="2018-04-24T00:00:00"/>
    <m/>
    <s v="Mar-18"/>
    <x v="14"/>
    <s v="MW21651-AYCA-21BAAK-2BAN-64-Stacey Apartments - 1"/>
    <s v="Bankstown"/>
    <n v="2761.16"/>
    <n v="17495.46"/>
    <n v="20256.62"/>
    <n v="22282.281999999999"/>
    <n v="12308.759999999998"/>
    <m/>
    <n v="12308.759999999998"/>
    <n v="7947.8600000000006"/>
    <n v="0.39235864621047345"/>
    <m/>
    <d v="2018-04-10T00:00:00"/>
    <m/>
    <s v="Ertan Cicek "/>
    <s v="Direct Award"/>
    <d v="2018-01-04T00:00:00"/>
    <m/>
    <d v="2018-02-13T00:00:00"/>
    <n v="40"/>
  </r>
  <r>
    <s v="NBN Assurance Wagga"/>
    <s v="NSW"/>
    <s v="Inv 13285"/>
    <d v="2018-02-23T00:00:00"/>
    <d v="2018-02-23T00:00:00"/>
    <d v="2018-02-23T00:00:00"/>
    <m/>
    <m/>
    <m/>
    <d v="2018-05-01T00:00:00"/>
    <m/>
    <s v="Feb-18"/>
    <x v="9"/>
    <s v="MW22112 - INC000006813370 – UNIT 1 15 DALGETTY ST, NARRANDERA "/>
    <s v="Narrandera"/>
    <n v="1197.6428571428571"/>
    <m/>
    <n v="1197.6428571428571"/>
    <n v="1317.4071428571428"/>
    <m/>
    <n v="450"/>
    <n v="450"/>
    <n v="747.64285714285711"/>
    <n v="0.62426194310252281"/>
    <m/>
    <d v="2018-03-09T00:00:00"/>
    <m/>
    <s v="Tony Gabriel"/>
    <m/>
    <m/>
    <m/>
    <m/>
    <m/>
  </r>
  <r>
    <s v="NBN Assurance Wagga"/>
    <s v="NSW"/>
    <s v="Inv 13284"/>
    <d v="2018-02-23T00:00:00"/>
    <d v="2018-02-23T00:00:00"/>
    <d v="2018-02-23T00:00:00"/>
    <m/>
    <m/>
    <m/>
    <d v="2018-05-01T00:00:00"/>
    <m/>
    <s v="Feb-18"/>
    <x v="9"/>
    <s v="MW22109 - INC000007052036 – 29 Grosvenor St, Narrandera"/>
    <s v="Narrandera"/>
    <n v="512.57000000000005"/>
    <m/>
    <n v="512.57000000000005"/>
    <n v="563.82700000000011"/>
    <m/>
    <n v="150"/>
    <n v="150"/>
    <n v="362.57000000000005"/>
    <n v="0.707357043915953"/>
    <m/>
    <d v="2018-03-09T00:00:00"/>
    <m/>
    <s v="Tony Gabriel"/>
    <m/>
    <m/>
    <m/>
    <m/>
    <m/>
  </r>
  <r>
    <s v="NBN Assurance Wagga"/>
    <s v="NSW"/>
    <s v="Inv 13264"/>
    <d v="2018-02-22T00:00:00"/>
    <d v="2018-02-22T00:00:00"/>
    <d v="2018-02-22T00:00:00"/>
    <m/>
    <m/>
    <m/>
    <d v="2018-05-24T00:00:00"/>
    <m/>
    <s v="Feb-18"/>
    <x v="9"/>
    <s v="MW22270 - INC000007238836 - Lot 4, 100 Beach Rd, Batemans Bay, NSW"/>
    <s v="Batemans Bay"/>
    <n v="128.14285714285717"/>
    <m/>
    <n v="128.14285714285717"/>
    <n v="140.95714285714288"/>
    <m/>
    <n v="50"/>
    <n v="50"/>
    <n v="78.142857142857167"/>
    <n v="0.60981047937569688"/>
    <m/>
    <d v="2018-03-08T00:00:00"/>
    <m/>
    <s v="Tony Gabriel"/>
    <m/>
    <m/>
    <m/>
    <m/>
    <m/>
  </r>
  <r>
    <s v="NBN Assurance Wagga"/>
    <s v="NSW"/>
    <s v="Inv 13286"/>
    <d v="2018-02-23T00:00:00"/>
    <d v="2018-02-23T00:00:00"/>
    <d v="2018-02-23T00:00:00"/>
    <m/>
    <m/>
    <m/>
    <d v="2018-05-01T00:00:00"/>
    <m/>
    <s v="Feb-18"/>
    <x v="9"/>
    <s v="MW22118 - INC000007003327 – UNIT 4 14 WEWAK ST, ASHMONT "/>
    <s v="Ashmont"/>
    <n v="256.29000000000002"/>
    <m/>
    <n v="256.29000000000002"/>
    <n v="281.91900000000004"/>
    <m/>
    <n v="100"/>
    <n v="100"/>
    <n v="156.29000000000002"/>
    <n v="0.6098170041749581"/>
    <m/>
    <d v="2018-03-09T00:00:00"/>
    <m/>
    <s v="Tony Gabriel"/>
    <m/>
    <m/>
    <m/>
    <m/>
    <m/>
  </r>
  <r>
    <s v="NBN Assurance Sydney"/>
    <s v="NSW"/>
    <s v="Inv 13292"/>
    <d v="2018-02-26T00:00:00"/>
    <d v="2018-02-26T00:00:00"/>
    <d v="2018-02-26T00:00:00"/>
    <m/>
    <m/>
    <m/>
    <d v="2018-05-24T00:00:00"/>
    <m/>
    <s v="Feb-18"/>
    <x v="9"/>
    <s v="MW22127 - INC000007272347 – 21 APEX AV, MOUNT VICTORIA"/>
    <s v="Mount Victoria"/>
    <n v="768.86"/>
    <m/>
    <n v="768.86"/>
    <n v="845.74600000000009"/>
    <m/>
    <n v="264.84000000000003"/>
    <n v="264.84000000000003"/>
    <n v="504.02"/>
    <n v="0.65554197123013291"/>
    <m/>
    <d v="2018-03-12T00:00:00"/>
    <m/>
    <s v="Tony Gabriel"/>
    <m/>
    <m/>
    <m/>
    <m/>
    <m/>
  </r>
  <r>
    <s v="NBN Assurance Wagga"/>
    <s v="ACT"/>
    <s v="Inv 13287"/>
    <d v="2018-02-23T00:00:00"/>
    <d v="2018-02-23T00:00:00"/>
    <d v="2018-02-23T00:00:00"/>
    <m/>
    <m/>
    <m/>
    <d v="2018-05-01T00:00:00"/>
    <m/>
    <s v="Feb-18"/>
    <x v="9"/>
    <s v="MW22124 - INC000007034536 - Unit 129, 2 Windjana Street, Harrison, ACT 2914"/>
    <s v="Harrison"/>
    <n v="1153.29"/>
    <m/>
    <n v="1153.29"/>
    <n v="1268.6190000000001"/>
    <m/>
    <n v="495"/>
    <n v="495"/>
    <n v="658.29"/>
    <n v="0.57079312228494128"/>
    <m/>
    <d v="2018-03-09T00:00:00"/>
    <m/>
    <s v="Tony Gabriel"/>
    <m/>
    <m/>
    <m/>
    <m/>
    <m/>
  </r>
  <r>
    <s v="NBN Assurance Sydney"/>
    <s v="NSW"/>
    <s v="Inv 13288"/>
    <d v="2018-02-23T00:00:00"/>
    <d v="2018-02-23T00:00:00"/>
    <d v="2018-02-23T00:00:00"/>
    <m/>
    <m/>
    <m/>
    <d v="2018-05-01T00:00:00"/>
    <m/>
    <s v="Feb-18"/>
    <x v="9"/>
    <s v="MW22125 - INC000007203040 – 6 EDWARDS ST, KATOOMBA "/>
    <s v="Katoomba"/>
    <n v="1473.64"/>
    <m/>
    <n v="1473.64"/>
    <n v="1621.0040000000001"/>
    <m/>
    <n v="132.42000000000002"/>
    <n v="132.42000000000002"/>
    <n v="1341.22"/>
    <n v="0.91014087565484103"/>
    <m/>
    <d v="2018-03-09T00:00:00"/>
    <m/>
    <s v="Tony Gabriel"/>
    <m/>
    <m/>
    <m/>
    <m/>
    <m/>
  </r>
  <r>
    <s v="NBN Assurance Sydney"/>
    <s v="NSW"/>
    <s v="Inv 13289"/>
    <d v="2018-02-23T00:00:00"/>
    <d v="2018-02-23T00:00:00"/>
    <d v="2018-02-23T00:00:00"/>
    <m/>
    <m/>
    <m/>
    <d v="2018-05-01T00:00:00"/>
    <m/>
    <s v="Feb-18"/>
    <x v="9"/>
    <s v="MW22168 - INC000007130519 – 17 APEX AV, MOUNT VICTORIA"/>
    <s v="Mount Victoria"/>
    <n v="320.36"/>
    <m/>
    <n v="320.36"/>
    <n v="352.39600000000007"/>
    <m/>
    <n v="110.35"/>
    <n v="110.35"/>
    <n v="210.01000000000002"/>
    <n v="0.65554376326632546"/>
    <m/>
    <d v="2018-03-09T00:00:00"/>
    <m/>
    <s v="Tony Gabriel"/>
    <m/>
    <m/>
    <m/>
    <m/>
    <m/>
  </r>
  <r>
    <s v="NBN Assurance Sydney"/>
    <s v="NSW"/>
    <s v="Inv 13290"/>
    <d v="2018-02-23T00:00:00"/>
    <d v="2018-02-23T00:00:00"/>
    <d v="2018-02-23T00:00:00"/>
    <m/>
    <m/>
    <m/>
    <d v="2018-05-01T00:00:00"/>
    <m/>
    <s v="Feb-18"/>
    <x v="9"/>
    <s v="MW22129 - INC000007193370 – 2-4 GORDON RD, LEURA"/>
    <s v="Leura"/>
    <n v="320.36"/>
    <m/>
    <n v="320.36"/>
    <n v="352.39600000000007"/>
    <m/>
    <n v="110.35"/>
    <n v="110.35"/>
    <n v="210.01000000000002"/>
    <n v="0.65554376326632546"/>
    <m/>
    <d v="2018-03-09T00:00:00"/>
    <m/>
    <s v="Tony Gabriel"/>
    <m/>
    <m/>
    <m/>
    <m/>
    <m/>
  </r>
  <r>
    <s v="NBN Assurance Sydney"/>
    <s v="NSW"/>
    <s v="Inv 13312"/>
    <d v="2018-03-02T00:00:00"/>
    <d v="2018-03-02T00:00:00"/>
    <d v="2018-03-02T00:00:00"/>
    <m/>
    <m/>
    <m/>
    <d v="2018-05-01T00:00:00"/>
    <m/>
    <s v="Mar-18"/>
    <x v="9"/>
    <s v="MW22130 - INC000007103438 – 8 EASTVIEW AV, LEURA"/>
    <s v="Leura"/>
    <n v="640.71"/>
    <m/>
    <n v="640.71"/>
    <n v="704.78100000000006"/>
    <m/>
    <n v="220.7"/>
    <n v="220.7"/>
    <n v="420.01000000000005"/>
    <n v="0.65553838710180901"/>
    <m/>
    <d v="2018-03-16T00:00:00"/>
    <m/>
    <s v="Tony Gabriel"/>
    <m/>
    <m/>
    <m/>
    <m/>
    <m/>
  </r>
  <r>
    <s v="A401/Minor works"/>
    <s v="Sth Coast"/>
    <s v="Inv 13829"/>
    <d v="2018-07-06T00:00:00"/>
    <d v="2018-06-14T00:00:00"/>
    <d v="2018-06-15T00:00:00"/>
    <d v="2018-06-15T00:00:00"/>
    <d v="2018-06-27T00:00:00"/>
    <d v="2018-07-02T00:00:00"/>
    <d v="2018-07-05T00:00:00"/>
    <m/>
    <s v="Jun-18"/>
    <x v="15"/>
    <s v="MW21390 - AYCA-4QG9AV - NSB - 33 Shoalhaven St Kiama Surevy &amp; Build"/>
    <s v="Kiama"/>
    <n v="1919"/>
    <n v="5178.72"/>
    <n v="7097.72"/>
    <n v="7807.4920000000011"/>
    <n v="1120"/>
    <n v="2043.8035299999997"/>
    <n v="3163.8035299999997"/>
    <n v="3933.9164700000006"/>
    <n v="0.55425072699402067"/>
    <m/>
    <d v="2018-06-29T00:00:00"/>
    <m/>
    <s v="Andrew Mahassy"/>
    <d v="2017-12-10T00:00:00"/>
    <d v="2018-02-23T00:00:00"/>
    <n v="75"/>
    <d v="2018-02-16T00:00:00"/>
    <n v="-7"/>
  </r>
  <r>
    <s v="A417 Greenfield MDU"/>
    <s v="Newcastle"/>
    <s v="Inv 13616"/>
    <d v="2018-05-15T00:00:00"/>
    <d v="2018-04-19T00:00:00"/>
    <d v="2018-04-19T00:00:00"/>
    <d v="2018-04-18T00:00:00"/>
    <d v="2018-05-03T00:00:00"/>
    <d v="2018-05-03T00:00:00"/>
    <d v="2018-05-17T00:00:00"/>
    <m/>
    <s v="Apr-18"/>
    <x v="9"/>
    <s v="MW21921-AYCA-4MOKVP-2TAR-01-22 Elwell CL, Beresfield &amp; MW21053 - AYCA-38QQO3- 2MAI-04 - Walka Grange - 8 Internals"/>
    <s v="Beresfield"/>
    <n v="2010.27"/>
    <n v="14142.210000000001"/>
    <n v="16152.480000000001"/>
    <n v="17767.728000000003"/>
    <n v="11377.92"/>
    <m/>
    <n v="11377.92"/>
    <n v="4774.5600000000013"/>
    <n v="0.2955929987221777"/>
    <m/>
    <d v="2018-05-03T00:00:00"/>
    <m/>
    <s v="Mark Leal"/>
    <s v="Direct Award"/>
    <d v="2018-02-23T00:00:00"/>
    <m/>
    <d v="2018-03-28T00:00:00"/>
    <n v="33"/>
  </r>
  <r>
    <s v="A417 Greenfield MDU"/>
    <s v="Sydney"/>
    <m/>
    <m/>
    <m/>
    <d v="2018-07-30T00:00:00"/>
    <m/>
    <m/>
    <m/>
    <m/>
    <m/>
    <s v="Jul-18"/>
    <x v="8"/>
    <s v="MW21875 - AYCA-42N8QF-  2PEN-67- Macklin 38 "/>
    <s v="Pendle Hill"/>
    <n v="515.58000000000004"/>
    <m/>
    <n v="515.58000000000004"/>
    <n v="567.13800000000015"/>
    <m/>
    <m/>
    <n v="0"/>
    <n v="515.58000000000004"/>
    <n v="1"/>
    <m/>
    <d v="2018-08-13T00:00:00"/>
    <m/>
    <s v="Ertan Cicek"/>
    <s v="Direct Award"/>
    <d v="2018-02-23T00:00:00"/>
    <m/>
    <d v="2018-03-22T00:00:00"/>
    <n v="27"/>
  </r>
  <r>
    <s v="A401/Minor works"/>
    <s v="Sth Coast"/>
    <s v="Inv 13543"/>
    <d v="2018-04-27T00:00:00"/>
    <d v="2018-04-09T00:00:00"/>
    <d v="2018-04-10T00:00:00"/>
    <m/>
    <m/>
    <d v="2018-04-23T00:00:00"/>
    <d v="2018-05-01T00:00:00"/>
    <m/>
    <s v="Apr-18"/>
    <x v="9"/>
    <s v="MW21946-2COR-04-AYCA-4XKUSR-13 Popes Rd, Woonona"/>
    <s v="Woonona"/>
    <n v="9706.1"/>
    <m/>
    <n v="9706.1"/>
    <n v="10676.710000000001"/>
    <m/>
    <m/>
    <n v="0"/>
    <n v="9706.1"/>
    <n v="1"/>
    <m/>
    <d v="2018-04-24T00:00:00"/>
    <m/>
    <s v="Andrew Mahassy"/>
    <d v="2018-02-20T00:00:00"/>
    <m/>
    <m/>
    <d v="2018-03-30T00:00:00"/>
    <m/>
  </r>
  <r>
    <s v="NBN Assurance Sydney"/>
    <s v="NSW"/>
    <s v="Inv 13291"/>
    <d v="2018-02-26T00:00:00"/>
    <d v="2018-02-26T00:00:00"/>
    <d v="2018-02-28T00:00:00"/>
    <m/>
    <m/>
    <m/>
    <d v="2018-05-01T00:00:00"/>
    <m/>
    <s v="Feb-18"/>
    <x v="9"/>
    <s v="MW22126 - 02470125 - Lot 1, 42 Oxley Drive, Bowral, NSW 2576 (ROBINWOOD COTTAGE)"/>
    <s v="Bowral"/>
    <n v="3625.46"/>
    <m/>
    <n v="3625.46"/>
    <n v="3988.0060000000003"/>
    <n v="2952.6"/>
    <n v="132.42000000000002"/>
    <n v="3085.02"/>
    <n v="540.44000000000005"/>
    <n v="0.14906798033904664"/>
    <m/>
    <d v="2018-03-14T00:00:00"/>
    <m/>
    <s v="Tony Gabriel"/>
    <s v="Direct Award"/>
    <d v="2018-02-26T00:00:00"/>
    <m/>
    <d v="2018-03-20T00:00:00"/>
    <n v="22"/>
  </r>
  <r>
    <s v="A417 Greenfield MDU"/>
    <s v="Sth Coast"/>
    <m/>
    <m/>
    <m/>
    <d v="2018-07-30T00:00:00"/>
    <m/>
    <m/>
    <m/>
    <m/>
    <m/>
    <s v="Jul-18"/>
    <x v="8"/>
    <s v="MW21827-AYCA-4O03IQ-2COR-09-17 Ryan Street, Balgownie"/>
    <s v="Balgownie"/>
    <n v="1924.61"/>
    <m/>
    <n v="1924.61"/>
    <n v="2117.0709999999999"/>
    <m/>
    <m/>
    <n v="0"/>
    <n v="1924.61"/>
    <n v="1"/>
    <m/>
    <d v="2018-08-13T00:00:00"/>
    <m/>
    <s v="Nabeel Jaimon"/>
    <s v="Direct Award"/>
    <d v="2018-02-26T00:00:00"/>
    <m/>
    <d v="2018-03-20T00:00:00"/>
    <n v="22"/>
  </r>
  <r>
    <s v="A417 Greenfield MDU"/>
    <s v="Sydney"/>
    <s v="Inv 13618"/>
    <d v="2018-05-17T00:00:00"/>
    <d v="2018-04-28T00:00:00"/>
    <d v="2018-04-30T00:00:00"/>
    <d v="2018-05-01T00:00:00"/>
    <d v="2018-05-10T00:00:00"/>
    <d v="2018-05-10T00:00:00"/>
    <d v="2018-05-17T00:00:00"/>
    <m/>
    <s v="Apr-18"/>
    <x v="9"/>
    <s v="MW21861-AYCA-4GPKZN-2RED-03-713-717 Elizabeth St, Waterloo"/>
    <s v="Waterloo"/>
    <n v="1568.02"/>
    <n v="18711.260000000002"/>
    <n v="20279.280000000002"/>
    <n v="22307.208000000006"/>
    <n v="13649.17"/>
    <m/>
    <n v="13649.17"/>
    <n v="6630.1100000000024"/>
    <n v="0.3269401083273174"/>
    <m/>
    <d v="2018-05-14T00:00:00"/>
    <m/>
    <s v="Ertan Cicek"/>
    <s v="Direct Award"/>
    <d v="2018-02-27T00:00:00"/>
    <m/>
    <d v="2018-02-28T00:00:00"/>
    <n v="1"/>
  </r>
  <r>
    <s v="NBN Assurance Sydney"/>
    <s v="NSW"/>
    <s v="Inv 13293"/>
    <d v="2018-02-27T00:00:00"/>
    <d v="2018-03-01T00:00:00"/>
    <d v="2018-03-01T00:00:00"/>
    <m/>
    <m/>
    <m/>
    <d v="2018-05-01T00:00:00"/>
    <m/>
    <s v="Mar-18"/>
    <x v="9"/>
    <s v="MW22128 - INC000006963999 – LOT 24, 69 VICTORIA ST, KATOOMBA NSW 2780"/>
    <s v="Katoomba"/>
    <n v="2498.79"/>
    <m/>
    <n v="2498.79"/>
    <n v="2748.6690000000003"/>
    <m/>
    <n v="732.93000000000006"/>
    <n v="732.93000000000006"/>
    <n v="1765.86"/>
    <n v="0.70668603604144398"/>
    <m/>
    <d v="2018-03-15T00:00:00"/>
    <m/>
    <s v="Tony Gabriel"/>
    <m/>
    <m/>
    <m/>
    <m/>
    <m/>
  </r>
  <r>
    <s v="A417 Greenfield MDU"/>
    <s v="Sydney"/>
    <s v="Inv 13617"/>
    <d v="2018-05-17T00:00:00"/>
    <d v="2018-04-28T00:00:00"/>
    <d v="2018-04-30T00:00:00"/>
    <d v="2018-05-03T00:00:00"/>
    <d v="2018-05-10T00:00:00"/>
    <d v="2018-05-09T00:00:00"/>
    <d v="2018-05-17T00:00:00"/>
    <m/>
    <s v="Apr-18"/>
    <x v="9"/>
    <s v="MW21967-AYCA-4UKN6A-2WET-65-727 The Horsley Dr, Smithfield"/>
    <s v="Smithfield"/>
    <n v="674.33"/>
    <n v="2407.5039999999999"/>
    <n v="3081.8339999999998"/>
    <n v="3390.0174000000002"/>
    <n v="613.94000000000005"/>
    <m/>
    <n v="613.94000000000005"/>
    <n v="2467.8939999999998"/>
    <n v="0.8007874531853435"/>
    <m/>
    <d v="2018-05-14T00:00:00"/>
    <m/>
    <s v="Ertan Cicek"/>
    <s v="Direct Award"/>
    <d v="2018-02-28T00:00:00"/>
    <m/>
    <d v="2018-04-05T00:00:00"/>
    <n v="36"/>
  </r>
  <r>
    <s v="NBN Assurance Sydney"/>
    <s v="NSW"/>
    <s v="Inv 13311"/>
    <d v="2018-03-02T00:00:00"/>
    <d v="2018-03-02T00:00:00"/>
    <d v="2018-03-02T00:00:00"/>
    <m/>
    <m/>
    <m/>
    <d v="2018-05-22T00:00:00"/>
    <m/>
    <s v="Mar-18"/>
    <x v="9"/>
    <s v="MW22061 - INC000007044511 - Lot 857, 93 Leumeah Street, Sanctuary Point, NSW 2540"/>
    <s v="Sanctuary Point"/>
    <n v="3281.35"/>
    <m/>
    <n v="3281.35"/>
    <n v="3609.4850000000001"/>
    <n v="2590"/>
    <n v="375.19"/>
    <n v="2965.19"/>
    <n v="316.15999999999985"/>
    <n v="9.6350587410669347E-2"/>
    <m/>
    <d v="2018-03-16T00:00:00"/>
    <m/>
    <s v="Tony Gabriel"/>
    <m/>
    <m/>
    <m/>
    <m/>
    <m/>
  </r>
  <r>
    <s v="NBN Assurance Sydney"/>
    <s v="NSW"/>
    <s v="Inv 13313"/>
    <d v="2018-03-02T00:00:00"/>
    <d v="2018-03-02T00:00:00"/>
    <d v="2018-03-02T00:00:00"/>
    <m/>
    <m/>
    <m/>
    <d v="2018-05-01T00:00:00"/>
    <m/>
    <s v="Mar-18"/>
    <x v="9"/>
    <s v="MW22131 - INC000007112970 – 201 KATOOMBA ST, KATOOMBA"/>
    <s v="Katoomba"/>
    <n v="256.27999999999997"/>
    <m/>
    <n v="256.27999999999997"/>
    <n v="281.90800000000002"/>
    <m/>
    <n v="88.28"/>
    <n v="88.28"/>
    <n v="167.99999999999997"/>
    <n v="0.6555330107694709"/>
    <m/>
    <d v="2018-03-16T00:00:00"/>
    <m/>
    <s v="Tony Gabriel"/>
    <m/>
    <m/>
    <m/>
    <m/>
    <m/>
  </r>
  <r>
    <s v="NBN Assurance Sydney"/>
    <s v="NSW"/>
    <s v="Inv 13586"/>
    <d v="2018-03-06T00:00:00"/>
    <d v="2018-03-06T00:00:00"/>
    <d v="2018-03-06T00:00:00"/>
    <m/>
    <m/>
    <m/>
    <d v="2018-05-10T00:00:00"/>
    <m/>
    <s v="Mar-18"/>
    <x v="9"/>
    <s v="MW22234 - INC000007115529 – UNIT 1 95 LURLINE ST, KATOOMBA"/>
    <s v="Katoomba"/>
    <n v="512.55999999999995"/>
    <m/>
    <n v="512.55999999999995"/>
    <n v="563.81600000000003"/>
    <m/>
    <n v="176.56"/>
    <n v="176.56"/>
    <n v="335.99999999999994"/>
    <n v="0.6555330107694709"/>
    <m/>
    <d v="2018-03-20T00:00:00"/>
    <m/>
    <s v="Tony Gabriel"/>
    <m/>
    <m/>
    <m/>
    <m/>
    <m/>
  </r>
  <r>
    <s v="NBN Assurance Sydney"/>
    <s v="NSW"/>
    <s v="Inv 13322"/>
    <d v="2018-03-06T00:00:00"/>
    <d v="2018-03-06T00:00:00"/>
    <d v="2018-02-16T00:00:00"/>
    <m/>
    <m/>
    <m/>
    <d v="2018-05-15T00:00:00"/>
    <m/>
    <s v="Feb-18"/>
    <x v="9"/>
    <s v="MW22233 - INC000007194856 – 31 SUNBEAM AV, BLACKHEATH "/>
    <s v="Blackheath"/>
    <n v="128.13999999999999"/>
    <m/>
    <n v="128.13999999999999"/>
    <n v="140.95400000000001"/>
    <m/>
    <n v="44.14"/>
    <n v="44.14"/>
    <n v="83.999999999999986"/>
    <n v="0.6555330107694709"/>
    <m/>
    <d v="2018-03-02T00:00:00"/>
    <m/>
    <s v="Tony Gabriel"/>
    <m/>
    <m/>
    <m/>
    <m/>
    <m/>
  </r>
  <r>
    <s v="A417 Greenfield MDU"/>
    <s v="Sydney"/>
    <s v="Inv 113752"/>
    <d v="2018-06-20T00:00:00"/>
    <d v="2018-05-28T00:00:00"/>
    <d v="2018-05-29T00:00:00"/>
    <d v="2018-05-31T00:00:00"/>
    <d v="2018-06-05T00:00:00"/>
    <d v="2018-06-08T00:00:00"/>
    <d v="2018-06-19T00:00:00"/>
    <m/>
    <s v="May-18"/>
    <x v="10"/>
    <s v="MW21970-AYCA-4YZGFK-2PEN-66-51 Boronia St, South Wentworthville"/>
    <s v="Wentworthville"/>
    <n v="1021.38"/>
    <n v="3224.76"/>
    <n v="4246.1400000000003"/>
    <n v="4670.7540000000008"/>
    <n v="2111.52"/>
    <m/>
    <n v="2111.52"/>
    <n v="2134.6200000000003"/>
    <n v="0.50272011756560075"/>
    <m/>
    <d v="2018-06-12T00:00:00"/>
    <m/>
    <s v="Ertan Cicek"/>
    <s v="Direct Award"/>
    <d v="2018-03-02T00:00:00"/>
    <m/>
    <d v="2018-04-06T00:00:00"/>
    <n v="35"/>
  </r>
  <r>
    <s v="A417 Greenfield MDU"/>
    <s v="Sydney"/>
    <s v="Inv 13503"/>
    <d v="2018-04-19T00:00:00"/>
    <d v="2018-03-26T00:00:00"/>
    <d v="2018-03-27T00:00:00"/>
    <d v="2018-04-04T00:00:00"/>
    <d v="2018-04-06T00:00:00"/>
    <d v="2018-04-12T00:00:00"/>
    <d v="2018-04-26T00:00:00"/>
    <m/>
    <s v="Mar-18"/>
    <x v="14"/>
    <s v="MW21704 - AYCA-4RDSRL - 2BLK-12-bedford gardens - 1"/>
    <s v="Blacktown"/>
    <n v="1195.8499999999999"/>
    <n v="3999.57"/>
    <n v="5195.42"/>
    <n v="5714.9620000000004"/>
    <n v="1294.92"/>
    <m/>
    <n v="1294.92"/>
    <n v="3900.5"/>
    <n v="0.75075739786196305"/>
    <m/>
    <d v="2018-04-10T00:00:00"/>
    <m/>
    <s v="Ertan Cicek "/>
    <s v="Direct Award"/>
    <d v="2018-01-05T00:00:00"/>
    <m/>
    <d v="2018-01-30T00:00:00"/>
    <n v="25"/>
  </r>
  <r>
    <s v="A401/Minor works"/>
    <s v="Sydney"/>
    <m/>
    <m/>
    <m/>
    <d v="2018-07-30T00:00:00"/>
    <m/>
    <m/>
    <m/>
    <m/>
    <m/>
    <s v="Jul-18"/>
    <x v="8"/>
    <s v="MW21456 - 2BLK-07-16 - 51 Huntingwood Drive"/>
    <s v="Huntingwood"/>
    <n v="30428.35"/>
    <m/>
    <n v="30428.35"/>
    <n v="33471.184999999998"/>
    <n v="9404.68"/>
    <m/>
    <n v="9404.68"/>
    <n v="21023.67"/>
    <n v="0.69092376024332569"/>
    <m/>
    <d v="2018-08-13T00:00:00"/>
    <m/>
    <s v="Greg Moeller"/>
    <d v="2017-11-27T00:00:00"/>
    <d v="2018-03-28T00:00:00"/>
    <m/>
    <d v="2018-04-30T00:00:00"/>
    <n v="33"/>
  </r>
  <r>
    <s v="NBN Assurance Wagga"/>
    <s v="NSW"/>
    <s v="Inv 13323"/>
    <d v="2018-03-06T00:00:00"/>
    <d v="2018-03-06T00:00:00"/>
    <d v="2018-03-06T00:00:00"/>
    <m/>
    <m/>
    <m/>
    <d v="2018-05-01T00:00:00"/>
    <m/>
    <s v="Mar-18"/>
    <x v="9"/>
    <s v="MW22132 - INC000007252034 - Lot 166, 11 Poulton St, Ashmont, NSW"/>
    <s v="Ashmont"/>
    <n v="640.70000000000005"/>
    <m/>
    <n v="640.70000000000005"/>
    <n v="704.7700000000001"/>
    <m/>
    <n v="250"/>
    <n v="250"/>
    <n v="390.70000000000005"/>
    <n v="0.60980177930388635"/>
    <m/>
    <d v="2018-03-20T00:00:00"/>
    <m/>
    <s v="Tony Gabriel"/>
    <m/>
    <m/>
    <m/>
    <m/>
    <m/>
  </r>
  <r>
    <s v="NBN Assurance Sydney"/>
    <s v="NSW"/>
    <s v="Inv 13325"/>
    <d v="2018-03-06T00:00:00"/>
    <d v="2018-03-06T00:00:00"/>
    <d v="2018-03-06T00:00:00"/>
    <m/>
    <m/>
    <m/>
    <d v="2018-05-01T00:00:00"/>
    <m/>
    <s v="Mar-18"/>
    <x v="9"/>
    <s v="MW22123 - INC000007062621 – 195 LURLINE ST, KATOOMBA"/>
    <s v="Katoomba"/>
    <n v="704.77"/>
    <m/>
    <n v="704.77"/>
    <n v="775.24700000000007"/>
    <m/>
    <n v="242.77"/>
    <n v="242.77"/>
    <n v="462"/>
    <n v="0.6555330107694709"/>
    <m/>
    <d v="2018-03-20T00:00:00"/>
    <m/>
    <s v="Tony Gabriel"/>
    <m/>
    <m/>
    <m/>
    <m/>
    <m/>
  </r>
  <r>
    <s v="NBN Assurance Sydney"/>
    <s v="NSW"/>
    <s v="Inv 13324"/>
    <d v="2018-03-06T00:00:00"/>
    <d v="2018-03-06T00:00:00"/>
    <d v="2018-03-06T00:00:00"/>
    <m/>
    <m/>
    <m/>
    <d v="2018-05-01T00:00:00"/>
    <m/>
    <s v="Mar-18"/>
    <x v="9"/>
    <s v="MW22122 - INC000007203801 – 22 SUNBEAM AV, BLACKHEATH"/>
    <s v="Blackheath"/>
    <n v="256.27999999999997"/>
    <m/>
    <n v="256.27999999999997"/>
    <n v="281.90800000000002"/>
    <m/>
    <n v="88.28"/>
    <n v="88.28"/>
    <n v="167.99999999999997"/>
    <n v="0.6555330107694709"/>
    <m/>
    <d v="2018-03-20T00:00:00"/>
    <m/>
    <s v="Tony Gabriel"/>
    <m/>
    <m/>
    <m/>
    <m/>
    <m/>
  </r>
  <r>
    <s v="NBN Assurance Sydney"/>
    <s v="NSW"/>
    <s v="Inv 13331"/>
    <d v="2018-03-07T00:00:00"/>
    <d v="2018-03-07T00:00:00"/>
    <d v="2018-03-07T00:00:00"/>
    <m/>
    <m/>
    <m/>
    <d v="2018-05-01T00:00:00"/>
    <m/>
    <s v="Mar-18"/>
    <x v="9"/>
    <s v="MW22120 - INC000007212301 – 73 RIDGE ST, LAWSON"/>
    <s v="Lawson"/>
    <n v="128.13999999999999"/>
    <m/>
    <n v="128.13999999999999"/>
    <n v="140.95400000000001"/>
    <m/>
    <n v="44.14"/>
    <n v="44.14"/>
    <n v="83.999999999999986"/>
    <n v="0.6555330107694709"/>
    <m/>
    <d v="2018-03-21T00:00:00"/>
    <m/>
    <s v="Tony Gabriel"/>
    <m/>
    <m/>
    <m/>
    <m/>
    <m/>
  </r>
  <r>
    <s v="NBN Assurance Sydney"/>
    <s v="NSW"/>
    <s v="Inv 13330"/>
    <d v="2018-03-07T00:00:00"/>
    <d v="2018-03-07T00:00:00"/>
    <d v="2018-03-07T00:00:00"/>
    <m/>
    <m/>
    <m/>
    <d v="2018-05-01T00:00:00"/>
    <m/>
    <s v="Mar-18"/>
    <x v="9"/>
    <s v="MW22110 - INC000007232295 – 13 KUNDIBAR ST, KATOOMBA"/>
    <s v="Katoomba"/>
    <n v="256.27999999999997"/>
    <m/>
    <n v="256.27999999999997"/>
    <n v="281.90800000000002"/>
    <m/>
    <n v="88.28"/>
    <n v="88.28"/>
    <n v="167.99999999999997"/>
    <n v="0.6555330107694709"/>
    <m/>
    <d v="2018-03-21T00:00:00"/>
    <m/>
    <s v="Tony Gabriel"/>
    <m/>
    <m/>
    <m/>
    <m/>
    <m/>
  </r>
  <r>
    <s v="NBN Assurance Sydney"/>
    <s v="NSW"/>
    <s v="Inv 13332"/>
    <d v="2018-03-07T00:00:00"/>
    <d v="2018-03-07T00:00:00"/>
    <d v="2018-03-07T00:00:00"/>
    <m/>
    <m/>
    <m/>
    <d v="2018-05-01T00:00:00"/>
    <m/>
    <s v="Mar-18"/>
    <x v="9"/>
    <s v="MW22111 - INC000007080982 – 10 LORNA CL, BUNDANOON"/>
    <s v="Bundanoon"/>
    <n v="320.34999999999997"/>
    <m/>
    <n v="320.34999999999997"/>
    <n v="352.38499999999999"/>
    <m/>
    <n v="110.35"/>
    <n v="110.35"/>
    <n v="209.99999999999997"/>
    <n v="0.6555330107694709"/>
    <m/>
    <d v="2018-03-21T00:00:00"/>
    <m/>
    <s v="Tony Gabriel"/>
    <m/>
    <m/>
    <m/>
    <m/>
    <m/>
  </r>
  <r>
    <s v="Field Solutions"/>
    <s v="NSW"/>
    <s v="Inv 13409"/>
    <d v="2018-03-23T00:00:00"/>
    <d v="2018-03-30T00:00:00"/>
    <d v="2018-03-30T00:00:00"/>
    <m/>
    <m/>
    <m/>
    <d v="2018-04-30T00:00:00"/>
    <m/>
    <s v="Mar-18"/>
    <x v="14"/>
    <s v="23 Narabang Way Road crossing"/>
    <s v="Belrose"/>
    <n v="8225.7000000000007"/>
    <n v="1515.82"/>
    <n v="9741.52"/>
    <n v="10715.672"/>
    <m/>
    <m/>
    <n v="0"/>
    <n v="9741.52"/>
    <n v="1"/>
    <m/>
    <d v="2018-04-13T00:00:00"/>
    <m/>
    <s v="Brian Ahern"/>
    <m/>
    <m/>
    <m/>
    <m/>
    <m/>
  </r>
  <r>
    <s v="NBN Assurance Sydney"/>
    <s v="NSW"/>
    <s v="Inv 13333"/>
    <d v="2018-03-07T00:00:00"/>
    <d v="2018-03-07T00:00:00"/>
    <d v="2018-03-07T00:00:00"/>
    <m/>
    <m/>
    <m/>
    <d v="2018-05-01T00:00:00"/>
    <m/>
    <s v="Mar-18"/>
    <x v="9"/>
    <s v="MW22117 - INC000007115099 - 64 CHURCH ST, MILTON"/>
    <s v="Milton"/>
    <n v="825.69999999999993"/>
    <m/>
    <n v="825.69999999999993"/>
    <n v="908.27"/>
    <m/>
    <n v="220.7"/>
    <n v="220.7"/>
    <n v="605"/>
    <n v="0.7327116386096646"/>
    <m/>
    <d v="2018-03-21T00:00:00"/>
    <m/>
    <s v="Tony Gabriel"/>
    <m/>
    <m/>
    <m/>
    <m/>
    <m/>
  </r>
  <r>
    <s v="NBN Assurance Sydney"/>
    <s v="NSW"/>
    <s v="Inv 13334"/>
    <d v="2018-03-07T00:00:00"/>
    <d v="2018-03-07T00:00:00"/>
    <d v="2018-03-07T00:00:00"/>
    <m/>
    <m/>
    <m/>
    <d v="2018-05-01T00:00:00"/>
    <m/>
    <s v="Mar-18"/>
    <x v="9"/>
    <s v="MW22113 - INC000007099865 - Lot 241, 75 Barton Street, Oak Flats, NSW "/>
    <s v="Oak Flats"/>
    <n v="2229.3000000000002"/>
    <m/>
    <n v="2229.3000000000002"/>
    <n v="2452.2300000000005"/>
    <m/>
    <n v="176.56"/>
    <n v="176.56"/>
    <n v="2052.7400000000002"/>
    <n v="0.92080025119992825"/>
    <m/>
    <d v="2018-03-21T00:00:00"/>
    <m/>
    <s v="Tony Gabriel"/>
    <m/>
    <m/>
    <m/>
    <m/>
    <m/>
  </r>
  <r>
    <s v="NBN Assurance Sydney"/>
    <s v="NSW"/>
    <s v="Inv 13337"/>
    <d v="2018-03-07T00:00:00"/>
    <d v="2018-03-07T00:00:00"/>
    <d v="2018-03-07T00:00:00"/>
    <m/>
    <m/>
    <m/>
    <d v="2018-05-01T00:00:00"/>
    <m/>
    <s v="Mar-18"/>
    <x v="9"/>
    <s v="MW22119 - INC000007204274 - LOT 192, 47 ELM ST, ALBION PARK RAIL NSW "/>
    <s v="Albion Park"/>
    <n v="3511.9700000000003"/>
    <m/>
    <n v="3511.9700000000003"/>
    <n v="3863.1670000000004"/>
    <m/>
    <n v="154.49"/>
    <n v="154.49"/>
    <n v="3357.4800000000005"/>
    <n v="0.95601044428056059"/>
    <m/>
    <d v="2018-03-21T00:00:00"/>
    <m/>
    <s v="Tony Gabriel"/>
    <m/>
    <m/>
    <m/>
    <m/>
    <m/>
  </r>
  <r>
    <s v="NBN Assurance Sydney"/>
    <s v="NSW"/>
    <s v="Inv 13338"/>
    <d v="2018-03-07T00:00:00"/>
    <d v="2018-03-07T00:00:00"/>
    <d v="2018-03-07T00:00:00"/>
    <m/>
    <m/>
    <m/>
    <d v="2018-05-01T00:00:00"/>
    <m/>
    <s v="Mar-18"/>
    <x v="9"/>
    <s v="MW22121 - INC000007123502 - 55 PEPPERMINT DR, WORRIGEE NSW"/>
    <s v="Worrigee"/>
    <n v="1402.33"/>
    <m/>
    <n v="1402.33"/>
    <n v="1542.5630000000001"/>
    <m/>
    <n v="604.32999999999993"/>
    <n v="604.32999999999993"/>
    <n v="798"/>
    <n v="0.5690529333323826"/>
    <m/>
    <d v="2018-03-21T00:00:00"/>
    <m/>
    <s v="Tony Gabriel"/>
    <m/>
    <m/>
    <m/>
    <m/>
    <m/>
  </r>
  <r>
    <s v="NBN Assurance Sydney"/>
    <s v="NSW"/>
    <s v="Inv 13340"/>
    <d v="2018-03-07T00:00:00"/>
    <d v="2018-03-07T00:00:00"/>
    <d v="2018-03-07T00:00:00"/>
    <m/>
    <m/>
    <m/>
    <d v="2018-05-01T00:00:00"/>
    <m/>
    <s v="Mar-18"/>
    <x v="9"/>
    <s v="MW22108 - INC000007113365 – Lot 2464, 1 Emu Av, Sanctuary Point, NSW "/>
    <s v="Sanctuary Point"/>
    <n v="512.55999999999995"/>
    <m/>
    <n v="512.55999999999995"/>
    <n v="563.81600000000003"/>
    <m/>
    <n v="176.56"/>
    <n v="176.56"/>
    <n v="335.99999999999994"/>
    <n v="0.6555330107694709"/>
    <m/>
    <d v="2018-03-21T00:00:00"/>
    <m/>
    <s v="Tony Gabriel"/>
    <m/>
    <m/>
    <m/>
    <m/>
    <m/>
  </r>
  <r>
    <s v="NBN Assurance Wagga"/>
    <s v="NSW"/>
    <s v="Inv 13353"/>
    <d v="2018-03-08T00:00:00"/>
    <d v="2018-03-08T00:00:00"/>
    <d v="2018-03-08T00:00:00"/>
    <m/>
    <m/>
    <m/>
    <d v="2018-05-01T00:00:00"/>
    <m/>
    <s v="Mar-18"/>
    <x v="9"/>
    <s v="MW22133 - INC000007104657 - Lot 232, 30 Crisp Drive, Ashmont"/>
    <s v="Ashmont"/>
    <n v="1153.26"/>
    <m/>
    <n v="1153.26"/>
    <n v="1268.586"/>
    <m/>
    <n v="350"/>
    <n v="350"/>
    <n v="803.26"/>
    <n v="1.5671531137818013"/>
    <m/>
    <d v="2018-03-21T00:00:00"/>
    <m/>
    <s v="Tony Gabriel"/>
    <m/>
    <m/>
    <m/>
    <m/>
    <m/>
  </r>
  <r>
    <s v="NBN Assurance Wagga"/>
    <s v="NSW"/>
    <s v="Inv 13354"/>
    <d v="2018-03-08T00:00:00"/>
    <d v="2018-03-08T00:00:00"/>
    <d v="2018-03-08T00:00:00"/>
    <m/>
    <m/>
    <m/>
    <d v="2018-05-01T00:00:00"/>
    <m/>
    <s v="Mar-18"/>
    <x v="9"/>
    <s v="MW22138 - INC000007230232 - Lot 257, 14 Toy Pl, Tolland, NSW"/>
    <s v="Tolland"/>
    <n v="1217.33"/>
    <m/>
    <n v="1217.33"/>
    <n v="1339.0630000000001"/>
    <m/>
    <n v="475"/>
    <n v="475"/>
    <n v="742.32999999999993"/>
    <n v="0.64367965593188003"/>
    <m/>
    <d v="2018-03-22T00:00:00"/>
    <m/>
    <s v="Tony Gabriel"/>
    <m/>
    <m/>
    <m/>
    <m/>
    <m/>
  </r>
  <r>
    <s v="NBN Assurance Wagga"/>
    <s v="NSW"/>
    <s v="Inv 13355"/>
    <d v="2018-03-08T00:00:00"/>
    <d v="2018-03-08T00:00:00"/>
    <d v="2018-03-08T00:00:00"/>
    <m/>
    <m/>
    <m/>
    <d v="2018-05-01T00:00:00"/>
    <m/>
    <s v="Mar-18"/>
    <x v="9"/>
    <s v="MW22141 - INC000007222465 - Lot 30, 4 Banksia Avenue, Leeton"/>
    <s v="Leeton"/>
    <n v="320.35000000000002"/>
    <m/>
    <n v="320.35000000000002"/>
    <n v="352.38500000000005"/>
    <m/>
    <n v="150"/>
    <n v="150"/>
    <n v="170.35000000000002"/>
    <n v="0.13993740399070098"/>
    <m/>
    <d v="2018-03-22T00:00:00"/>
    <m/>
    <s v="Tony Gabriel"/>
    <m/>
    <m/>
    <m/>
    <m/>
    <m/>
  </r>
  <r>
    <s v="NBN Assurance Wagga"/>
    <s v="NSW"/>
    <s v="Inv 13356"/>
    <d v="2018-03-08T00:00:00"/>
    <d v="2018-03-08T00:00:00"/>
    <d v="2018-03-08T00:00:00"/>
    <m/>
    <m/>
    <m/>
    <d v="2018-05-01T00:00:00"/>
    <m/>
    <s v="Mar-18"/>
    <x v="9"/>
    <s v="MW22142 - INC000007223690 - 150 Gurwood St, Wagga Wagga, NSW"/>
    <s v="Wagga Wagga"/>
    <n v="512.55999999999995"/>
    <m/>
    <n v="512.55999999999995"/>
    <n v="563.81600000000003"/>
    <m/>
    <n v="175"/>
    <n v="175"/>
    <n v="337.55999999999995"/>
    <n v="1.0537224910254406"/>
    <m/>
    <d v="2018-03-22T00:00:00"/>
    <m/>
    <s v="Tony Gabriel"/>
    <m/>
    <m/>
    <m/>
    <m/>
    <m/>
  </r>
  <r>
    <s v="NBN Assurance Wagga"/>
    <s v="NSW"/>
    <s v="Inv 13357"/>
    <d v="2018-03-08T00:00:00"/>
    <d v="2018-03-08T00:00:00"/>
    <d v="2018-03-08T00:00:00"/>
    <m/>
    <m/>
    <m/>
    <d v="2018-05-22T00:00:00"/>
    <m/>
    <s v="Mar-18"/>
    <x v="9"/>
    <s v="MW22139 - INC000007221664 - 92 East Street, Narrandera"/>
    <s v="Narrandera"/>
    <n v="256.27999999999997"/>
    <m/>
    <n v="256.27999999999997"/>
    <n v="281.90800000000002"/>
    <m/>
    <n v="100"/>
    <n v="100"/>
    <n v="156.27999999999997"/>
    <n v="0.30490088965194317"/>
    <m/>
    <d v="2018-03-22T00:00:00"/>
    <m/>
    <s v="Tony Gabriel"/>
    <m/>
    <m/>
    <m/>
    <m/>
    <m/>
  </r>
  <r>
    <s v="NBN Assurance Wagga"/>
    <s v="NSW"/>
    <s v="Inv 13358"/>
    <d v="2018-03-08T00:00:00"/>
    <d v="2018-03-08T00:00:00"/>
    <d v="2018-03-08T00:00:00"/>
    <m/>
    <m/>
    <m/>
    <m/>
    <m/>
    <s v="Mar-18"/>
    <x v="8"/>
    <s v="MW22235 - INC000007210193 - 36 Blakemore Av, Ashmont, NSW"/>
    <s v="Ashmont"/>
    <n v="1153.2599999999998"/>
    <m/>
    <n v="1153.2599999999998"/>
    <n v="1268.5859999999998"/>
    <m/>
    <n v="450"/>
    <n v="450"/>
    <n v="703.25999999999976"/>
    <n v="2.7441080068674881"/>
    <m/>
    <d v="2018-03-22T00:00:00"/>
    <m/>
    <s v="Tony Gabriel"/>
    <m/>
    <m/>
    <m/>
    <m/>
    <m/>
  </r>
  <r>
    <s v="A417 Greenfield MDU"/>
    <s v="Sydney"/>
    <s v="Inv 13672"/>
    <d v="2018-05-28T00:00:00"/>
    <d v="2018-05-09T00:00:00"/>
    <d v="2018-05-09T00:00:00"/>
    <d v="2018-05-15T00:00:00"/>
    <d v="2018-05-02T00:00:00"/>
    <d v="2018-05-23T00:00:00"/>
    <d v="2018-06-12T00:00:00"/>
    <m/>
    <s v="May-18"/>
    <x v="10"/>
    <s v="MW21835-AYCA-4MJ7W3-2WRO-63-8-10 Park Ave, Waitara"/>
    <s v="Waitara"/>
    <n v="704.71"/>
    <n v="4996.3599999999997"/>
    <n v="5701.07"/>
    <n v="6271.1770000000006"/>
    <n v="1885.45"/>
    <m/>
    <n v="1885.45"/>
    <n v="3815.62"/>
    <n v="0.66928138051278097"/>
    <m/>
    <d v="2018-05-23T00:00:00"/>
    <m/>
    <s v="Ertan Cicek"/>
    <s v="Direct Award"/>
    <d v="2018-03-07T00:00:00"/>
    <m/>
    <d v="2018-03-20T00:00:00"/>
    <n v="13"/>
  </r>
  <r>
    <s v="A401/Greenfield"/>
    <s v="West NSW"/>
    <s v="Inv 13597"/>
    <d v="2018-05-17T00:00:00"/>
    <d v="2018-04-27T00:00:00"/>
    <d v="2018-04-30T00:00:00"/>
    <m/>
    <m/>
    <d v="2018-05-09T00:00:00"/>
    <d v="2018-05-15T00:00:00"/>
    <m/>
    <s v="Apr-18"/>
    <x v="9"/>
    <s v="MW22032-AYCA-4C48KZ-2MDG-01-4 Lewis Street Mudgee"/>
    <s v="Mudgee"/>
    <n v="6077.33"/>
    <m/>
    <n v="6077.33"/>
    <n v="6685.0630000000001"/>
    <n v="3773.27"/>
    <m/>
    <n v="3773.27"/>
    <n v="2304.06"/>
    <n v="0.37912372703144309"/>
    <m/>
    <d v="2018-05-14T00:00:00"/>
    <m/>
    <s v="Dave Yoemans"/>
    <d v="2018-03-05T00:00:00"/>
    <d v="2018-03-18T00:00:00"/>
    <m/>
    <d v="2018-04-01T00:00:00"/>
    <n v="14"/>
  </r>
  <r>
    <s v="A401/Greenfield"/>
    <s v="West NSW"/>
    <s v="Inv 13718"/>
    <d v="2018-06-14T00:00:00"/>
    <d v="2018-06-04T00:00:00"/>
    <d v="2018-06-04T00:00:00"/>
    <m/>
    <m/>
    <d v="2018-06-15T00:00:00"/>
    <d v="2018-06-22T00:00:00"/>
    <m/>
    <s v="Jun-18"/>
    <x v="10"/>
    <s v="MW22035-AYCA-4C4E63-2CWR-01-11 Liverpool Street Cowra"/>
    <s v="Cowra"/>
    <n v="8506.73"/>
    <m/>
    <n v="8506.73"/>
    <n v="9357.4030000000002"/>
    <m/>
    <m/>
    <n v="0"/>
    <n v="8506.73"/>
    <n v="1"/>
    <m/>
    <d v="2018-06-18T00:00:00"/>
    <m/>
    <s v="Dave Yoemans"/>
    <d v="2018-03-05T00:00:00"/>
    <d v="2018-03-16T00:00:00"/>
    <m/>
    <d v="2018-04-01T00:00:00"/>
    <n v="16"/>
  </r>
  <r>
    <s v="A401/Greenfield"/>
    <s v="Newcastle"/>
    <m/>
    <m/>
    <d v="2018-04-10T00:00:00"/>
    <d v="2018-04-10T00:00:00"/>
    <m/>
    <m/>
    <d v="2018-04-23T00:00:00"/>
    <d v="2018-05-01T00:00:00"/>
    <m/>
    <s v="Apr-18"/>
    <x v="9"/>
    <s v="MW22034-AYCA-4DZ83F-2NLT-01-6 Callan Avenue Maryland "/>
    <s v="Maryland"/>
    <n v="4859.5"/>
    <m/>
    <n v="4859.5"/>
    <n v="5345.4500000000007"/>
    <n v="3013.08"/>
    <m/>
    <n v="3013.08"/>
    <n v="1846.42"/>
    <n v="0.37996090132729704"/>
    <m/>
    <d v="2018-04-24T00:00:00"/>
    <m/>
    <s v="Dave Yoemans"/>
    <d v="2018-03-05T00:00:00"/>
    <d v="2018-03-19T00:00:00"/>
    <m/>
    <d v="2018-04-01T00:00:00"/>
    <n v="13"/>
  </r>
  <r>
    <s v="A401/Greenfield"/>
    <s v="Sth NSW"/>
    <s v="Inv 13776"/>
    <d v="2018-06-29T00:00:00"/>
    <d v="2018-06-05T00:00:00"/>
    <d v="2018-06-05T00:00:00"/>
    <m/>
    <m/>
    <d v="2018-06-20T00:00:00"/>
    <d v="2018-06-26T00:00:00"/>
    <m/>
    <s v="Jun-18"/>
    <x v="10"/>
    <s v="MW22033 -AYCA-4PX9WA- 2YAS-01 - 23 Browne Street Yass"/>
    <s v="Yass"/>
    <n v="2191.88"/>
    <m/>
    <n v="2191.88"/>
    <n v="2411.0680000000002"/>
    <m/>
    <m/>
    <n v="0"/>
    <n v="2191.88"/>
    <n v="1"/>
    <m/>
    <d v="2018-06-19T00:00:00"/>
    <m/>
    <s v="Dave Yoemans"/>
    <d v="2018-03-05T00:00:00"/>
    <d v="2018-03-16T00:00:00"/>
    <m/>
    <d v="2018-04-01T00:00:00"/>
    <n v="16"/>
  </r>
  <r>
    <s v="A417 Greenfield MDU"/>
    <s v="Sydney"/>
    <m/>
    <m/>
    <m/>
    <d v="2018-11-30T00:00:00"/>
    <m/>
    <m/>
    <m/>
    <m/>
    <m/>
    <s v="Nov-18"/>
    <x v="8"/>
    <s v="MW21971-AYCA-4X6TWU-2LID-08-43 - 47 Harrow Rd, Auburn, EXT"/>
    <s v="Auburn"/>
    <n v="279.01"/>
    <m/>
    <n v="279.01"/>
    <n v="306.911"/>
    <m/>
    <m/>
    <n v="0"/>
    <n v="279.01"/>
    <n v="1"/>
    <m/>
    <d v="2018-12-14T00:00:00"/>
    <m/>
    <s v="Nabeel Jaimon"/>
    <s v="Direct Award"/>
    <d v="2018-02-28T00:00:00"/>
    <m/>
    <d v="2018-04-06T00:00:00"/>
    <n v="37"/>
  </r>
  <r>
    <s v="A417 Greenfield MDU"/>
    <s v="Sydney"/>
    <m/>
    <m/>
    <d v="2018-06-25T00:00:00"/>
    <d v="2018-06-25T00:00:00"/>
    <m/>
    <m/>
    <d v="2018-07-09T00:00:00"/>
    <d v="2018-07-23T00:00:00"/>
    <m/>
    <s v="Jun-18"/>
    <x v="15"/>
    <s v="MW21994-AYCA-4W4BKH-2HOM-02-38 Weeroona Rd Strathfield INT"/>
    <s v="Strathfield"/>
    <n v="840"/>
    <m/>
    <n v="840"/>
    <n v="924.00000000000011"/>
    <m/>
    <m/>
    <n v="0"/>
    <n v="840"/>
    <n v="1"/>
    <m/>
    <d v="2018-07-09T00:00:00"/>
    <m/>
    <s v="Nabeel Jaimon"/>
    <s v="Direct Award"/>
    <d v="2018-03-06T00:00:00"/>
    <m/>
    <d v="2018-03-28T00:00:00"/>
    <n v="22"/>
  </r>
  <r>
    <s v="A417 Greenfield MDU"/>
    <s v="Sydney"/>
    <m/>
    <m/>
    <m/>
    <d v="2018-11-30T00:00:00"/>
    <m/>
    <m/>
    <m/>
    <m/>
    <m/>
    <s v="Nov-18"/>
    <x v="8"/>
    <s v="MW22002-AYCA-4X6TWU-2LID-08-43-47 Harrow Rd Auburn,  INT"/>
    <s v="Auburn"/>
    <n v="560"/>
    <m/>
    <n v="560"/>
    <n v="616"/>
    <m/>
    <m/>
    <n v="0"/>
    <n v="560"/>
    <n v="1"/>
    <m/>
    <d v="2018-12-14T00:00:00"/>
    <m/>
    <s v="Nabeel Jaimon"/>
    <s v="Direct Award"/>
    <d v="2018-03-06T00:00:00"/>
    <m/>
    <d v="2018-04-03T00:00:00"/>
    <n v="28"/>
  </r>
  <r>
    <s v="A417 Greenfield MDU"/>
    <s v="Sydney"/>
    <m/>
    <m/>
    <m/>
    <d v="2018-07-30T00:00:00"/>
    <s v=" "/>
    <m/>
    <m/>
    <m/>
    <m/>
    <s v="Jul-18"/>
    <x v="8"/>
    <s v="MW22007-AYCA-4VJFPP-2NEW-22-19-21 Eve St, Erskineville"/>
    <s v="Erskinville"/>
    <n v="1201.18"/>
    <m/>
    <n v="1201.18"/>
    <n v="1321.2980000000002"/>
    <m/>
    <m/>
    <n v="0"/>
    <n v="1201.18"/>
    <n v="1"/>
    <m/>
    <d v="2018-08-13T00:00:00"/>
    <m/>
    <s v="Ertan Cicek"/>
    <s v="Direct Award"/>
    <d v="2018-03-07T00:00:00"/>
    <m/>
    <d v="2018-04-05T00:00:00"/>
    <n v="29"/>
  </r>
  <r>
    <s v="A417 Greenfield MDU"/>
    <s v="Sydney"/>
    <s v="Inv 13517"/>
    <d v="2018-04-20T00:00:00"/>
    <d v="2018-03-26T00:00:00"/>
    <d v="2018-03-27T00:00:00"/>
    <d v="2018-04-04T00:00:00"/>
    <d v="2018-04-13T00:00:00"/>
    <d v="2018-04-11T00:00:00"/>
    <d v="2018-04-24T00:00:00"/>
    <m/>
    <s v="Mar-18"/>
    <x v="14"/>
    <s v="MW21881-AYCA-2YGB4Y-2BLK-01-EXTERNAL"/>
    <s v="Blacktown"/>
    <n v="561.20000000000005"/>
    <n v="3014.58"/>
    <n v="3575.7799999999997"/>
    <n v="3933.3580000000002"/>
    <n v="2156.54"/>
    <m/>
    <n v="2156.54"/>
    <n v="1419.2399999999998"/>
    <n v="0.39690361263836138"/>
    <m/>
    <d v="2018-04-10T00:00:00"/>
    <m/>
    <s v="Ertan Cicek"/>
    <s v="Direct Award"/>
    <d v="2018-02-26T00:00:00"/>
    <m/>
    <d v="2018-03-22T00:00:00"/>
    <n v="24"/>
  </r>
  <r>
    <s v="A401/Greenfield"/>
    <s v="Sydney"/>
    <s v="Inv 13516"/>
    <d v="2018-04-20T00:00:00"/>
    <d v="2018-04-05T00:00:00"/>
    <d v="2018-04-06T00:00:00"/>
    <d v="2018-04-06T00:00:00"/>
    <d v="2018-04-17T00:00:00"/>
    <d v="2018-04-18T00:00:00"/>
    <d v="2018-04-24T00:00:00"/>
    <m/>
    <s v="Apr-18"/>
    <x v="14"/>
    <s v="MW21401 - AYCA-4RYUIS - 2PTH-11 -NSB- Assisi Close Cranebrook"/>
    <s v="Cranebrook"/>
    <n v="900"/>
    <n v="3694.31"/>
    <n v="4594.3099999999995"/>
    <n v="5053.741"/>
    <m/>
    <m/>
    <n v="0"/>
    <n v="4594.3099999999995"/>
    <n v="1"/>
    <m/>
    <d v="2018-04-20T00:00:00"/>
    <m/>
    <s v="Andrew Mahassy"/>
    <d v="2017-10-02T00:00:00"/>
    <d v="2018-02-13T00:00:00"/>
    <n v="134"/>
    <d v="2018-03-02T00:00:00"/>
    <n v="17"/>
  </r>
  <r>
    <s v="A417 Greenfield MDU"/>
    <s v="Sydney"/>
    <s v="Inv 13514"/>
    <d v="2018-04-24T00:00:00"/>
    <d v="2018-03-23T00:00:00"/>
    <d v="2018-03-27T00:00:00"/>
    <d v="2018-03-27T00:00:00"/>
    <d v="2018-04-04T00:00:00"/>
    <d v="2018-04-11T00:00:00"/>
    <d v="2018-04-24T00:00:00"/>
    <m/>
    <s v="Mar-18"/>
    <x v="14"/>
    <s v="MW22072-AYCA-4YFIWK-2HOM-03-4 EXTER RD, HOMEBUSH WEST"/>
    <s v="Homebush West"/>
    <n v="1234.18"/>
    <n v="1744.1900000000003"/>
    <n v="2978.3700000000003"/>
    <n v="3276.2070000000008"/>
    <n v="1639.63"/>
    <m/>
    <n v="1639.63"/>
    <n v="1338.7400000000002"/>
    <n v="0.44948747133499201"/>
    <m/>
    <d v="2018-04-10T00:00:00"/>
    <m/>
    <s v="Ertan Cicek"/>
    <s v="Direct Award"/>
    <d v="2018-03-26T00:00:00"/>
    <m/>
    <d v="2018-04-30T00:00:00"/>
    <n v="35"/>
  </r>
  <r>
    <s v="A417 Greenfield MDU"/>
    <s v="Sydney"/>
    <s v="Inv 13637"/>
    <d v="2018-05-22T00:00:00"/>
    <d v="2018-05-03T00:00:00"/>
    <d v="2018-05-03T00:00:00"/>
    <d v="2018-05-08T00:00:00"/>
    <d v="2018-05-10T00:00:00"/>
    <d v="2018-05-16T00:00:00"/>
    <d v="2018-05-22T00:00:00"/>
    <m/>
    <s v="May-18"/>
    <x v="9"/>
    <s v="MW22022--AYCA-3TBATE-2PAR-6111 Hassall St, Paramatta"/>
    <s v="Parramatta"/>
    <n v="1400.62"/>
    <n v="7702.47"/>
    <n v="9103.09"/>
    <n v="10013.399000000001"/>
    <n v="4761.7299999999996"/>
    <m/>
    <n v="4761.7299999999996"/>
    <n v="4341.3600000000006"/>
    <n v="0.47691058750380372"/>
    <m/>
    <d v="2018-05-17T00:00:00"/>
    <m/>
    <s v="Ertan Cicek"/>
    <s v="Direct Award"/>
    <d v="2018-03-08T00:00:00"/>
    <m/>
    <d v="2018-04-10T00:00:00"/>
    <n v="33"/>
  </r>
  <r>
    <s v="A401/Greenfield"/>
    <s v="Sydney"/>
    <m/>
    <m/>
    <m/>
    <d v="2018-07-30T00:00:00"/>
    <m/>
    <m/>
    <m/>
    <m/>
    <m/>
    <s v="Jul-18"/>
    <x v="8"/>
    <s v="MW22024-AYCA-35DF0W-2KEL-07-1, 1A &amp; 1B President Rd, Kellyville"/>
    <s v="Kellyville"/>
    <n v="2197.21"/>
    <m/>
    <n v="2197.21"/>
    <n v="2416.931"/>
    <m/>
    <m/>
    <n v="0"/>
    <n v="2197.21"/>
    <n v="1"/>
    <m/>
    <d v="2018-08-13T00:00:00"/>
    <m/>
    <s v="Ertan Cicek"/>
    <s v="Direct Award"/>
    <d v="2018-03-08T00:00:00"/>
    <m/>
    <d v="2018-04-10T00:00:00"/>
    <n v="33"/>
  </r>
  <r>
    <s v="A417 Greenfield MDU"/>
    <s v="Sydney"/>
    <s v="Inv 13513"/>
    <d v="2018-04-26T00:00:00"/>
    <d v="2018-03-27T00:00:00"/>
    <d v="2018-03-28T00:00:00"/>
    <d v="2018-04-04T00:00:00"/>
    <d v="2018-04-13T00:00:00"/>
    <d v="2018-04-11T00:00:00"/>
    <d v="2018-04-26T00:00:00"/>
    <m/>
    <s v="Mar-18"/>
    <x v="14"/>
    <s v="MW21649- AYCA-1Y6XJM-2KIL-61-GORDON 2 – 1"/>
    <s v="Gordon"/>
    <n v="2026.01"/>
    <n v="4233.07"/>
    <n v="6259.08"/>
    <n v="6884.9880000000003"/>
    <n v="2015.96"/>
    <m/>
    <n v="2015.96"/>
    <n v="4243.12"/>
    <n v="0.67791432606708968"/>
    <m/>
    <d v="2018-04-11T00:00:00"/>
    <m/>
    <s v="Lindy Chan"/>
    <s v="Direct Award"/>
    <d v="2017-12-21T00:00:00"/>
    <m/>
    <d v="2018-02-10T00:00:00"/>
    <n v="51"/>
  </r>
  <r>
    <s v="A401/Greenfield"/>
    <s v="Nth Coast"/>
    <s v="Inv 13541"/>
    <d v="2018-04-27T00:00:00"/>
    <d v="2018-04-11T00:00:00"/>
    <d v="2018-04-13T00:00:00"/>
    <m/>
    <m/>
    <d v="2018-04-24T00:00:00"/>
    <d v="2018-05-01T00:00:00"/>
    <m/>
    <s v="Apr-18"/>
    <x v="9"/>
    <s v="MW22009-AYCA-4L6PEC-2OBA-20-Brooks close, Old Bar"/>
    <s v="Old Bar"/>
    <n v="3519"/>
    <m/>
    <n v="3519"/>
    <n v="3870.9"/>
    <n v="2323.3000000000002"/>
    <m/>
    <n v="2323.3000000000002"/>
    <n v="1195.6999999999998"/>
    <n v="0.33978402955385045"/>
    <m/>
    <d v="2018-04-27T00:00:00"/>
    <m/>
    <s v="Mark Leal"/>
    <d v="2018-02-28T00:00:00"/>
    <d v="2018-03-13T00:00:00"/>
    <n v="13"/>
    <d v="2018-04-01T00:00:00"/>
    <n v="19"/>
  </r>
  <r>
    <s v="A401/Greenfield"/>
    <s v="Newcastle"/>
    <m/>
    <m/>
    <d v="2018-04-26T00:00:00"/>
    <d v="2018-04-26T00:00:00"/>
    <d v="2018-05-08T00:00:00"/>
    <d v="2018-05-16T00:00:00"/>
    <d v="2018-05-07T00:00:00"/>
    <d v="2018-05-29T00:00:00"/>
    <m/>
    <s v="Apr-18"/>
    <x v="9"/>
    <s v="MW22011-AYCA-4GRO21-2RTC-20-55 Kingston Parade, Heatherbae"/>
    <s v="Heatherbae"/>
    <n v="2191.88"/>
    <n v="6277.4249999999993"/>
    <n v="8469.3050000000003"/>
    <n v="9316.2355000000007"/>
    <n v="5405.07"/>
    <m/>
    <n v="5405.07"/>
    <n v="3064.2350000000006"/>
    <n v="0.36180477618883727"/>
    <m/>
    <d v="2018-05-10T00:00:00"/>
    <m/>
    <s v="Mark Leal"/>
    <d v="2018-02-28T00:00:00"/>
    <d v="2018-03-13T00:00:00"/>
    <n v="13"/>
    <d v="2018-04-01T00:00:00"/>
    <n v="19"/>
  </r>
  <r>
    <s v="A417 Greenfield MDU"/>
    <s v="Sydney"/>
    <m/>
    <m/>
    <m/>
    <d v="2018-07-30T00:00:00"/>
    <m/>
    <m/>
    <m/>
    <m/>
    <m/>
    <s v="Jul-18"/>
    <x v="8"/>
    <s v="MW22023-AYCA-48280D - 2RED-03 -  906 Bourke St, Zetland"/>
    <s v="Zetland"/>
    <n v="3858.83"/>
    <m/>
    <n v="3858.83"/>
    <n v="4244.7130000000006"/>
    <n v="1285"/>
    <m/>
    <n v="1285"/>
    <n v="2573.83"/>
    <n v="0.66699750960783444"/>
    <m/>
    <d v="2018-08-13T00:00:00"/>
    <m/>
    <s v="Ertan Cicek"/>
    <s v="Direct Award"/>
    <d v="2018-03-13T00:00:00"/>
    <m/>
    <d v="2018-04-09T00:00:00"/>
    <n v="27"/>
  </r>
  <r>
    <s v="A417 Greenfield MDU"/>
    <s v="Sydney"/>
    <m/>
    <m/>
    <m/>
    <d v="2017-06-30T00:00:00"/>
    <m/>
    <m/>
    <m/>
    <m/>
    <m/>
    <s v="Jun-17"/>
    <x v="8"/>
    <s v="MW21914 - AYCA-4SRFAN-2BAL-62 - 22/26 Roseberry St Balgowlah NSW "/>
    <s v="Balgowlah"/>
    <n v="560"/>
    <m/>
    <n v="560"/>
    <n v="616"/>
    <m/>
    <m/>
    <n v="0"/>
    <n v="560"/>
    <n v="1"/>
    <m/>
    <d v="2017-07-14T00:00:00"/>
    <m/>
    <s v="Ertan Cicek"/>
    <s v="Direct Award"/>
    <d v="2018-03-14T00:00:00"/>
    <m/>
    <d v="2018-05-15T00:00:00"/>
    <n v="62"/>
  </r>
  <r>
    <s v="A417 Greenfield MDU"/>
    <s v="Sydney"/>
    <m/>
    <m/>
    <m/>
    <d v="2018-07-30T00:00:00"/>
    <m/>
    <m/>
    <m/>
    <m/>
    <m/>
    <s v="Jul-18"/>
    <x v="8"/>
    <s v="MW22048-AYCA-52ZO0L-2LID-04-32 Norval St, Auburn EXT"/>
    <s v="Aurburn"/>
    <n v="1156.52"/>
    <m/>
    <n v="1156.52"/>
    <n v="1272.172"/>
    <m/>
    <m/>
    <n v="0"/>
    <n v="1156.52"/>
    <n v="1"/>
    <m/>
    <d v="2018-08-13T00:00:00"/>
    <m/>
    <s v="Ertan Cicek"/>
    <s v="Direct Award"/>
    <d v="2018-03-15T00:00:00"/>
    <m/>
    <d v="2018-04-30T00:00:00"/>
    <n v="46"/>
  </r>
  <r>
    <s v="A417 Greenfield MDU"/>
    <s v="Sydney"/>
    <m/>
    <m/>
    <m/>
    <d v="2018-07-30T00:00:00"/>
    <m/>
    <m/>
    <m/>
    <m/>
    <m/>
    <s v="Jul-18"/>
    <x v="8"/>
    <s v="MW22053-AYCA-4O03IQ-2COR-09-17 Ryan Street Balgownie Int"/>
    <s v="Balgowie"/>
    <n v="2731.54"/>
    <m/>
    <n v="2731.54"/>
    <n v="3004.6940000000004"/>
    <m/>
    <m/>
    <n v="0"/>
    <n v="2731.54"/>
    <n v="1"/>
    <m/>
    <d v="2018-08-13T00:00:00"/>
    <m/>
    <s v="Nabeel Jaimon"/>
    <s v="Direct Award"/>
    <d v="2018-03-15T00:00:00"/>
    <m/>
    <d v="2018-05-11T00:00:00"/>
    <n v="57"/>
  </r>
  <r>
    <s v="A417 Greenfield MDU"/>
    <s v="Sydney"/>
    <m/>
    <m/>
    <m/>
    <d v="2018-07-30T00:00:00"/>
    <m/>
    <m/>
    <m/>
    <m/>
    <m/>
    <s v="Jul-18"/>
    <x v="8"/>
    <s v="MW22042-AYCA-4SV0JO2ING-65-41-47 Stennett Rd Ingleburn, Int HMDU"/>
    <s v="Ingelburn"/>
    <n v="560"/>
    <m/>
    <n v="560"/>
    <n v="616"/>
    <m/>
    <m/>
    <n v="0"/>
    <n v="560"/>
    <n v="1"/>
    <m/>
    <d v="2018-08-13T00:00:00"/>
    <m/>
    <s v="Nabeel Jaimon"/>
    <s v="Direct Award"/>
    <d v="2018-03-15T00:00:00"/>
    <m/>
    <d v="2018-05-31T00:00:00"/>
    <n v="77"/>
  </r>
  <r>
    <s v="A417 Greenfield MDU"/>
    <s v="Sydney"/>
    <m/>
    <m/>
    <m/>
    <d v="2018-07-30T00:00:00"/>
    <m/>
    <m/>
    <m/>
    <m/>
    <m/>
    <s v="Jul-18"/>
    <x v="8"/>
    <s v="MW21898-AYCA-26KP9Q-2ROU-02-Caddies Boulevard &amp; White Hart Drive, Rouse Hill"/>
    <s v="Rouse Hill"/>
    <n v="2930.88"/>
    <m/>
    <n v="2930.88"/>
    <n v="3223.9680000000003"/>
    <m/>
    <m/>
    <n v="0"/>
    <n v="2930.88"/>
    <n v="1"/>
    <m/>
    <d v="2018-08-13T00:00:00"/>
    <m/>
    <s v="Ertan Cicek"/>
    <s v="Direct Award"/>
    <d v="2018-03-15T00:00:00"/>
    <m/>
    <d v="2018-03-26T00:00:00"/>
    <n v="11"/>
  </r>
  <r>
    <s v="A417 Greenfield MDU"/>
    <s v="Sydney"/>
    <s v="Inv 13695"/>
    <d v="2018-06-06T00:00:00"/>
    <d v="2018-05-14T00:00:00"/>
    <d v="2018-05-15T00:00:00"/>
    <d v="2018-05-18T00:00:00"/>
    <d v="2018-05-30T00:00:00"/>
    <d v="2018-05-29T00:00:00"/>
    <d v="2018-06-05T00:00:00"/>
    <m/>
    <s v="May-18"/>
    <x v="10"/>
    <s v="MW22047-AYCA-53E534-2LIV-12-25 Glenfield Rd, Glenfield  Ext"/>
    <s v="Glenfield"/>
    <n v="5800.45"/>
    <n v="-1002.48"/>
    <n v="4797.9699999999993"/>
    <n v="5277.7669999999998"/>
    <m/>
    <m/>
    <n v="0"/>
    <n v="4797.9699999999993"/>
    <n v="1"/>
    <m/>
    <d v="2018-05-29T00:00:00"/>
    <m/>
    <s v="Richard Huffadine"/>
    <s v="Direct Award"/>
    <d v="2018-03-15T00:00:00"/>
    <m/>
    <d v="2018-04-16T00:00:00"/>
    <n v="32"/>
  </r>
  <r>
    <s v="A417 Greenfield MDU"/>
    <s v="Sydney"/>
    <m/>
    <m/>
    <m/>
    <d v="2018-07-30T00:00:00"/>
    <m/>
    <m/>
    <m/>
    <m/>
    <m/>
    <s v="Jul-18"/>
    <x v="8"/>
    <s v="MW22055-AYCA-52ZO0L-2LID-04-32 Norval St Auburn   INT"/>
    <s v="Auburn"/>
    <n v="2800"/>
    <m/>
    <n v="2800"/>
    <n v="3080.0000000000005"/>
    <n v="1434.4"/>
    <m/>
    <n v="1434.4"/>
    <n v="1365.6"/>
    <n v="0.48771428571428566"/>
    <m/>
    <d v="2018-08-13T00:00:00"/>
    <m/>
    <s v="Ertan Cicek"/>
    <s v="Direct Award"/>
    <d v="2018-03-15T00:00:00"/>
    <m/>
    <d v="2018-04-30T00:00:00"/>
    <n v="46"/>
  </r>
  <r>
    <s v="A417 Greenfield MDU"/>
    <s v="Sydney"/>
    <s v="Inv 13613"/>
    <d v="2018-05-17T00:00:00"/>
    <d v="2018-04-09T00:00:00"/>
    <d v="2018-04-10T00:00:00"/>
    <d v="2018-04-12T00:00:00"/>
    <d v="2018-05-10T00:00:00"/>
    <d v="2018-04-23T00:00:00"/>
    <d v="2018-05-17T00:00:00"/>
    <m/>
    <s v="Apr-18"/>
    <x v="9"/>
    <s v="MW22017-AYCA-413V2N-2HOM-03-16 - 20 Smallwood Ave, Homebush"/>
    <s v="Homebush"/>
    <n v="1747.6"/>
    <n v="5475.6200000000008"/>
    <n v="7223.2200000000012"/>
    <n v="7945.5420000000022"/>
    <n v="4066.58"/>
    <m/>
    <n v="4066.58"/>
    <n v="3156.6400000000012"/>
    <n v="0.43701285576238863"/>
    <m/>
    <d v="2018-04-24T00:00:00"/>
    <m/>
    <s v="Ertan Cicek"/>
    <s v="Direct Award"/>
    <d v="2018-03-16T00:00:00"/>
    <m/>
    <d v="2018-04-09T00:00:00"/>
    <n v="24"/>
  </r>
  <r>
    <s v="A417 Greenfield MDU"/>
    <s v="Sydney"/>
    <s v="Inv 13614"/>
    <d v="2018-05-17T00:00:00"/>
    <d v="2018-04-17T00:00:00"/>
    <d v="2018-04-17T00:00:00"/>
    <d v="2018-04-26T00:00:00"/>
    <d v="2018-05-10T00:00:00"/>
    <d v="2018-04-30T00:00:00"/>
    <d v="2018-05-17T00:00:00"/>
    <m/>
    <s v="Apr-18"/>
    <x v="9"/>
    <s v="MW21966-AYCA-52950S-2BUR-65-147 - 153 Liverpool Rd, Burwood"/>
    <s v="Burwood"/>
    <n v="3770.14"/>
    <n v="8711"/>
    <n v="12481.14"/>
    <n v="13729.254000000001"/>
    <n v="9477.91"/>
    <m/>
    <n v="9477.91"/>
    <n v="3003.2299999999996"/>
    <n v="0.24062144964322166"/>
    <m/>
    <d v="2018-05-01T00:00:00"/>
    <m/>
    <s v="Ertan Cicek"/>
    <s v="Direct Award"/>
    <d v="2018-03-16T00:00:00"/>
    <m/>
    <d v="2018-04-05T00:00:00"/>
    <n v="20"/>
  </r>
  <r>
    <s v="A417 Greenfield MDU"/>
    <s v="Sydney"/>
    <s v="Inv 13684"/>
    <d v="2018-05-30T00:00:00"/>
    <d v="2018-04-09T00:00:00"/>
    <d v="2018-04-10T00:00:00"/>
    <d v="2018-04-12T00:00:00"/>
    <d v="2018-04-10T00:00:00"/>
    <d v="2018-05-24T00:00:00"/>
    <d v="2018-05-31T00:00:00"/>
    <m/>
    <s v="Apr-18"/>
    <x v="9"/>
    <s v="MW22037-AYCA-53063P-2LIV-03-23 Mayberry Cres, Liverpool"/>
    <s v="Liverpool"/>
    <n v="1129.8399999999999"/>
    <n v="2377.36"/>
    <n v="3507.2"/>
    <n v="3857.92"/>
    <m/>
    <m/>
    <n v="0"/>
    <n v="3507.2"/>
    <n v="1"/>
    <m/>
    <d v="2018-04-24T00:00:00"/>
    <m/>
    <s v="Ertan Cicek"/>
    <s v="Direct Award"/>
    <d v="2018-03-20T00:00:00"/>
    <m/>
    <d v="2018-04-16T00:00:00"/>
    <n v="27"/>
  </r>
  <r>
    <s v="A417 Greenfield MDU"/>
    <s v="Sydney"/>
    <s v="Inv 13683"/>
    <d v="2018-05-30T00:00:00"/>
    <d v="2018-05-03T00:00:00"/>
    <d v="2018-05-03T00:00:00"/>
    <d v="2018-05-10T00:00:00"/>
    <d v="2018-05-23T00:00:00"/>
    <d v="2018-05-16T00:00:00"/>
    <d v="2018-05-31T00:00:00"/>
    <m/>
    <s v="May-18"/>
    <x v="9"/>
    <s v="MW22057 - AYCA-4EOA07-2MIR-24 - 298-300 Taren Point Rd, Caringbah"/>
    <s v="Caringbah"/>
    <n v="1692.36"/>
    <n v="8088.39"/>
    <n v="9780.75"/>
    <n v="10758.825000000001"/>
    <n v="5968.17"/>
    <m/>
    <n v="5968.17"/>
    <n v="3812.58"/>
    <n v="0.38980446284794112"/>
    <m/>
    <d v="2018-05-17T00:00:00"/>
    <m/>
    <s v="Ertan Cicek"/>
    <s v="Direct Award"/>
    <d v="2018-03-19T00:00:00"/>
    <m/>
    <d v="2018-04-18T00:00:00"/>
    <n v="30"/>
  </r>
  <r>
    <s v="A417 Greenfield MDU"/>
    <s v="Sydney"/>
    <s v="Inv 13667"/>
    <d v="2018-06-12T00:00:00"/>
    <d v="2018-06-07T00:00:00"/>
    <d v="2018-06-07T00:00:00"/>
    <d v="2018-06-07T00:00:00"/>
    <d v="2018-06-21T00:00:00"/>
    <d v="2018-06-21T00:00:00"/>
    <d v="2018-06-28T00:00:00"/>
    <m/>
    <s v="Jun-18"/>
    <x v="10"/>
    <s v="MW22050-AYCA-53E534-2LIV-12-25 Glenfield Rd Glenfield Int"/>
    <s v="Glenfield"/>
    <n v="2640"/>
    <n v="512.55999999999995"/>
    <n v="3152.56"/>
    <n v="3467.8160000000003"/>
    <m/>
    <m/>
    <n v="0"/>
    <n v="3152.56"/>
    <n v="1"/>
    <m/>
    <d v="2018-06-21T00:00:00"/>
    <m/>
    <s v="Richard Huffadine"/>
    <s v="Direct Award"/>
    <d v="2018-03-21T00:00:00"/>
    <m/>
    <d v="2018-04-10T00:00:00"/>
    <n v="20"/>
  </r>
  <r>
    <s v="A417 Greenfield MDU"/>
    <s v="Sydney"/>
    <m/>
    <m/>
    <m/>
    <d v="2018-11-30T00:00:00"/>
    <m/>
    <m/>
    <m/>
    <m/>
    <m/>
    <s v="Nov-18"/>
    <x v="8"/>
    <s v="MW22071- AYCA-4M02LB -2UND-62-401-405 Illawarra Road, Marrickville "/>
    <s v="Marrickville"/>
    <n v="857.61"/>
    <m/>
    <n v="857.61"/>
    <n v="943.37100000000009"/>
    <m/>
    <m/>
    <n v="0"/>
    <n v="857.61"/>
    <n v="1"/>
    <m/>
    <d v="2018-12-14T00:00:00"/>
    <m/>
    <s v="Ertan Cicek"/>
    <s v="Direct Award"/>
    <d v="2018-03-21T00:00:00"/>
    <m/>
    <d v="2018-04-23T00:00:00"/>
    <n v="33"/>
  </r>
  <r>
    <s v="A417 Greenfield MDU"/>
    <s v="Sydney"/>
    <s v="Inv 13524"/>
    <d v="2018-04-19T00:00:00"/>
    <d v="2018-03-29T00:00:00"/>
    <d v="2018-03-29T00:00:00"/>
    <d v="2018-04-04T00:00:00"/>
    <d v="2018-04-13T00:00:00"/>
    <d v="2018-04-13T00:00:00"/>
    <d v="2018-04-27T00:00:00"/>
    <m/>
    <s v="Mar-18"/>
    <x v="14"/>
    <s v="MW21556  - AYCA-1XCONO -2NEW-22 - Ablin Erskineville Pty Ltd "/>
    <s v="Erskinville"/>
    <n v="1338.12"/>
    <n v="16376.49"/>
    <n v="17714.61"/>
    <n v="19486.071000000004"/>
    <n v="9951.76"/>
    <m/>
    <n v="9951.76"/>
    <n v="7762.85"/>
    <n v="0.43821738102052488"/>
    <m/>
    <d v="2018-04-12T00:00:00"/>
    <m/>
    <s v="Ertan Cicek"/>
    <s v="Direct Award"/>
    <d v="2017-12-21T00:00:00"/>
    <m/>
    <d v="2018-01-02T00:00:00"/>
    <n v="12"/>
  </r>
  <r>
    <s v="NBN Assurance Sydney"/>
    <s v="NSW"/>
    <s v="Inv 13410"/>
    <d v="2018-03-23T00:00:00"/>
    <d v="2018-03-16T00:00:00"/>
    <d v="2018-03-16T00:00:00"/>
    <m/>
    <m/>
    <m/>
    <d v="2018-05-01T00:00:00"/>
    <m/>
    <s v="Mar-18"/>
    <x v="9"/>
    <s v="MW22143 - INC000007228306 - 2 Lovelle St, Moss Vale, NSW"/>
    <s v="Moss Vale"/>
    <n v="6897.78"/>
    <m/>
    <n v="6897.78"/>
    <n v="7587.558"/>
    <n v="2849"/>
    <n v="441.4"/>
    <n v="3290.4"/>
    <n v="3607.3799999999997"/>
    <n v="0.52297695780381515"/>
    <m/>
    <d v="2018-03-30T00:00:00"/>
    <m/>
    <s v="Tony Gabriel"/>
    <m/>
    <m/>
    <m/>
    <m/>
    <m/>
  </r>
  <r>
    <s v="NBN Assurance Sydney"/>
    <s v="NSW"/>
    <s v="Inv 13415"/>
    <d v="2018-03-23T00:00:00"/>
    <d v="2018-03-07T00:00:00"/>
    <d v="2018-03-07T00:00:00"/>
    <m/>
    <m/>
    <m/>
    <d v="2018-05-01T00:00:00"/>
    <m/>
    <s v="Mar-18"/>
    <x v="9"/>
    <s v="MW22147 - INC000007076078 - Lot 10, 15 Moles Street, Albion Park,"/>
    <s v="Albion Park"/>
    <n v="3001.39"/>
    <m/>
    <n v="3001.39"/>
    <n v="3301.529"/>
    <n v="1295"/>
    <n v="154.49"/>
    <n v="1449.49"/>
    <n v="1551.8999999999999"/>
    <n v="0.51706042866805046"/>
    <m/>
    <d v="2018-03-21T00:00:00"/>
    <m/>
    <s v="Tony Gabriel"/>
    <m/>
    <m/>
    <m/>
    <m/>
    <m/>
  </r>
  <r>
    <s v="NBN Assurance Sydney"/>
    <s v="NSW"/>
    <s v="Inv 13411"/>
    <d v="2018-03-23T00:00:00"/>
    <d v="2018-03-19T00:00:00"/>
    <d v="2018-03-19T00:00:00"/>
    <m/>
    <m/>
    <m/>
    <d v="2018-05-01T00:00:00"/>
    <m/>
    <s v="Mar-18"/>
    <x v="9"/>
    <s v="MW22144 - INC000007333304 - Lot 16, 21 Foy Av, Medlow Bath"/>
    <s v="Medlow Bath"/>
    <n v="3575.87"/>
    <m/>
    <n v="3575.87"/>
    <n v="3933.4570000000003"/>
    <n v="140"/>
    <n v="1104.8699999999999"/>
    <n v="1244.8699999999999"/>
    <n v="2331"/>
    <n v="0.65186933529462765"/>
    <m/>
    <d v="2018-04-02T00:00:00"/>
    <m/>
    <s v="Tony Gabriel"/>
    <m/>
    <m/>
    <m/>
    <m/>
    <m/>
  </r>
  <r>
    <s v="NBN Assurance Sydney"/>
    <s v="NSW"/>
    <s v="Inv 13412"/>
    <d v="2018-03-23T00:00:00"/>
    <d v="2018-03-19T00:00:00"/>
    <d v="2018-03-19T00:00:00"/>
    <m/>
    <m/>
    <m/>
    <d v="2018-05-01T00:00:00"/>
    <m/>
    <s v="Mar-18"/>
    <x v="9"/>
    <s v="MW22146 - INC000007461059 - 27 Foy Av, Medlow Bath"/>
    <s v="Medlow Bath"/>
    <n v="1281.4000000000001"/>
    <m/>
    <n v="1281.4000000000001"/>
    <n v="1409.5400000000002"/>
    <m/>
    <n v="441.4"/>
    <n v="441.4"/>
    <n v="840.00000000000011"/>
    <n v="0.6555330107694709"/>
    <m/>
    <d v="2018-04-02T00:00:00"/>
    <m/>
    <s v="Tony Gabriel"/>
    <m/>
    <m/>
    <m/>
    <m/>
    <m/>
  </r>
  <r>
    <s v="NBN Assurance Sydney"/>
    <s v="NSW"/>
    <s v="Inv 13413"/>
    <d v="2018-03-23T00:00:00"/>
    <d v="2018-03-19T00:00:00"/>
    <d v="2018-03-19T00:00:00"/>
    <m/>
    <m/>
    <m/>
    <d v="2018-05-01T00:00:00"/>
    <m/>
    <s v="Mar-18"/>
    <x v="9"/>
    <s v="MW22145 - INC000007293986 - Lot 22, 33 Foy Av, Medlow Bath"/>
    <s v="Medlow Bath"/>
    <n v="1025.1199999999999"/>
    <m/>
    <n v="1025.1199999999999"/>
    <n v="1127.6320000000001"/>
    <m/>
    <n v="353.12"/>
    <n v="353.12"/>
    <n v="671.99999999999989"/>
    <n v="0.6555330107694709"/>
    <s v="Invoiced"/>
    <d v="2018-04-02T00:00:00"/>
    <s v="Completed and handover forwarded"/>
    <s v="Tony Gabriel"/>
    <m/>
    <m/>
    <m/>
    <m/>
    <m/>
  </r>
  <r>
    <s v="NBN Assurance Sydney"/>
    <s v="NSW"/>
    <s v="Inv 13419"/>
    <d v="2018-03-23T00:00:00"/>
    <d v="2018-03-19T00:00:00"/>
    <d v="2018-03-19T00:00:00"/>
    <m/>
    <m/>
    <m/>
    <d v="2018-05-01T00:00:00"/>
    <m/>
    <s v="Mar-18"/>
    <x v="9"/>
    <s v="MW22154 - INC000007271428 – Lot 12, 21 Sharwood Pl, Gerringong"/>
    <s v="Gerringong"/>
    <n v="6768.65"/>
    <m/>
    <n v="6768.65"/>
    <n v="7445.5150000000003"/>
    <n v="2849"/>
    <n v="308.98"/>
    <n v="3157.98"/>
    <n v="3610.6699999999996"/>
    <n v="0.53344019856249025"/>
    <m/>
    <d v="2018-04-02T00:00:00"/>
    <m/>
    <s v="Tony Gabriel"/>
    <m/>
    <m/>
    <m/>
    <m/>
    <m/>
  </r>
  <r>
    <s v="A417 Greenfield MDU"/>
    <s v="Sydney"/>
    <s v="Inv 13631"/>
    <d v="2018-05-22T00:00:00"/>
    <d v="2018-05-03T00:00:00"/>
    <d v="2018-05-03T00:00:00"/>
    <d v="2018-05-08T00:00:00"/>
    <d v="2018-05-14T00:00:00"/>
    <d v="2018-05-16T00:00:00"/>
    <d v="2018-05-22T00:00:00"/>
    <m/>
    <s v="May-18"/>
    <x v="9"/>
    <s v="MW22080-2QUA-02-AYCA-3I5VJ6-67 Dongola Circuit Schofields"/>
    <s v="Schofields"/>
    <n v="355.84"/>
    <n v="668.3599999999999"/>
    <n v="1024.1999999999998"/>
    <n v="1126.6199999999999"/>
    <m/>
    <m/>
    <n v="0"/>
    <n v="1024.1999999999998"/>
    <n v="1"/>
    <m/>
    <d v="2018-05-17T00:00:00"/>
    <m/>
    <s v="Ertan Cicek"/>
    <s v="Direct Award"/>
    <d v="2018-03-23T00:00:00"/>
    <m/>
    <d v="2018-05-01T00:00:00"/>
    <n v="39"/>
  </r>
  <r>
    <s v="NBN Assurance Sydney"/>
    <s v="NSW"/>
    <s v="Inv 13420"/>
    <d v="2018-03-26T00:00:00"/>
    <d v="2018-03-08T00:00:00"/>
    <d v="2018-03-08T00:00:00"/>
    <m/>
    <m/>
    <m/>
    <d v="2018-05-01T00:00:00"/>
    <m/>
    <s v="Mar-18"/>
    <x v="9"/>
    <s v="MW22152 - INC000007065260 - 33 Tumut St, Adelong, NSW"/>
    <s v="Adelong"/>
    <n v="3441.9114285714286"/>
    <m/>
    <n v="3441.9114285714286"/>
    <n v="3786.1025714285715"/>
    <n v="1559"/>
    <n v="925"/>
    <n v="2484"/>
    <n v="957.91142857142859"/>
    <n v="0.27830798335476387"/>
    <m/>
    <d v="2018-03-22T00:00:00"/>
    <m/>
    <s v="Tony Gabriel"/>
    <m/>
    <m/>
    <m/>
    <m/>
    <m/>
  </r>
  <r>
    <s v="NBN Assurance Sydney"/>
    <s v="NSW"/>
    <s v="Inv 13421"/>
    <d v="2018-03-26T00:00:00"/>
    <d v="2018-03-06T00:00:00"/>
    <d v="2018-03-06T00:00:00"/>
    <m/>
    <m/>
    <m/>
    <d v="2018-05-01T00:00:00"/>
    <m/>
    <s v="Mar-18"/>
    <x v="9"/>
    <s v="MW22153 - INC000007236006 - LOT 5, 19 RESTON GRA, BELLA VISTA"/>
    <s v="Bella Vista"/>
    <n v="512.55999999999995"/>
    <m/>
    <n v="512.55999999999995"/>
    <n v="563.81600000000003"/>
    <m/>
    <n v="176.56"/>
    <n v="176.56"/>
    <n v="335.99999999999994"/>
    <n v="0.6555330107694709"/>
    <m/>
    <d v="2018-03-20T00:00:00"/>
    <m/>
    <s v="Tony Gabriel"/>
    <m/>
    <m/>
    <m/>
    <m/>
    <m/>
  </r>
  <r>
    <s v="NBN Assurance Sydney"/>
    <s v="NSW"/>
    <s v="Inv 13435"/>
    <d v="2018-03-28T00:00:00"/>
    <d v="2018-03-08T00:00:00"/>
    <d v="2018-03-08T00:00:00"/>
    <m/>
    <m/>
    <m/>
    <d v="2018-05-15T00:00:00"/>
    <m/>
    <s v="Mar-18"/>
    <x v="9"/>
    <s v="MW22172 - INC000007232111 - Lot 224, 20 Elm St, Albion Park Rail, NSW"/>
    <s v="Albion Park"/>
    <n v="1151.28"/>
    <m/>
    <n v="1151.28"/>
    <n v="1266.4080000000001"/>
    <m/>
    <n v="205.7"/>
    <n v="205.7"/>
    <n v="945.57999999999993"/>
    <n v="0.82132930303662011"/>
    <m/>
    <d v="2018-03-22T00:00:00"/>
    <m/>
    <s v="Tony Gabriel"/>
    <m/>
    <m/>
    <m/>
    <m/>
    <m/>
  </r>
  <r>
    <s v="NBN Assurance Sydney"/>
    <s v="NSW"/>
    <s v="Inv 13422"/>
    <d v="2018-03-27T00:00:00"/>
    <d v="2018-03-15T00:00:00"/>
    <d v="2018-03-15T00:00:00"/>
    <m/>
    <m/>
    <m/>
    <d v="2018-05-17T00:00:00"/>
    <m/>
    <s v="Mar-18"/>
    <x v="9"/>
    <s v="MW22150 - INC000007302762- Lot 81, 70 Point St, Bulli"/>
    <s v="Bulli"/>
    <n v="2619.94"/>
    <m/>
    <n v="2619.94"/>
    <n v="2881.9340000000002"/>
    <n v="1036"/>
    <n v="126.18"/>
    <n v="1162.18"/>
    <n v="1457.76"/>
    <n v="0.55640968877149855"/>
    <m/>
    <d v="2018-03-29T00:00:00"/>
    <m/>
    <s v="Tony Gabriel"/>
    <m/>
    <m/>
    <m/>
    <m/>
    <m/>
  </r>
  <r>
    <s v="NBN Assurance Wagga"/>
    <s v="NSW"/>
    <s v="Inv 13423"/>
    <d v="2018-03-27T00:00:00"/>
    <d v="2018-03-22T00:00:00"/>
    <d v="2018-03-22T00:00:00"/>
    <m/>
    <m/>
    <m/>
    <d v="2018-05-01T00:00:00"/>
    <m/>
    <s v="Mar-18"/>
    <x v="9"/>
    <s v="MW22160 - INC000007219881 - Lot 165, 13 Poulton St, Ashmont, NSW"/>
    <s v="Ashmont"/>
    <n v="2501.66"/>
    <m/>
    <n v="2501.66"/>
    <n v="2751.826"/>
    <m/>
    <m/>
    <n v="0"/>
    <n v="2501.66"/>
    <n v="1"/>
    <m/>
    <d v="2018-04-05T00:00:00"/>
    <m/>
    <s v="Tony Gabriel"/>
    <m/>
    <m/>
    <m/>
    <m/>
    <m/>
  </r>
  <r>
    <s v="NBN Assurance Sydney"/>
    <s v="NSW"/>
    <s v="Inv 13424"/>
    <d v="2018-03-27T00:00:00"/>
    <d v="2018-03-02T00:00:00"/>
    <d v="2018-03-02T00:00:00"/>
    <m/>
    <m/>
    <m/>
    <d v="2018-05-01T00:00:00"/>
    <m/>
    <s v="Mar-18"/>
    <x v="9"/>
    <s v="MW22161 - INC000007088104 - Lot 1823, 4 Englorie Park Drive, Glen Alpine"/>
    <s v="Glen Alpine"/>
    <n v="512.55999999999995"/>
    <m/>
    <n v="512.55999999999995"/>
    <n v="563.81600000000003"/>
    <m/>
    <n v="176.56"/>
    <n v="176.56"/>
    <n v="335.99999999999994"/>
    <n v="0.6555330107694709"/>
    <m/>
    <d v="2018-03-16T00:00:00"/>
    <m/>
    <s v="Tony Gabriel"/>
    <m/>
    <m/>
    <m/>
    <m/>
    <m/>
  </r>
  <r>
    <s v="NBN Assurance Sydney"/>
    <s v="NSW"/>
    <s v="Inv 13425"/>
    <d v="2018-03-27T00:00:00"/>
    <d v="2018-03-09T00:00:00"/>
    <d v="2018-03-09T00:00:00"/>
    <m/>
    <m/>
    <m/>
    <d v="2018-05-01T00:00:00"/>
    <m/>
    <s v="Mar-18"/>
    <x v="9"/>
    <s v="MW22162 - INC000007200382 - UNIT 2, 33 VILLAWOOD PL, VILLAWOOD"/>
    <s v="Villawood"/>
    <n v="384.42"/>
    <m/>
    <n v="384.42"/>
    <n v="422.86200000000008"/>
    <m/>
    <n v="132.42000000000002"/>
    <n v="132.42000000000002"/>
    <n v="252"/>
    <n v="0.6555330107694709"/>
    <m/>
    <d v="2018-03-23T00:00:00"/>
    <m/>
    <s v="Tony Gabriel"/>
    <m/>
    <m/>
    <m/>
    <m/>
    <m/>
  </r>
  <r>
    <s v="NBN Assurance Sydney"/>
    <s v="NSW"/>
    <s v="Inv 13426"/>
    <d v="2018-03-27T00:00:00"/>
    <d v="2018-03-16T00:00:00"/>
    <d v="2018-03-16T00:00:00"/>
    <m/>
    <m/>
    <m/>
    <d v="2018-03-01T00:00:00"/>
    <m/>
    <s v="Mar-18"/>
    <x v="2"/>
    <s v="MW22173 - INC000007474012 –  LOT 122, 44 BALMORAL RD, LEURA"/>
    <s v="Leura"/>
    <n v="256.27999999999997"/>
    <m/>
    <n v="256.27999999999997"/>
    <n v="281.90800000000002"/>
    <m/>
    <n v="88.28"/>
    <n v="88.28"/>
    <n v="167.99999999999997"/>
    <n v="0.6555330107694709"/>
    <m/>
    <d v="2018-03-30T00:00:00"/>
    <m/>
    <s v="Tony Gabriel"/>
    <m/>
    <m/>
    <m/>
    <m/>
    <m/>
  </r>
  <r>
    <s v="A417 Greenfield MDU"/>
    <s v="Sydney"/>
    <s v="Inv 13511"/>
    <d v="2018-04-19T00:00:00"/>
    <d v="2018-03-29T00:00:00"/>
    <d v="2018-03-29T00:00:00"/>
    <d v="2018-03-29T00:00:00"/>
    <m/>
    <d v="2018-04-13T00:00:00"/>
    <d v="2018-04-27T00:00:00"/>
    <m/>
    <s v="Mar-18"/>
    <x v="14"/>
    <s v="MW21919 - AYCA-35Q2VE-2KEL-07-9 Fairway Drive, Kellyville"/>
    <s v="Kellyville"/>
    <n v="8288.41"/>
    <n v="-772.02"/>
    <n v="7516.3899999999994"/>
    <n v="8268.0290000000005"/>
    <n v="4736.21"/>
    <m/>
    <n v="4736.21"/>
    <n v="2780.1799999999994"/>
    <n v="0.36988235043684531"/>
    <m/>
    <d v="2018-04-12T00:00:00"/>
    <m/>
    <s v="Sogand Mohtat"/>
    <s v="Direct Award"/>
    <d v="2018-02-20T00:00:00"/>
    <m/>
    <d v="2018-03-22T00:00:00"/>
    <n v="30"/>
  </r>
  <r>
    <s v="NBN Assurance Sydney"/>
    <s v="NSW"/>
    <s v="Inv 13427"/>
    <d v="2018-03-27T00:00:00"/>
    <d v="2018-03-13T00:00:00"/>
    <d v="2018-03-13T00:00:00"/>
    <m/>
    <m/>
    <m/>
    <d v="2018-05-01T00:00:00"/>
    <m/>
    <s v="Mar-18"/>
    <x v="9"/>
    <s v="MW22163 - INC000007246715- LOT 2020, 1106 WINDSOR RD, RIVERSTONE"/>
    <s v="Riverstone"/>
    <n v="961.05"/>
    <m/>
    <n v="961.05"/>
    <n v="1057.155"/>
    <m/>
    <n v="315.45000000000005"/>
    <n v="315.45000000000005"/>
    <n v="645.59999999999991"/>
    <n v="0.6717652567504292"/>
    <m/>
    <d v="2018-03-27T00:00:00"/>
    <m/>
    <s v="Tony Gabriel"/>
    <m/>
    <m/>
    <m/>
    <m/>
    <m/>
  </r>
  <r>
    <s v="A417 Greenfield MDU"/>
    <s v="West NSW"/>
    <s v="Inv 13630"/>
    <d v="2018-05-22T00:00:00"/>
    <d v="2018-04-27T00:00:00"/>
    <d v="2018-04-30T00:00:00"/>
    <d v="2018-05-03T00:00:00"/>
    <d v="2018-05-15T00:00:00"/>
    <d v="2018-05-09T00:00:00"/>
    <d v="2018-05-22T00:00:00"/>
    <m/>
    <s v="Apr-18"/>
    <x v="9"/>
    <s v="MW22065-AYCA-4FM8T4-2DBB-01-1L Hennessy Dr Drive Dubbo"/>
    <s v="Dubbo"/>
    <n v="1316.17"/>
    <n v="2965.92"/>
    <n v="4282.09"/>
    <n v="4710.2990000000009"/>
    <m/>
    <m/>
    <n v="0"/>
    <n v="4282.09"/>
    <n v="1"/>
    <m/>
    <d v="2018-05-14T00:00:00"/>
    <m/>
    <s v="Ertan Cicek"/>
    <s v="Direct Award"/>
    <d v="2018-03-27T00:00:00"/>
    <m/>
    <d v="2018-04-30T00:00:00"/>
    <n v="34"/>
  </r>
  <r>
    <s v="NBN Assurance Wagga"/>
    <s v="NSW"/>
    <s v="Inv 13430"/>
    <d v="2018-03-27T00:00:00"/>
    <d v="2018-02-27T00:00:00"/>
    <d v="2018-02-27T00:00:00"/>
    <m/>
    <m/>
    <m/>
    <d v="2018-05-01T00:00:00"/>
    <m/>
    <s v="Feb-18"/>
    <x v="9"/>
    <s v="MW22159 - INC000007129251 - 169 Palm Avenue, Leeton"/>
    <s v="Leeton"/>
    <n v="512.55999999999995"/>
    <m/>
    <n v="512.55999999999995"/>
    <n v="563.81600000000003"/>
    <m/>
    <n v="200"/>
    <n v="200"/>
    <n v="312.55999999999995"/>
    <n v="0.60980177930388635"/>
    <m/>
    <d v="2018-03-13T00:00:00"/>
    <m/>
    <s v="Tony Gabriel"/>
    <m/>
    <m/>
    <m/>
    <m/>
    <m/>
  </r>
  <r>
    <s v="NBN Assurance Wagga"/>
    <s v="NSW"/>
    <s v="Inv 13428"/>
    <d v="2018-03-27T00:00:00"/>
    <d v="2018-03-19T00:00:00"/>
    <d v="2018-03-19T00:00:00"/>
    <m/>
    <m/>
    <m/>
    <d v="2018-05-01T00:00:00"/>
    <m/>
    <s v="Mar-18"/>
    <x v="9"/>
    <s v="MW22164 - INC000007300655 - Lot 331, 23 Adams St, Ashmont"/>
    <s v="Ashmont"/>
    <n v="128.13999999999999"/>
    <m/>
    <n v="128.13999999999999"/>
    <n v="140.95400000000001"/>
    <m/>
    <n v="50"/>
    <n v="50"/>
    <n v="78.139999999999986"/>
    <n v="0.60980177930388635"/>
    <m/>
    <d v="2018-04-02T00:00:00"/>
    <m/>
    <s v="Tony Gabriel"/>
    <m/>
    <m/>
    <m/>
    <m/>
    <m/>
  </r>
  <r>
    <s v="NBN Assurance Wagga"/>
    <s v="NSW"/>
    <s v="Inv 13429"/>
    <d v="2018-03-27T00:00:00"/>
    <d v="2018-03-21T00:00:00"/>
    <d v="2018-03-21T00:00:00"/>
    <m/>
    <m/>
    <m/>
    <d v="2018-06-07T00:00:00"/>
    <m/>
    <s v="Mar-18"/>
    <x v="10"/>
    <s v="MW22116 - INC000007403862 –  49 RACECOURSE RD, ORANGE"/>
    <s v="Orange"/>
    <n v="5297.0749999999998"/>
    <m/>
    <n v="5297.0749999999998"/>
    <n v="5826.7825000000003"/>
    <n v="1496"/>
    <n v="580.82999999999993"/>
    <n v="2076.83"/>
    <n v="3220.2449999999999"/>
    <n v="0.60792890415937095"/>
    <m/>
    <d v="2018-04-04T00:00:00"/>
    <m/>
    <s v="Tony Gabriel"/>
    <m/>
    <m/>
    <m/>
    <m/>
    <m/>
  </r>
  <r>
    <s v="A417 Greenfield MDU"/>
    <s v="Sydney"/>
    <m/>
    <m/>
    <m/>
    <d v="2018-11-30T00:00:00"/>
    <m/>
    <m/>
    <m/>
    <m/>
    <m/>
    <s v="Nov-18"/>
    <x v="8"/>
    <s v="MW22094-AYCA-4LM7HH-2UND-61-590-602 New Canterbury Rd, Hurlstone Park"/>
    <s v="Hurlestone Park"/>
    <n v="2574.5100000000002"/>
    <m/>
    <n v="2574.5100000000002"/>
    <n v="2831.9610000000007"/>
    <m/>
    <m/>
    <n v="0"/>
    <n v="2574.5100000000002"/>
    <n v="1"/>
    <m/>
    <d v="2018-12-14T00:00:00"/>
    <m/>
    <s v="Ertan Cicek"/>
    <s v="Direct Award"/>
    <d v="2018-03-28T00:00:00"/>
    <m/>
    <d v="2018-04-24T00:00:00"/>
    <n v="27"/>
  </r>
  <r>
    <s v="A417 Greenfield MDU"/>
    <s v="Sydney"/>
    <s v="Inv 13462"/>
    <d v="2018-04-05T00:00:00"/>
    <d v="2018-03-13T00:00:00"/>
    <d v="2018-03-13T00:00:00"/>
    <d v="2018-03-14T00:00:00"/>
    <d v="2018-03-26T00:00:00"/>
    <d v="2018-03-28T00:00:00"/>
    <d v="2018-04-05T00:00:00"/>
    <s v="Jun-18"/>
    <s v="Mar-18"/>
    <x v="14"/>
    <s v="MW21923 - AYCA-4AOOM9 - 2NRN-01 - 12-13 SPRINGS RD, SPRING FARM"/>
    <s v="Spring Farm"/>
    <n v="1516.19"/>
    <n v="1033.57"/>
    <n v="2549.7600000000002"/>
    <n v="2804.7360000000003"/>
    <m/>
    <m/>
    <n v="0"/>
    <n v="2549.7600000000002"/>
    <n v="1"/>
    <m/>
    <d v="2018-03-27T00:00:00"/>
    <m/>
    <s v="Andrew Mahassy"/>
    <s v="Direct Award"/>
    <d v="2018-02-20T00:00:00"/>
    <m/>
    <d v="2018-03-28T00:00:00"/>
    <n v="36"/>
  </r>
  <r>
    <s v="A417 Greenfield MDU"/>
    <s v="Sydney"/>
    <m/>
    <m/>
    <m/>
    <d v="2018-07-30T00:00:00"/>
    <m/>
    <m/>
    <m/>
    <m/>
    <m/>
    <s v="Jul-18"/>
    <x v="8"/>
    <s v="MW22096-AYCA-3W384B-2HOR-62-433-437 Pacific Highway, Asquith "/>
    <s v="Asquith"/>
    <n v="1358.92"/>
    <m/>
    <n v="1358.92"/>
    <n v="1494.8120000000001"/>
    <m/>
    <m/>
    <n v="0"/>
    <n v="1358.92"/>
    <n v="1"/>
    <m/>
    <d v="2018-08-13T00:00:00"/>
    <m/>
    <s v="Ertan Cicek"/>
    <s v="Direct Award"/>
    <d v="2018-03-28T00:00:00"/>
    <m/>
    <d v="2018-04-24T00:00:00"/>
    <n v="27"/>
  </r>
  <r>
    <s v="A417 Greenfield MDU"/>
    <s v="Sydney"/>
    <m/>
    <m/>
    <m/>
    <d v="2018-07-30T00:00:00"/>
    <m/>
    <m/>
    <m/>
    <m/>
    <m/>
    <s v="Jul-18"/>
    <x v="8"/>
    <s v="MW22095-AYCA-4H8EZO- 2HUH-22-117-123 Victoria Rd, Gladesville"/>
    <s v="Gladesville"/>
    <n v="1828.86"/>
    <m/>
    <n v="1828.86"/>
    <n v="2011.7460000000001"/>
    <m/>
    <m/>
    <n v="0"/>
    <n v="1828.86"/>
    <n v="1"/>
    <m/>
    <d v="2018-08-13T00:00:00"/>
    <m/>
    <s v="Ertan Cicek"/>
    <s v="Direct Award"/>
    <d v="2018-03-29T00:00:00"/>
    <m/>
    <d v="2018-04-24T00:00:00"/>
    <n v="26"/>
  </r>
  <r>
    <s v="A401/Greenfield"/>
    <s v="Newcastle"/>
    <s v="Inv 13671"/>
    <d v="2018-05-28T00:00:00"/>
    <d v="2018-04-30T00:00:00"/>
    <d v="2018-04-30T00:00:00"/>
    <d v="2018-05-01T00:00:00"/>
    <d v="2018-05-07T00:00:00"/>
    <d v="2018-05-10T00:00:00"/>
    <d v="2018-05-29T00:00:00"/>
    <m/>
    <s v="Apr-18"/>
    <x v="9"/>
    <s v="MW22098-AYCA-4RWURH-2CES-02-147 Mathieson Street Bellbird Heights "/>
    <s v="Bellbird Heights"/>
    <n v="5003.75"/>
    <n v="10131.1"/>
    <n v="15134.85"/>
    <n v="16648.335000000003"/>
    <m/>
    <m/>
    <n v="0"/>
    <n v="15134.85"/>
    <n v="1"/>
    <m/>
    <d v="2018-05-14T00:00:00"/>
    <m/>
    <s v="Dave Yoemans"/>
    <d v="2018-03-28T00:00:00"/>
    <d v="2018-03-29T00:00:00"/>
    <n v="1"/>
    <d v="2018-05-08T00:00:00"/>
    <n v="40"/>
  </r>
  <r>
    <s v="A417 Greenfield MDU"/>
    <s v="Sydney"/>
    <m/>
    <s v=" "/>
    <m/>
    <d v="2018-07-30T00:00:00"/>
    <m/>
    <m/>
    <m/>
    <m/>
    <m/>
    <s v="Jul-18"/>
    <x v="8"/>
    <s v="MW22093-AYCA-4RGB2W-2EAS-62-111-139 Darlinghurst Rd, Potts Point"/>
    <s v="Potts Point"/>
    <n v="1428.48"/>
    <m/>
    <n v="1428.48"/>
    <n v="1571.3280000000002"/>
    <n v="6326.5"/>
    <n v="451.59774999999996"/>
    <n v="6778.0977499999999"/>
    <n v="-5349.6177499999994"/>
    <n v="-3.7449721032146055"/>
    <m/>
    <d v="2018-08-13T00:00:00"/>
    <m/>
    <s v="Ertan Cicek"/>
    <s v="Direct Award"/>
    <d v="2018-03-29T00:00:00"/>
    <m/>
    <d v="2018-04-24T00:00:00"/>
    <n v="26"/>
  </r>
  <r>
    <s v="A417 Greenfield MDU"/>
    <s v="Sydney"/>
    <s v="Inv 13696"/>
    <d v="2018-06-06T00:00:00"/>
    <d v="2018-05-14T00:00:00"/>
    <d v="2018-05-15T00:00:00"/>
    <d v="2018-05-18T00:00:00"/>
    <d v="2018-05-25T00:00:00"/>
    <d v="2018-05-29T00:00:00"/>
    <d v="2018-06-05T00:00:00"/>
    <m/>
    <s v="May-18"/>
    <x v="10"/>
    <s v="MW22104-AYCA-4DRN0U-2BRG-03-182 Raby Road Gledswood Hills"/>
    <s v="Gledswood Hills"/>
    <n v="69.16"/>
    <n v="524.41999999999996"/>
    <n v="593.57999999999993"/>
    <n v="652.93799999999999"/>
    <m/>
    <m/>
    <n v="0"/>
    <n v="593.57999999999993"/>
    <n v="1"/>
    <m/>
    <d v="2018-05-29T00:00:00"/>
    <m/>
    <s v="Ertan Cicek"/>
    <s v="Direct Award"/>
    <d v="2018-04-04T00:00:00"/>
    <m/>
    <d v="2018-05-16T00:00:00"/>
    <n v="42"/>
  </r>
  <r>
    <s v="A417 Greenfield MDU"/>
    <s v="Sydney"/>
    <s v="Inv 13585"/>
    <d v="2018-05-10T00:00:00"/>
    <d v="2018-04-13T00:00:00"/>
    <d v="2018-04-13T00:00:00"/>
    <m/>
    <m/>
    <d v="2018-04-27T00:00:00"/>
    <d v="2018-05-03T00:00:00"/>
    <m/>
    <s v="Apr-18"/>
    <x v="9"/>
    <s v="MW22106-AYCA-4QKWZ8-2RIV-02-Queensbury Street - 2 Schofields"/>
    <s v="Schofields"/>
    <n v="1088.03"/>
    <m/>
    <n v="1088.03"/>
    <n v="1196.8330000000001"/>
    <m/>
    <m/>
    <n v="0"/>
    <n v="1088.03"/>
    <n v="1"/>
    <m/>
    <d v="2018-04-27T00:00:00"/>
    <m/>
    <s v="Ertan Cicek"/>
    <s v="Direct Award"/>
    <d v="2018-04-04T00:00:00"/>
    <m/>
    <d v="2018-05-11T00:00:00"/>
    <n v="37"/>
  </r>
  <r>
    <s v="A417 Greenfield MDU"/>
    <s v="Sydney"/>
    <s v="Inv 13686"/>
    <d v="2018-05-30T00:00:00"/>
    <d v="2018-04-23T00:00:00"/>
    <d v="2018-04-24T00:00:00"/>
    <d v="2018-05-18T00:00:00"/>
    <d v="2028-05-24T00:00:00"/>
    <d v="2018-05-04T00:00:00"/>
    <d v="2018-05-31T00:00:00"/>
    <m/>
    <s v="Apr-18"/>
    <x v="9"/>
    <s v="MW22105-AYCA-48L8EZ-2MIL-01-27 Tugela Rise Edmondson Park"/>
    <s v="Edmondson Park"/>
    <n v="4554.4399999999996"/>
    <n v="3756.7400000000002"/>
    <n v="8311.18"/>
    <n v="9142.2980000000007"/>
    <m/>
    <m/>
    <n v="0"/>
    <n v="8311.18"/>
    <n v="1"/>
    <m/>
    <d v="2018-05-08T00:00:00"/>
    <m/>
    <s v="Andrew Mahassy"/>
    <s v="Direct Award"/>
    <d v="2018-04-04T00:00:00"/>
    <m/>
    <d v="2018-05-11T00:00:00"/>
    <n v="37"/>
  </r>
  <r>
    <s v="A417 Greenfield MDU"/>
    <s v="Sydney"/>
    <s v="Inv 13592"/>
    <d v="2018-06-21T00:00:00"/>
    <d v="2018-06-01T00:00:00"/>
    <d v="2018-06-01T00:00:00"/>
    <d v="2018-06-01T00:00:00"/>
    <d v="2018-06-05T00:00:00"/>
    <d v="2018-06-14T00:00:00"/>
    <d v="2018-06-22T00:00:00"/>
    <m/>
    <s v="Jun-18"/>
    <x v="10"/>
    <s v="MW22200-AYCA-213H8O-2DAP-01-1 Wongawilli Road Wongawilli The Grove- Stage 4"/>
    <s v="Wongawilli"/>
    <n v="110.88"/>
    <n v="544.41999999999996"/>
    <n v="655.29999999999995"/>
    <n v="720.83"/>
    <m/>
    <m/>
    <n v="0"/>
    <n v="655.29999999999995"/>
    <n v="1"/>
    <m/>
    <d v="2018-06-15T00:00:00"/>
    <m/>
    <s v="Ertan Cicek"/>
    <s v="Direct Award"/>
    <d v="2018-04-10T00:00:00"/>
    <m/>
    <d v="2018-05-18T00:00:00"/>
    <n v="38"/>
  </r>
  <r>
    <s v="A401/Greenfield"/>
    <s v="West NSW"/>
    <s v="Inv 13742"/>
    <d v="2018-06-13T00:00:00"/>
    <d v="2018-05-23T00:00:00"/>
    <d v="2018-05-23T00:00:00"/>
    <d v="2018-05-23T00:00:00"/>
    <d v="2018-05-31T00:00:00"/>
    <d v="2018-06-06T00:00:00"/>
    <d v="2018-06-20T00:00:00"/>
    <m/>
    <s v="May-18"/>
    <x v="10"/>
    <s v="MW22196 - AYCA-4VVND3 - 2ORG-01 - 258 CLERGATE RD, ORANGE"/>
    <s v="Orange"/>
    <n v="6657.74"/>
    <n v="4284.1550857142856"/>
    <n v="10941.895085714285"/>
    <n v="12036.084594285714"/>
    <n v="8266.83"/>
    <m/>
    <n v="8266.83"/>
    <n v="2675.0650857142846"/>
    <n v="0.24447913864636153"/>
    <m/>
    <d v="2018-06-06T00:00:00"/>
    <m/>
    <s v="Dave Yoemans"/>
    <d v="2018-04-11T00:00:00"/>
    <d v="2018-04-16T00:00:00"/>
    <n v="5"/>
    <d v="2018-06-08T00:00:00"/>
    <n v="53"/>
  </r>
  <r>
    <s v="A417 Greenfield MDU"/>
    <s v="Sydney"/>
    <s v="Inv 13848"/>
    <d v="2018-07-06T00:00:00"/>
    <d v="2018-06-19T00:00:00"/>
    <d v="2018-06-19T00:00:00"/>
    <d v="2018-06-19T00:00:00"/>
    <d v="2018-06-25T00:00:00"/>
    <d v="2018-07-03T00:00:00"/>
    <d v="2018-07-10T00:00:00"/>
    <m/>
    <s v="Jun-18"/>
    <x v="15"/>
    <s v="MW22177-AYCA-54QSHT-2MIL-20-42A Kurrajong Rd Prestons "/>
    <s v="Prestons"/>
    <n v="285.60000000000002"/>
    <n v="512.55999999999995"/>
    <n v="798.16"/>
    <n v="877.976"/>
    <m/>
    <m/>
    <n v="0"/>
    <n v="798.16"/>
    <n v="1"/>
    <m/>
    <d v="2018-07-03T00:00:00"/>
    <m/>
    <s v="Nabeel Jaimon"/>
    <s v="Direct Award"/>
    <d v="2018-04-11T00:00:00"/>
    <m/>
    <d v="2018-05-20T00:00:00"/>
    <n v="39"/>
  </r>
  <r>
    <s v="A417 Greenfield MDU"/>
    <s v="Sydney"/>
    <s v="Inv 13638"/>
    <d v="2018-05-22T00:00:00"/>
    <d v="2018-05-07T00:00:00"/>
    <d v="2018-05-07T00:00:00"/>
    <m/>
    <m/>
    <d v="2018-05-17T00:00:00"/>
    <d v="2018-05-22T00:00:00"/>
    <m/>
    <s v="May-18"/>
    <x v="9"/>
    <s v="MW22203-AYCA-2LIFV6-2ROU-02-4 Stringer Rd Kellyville"/>
    <s v="Kellyville"/>
    <n v="1784.38"/>
    <m/>
    <n v="1784.38"/>
    <n v="1962.8180000000002"/>
    <m/>
    <m/>
    <n v="0"/>
    <n v="1784.38"/>
    <n v="1"/>
    <m/>
    <d v="2018-05-21T00:00:00"/>
    <m/>
    <s v="Ertan Cicek"/>
    <s v="Direct Award"/>
    <d v="2018-04-12T00:00:00"/>
    <m/>
    <d v="2018-05-30T00:00:00"/>
    <n v="48"/>
  </r>
  <r>
    <s v="A401/Greenfield"/>
    <s v="Sydney"/>
    <s v="Inv 13634"/>
    <d v="2018-05-22T00:00:00"/>
    <d v="2018-05-03T00:00:00"/>
    <d v="2018-05-03T00:00:00"/>
    <m/>
    <m/>
    <d v="2018-05-17T00:00:00"/>
    <d v="2018-05-22T00:00:00"/>
    <m/>
    <s v="May-18"/>
    <x v="9"/>
    <s v="MW22183-AYCA-55F4KR-2REV-20-15 Fitzpatrick St, Revesby"/>
    <s v="Revesby"/>
    <n v="3090.06"/>
    <m/>
    <n v="3090.06"/>
    <n v="3399.0660000000003"/>
    <m/>
    <n v="380.18274999999994"/>
    <n v="380.18274999999994"/>
    <n v="2709.87725"/>
    <n v="0.87696590033850474"/>
    <m/>
    <d v="2018-05-17T00:00:00"/>
    <m/>
    <s v="Ertan Cicek"/>
    <d v="2018-04-10T00:00:00"/>
    <d v="2018-04-13T00:00:00"/>
    <n v="3"/>
    <d v="2018-06-08T00:00:00"/>
    <n v="56"/>
  </r>
  <r>
    <s v="A401/Greenfield"/>
    <s v="Sth Coast"/>
    <s v="Inv 13664"/>
    <d v="2018-05-24T00:00:00"/>
    <d v="2018-05-07T00:00:00"/>
    <d v="2018-05-07T00:00:00"/>
    <d v="2018-05-08T00:00:00"/>
    <d v="2018-05-14T00:00:00"/>
    <d v="2018-05-17T00:00:00"/>
    <d v="2018-05-24T00:00:00"/>
    <m/>
    <s v="May-18"/>
    <x v="9"/>
    <s v="MW22171-AYCA-54VFA3-2COR-02- 50 Squires Cres Coledale"/>
    <s v="Coledale"/>
    <n v="6788.96"/>
    <n v="3392.1154285714283"/>
    <n v="10181.075428571428"/>
    <n v="11199.182971428572"/>
    <n v="2366.54"/>
    <m/>
    <n v="2366.54"/>
    <n v="7814.5354285714284"/>
    <n v="0.76755500766071194"/>
    <m/>
    <d v="2018-05-21T00:00:00"/>
    <m/>
    <s v="Sogand Mohtat"/>
    <d v="2018-04-10T00:00:00"/>
    <d v="2018-04-13T00:00:00"/>
    <n v="3"/>
    <d v="2018-05-11T00:00:00"/>
    <n v="28"/>
  </r>
  <r>
    <s v="A401/Greenfield"/>
    <s v="Sydney"/>
    <s v="Inv 13714"/>
    <d v="2018-06-14T00:00:00"/>
    <d v="2018-05-21T00:00:00"/>
    <d v="2018-05-21T00:00:00"/>
    <d v="2018-05-22T00:00:00"/>
    <d v="2018-05-30T00:00:00"/>
    <d v="2018-05-31T00:00:00"/>
    <d v="2018-06-07T00:00:00"/>
    <m/>
    <s v="May-18"/>
    <x v="10"/>
    <s v="MW22186 - AYCA-3L48XJ - 2CAS-23 - 2 Anella Avenue Castle Hill "/>
    <s v="Castle Hill"/>
    <n v="4057.47"/>
    <n v="3402.18"/>
    <n v="7459.65"/>
    <n v="8205.6149999999998"/>
    <m/>
    <n v="1200.0607499999999"/>
    <n v="1200.0607499999999"/>
    <n v="6259.58925"/>
    <n v="0.83912640003217309"/>
    <m/>
    <d v="2018-06-04T00:00:00"/>
    <m/>
    <s v="Ertan Cicek"/>
    <d v="2018-04-10T00:00:00"/>
    <d v="2018-04-13T00:00:00"/>
    <n v="3"/>
    <d v="2018-05-11T00:00:00"/>
    <n v="28"/>
  </r>
  <r>
    <s v="A417 Greenfield MDU"/>
    <s v="Sydney"/>
    <s v="Inv 13849"/>
    <d v="2018-07-06T00:00:00"/>
    <d v="2018-06-18T00:00:00"/>
    <d v="2018-06-18T00:00:00"/>
    <d v="2018-06-18T00:00:00"/>
    <d v="2018-07-02T00:00:00"/>
    <d v="2018-07-02T00:00:00"/>
    <d v="2018-07-10T00:00:00"/>
    <m/>
    <s v="Jun-18"/>
    <x v="15"/>
    <s v="MW22195 - AYCA-4SOX62-2LIV-03- 186 Moore St Liverpool"/>
    <s v="Liverpool"/>
    <n v="1382.92"/>
    <n v="5222.21"/>
    <n v="6605.13"/>
    <n v="7265.6430000000009"/>
    <n v="3074"/>
    <m/>
    <n v="3074"/>
    <n v="3531.13"/>
    <n v="0.53460416373334063"/>
    <m/>
    <d v="2018-07-02T00:00:00"/>
    <m/>
    <s v="Ertan Cicek"/>
    <s v="Direct Award"/>
    <d v="2018-04-16T00:00:00"/>
    <m/>
    <d v="2018-06-16T00:00:00"/>
    <n v="61"/>
  </r>
  <r>
    <s v="A417 Greenfield MDU"/>
    <s v="Sydney"/>
    <m/>
    <m/>
    <m/>
    <d v="2018-07-30T00:00:00"/>
    <m/>
    <m/>
    <m/>
    <m/>
    <m/>
    <s v="Jul-18"/>
    <x v="8"/>
    <s v="MW21878-AYCA-2Q0B3G-2PAR-63-148-150 Great Western Hwy, Westmead"/>
    <s v="Westmead"/>
    <n v="1061.6500000000001"/>
    <m/>
    <n v="1061.6500000000001"/>
    <n v="1167.8150000000003"/>
    <m/>
    <m/>
    <n v="0"/>
    <n v="1061.6500000000001"/>
    <n v="1"/>
    <m/>
    <d v="2018-08-13T00:00:00"/>
    <m/>
    <s v="Ertan Cicek"/>
    <s v="Direct Award"/>
    <d v="2018-04-16T00:00:00"/>
    <m/>
    <d v="2018-05-30T00:00:00"/>
    <n v="44"/>
  </r>
  <r>
    <s v="A417 Greenfield MDU"/>
    <s v="Sydney"/>
    <s v="Inv 13715"/>
    <d v="2018-06-14T00:00:00"/>
    <d v="2018-05-04T00:00:00"/>
    <d v="2018-05-07T00:00:00"/>
    <d v="2018-05-08T00:00:00"/>
    <d v="2018-05-09T00:00:00"/>
    <d v="2018-05-17T00:00:00"/>
    <d v="2018-06-07T00:00:00"/>
    <m/>
    <s v="May-18"/>
    <x v="10"/>
    <s v="MW22223-AYCA-4S0RD5-2RIV-03-14 Argowan Rd Schofields"/>
    <s v="Schofields"/>
    <n v="13978.73"/>
    <n v="-6944.3819999999796"/>
    <n v="7034.34800000002"/>
    <n v="7737.7828000000227"/>
    <n v="3157.04"/>
    <m/>
    <n v="3157.04"/>
    <n v="3877.30800000002"/>
    <n v="0.55119650037217505"/>
    <m/>
    <d v="2018-05-21T00:00:00"/>
    <m/>
    <s v="Ertan Cicek"/>
    <s v="Direct Award"/>
    <d v="2018-04-16T00:00:00"/>
    <m/>
    <d v="2018-05-17T00:00:00"/>
    <n v="31"/>
  </r>
  <r>
    <s v="A401/Greenfield"/>
    <s v="Sydney"/>
    <s v="Inv 13738"/>
    <d v="2018-06-20T00:00:00"/>
    <d v="2018-05-18T00:00:00"/>
    <d v="2018-05-21T00:00:00"/>
    <d v="2018-05-22T00:00:00"/>
    <d v="2018-06-14T00:00:00"/>
    <d v="2018-05-31T00:00:00"/>
    <d v="2018-06-19T00:00:00"/>
    <m/>
    <s v="May-18"/>
    <x v="10"/>
    <s v="MW22100 - AYCA-4QBUIV - 2KTB-02 -  NSB - Letitia St Katoomb"/>
    <s v="Katoomba"/>
    <n v="2772.4"/>
    <n v="16972.475000000002"/>
    <n v="19744.875000000004"/>
    <n v="21719.362500000007"/>
    <n v="13346.45"/>
    <m/>
    <n v="13346.45"/>
    <n v="6398.4250000000029"/>
    <n v="0.32405497629131619"/>
    <m/>
    <d v="2018-06-04T00:00:00"/>
    <m/>
    <s v="Ertan Cicek"/>
    <s v="Direct Award"/>
    <d v="2018-04-16T00:00:00"/>
    <m/>
    <d v="2018-05-09T00:00:00"/>
    <n v="23"/>
  </r>
  <r>
    <s v="A401/Greenfield"/>
    <s v="Sydney"/>
    <s v="Inv 13636"/>
    <d v="2018-05-22T00:00:00"/>
    <d v="2018-05-07T00:00:00"/>
    <d v="2018-05-07T00:00:00"/>
    <m/>
    <m/>
    <d v="2018-05-17T00:00:00"/>
    <d v="2018-05-22T00:00:00"/>
    <m/>
    <s v="May-18"/>
    <x v="9"/>
    <s v="MW22188-AYCA-4YPJJH-2BAN-60-62 Hume Hwy Chullora "/>
    <s v="Chullora"/>
    <n v="789.43"/>
    <m/>
    <n v="789.43"/>
    <n v="868.37300000000005"/>
    <m/>
    <n v="380.18274999999994"/>
    <n v="380.18274999999994"/>
    <n v="409.24725000000001"/>
    <n v="0.51840853527228514"/>
    <m/>
    <d v="2018-05-21T00:00:00"/>
    <m/>
    <s v="Ertan Cicek"/>
    <d v="2018-04-11T00:00:00"/>
    <d v="2018-04-18T00:00:00"/>
    <n v="7"/>
    <d v="2018-05-11T00:00:00"/>
    <n v="23"/>
  </r>
  <r>
    <s v="A401/Greenfield"/>
    <s v="Sydney"/>
    <s v="Inv 13632"/>
    <d v="2018-05-22T00:00:00"/>
    <d v="2018-05-03T00:00:00"/>
    <d v="2018-05-03T00:00:00"/>
    <m/>
    <m/>
    <d v="2018-05-16T00:00:00"/>
    <d v="2018-05-22T00:00:00"/>
    <m/>
    <s v="May-18"/>
    <x v="9"/>
    <s v="MW22208-AYCA-4PWSOZ- 2KEL-07-1B Fairway Dr Kellyville"/>
    <s v="Kellyville"/>
    <n v="7979.71"/>
    <m/>
    <n v="7979.71"/>
    <n v="8777.6810000000005"/>
    <n v="1203.8"/>
    <m/>
    <n v="1203.8"/>
    <n v="6775.91"/>
    <n v="0.84914238737999248"/>
    <m/>
    <d v="2018-05-17T00:00:00"/>
    <m/>
    <s v="Ertan Cicek"/>
    <d v="2018-04-11T00:00:00"/>
    <d v="2018-04-18T00:00:00"/>
    <n v="7"/>
    <d v="2018-05-15T00:00:00"/>
    <n v="27"/>
  </r>
  <r>
    <s v="A417 Greenfield MDU"/>
    <s v="Sydney"/>
    <s v="Inv 13846"/>
    <d v="2018-07-06T00:00:00"/>
    <d v="2018-06-20T00:00:00"/>
    <d v="2018-06-20T00:00:00"/>
    <d v="2018-06-22T00:00:00"/>
    <d v="2018-06-16T00:00:00"/>
    <d v="2018-07-04T00:00:00"/>
    <d v="2018-07-10T00:00:00"/>
    <m/>
    <s v="Jun-18"/>
    <x v="15"/>
    <s v="MW22258-AYCA-4BT0OX-2RIV-02-66 Schofields Road Schofields"/>
    <s v="Schofields"/>
    <n v="1747.53"/>
    <n v="1318.32"/>
    <n v="3065.85"/>
    <n v="3372.4349999999999"/>
    <n v="490.78"/>
    <m/>
    <n v="490.78"/>
    <n v="2575.0699999999997"/>
    <n v="0.83992041358840119"/>
    <m/>
    <d v="2018-07-04T00:00:00"/>
    <m/>
    <s v="Ertan Cicek"/>
    <s v="Direct Award"/>
    <d v="2018-04-18T00:00:00"/>
    <m/>
    <d v="2018-06-08T00:00:00"/>
    <n v="51"/>
  </r>
  <r>
    <s v="A401/Greenfield"/>
    <s v="Sydney"/>
    <m/>
    <m/>
    <m/>
    <d v="2018-08-30T00:00:00"/>
    <m/>
    <m/>
    <m/>
    <m/>
    <m/>
    <s v="Aug-18"/>
    <x v="8"/>
    <s v="MW22191-AYCA-4Z4FSB - 2MIL-20 -  Mainfreight Logistics - 1"/>
    <s v="Prestons"/>
    <n v="41413.659642857143"/>
    <m/>
    <n v="41413.659642857143"/>
    <n v="45555.025607142859"/>
    <m/>
    <m/>
    <n v="0"/>
    <n v="41413.659642857143"/>
    <n v="1"/>
    <m/>
    <d v="2018-09-13T00:00:00"/>
    <m/>
    <s v="Ertan Cicek"/>
    <d v="2018-04-10T00:00:00"/>
    <d v="2018-04-19T00:00:00"/>
    <n v="9"/>
    <d v="2018-05-11T00:00:00"/>
    <n v="22"/>
  </r>
  <r>
    <s v="A417 Greenfield MDU"/>
    <s v="Sydney"/>
    <m/>
    <m/>
    <m/>
    <d v="2018-07-30T00:00:00"/>
    <m/>
    <m/>
    <m/>
    <m/>
    <m/>
    <s v="Jul-18"/>
    <x v="8"/>
    <s v="MW22218 - AYCA-4JMOL9 - 2DRU-60 - 50-52 East St, Five Dock"/>
    <s v="Five Dock"/>
    <n v="585.25"/>
    <m/>
    <n v="585.25"/>
    <n v="643.77500000000009"/>
    <n v="3140.46"/>
    <m/>
    <n v="3140.46"/>
    <n v="-2555.21"/>
    <n v="-4.3660145237078174"/>
    <m/>
    <d v="2018-08-13T00:00:00"/>
    <m/>
    <s v="Ertan Cicek"/>
    <s v="Direct Award"/>
    <d v="2018-04-19T00:00:00"/>
    <m/>
    <d v="2018-06-30T00:00:00"/>
    <n v="72"/>
  </r>
  <r>
    <s v="A417 Greenfield MDU"/>
    <s v="Sydney"/>
    <s v="inv 13629"/>
    <d v="2018-05-22T00:00:00"/>
    <d v="2018-05-04T00:00:00"/>
    <d v="2018-05-04T00:00:00"/>
    <d v="2018-05-10T00:00:00"/>
    <d v="2018-05-14T00:00:00"/>
    <d v="2018-05-18T00:00:00"/>
    <d v="2018-05-22T00:00:00"/>
    <m/>
    <s v="May-18"/>
    <x v="9"/>
    <s v="MW22243 - AYCA-4EUBZX - 2PTH-06 - 82 Cox Avenue, Penrith "/>
    <s v="Penrith"/>
    <n v="410.89"/>
    <n v="4035.277"/>
    <n v="4446.1670000000004"/>
    <n v="4890.7837000000009"/>
    <m/>
    <m/>
    <n v="0"/>
    <n v="4446.1670000000004"/>
    <n v="1"/>
    <m/>
    <d v="2018-05-18T00:00:00"/>
    <m/>
    <s v="Ertan Cicek"/>
    <s v="Direct Award"/>
    <d v="2018-04-19T00:00:00"/>
    <m/>
    <d v="2018-06-07T00:00:00"/>
    <n v="49"/>
  </r>
  <r>
    <s v="A417 Greenfield MDU"/>
    <s v="Sydney"/>
    <s v="Inv 13694"/>
    <d v="2018-06-06T00:00:00"/>
    <d v="2018-05-14T00:00:00"/>
    <d v="2018-05-14T00:00:00"/>
    <d v="2018-05-18T00:00:00"/>
    <d v="2018-05-30T00:00:00"/>
    <d v="2018-05-25T00:00:00"/>
    <d v="2018-06-05T00:00:00"/>
    <m/>
    <s v="May-18"/>
    <x v="10"/>
    <s v="MW22260-AYCA-56YKSC-2CAM-02-38 Wonga St, Canterbury"/>
    <s v="Canterbury"/>
    <n v="1202.46"/>
    <n v="3353.9829999999997"/>
    <n v="4556.4429999999993"/>
    <n v="5012.0872999999992"/>
    <n v="1225.45"/>
    <m/>
    <n v="1225.45"/>
    <n v="3330.9929999999995"/>
    <n v="0.73105117303124389"/>
    <m/>
    <d v="2018-05-28T00:00:00"/>
    <m/>
    <s v="Ertan Cicek"/>
    <s v="Direct Award"/>
    <d v="2018-04-20T00:00:00"/>
    <m/>
    <d v="2018-06-29T00:00:00"/>
    <n v="70"/>
  </r>
  <r>
    <s v="A417 Greenfield MDU"/>
    <s v="Sydney"/>
    <m/>
    <m/>
    <m/>
    <d v="2017-08-30T00:00:00"/>
    <m/>
    <m/>
    <m/>
    <m/>
    <m/>
    <s v="Aug-17"/>
    <x v="8"/>
    <s v="MW22279-AYCA-45Q6J5-2EPP-62-35 Oxford St Epping"/>
    <s v="Epping"/>
    <n v="973.82"/>
    <m/>
    <n v="973.82"/>
    <n v="1071.2020000000002"/>
    <n v="4453.75"/>
    <m/>
    <n v="4453.75"/>
    <n v="-3479.93"/>
    <n v="-3.5734838060421841"/>
    <m/>
    <d v="2017-09-13T00:00:00"/>
    <m/>
    <s v="Ertan Cicek"/>
    <s v="Direct Award"/>
    <d v="2018-04-20T00:00:00"/>
    <m/>
    <d v="2018-07-13T00:00:00"/>
    <n v="84"/>
  </r>
  <r>
    <s v="A417 Greenfield MDU"/>
    <s v="Sydney"/>
    <m/>
    <m/>
    <m/>
    <d v="2017-08-30T00:00:00"/>
    <m/>
    <m/>
    <m/>
    <m/>
    <m/>
    <s v="Aug-17"/>
    <x v="8"/>
    <s v="MW22284-AYCA-4KZ476-2PTH-02-38-40 Doonmore St Penrith"/>
    <s v="Penrith"/>
    <n v="5790.01"/>
    <m/>
    <n v="5790.01"/>
    <n v="6369.0110000000004"/>
    <m/>
    <m/>
    <n v="0"/>
    <n v="5790.01"/>
    <n v="1"/>
    <m/>
    <d v="2017-09-13T00:00:00"/>
    <m/>
    <s v="Ertan Cicek"/>
    <s v="Direct Award"/>
    <d v="2018-04-23T00:00:00"/>
    <m/>
    <d v="2018-07-13T00:00:00"/>
    <n v="81"/>
  </r>
  <r>
    <s v="A417 Greenfield MDU"/>
    <s v="Sydney"/>
    <m/>
    <m/>
    <m/>
    <d v="2017-08-31T00:00:00"/>
    <m/>
    <m/>
    <m/>
    <m/>
    <m/>
    <s v="Aug-17"/>
    <x v="8"/>
    <s v="MW22293 - AYCA-4NNOGX - 2PTH-02 - 240-250 Great Western Hwy Kingswood"/>
    <s v="Kingswood"/>
    <n v="1801.74"/>
    <m/>
    <n v="1801.74"/>
    <n v="1981.9140000000002"/>
    <m/>
    <m/>
    <n v="0"/>
    <n v="1801.74"/>
    <n v="1"/>
    <m/>
    <d v="2017-09-14T00:00:00"/>
    <m/>
    <s v="Ertan Cicek"/>
    <s v="Direct Award"/>
    <d v="2018-04-23T00:00:00"/>
    <m/>
    <d v="2018-07-23T00:00:00"/>
    <n v="91"/>
  </r>
  <r>
    <s v="A417 Greenfield MDU"/>
    <s v="Sydney"/>
    <s v="Inv 13832"/>
    <d v="2018-07-06T00:00:00"/>
    <d v="2018-06-14T00:00:00"/>
    <d v="2018-06-14T00:00:00"/>
    <d v="2018-06-15T00:00:00"/>
    <d v="2018-06-27T00:00:00"/>
    <d v="2018-06-28T00:00:00"/>
    <d v="2018-07-05T00:00:00"/>
    <m/>
    <s v="Jun-18"/>
    <x v="15"/>
    <s v="MW22209-AYCA-48LNJ7-2ORG-02-Cedar St Orange"/>
    <s v="Orange"/>
    <n v="7615.85"/>
    <n v="1488.4099999999999"/>
    <n v="9104.26"/>
    <n v="10014.686000000002"/>
    <m/>
    <m/>
    <n v="0"/>
    <n v="9104.26"/>
    <n v="1"/>
    <m/>
    <d v="2018-06-28T00:00:00"/>
    <m/>
    <s v="Mark Leal"/>
    <d v="2018-04-16T00:00:00"/>
    <d v="2018-04-23T00:00:00"/>
    <n v="7"/>
    <d v="2018-05-15T00:00:00"/>
    <n v="22"/>
  </r>
  <r>
    <s v="NBN Assurance Sydney"/>
    <s v="NSW"/>
    <s v="Inv 13525"/>
    <d v="2018-04-24T00:00:00"/>
    <d v="2018-04-23T00:00:00"/>
    <d v="2018-04-23T00:00:00"/>
    <m/>
    <m/>
    <m/>
    <d v="2018-05-22T00:00:00"/>
    <m/>
    <s v="Apr-18"/>
    <x v="9"/>
    <s v="MW22341 - INC000007700062 –  20F SYDNEY RD, MUDGEE "/>
    <s v="Mudgee"/>
    <n v="1530.4699999999998"/>
    <m/>
    <n v="1530.4699999999998"/>
    <n v="1683.5169999999998"/>
    <m/>
    <n v="431.97"/>
    <n v="431.97"/>
    <n v="1098.4999999999998"/>
    <n v="0.71775336987984073"/>
    <m/>
    <d v="2018-05-07T00:00:00"/>
    <m/>
    <s v="Tony Gabriel"/>
    <m/>
    <m/>
    <m/>
    <m/>
    <m/>
  </r>
  <r>
    <s v="NBN Assurance Sydney"/>
    <s v="NSW"/>
    <s v="Inv 13526"/>
    <d v="2018-04-24T00:00:00"/>
    <d v="2018-04-23T00:00:00"/>
    <d v="2018-04-23T00:00:00"/>
    <m/>
    <m/>
    <m/>
    <m/>
    <m/>
    <s v="Apr-18"/>
    <x v="8"/>
    <s v="INC000007724800 - Lot 1, 1 Asquith Av, Wentworth Falls"/>
    <s v="Wentworth Falls"/>
    <n v="1153.2599999999998"/>
    <m/>
    <n v="1153.2599999999998"/>
    <n v="1268.5859999999998"/>
    <m/>
    <n v="329.12"/>
    <n v="329.12"/>
    <n v="824.13999999999976"/>
    <n v="0.71461769245443341"/>
    <m/>
    <d v="2018-05-07T00:00:00"/>
    <m/>
    <s v="Tony Gabriel"/>
    <m/>
    <m/>
    <m/>
    <m/>
    <m/>
  </r>
  <r>
    <s v="NBN Assurance Wagga"/>
    <s v="NSW"/>
    <s v="Inv 13529"/>
    <d v="2018-04-24T00:00:00"/>
    <d v="2018-04-05T00:00:00"/>
    <d v="2018-04-05T00:00:00"/>
    <m/>
    <m/>
    <m/>
    <d v="2018-06-07T00:00:00"/>
    <m/>
    <s v="Apr-18"/>
    <x v="10"/>
    <s v="INC000007317444 - Lot 1, 40 Grenfell St, West Wyalong"/>
    <s v="West Wyalong"/>
    <n v="4275.79"/>
    <m/>
    <n v="4275.79"/>
    <n v="4703.3690000000006"/>
    <n v="1736"/>
    <n v="875"/>
    <n v="2611"/>
    <n v="1664.79"/>
    <n v="0.38935261086255407"/>
    <m/>
    <d v="2018-04-19T00:00:00"/>
    <m/>
    <s v="Tony Gabriel"/>
    <m/>
    <m/>
    <m/>
    <m/>
    <m/>
  </r>
  <r>
    <s v="NBN Assurance Wagga"/>
    <s v="NSW"/>
    <s v="Inv 13530"/>
    <d v="2018-04-24T00:00:00"/>
    <d v="2018-03-29T00:00:00"/>
    <d v="2018-03-29T00:00:00"/>
    <m/>
    <m/>
    <m/>
    <d v="2018-05-22T00:00:00"/>
    <m/>
    <s v="Mar-18"/>
    <x v="9"/>
    <s v="MW22343 - INC000007442181 - Lot 105, 21 Yeo Cr, Yass"/>
    <s v="Yass"/>
    <n v="1576.87"/>
    <m/>
    <n v="1576.87"/>
    <n v="1734.557"/>
    <m/>
    <n v="475"/>
    <n v="475"/>
    <n v="1101.8699999999999"/>
    <n v="0.69877034885564437"/>
    <m/>
    <d v="2018-04-12T00:00:00"/>
    <m/>
    <s v="Tony Gabriel"/>
    <m/>
    <m/>
    <m/>
    <m/>
    <m/>
  </r>
  <r>
    <s v="NBN Assurance Wagga"/>
    <s v="NSW"/>
    <s v="Inv 13531"/>
    <d v="2018-04-24T00:00:00"/>
    <d v="2018-03-26T00:00:00"/>
    <d v="2018-03-26T00:00:00"/>
    <m/>
    <m/>
    <m/>
    <m/>
    <m/>
    <s v="Mar-18"/>
    <x v="8"/>
    <s v="INC000007476665 - Lot 5, 23 Kookora Street, Griffith"/>
    <s v="Griffth"/>
    <n v="896.9799999999999"/>
    <m/>
    <n v="896.9799999999999"/>
    <n v="986.678"/>
    <m/>
    <n v="300"/>
    <n v="300"/>
    <n v="596.9799999999999"/>
    <n v="0.66554438226047397"/>
    <m/>
    <d v="2018-04-09T00:00:00"/>
    <m/>
    <s v="Tony Gabriel"/>
    <m/>
    <m/>
    <m/>
    <m/>
    <m/>
  </r>
  <r>
    <s v="A417 Greenfield MDU"/>
    <s v="Sydney"/>
    <s v="Inv 13741"/>
    <d v="2018-06-27T00:00:00"/>
    <d v="2018-06-07T00:00:00"/>
    <d v="2018-06-07T00:00:00"/>
    <d v="2018-06-14T00:00:00"/>
    <d v="2018-06-21T00:00:00"/>
    <d v="2018-06-21T00:00:00"/>
    <d v="2018-06-28T00:00:00"/>
    <m/>
    <s v="Jun-18"/>
    <x v="10"/>
    <s v="MW22297-AYCA-58QIXQ-2LIV-02-29 SCOTT ST, LIVERPOOL"/>
    <s v="Liverpool"/>
    <n v="874.86"/>
    <n v="4861.0450000000001"/>
    <n v="5735.9049999999997"/>
    <n v="6309.4955"/>
    <m/>
    <n v="1211.9632499999998"/>
    <n v="1211.9632499999998"/>
    <n v="4523.94175"/>
    <n v="0.78870583630656366"/>
    <m/>
    <d v="2018-06-21T00:00:00"/>
    <m/>
    <s v="Ertan Cicek"/>
    <s v="Direct Award"/>
    <d v="2018-04-24T00:00:00"/>
    <m/>
    <d v="2018-06-29T00:00:00"/>
    <n v="66"/>
  </r>
  <r>
    <s v="VPL New Devs"/>
    <s v="Sydney"/>
    <m/>
    <m/>
    <d v="2018-06-07T00:00:00"/>
    <d v="2018-06-07T00:00:00"/>
    <m/>
    <m/>
    <d v="2018-06-21T00:00:00"/>
    <d v="2018-07-05T00:00:00"/>
    <m/>
    <s v="Jun-18"/>
    <x v="15"/>
    <s v="2BRX-01-AYCA-41AL6Q"/>
    <s v="Branxton"/>
    <n v="139911.24315249996"/>
    <m/>
    <n v="139911.24315249996"/>
    <n v="153902.36746774995"/>
    <n v="101277.7"/>
    <m/>
    <n v="101277.7"/>
    <n v="38633.543152499959"/>
    <n v="0.27612893919032871"/>
    <m/>
    <d v="2018-06-21T00:00:00"/>
    <m/>
    <s v="Adnan Khabbaz"/>
    <s v="Direct Award"/>
    <d v="2018-04-20T00:00:00"/>
    <m/>
    <d v="2018-06-06T00:00:00"/>
    <n v="47"/>
  </r>
  <r>
    <s v="VPL New Devs"/>
    <s v="Sydney"/>
    <s v="Inv 13589"/>
    <d v="2018-05-10T00:00:00"/>
    <d v="2018-04-27T00:00:00"/>
    <d v="2018-04-27T00:00:00"/>
    <d v="2018-05-03T00:00:00"/>
    <d v="2018-05-07T00:00:00"/>
    <d v="2018-05-11T00:00:00"/>
    <d v="2018-06-08T00:00:00"/>
    <m/>
    <s v="Apr-18"/>
    <x v="10"/>
    <s v="2BUR-03-AYCA-2EBL4P"/>
    <s v="Burwood"/>
    <n v="34899.440000000002"/>
    <m/>
    <n v="34899.440000000002"/>
    <n v="38389.384000000005"/>
    <n v="25151.94"/>
    <m/>
    <n v="25151.94"/>
    <n v="9747.5000000000036"/>
    <n v="0.2793024759136537"/>
    <m/>
    <d v="2018-05-11T00:00:00"/>
    <m/>
    <s v="Adnan Khabbaz"/>
    <s v="Direct Award"/>
    <d v="2018-04-05T00:00:00"/>
    <m/>
    <d v="2018-04-27T00:00:00"/>
    <n v="22"/>
  </r>
  <r>
    <s v="VPL New Devs"/>
    <s v="Sydney"/>
    <s v="Inv 13590"/>
    <d v="2018-05-10T00:00:00"/>
    <d v="2018-04-27T00:00:00"/>
    <d v="2018-04-27T00:00:00"/>
    <d v="2018-05-03T00:00:00"/>
    <d v="2018-05-08T00:00:00"/>
    <d v="2018-05-11T00:00:00"/>
    <d v="2018-06-08T00:00:00"/>
    <m/>
    <s v="Apr-18"/>
    <x v="10"/>
    <s v="2CAM-60-AYCA-4VCIKM"/>
    <s v="Campsie"/>
    <n v="30368.89"/>
    <m/>
    <n v="30368.89"/>
    <n v="33405.779000000002"/>
    <n v="15394.18"/>
    <m/>
    <n v="15394.18"/>
    <n v="14974.71"/>
    <n v="0.49309375482607365"/>
    <m/>
    <d v="2018-05-11T00:00:00"/>
    <m/>
    <s v="Adnan Khabbaz"/>
    <s v="Direct Award"/>
    <d v="2018-04-05T00:00:00"/>
    <m/>
    <d v="2018-04-20T00:00:00"/>
    <n v="15"/>
  </r>
  <r>
    <s v="VPL New Devs"/>
    <s v="Sydney"/>
    <s v="Inv 13724"/>
    <d v="2018-06-18T00:00:00"/>
    <d v="2018-06-01T00:00:00"/>
    <d v="2018-06-01T00:00:00"/>
    <d v="2018-06-06T00:00:00"/>
    <d v="2018-06-13T00:00:00"/>
    <d v="2018-06-15T00:00:00"/>
    <d v="2018-06-29T00:00:00"/>
    <m/>
    <s v="Jun-18"/>
    <x v="10"/>
    <s v="2KRG-03-AYCA-2Z4T2N "/>
    <s v="Kooringal"/>
    <n v="40799.910000000003"/>
    <m/>
    <n v="40799.910000000003"/>
    <n v="44879.901000000005"/>
    <n v="21000"/>
    <m/>
    <n v="21000"/>
    <n v="19799.910000000003"/>
    <n v="0.48529298226393153"/>
    <m/>
    <d v="2018-06-15T00:00:00"/>
    <m/>
    <s v="Adnan Khabbaz"/>
    <s v="Direct Award"/>
    <d v="2018-04-18T00:00:00"/>
    <m/>
    <d v="2018-05-22T00:00:00"/>
    <n v="34"/>
  </r>
  <r>
    <s v="VPL New Devs"/>
    <s v="Sydney"/>
    <s v="Inv 13656"/>
    <d v="2018-05-23T00:00:00"/>
    <d v="2018-05-14T00:00:00"/>
    <d v="2018-05-14T00:00:00"/>
    <d v="2018-05-18T00:00:00"/>
    <d v="2018-05-21T00:00:00"/>
    <d v="2018-05-21T00:00:00"/>
    <d v="2018-06-08T00:00:00"/>
    <m/>
    <s v="May-18"/>
    <x v="10"/>
    <s v="2NRN-05-AYCA-4B5K39"/>
    <s v="Narrellen"/>
    <n v="1897.3506749999997"/>
    <m/>
    <n v="1897.3506749999997"/>
    <n v="2087.0857424999999"/>
    <n v="443.04"/>
    <n v="208"/>
    <n v="651.04"/>
    <n v="1246.3106749999997"/>
    <n v="0.6568689127538323"/>
    <m/>
    <d v="2018-05-28T00:00:00"/>
    <m/>
    <s v="Adnan Khabbaz"/>
    <s v="Direct Award"/>
    <d v="2018-04-20T00:00:00"/>
    <m/>
    <d v="2018-06-04T00:00:00"/>
    <n v="45"/>
  </r>
  <r>
    <s v="VPL New Devs"/>
    <s v="Sydney"/>
    <m/>
    <m/>
    <d v="2018-05-22T00:00:00"/>
    <d v="2018-05-22T00:00:00"/>
    <m/>
    <m/>
    <d v="2018-06-05T00:00:00"/>
    <d v="2018-06-19T00:00:00"/>
    <m/>
    <s v="May-18"/>
    <x v="10"/>
    <s v="2PET-67-AYCA-4W7GEZ,"/>
    <s v="Petersham"/>
    <n v="46564.38"/>
    <m/>
    <n v="46564.38"/>
    <n v="51220.817999999999"/>
    <n v="27635.11"/>
    <m/>
    <n v="27635.11"/>
    <n v="18929.269999999997"/>
    <n v="0.40651824420297228"/>
    <m/>
    <d v="2018-06-05T00:00:00"/>
    <m/>
    <s v="Adnan Khabbaz"/>
    <s v="Direct Award"/>
    <d v="2018-04-05T00:00:00"/>
    <m/>
    <d v="2018-04-12T00:00:00"/>
    <n v="7"/>
  </r>
  <r>
    <s v="VPL New Devs"/>
    <s v="Sydney"/>
    <m/>
    <m/>
    <d v="2018-06-25T00:00:00"/>
    <d v="2018-06-25T00:00:00"/>
    <m/>
    <m/>
    <d v="2018-07-09T00:00:00"/>
    <d v="2018-07-23T00:00:00"/>
    <m/>
    <s v="Jun-18"/>
    <x v="15"/>
    <s v="2PET-69-AYCA-3G34XT"/>
    <s v="Petersham"/>
    <n v="30911.409282500004"/>
    <m/>
    <n v="30911.409282500004"/>
    <n v="34002.550210750007"/>
    <n v="22810.11"/>
    <m/>
    <n v="22810.11"/>
    <n v="8101.2992825000038"/>
    <n v="0.26208120142508107"/>
    <m/>
    <d v="2018-07-09T00:00:00"/>
    <m/>
    <s v="Adnan Khabbaz"/>
    <s v="Direct Award"/>
    <d v="2018-04-05T00:00:00"/>
    <m/>
    <d v="2018-04-30T00:00:00"/>
    <n v="25"/>
  </r>
  <r>
    <s v="VPL New Devs"/>
    <s v="Sydney"/>
    <s v="Inv 13591"/>
    <d v="2018-05-10T00:00:00"/>
    <d v="2018-04-26T00:00:00"/>
    <d v="2018-04-26T00:00:00"/>
    <d v="2018-05-08T00:00:00"/>
    <d v="2018-05-10T00:00:00"/>
    <d v="2018-05-10T00:00:00"/>
    <d v="2018-06-08T00:00:00"/>
    <m/>
    <s v="Apr-18"/>
    <x v="10"/>
    <s v="2ROU-04-AYCA-39XZGZ"/>
    <s v="Rouse Hill"/>
    <n v="5918.97"/>
    <m/>
    <n v="5918.97"/>
    <n v="6510.8670000000011"/>
    <m/>
    <n v="1000"/>
    <n v="1000"/>
    <n v="4918.97"/>
    <n v="0.83105168635759263"/>
    <m/>
    <d v="2018-05-10T00:00:00"/>
    <m/>
    <s v="Adnan Khabbaz"/>
    <s v="Direct Award"/>
    <d v="2018-04-11T00:00:00"/>
    <m/>
    <d v="2018-05-08T00:00:00"/>
    <m/>
  </r>
  <r>
    <s v="A417 Greenfield MDU"/>
    <s v="Sydney"/>
    <s v="Inv 13751"/>
    <d v="2018-06-20T00:00:00"/>
    <d v="2018-05-29T00:00:00"/>
    <d v="2018-05-29T00:00:00"/>
    <d v="2018-05-31T00:00:00"/>
    <d v="2018-06-05T00:00:00"/>
    <d v="2018-06-08T00:00:00"/>
    <d v="2018-06-19T00:00:00"/>
    <m/>
    <s v="May-18"/>
    <x v="10"/>
    <s v="MW22091-AYCA-4MNF1P-2NRN-10-11 &amp; 15 Holborn Circuit, Gregory Hills "/>
    <s v="Gregory Hills"/>
    <n v="4140.32"/>
    <n v="7286.54"/>
    <n v="11426.86"/>
    <n v="12569.546000000002"/>
    <n v="6489.4400000000005"/>
    <m/>
    <n v="6489.4400000000005"/>
    <n v="4937.42"/>
    <n v="0.43208895532105929"/>
    <m/>
    <d v="2018-06-12T00:00:00"/>
    <m/>
    <s v="Nabeel Jaimon"/>
    <s v="Direct Award"/>
    <d v="2018-04-24T00:00:00"/>
    <m/>
    <d v="2018-05-31T00:00:00"/>
    <n v="37"/>
  </r>
  <r>
    <s v="A401/Greenfield"/>
    <s v="Sydney"/>
    <s v="Inv 13691"/>
    <d v="2018-06-06T00:00:00"/>
    <d v="2018-05-16T00:00:00"/>
    <d v="2018-05-16T00:00:00"/>
    <d v="2018-05-18T00:00:00"/>
    <d v="2018-05-23T00:00:00"/>
    <d v="2018-06-05T00:00:00"/>
    <d v="2018-06-05T00:00:00"/>
    <m/>
    <s v="May-18"/>
    <x v="10"/>
    <s v="MW22288-AYCA-4R7UP6-2MIL-04-40 Government Rd, Hinchinbrook"/>
    <s v="Hinchinbrook"/>
    <n v="8639.27"/>
    <n v="-2352.5499999999997"/>
    <n v="6286.7200000000012"/>
    <n v="6915.3920000000016"/>
    <n v="1143.6099999999999"/>
    <n v="704"/>
    <n v="1847.61"/>
    <n v="4439.1100000000015"/>
    <n v="0.70610906800366502"/>
    <m/>
    <d v="2018-05-30T00:00:00"/>
    <m/>
    <s v="Andrwe Mahassy"/>
    <d v="2018-04-19T00:00:00"/>
    <d v="2018-04-24T00:00:00"/>
    <n v="5"/>
    <d v="2018-05-23T00:00:00"/>
    <n v="29"/>
  </r>
  <r>
    <s v="A417 Greenfield MDU"/>
    <s v="Sydney"/>
    <m/>
    <m/>
    <d v="2018-06-27T00:00:00"/>
    <d v="2018-06-27T00:00:00"/>
    <d v="2018-07-02T00:00:00"/>
    <m/>
    <d v="2018-07-11T00:00:00"/>
    <d v="2018-07-25T00:00:00"/>
    <m/>
    <s v="Jun-18"/>
    <x v="15"/>
    <s v="MW22309-AYCA-3V5BM6-2DRU-61-197-199 Lyons Rd Drummoyne "/>
    <s v="Drummoyne "/>
    <n v="1734.4"/>
    <n v="13956.892000000005"/>
    <n v="15691.292000000005"/>
    <n v="17260.421200000008"/>
    <n v="9740.19"/>
    <m/>
    <n v="9740.19"/>
    <n v="5951.1020000000044"/>
    <n v="0.37926144003948192"/>
    <m/>
    <d v="2018-07-11T00:00:00"/>
    <m/>
    <s v="Ertan Cicek"/>
    <s v="Direct Award"/>
    <d v="2018-04-24T00:00:00"/>
    <m/>
    <d v="2018-05-23T00:00:00"/>
    <n v="29"/>
  </r>
  <r>
    <s v="A417 Greenfield MDU"/>
    <s v="Sydney"/>
    <m/>
    <m/>
    <m/>
    <d v="2018-07-30T00:00:00"/>
    <m/>
    <m/>
    <m/>
    <m/>
    <m/>
    <s v="Jul-18"/>
    <x v="8"/>
    <s v="MW22296-AYCA-4RB8MD-2LID-03-2 Clarke St, Berala"/>
    <s v="Berala"/>
    <n v="742.8"/>
    <m/>
    <n v="742.8"/>
    <n v="817.08"/>
    <m/>
    <m/>
    <n v="0"/>
    <n v="742.8"/>
    <n v="1"/>
    <m/>
    <d v="2018-08-13T00:00:00"/>
    <m/>
    <s v="Ertan Cicek"/>
    <s v="Direct Award"/>
    <d v="2018-04-24T00:00:00"/>
    <m/>
    <d v="2018-06-29T00:00:00"/>
    <n v="66"/>
  </r>
  <r>
    <s v="A401/Greenfield"/>
    <s v="Sydney"/>
    <s v="Inv 13690"/>
    <d v="2018-05-30T00:00:00"/>
    <d v="2018-04-30T00:00:00"/>
    <d v="2018-04-30T00:00:00"/>
    <m/>
    <m/>
    <d v="2018-05-10T00:00:00"/>
    <d v="2018-05-31T00:00:00"/>
    <m/>
    <s v="Apr-18"/>
    <x v="9"/>
    <s v="MW22239 - AYCA-552R88 - 2KTB-01 - Lot33-36 The Escarpments - 1"/>
    <s v="Katoomba"/>
    <n v="4434.76"/>
    <m/>
    <n v="4434.76"/>
    <n v="4878.2360000000008"/>
    <m/>
    <m/>
    <n v="0"/>
    <n v="4434.76"/>
    <n v="1"/>
    <m/>
    <d v="2018-05-14T00:00:00"/>
    <m/>
    <s v="Sogand Mohtat"/>
    <d v="2018-04-16T00:00:00"/>
    <d v="2018-04-26T00:00:00"/>
    <n v="10"/>
    <d v="2018-05-18T00:00:00"/>
    <n v="22"/>
  </r>
  <r>
    <s v="A417 Greenfield MDU"/>
    <s v="Sydney"/>
    <s v="inv 13773"/>
    <d v="2018-06-29T00:00:00"/>
    <d v="2018-06-06T00:00:00"/>
    <d v="2018-06-07T00:00:00"/>
    <d v="2018-06-07T00:00:00"/>
    <d v="2018-06-08T00:00:00"/>
    <d v="2018-06-21T00:00:00"/>
    <d v="2018-06-22T00:00:00"/>
    <m/>
    <s v="Jun-18"/>
    <x v="10"/>
    <s v="MW22287-AYCA-4LQOVR-2KEL-08-25 Water Creek Boulevard Kellyville"/>
    <s v="Kellyville"/>
    <n v="363.7"/>
    <n v="599.79"/>
    <n v="963.49"/>
    <n v="1059.8390000000002"/>
    <m/>
    <m/>
    <n v="0"/>
    <n v="963.49"/>
    <n v="1"/>
    <m/>
    <d v="2018-06-21T00:00:00"/>
    <m/>
    <s v="Ertan Cicek"/>
    <s v="Direct Award"/>
    <d v="2018-04-27T00:00:00"/>
    <m/>
    <d v="2018-06-15T00:00:00"/>
    <n v="49"/>
  </r>
  <r>
    <s v="A417 Greenfield MDU"/>
    <s v="Nth Coast"/>
    <m/>
    <m/>
    <d v="2018-06-29T00:00:00"/>
    <d v="2018-06-29T00:00:00"/>
    <m/>
    <m/>
    <d v="2018-07-13T00:00:00"/>
    <d v="2018-07-27T00:00:00"/>
    <m/>
    <s v="Jun-18"/>
    <x v="15"/>
    <s v="MW22301-AYCA-541Y7O-2WAU-20-728-730 Beechwood"/>
    <s v="Wauchope"/>
    <n v="1370.1"/>
    <n v="5576.54"/>
    <n v="6946.6399999999994"/>
    <n v="7641.3040000000001"/>
    <n v="4422.17"/>
    <m/>
    <n v="4422.17"/>
    <n v="2524.4699999999993"/>
    <n v="0.36340878467863597"/>
    <m/>
    <d v="2018-07-13T00:00:00"/>
    <m/>
    <s v="Ertan Cicek"/>
    <s v="Direct Award"/>
    <d v="2018-04-27T00:00:00"/>
    <m/>
    <d v="2018-07-16T00:00:00"/>
    <n v="80"/>
  </r>
  <r>
    <s v="A417 Greenfield MDU"/>
    <s v="Sydney"/>
    <m/>
    <m/>
    <m/>
    <d v="2018-07-30T00:00:00"/>
    <m/>
    <m/>
    <m/>
    <m/>
    <m/>
    <s v="Jul-18"/>
    <x v="8"/>
    <s v="MW22319-AYCA-33L9HP-2BAN-64-Restwell &amp; Leonard St Bankstown "/>
    <s v="Bankstown"/>
    <n v="2255.04"/>
    <m/>
    <n v="2255.04"/>
    <n v="2480.5440000000003"/>
    <m/>
    <m/>
    <n v="0"/>
    <n v="2255.04"/>
    <n v="1"/>
    <m/>
    <d v="2018-08-13T00:00:00"/>
    <m/>
    <s v="Ertan Cicek"/>
    <s v="Direct Award"/>
    <d v="2018-04-27T00:00:00"/>
    <m/>
    <d v="2018-06-29T00:00:00"/>
    <n v="63"/>
  </r>
  <r>
    <s v="A417 Greenfield MDU"/>
    <s v="Sth NSW"/>
    <m/>
    <m/>
    <m/>
    <d v="2018-07-30T00:00:00"/>
    <m/>
    <m/>
    <m/>
    <m/>
    <m/>
    <s v="Jul-18"/>
    <x v="8"/>
    <s v="MW22334-AYCA-3V2064-2WAG-01-29 Gibson St, Boorooma"/>
    <s v="Boorooma"/>
    <n v="4344.17"/>
    <m/>
    <n v="4344.17"/>
    <n v="4778.5870000000004"/>
    <m/>
    <m/>
    <n v="0"/>
    <n v="4344.17"/>
    <n v="1"/>
    <m/>
    <d v="2018-08-13T00:00:00"/>
    <m/>
    <s v="Ertan Cicek"/>
    <s v="Direct Award"/>
    <d v="2018-04-27T00:00:00"/>
    <m/>
    <d v="2018-07-10T00:00:00"/>
    <n v="74"/>
  </r>
  <r>
    <s v="NBN Assurance Sydney"/>
    <s v="NSW"/>
    <s v="Inv 13544"/>
    <d v="2018-04-30T00:00:00"/>
    <d v="2018-03-26T00:00:00"/>
    <d v="2018-03-26T00:00:00"/>
    <m/>
    <m/>
    <m/>
    <d v="2018-07-05T00:00:00"/>
    <m/>
    <s v="Mar-18"/>
    <x v="15"/>
    <s v="INC000007540081 - Lot 4, 126 Aberford Street, Coonamble"/>
    <s v="Coonamble"/>
    <n v="1550.47"/>
    <m/>
    <n v="1550.47"/>
    <n v="1705.5170000000003"/>
    <m/>
    <n v="419.33"/>
    <n v="419.33"/>
    <n v="1131.1400000000001"/>
    <n v="0.72954652460221747"/>
    <m/>
    <d v="2018-04-09T00:00:00"/>
    <m/>
    <s v="Tony Gabriel"/>
    <m/>
    <m/>
    <m/>
    <m/>
    <m/>
  </r>
  <r>
    <s v="NBN Assurance Sydney"/>
    <s v="NSW"/>
    <s v="Inv 13545"/>
    <d v="2018-04-30T00:00:00"/>
    <d v="2018-03-26T00:00:00"/>
    <d v="2018-03-26T00:00:00"/>
    <m/>
    <m/>
    <m/>
    <d v="2018-05-22T00:00:00"/>
    <m/>
    <s v="Mar-18"/>
    <x v="9"/>
    <s v="MW22424 - INC000007552115 - 13 NETTLETON DR LIGHTNING RIDGE"/>
    <s v="Lighting Ridge"/>
    <n v="256.27999999999997"/>
    <m/>
    <n v="256.27999999999997"/>
    <n v="281.90800000000002"/>
    <m/>
    <n v="41.14"/>
    <n v="41.14"/>
    <n v="215.14"/>
    <n v="0.83947245200561893"/>
    <m/>
    <d v="2018-04-09T00:00:00"/>
    <m/>
    <s v="Tony Gabriel"/>
    <m/>
    <m/>
    <m/>
    <m/>
    <m/>
  </r>
  <r>
    <s v="NBN Assurance Sydney"/>
    <s v="NSW"/>
    <s v="Inv 13546"/>
    <d v="2018-04-30T00:00:00"/>
    <d v="2018-03-26T00:00:00"/>
    <d v="2018-03-26T00:00:00"/>
    <m/>
    <m/>
    <m/>
    <d v="2018-05-22T00:00:00"/>
    <m/>
    <s v="Mar-18"/>
    <x v="9"/>
    <s v="MW22423 - INC000007549981 - LOT 24, 11 GREENE AV, COONAMBLE "/>
    <s v="Villawood"/>
    <n v="256.27999999999997"/>
    <m/>
    <n v="256.27999999999997"/>
    <n v="281.90800000000002"/>
    <m/>
    <n v="44.14"/>
    <n v="44.14"/>
    <n v="212.14"/>
    <n v="0.82776650538473551"/>
    <m/>
    <d v="2018-04-09T00:00:00"/>
    <m/>
    <s v="Tony Gabriel"/>
    <m/>
    <m/>
    <m/>
    <m/>
    <m/>
  </r>
  <r>
    <s v="NBN Assurance Sydney"/>
    <s v="NSW"/>
    <s v="Inv 13547"/>
    <d v="2018-04-30T00:00:00"/>
    <d v="2018-03-26T00:00:00"/>
    <d v="2018-03-26T00:00:00"/>
    <m/>
    <m/>
    <m/>
    <d v="2018-07-05T00:00:00"/>
    <m/>
    <s v="Mar-18"/>
    <x v="15"/>
    <s v="INC000007494309 - LOT 4, 9 DUBBO ST, COONAMBLE"/>
    <s v="Coonamble"/>
    <n v="640.69999999999993"/>
    <m/>
    <n v="640.69999999999993"/>
    <n v="704.77"/>
    <m/>
    <n v="176.56"/>
    <n v="176.56"/>
    <n v="464.13999999999993"/>
    <n v="0.72442640861557672"/>
    <m/>
    <d v="2018-04-09T00:00:00"/>
    <m/>
    <s v="Tony Gabriel"/>
    <m/>
    <m/>
    <m/>
    <m/>
    <m/>
  </r>
  <r>
    <s v="NBN Assurance Sydney"/>
    <s v="NSW"/>
    <s v="Inv 13548"/>
    <d v="2018-04-30T00:00:00"/>
    <d v="2018-03-27T00:00:00"/>
    <d v="2018-03-27T00:00:00"/>
    <m/>
    <m/>
    <m/>
    <d v="2018-05-22T00:00:00"/>
    <m/>
    <s v="Mar-18"/>
    <x v="9"/>
    <s v="MW22422 - INC000007550501- 170 EDWARD ST, ORANGE"/>
    <s v="Orange"/>
    <n v="640.69999999999993"/>
    <m/>
    <n v="640.69999999999993"/>
    <n v="704.77"/>
    <m/>
    <n v="154.49"/>
    <n v="154.49"/>
    <n v="486.20999999999992"/>
    <n v="0.75887310753862958"/>
    <m/>
    <d v="2018-04-10T00:00:00"/>
    <m/>
    <s v="Tony Gabriel"/>
    <m/>
    <m/>
    <m/>
    <m/>
    <m/>
  </r>
  <r>
    <s v="NBN Assurance Wagga"/>
    <s v="NSW"/>
    <s v="Inv 13549"/>
    <d v="2018-04-30T00:00:00"/>
    <d v="2018-03-28T00:00:00"/>
    <d v="2018-03-28T00:00:00"/>
    <m/>
    <m/>
    <m/>
    <d v="2018-06-19T00:00:00"/>
    <m/>
    <s v="Mar-18"/>
    <x v="10"/>
    <s v="INC000007482861 - 52-58 WARATAH ST COWRA"/>
    <s v="Cowra"/>
    <n v="640.69999999999993"/>
    <m/>
    <n v="640.69999999999993"/>
    <n v="704.77"/>
    <m/>
    <n v="175"/>
    <n v="175"/>
    <n v="465.69999999999993"/>
    <n v="0.72686124551272047"/>
    <m/>
    <d v="2018-04-11T00:00:00"/>
    <m/>
    <s v="Tony Gabriel"/>
    <m/>
    <m/>
    <m/>
    <m/>
    <m/>
  </r>
  <r>
    <s v="NBN Assurance Sydney"/>
    <s v="NSW"/>
    <s v="Inv 13550"/>
    <d v="2018-04-30T00:00:00"/>
    <d v="2018-03-27T00:00:00"/>
    <d v="2018-03-27T00:00:00"/>
    <m/>
    <m/>
    <m/>
    <d v="2018-07-05T00:00:00"/>
    <m/>
    <s v="Mar-18"/>
    <x v="15"/>
    <s v="INC000007555389- 183 SUMMER ST, ORANGE"/>
    <s v="Orange"/>
    <n v="256.27999999999997"/>
    <m/>
    <n v="256.27999999999997"/>
    <n v="281.90800000000002"/>
    <m/>
    <n v="50"/>
    <n v="50"/>
    <n v="206.27999999999997"/>
    <n v="0.80490088965194317"/>
    <m/>
    <d v="2018-04-10T00:00:00"/>
    <m/>
    <s v="Tony Gabriel"/>
    <m/>
    <m/>
    <m/>
    <m/>
    <m/>
  </r>
  <r>
    <s v="A417 Greenfield MDU"/>
    <s v="Sydney"/>
    <s v="Inv 13752"/>
    <d v="2018-06-20T00:00:00"/>
    <d v="2018-05-30T00:00:00"/>
    <d v="2018-05-30T00:00:00"/>
    <d v="2018-06-14T00:00:00"/>
    <d v="2018-06-21T00:00:00"/>
    <d v="2018-06-13T00:00:00"/>
    <d v="2018-06-28T00:00:00"/>
    <m/>
    <s v="May-18"/>
    <x v="10"/>
    <s v="MW22314-AYCA-4A5XPU-2BLK-11-29 Norfolk Street, Blacktown"/>
    <s v="Blacktown"/>
    <n v="685.25"/>
    <n v="2551.7600000000002"/>
    <n v="3237.01"/>
    <n v="3560.7110000000007"/>
    <n v="306.39999999999998"/>
    <m/>
    <n v="306.39999999999998"/>
    <n v="2930.61"/>
    <n v="0.90534474715864333"/>
    <m/>
    <d v="2018-06-13T00:00:00"/>
    <m/>
    <s v="Ertan Cicek"/>
    <s v="Direct Award"/>
    <d v="2018-04-27T00:00:00"/>
    <m/>
    <d v="2018-07-11T00:00:00"/>
    <n v="75"/>
  </r>
  <r>
    <s v="A401/Greenfield"/>
    <s v="Sth Coast"/>
    <m/>
    <m/>
    <m/>
    <d v="2018-07-30T00:00:00"/>
    <m/>
    <m/>
    <m/>
    <m/>
    <m/>
    <s v="Jul-18"/>
    <x v="8"/>
    <s v="MW21532-AYCA-4TBHNX - 2SHH-05 - NSB - 125 LAKE ENTRANCE - SURVEY"/>
    <s v="Barrack Heights"/>
    <n v="1698"/>
    <m/>
    <n v="1698"/>
    <n v="1867.8000000000002"/>
    <m/>
    <m/>
    <n v="0"/>
    <n v="1698"/>
    <n v="1"/>
    <m/>
    <d v="2018-08-13T00:00:00"/>
    <m/>
    <s v="Andrew Mahssy"/>
    <d v="2017-10-23T00:00:00"/>
    <d v="2018-02-15T00:00:00"/>
    <n v="115"/>
    <d v="2018-03-23T00:00:00"/>
    <n v="36"/>
  </r>
  <r>
    <s v="A417 Greenfield MDU"/>
    <s v="Sydney"/>
    <m/>
    <m/>
    <m/>
    <d v="2018-08-30T00:00:00"/>
    <m/>
    <m/>
    <m/>
    <m/>
    <m/>
    <s v="Aug-18"/>
    <x v="8"/>
    <s v="MW22263-AYCA-31DCKF-2EAS-62-18-20 Neild Ave Darlinghurst"/>
    <s v="Darlinghurst"/>
    <n v="2099.66"/>
    <m/>
    <n v="2099.66"/>
    <n v="2309.6260000000002"/>
    <m/>
    <m/>
    <n v="0"/>
    <n v="2099.66"/>
    <n v="1"/>
    <m/>
    <d v="2018-09-13T00:00:00"/>
    <m/>
    <s v="Lindy Chan"/>
    <s v="Direct Award"/>
    <d v="2018-04-30T00:00:00"/>
    <m/>
    <d v="2018-07-16T00:00:00"/>
    <n v="77"/>
  </r>
  <r>
    <s v="A417 Greenfield MDU"/>
    <s v="Sydney"/>
    <s v="Inv 13772"/>
    <d v="2018-06-29T00:00:00"/>
    <d v="2018-06-01T00:00:00"/>
    <d v="2018-06-04T00:00:00"/>
    <d v="2018-06-06T00:00:00"/>
    <d v="2018-06-18T00:00:00"/>
    <d v="2018-06-18T00:00:00"/>
    <d v="2018-06-26T00:00:00"/>
    <m/>
    <s v="Jun-18"/>
    <x v="10"/>
    <s v="MW22265-AYCA-4R1HNT-2MIL-62-6-8 Facey Cres Lurnea "/>
    <s v="Lumea"/>
    <n v="1554.24"/>
    <n v="13339.46"/>
    <n v="14893.699999999999"/>
    <n v="16383.07"/>
    <n v="6425.2"/>
    <m/>
    <n v="6425.2"/>
    <n v="8468.5"/>
    <n v="0.56859611782162933"/>
    <m/>
    <d v="2018-06-18T00:00:00"/>
    <m/>
    <s v="Ertan Cicek"/>
    <s v="Direct Award"/>
    <d v="2018-05-01T00:00:00"/>
    <m/>
    <d v="2018-06-29T00:00:00"/>
    <n v="59"/>
  </r>
  <r>
    <s v="A417 Greenfield MDU"/>
    <s v="Sydney"/>
    <s v="Inv 13774"/>
    <d v="2018-06-29T00:00:00"/>
    <d v="2018-05-25T00:00:00"/>
    <d v="2018-05-29T00:00:00"/>
    <d v="2018-05-31T00:00:00"/>
    <d v="2018-06-19T00:00:00"/>
    <d v="2018-06-08T00:00:00"/>
    <d v="2018-06-22T00:00:00"/>
    <m/>
    <s v="May-18"/>
    <x v="10"/>
    <s v="MW22347-AYCA-4XTH50-2HOM-03-31-35 Smallwood Ave Homebush "/>
    <s v="Homebush"/>
    <n v="2743.96"/>
    <n v="6734.32"/>
    <n v="9478.2799999999988"/>
    <n v="10426.108"/>
    <n v="6152.49"/>
    <m/>
    <n v="6152.49"/>
    <n v="3325.7899999999991"/>
    <n v="0.35088539270838165"/>
    <m/>
    <d v="2018-06-12T00:00:00"/>
    <m/>
    <s v="Ertan Cicek"/>
    <s v="Direct Award"/>
    <d v="2018-05-01T00:00:00"/>
    <m/>
    <d v="2018-06-08T00:00:00"/>
    <n v="38"/>
  </r>
  <r>
    <s v="A417 Greenfield MDU"/>
    <s v="Sydney"/>
    <m/>
    <m/>
    <m/>
    <d v="2018-07-30T00:00:00"/>
    <m/>
    <m/>
    <m/>
    <m/>
    <m/>
    <s v="Jul-18"/>
    <x v="8"/>
    <s v="MW22346-AYCA-50FP2M-2ROU-03-Oxlade Street Kellyville"/>
    <s v="Kellyville"/>
    <n v="9295.6200000000008"/>
    <m/>
    <n v="9295.6200000000008"/>
    <n v="10225.182000000003"/>
    <m/>
    <m/>
    <n v="0"/>
    <n v="9295.6200000000008"/>
    <n v="1"/>
    <m/>
    <d v="2018-08-13T00:00:00"/>
    <m/>
    <s v="Ertan Cicek"/>
    <s v="Direct Award"/>
    <d v="2018-05-01T00:00:00"/>
    <m/>
    <d v="2018-06-27T00:00:00"/>
    <n v="57"/>
  </r>
  <r>
    <s v="A401/Greenfield"/>
    <s v="Sth Coast"/>
    <m/>
    <m/>
    <d v="2018-07-05T00:00:00"/>
    <d v="2018-07-05T00:00:00"/>
    <d v="2018-07-09T00:00:00"/>
    <m/>
    <d v="2018-07-19T00:00:00"/>
    <d v="2018-08-02T00:00:00"/>
    <m/>
    <s v="Jul-18"/>
    <x v="17"/>
    <s v="MW22333 - AYCA-54SUCD - 2PKE-06 - Warehouse Pl Berkeley"/>
    <s v="Berkeley"/>
    <n v="3573.39"/>
    <n v="1133.5999999999999"/>
    <n v="4706.99"/>
    <n v="5177.6890000000003"/>
    <n v="1960"/>
    <m/>
    <n v="1960"/>
    <n v="2746.99"/>
    <n v="0.58359801061825067"/>
    <m/>
    <d v="2018-07-19T00:00:00"/>
    <m/>
    <s v="Mark Leal"/>
    <s v="Direct Award"/>
    <d v="2018-05-01T00:00:00"/>
    <m/>
    <d v="2018-06-22T00:00:00"/>
    <n v="52"/>
  </r>
  <r>
    <s v="A401/Greenfield"/>
    <s v="Nth Coast"/>
    <m/>
    <m/>
    <d v="2018-06-21T00:00:00"/>
    <d v="2018-06-21T00:00:00"/>
    <d v="2018-06-29T00:00:00"/>
    <m/>
    <d v="2018-07-05T00:00:00"/>
    <d v="2018-07-19T00:00:00"/>
    <m/>
    <s v="Jun-18"/>
    <x v="15"/>
    <s v="MW22336-AYCA-4MJKV1-2KMS-21-Lot 37 Springfields Drive, Greenhill"/>
    <s v="Greenhill"/>
    <n v="7769.35"/>
    <n v="-120"/>
    <n v="7649.35"/>
    <n v="8414.2850000000017"/>
    <n v="3003.86"/>
    <m/>
    <n v="3003.86"/>
    <n v="4645.49"/>
    <n v="0.60730519586631537"/>
    <m/>
    <d v="2018-07-05T00:00:00"/>
    <m/>
    <s v="Mark Leal"/>
    <d v="2018-04-27T00:00:00"/>
    <d v="2018-05-01T00:00:00"/>
    <n v="4"/>
    <d v="2018-05-30T00:00:00"/>
    <n v="29"/>
  </r>
  <r>
    <s v="A401/Greenfield"/>
    <s v="Central Coast"/>
    <s v="Inv 13831"/>
    <d v="2018-07-06T00:00:00"/>
    <d v="2018-06-15T00:00:00"/>
    <d v="2018-06-15T00:00:00"/>
    <d v="2018-06-15T00:00:00"/>
    <d v="2018-06-27T00:00:00"/>
    <d v="2018-06-29T00:00:00"/>
    <d v="2018-07-05T00:00:00"/>
    <m/>
    <s v="Jun-18"/>
    <x v="15"/>
    <s v="MW22335 - AYCA-55S741 - 2WOY-03 -Broken Bay – 1"/>
    <s v="Ettalong Beach"/>
    <n v="5278.06"/>
    <n v="535.66"/>
    <n v="5813.72"/>
    <n v="6395.0920000000006"/>
    <m/>
    <m/>
    <n v="0"/>
    <n v="5813.72"/>
    <n v="1"/>
    <m/>
    <m/>
    <m/>
    <s v="Mark Leal"/>
    <d v="2018-04-27T00:00:00"/>
    <d v="2018-05-02T00:00:00"/>
    <n v="5"/>
    <d v="2018-05-30T00:00:00"/>
    <n v="28"/>
  </r>
  <r>
    <s v="A417 Greenfield MDU"/>
    <s v="Sydney"/>
    <m/>
    <m/>
    <m/>
    <d v="2018-08-30T00:00:00"/>
    <m/>
    <m/>
    <m/>
    <m/>
    <m/>
    <s v="Aug-18"/>
    <x v="8"/>
    <s v="MW22331-AYCA-3CFI3W-2EPP-05-120 Herring Road Marsfield"/>
    <s v="Marsfield"/>
    <n v="1102.48"/>
    <m/>
    <n v="1102.48"/>
    <n v="1212.7280000000001"/>
    <m/>
    <m/>
    <n v="0"/>
    <n v="1102.48"/>
    <n v="1"/>
    <m/>
    <m/>
    <m/>
    <s v="Ertan Cicek"/>
    <s v="Direct Award"/>
    <d v="2018-05-02T00:00:00"/>
    <m/>
    <d v="2018-06-06T00:00:00"/>
    <n v="35"/>
  </r>
  <r>
    <s v="A417 Greenfield MDU"/>
    <s v="Sydney"/>
    <m/>
    <m/>
    <m/>
    <d v="2018-07-30T00:00:00"/>
    <m/>
    <m/>
    <m/>
    <m/>
    <m/>
    <s v="Jul-18"/>
    <x v="8"/>
    <s v="MW22313 - AYCA-48S696 - 2BLK-03 -  3-7 Wallace St Blacktown "/>
    <s v="Blacktown"/>
    <n v="1763.74"/>
    <m/>
    <n v="1763.74"/>
    <n v="1940.1140000000003"/>
    <m/>
    <m/>
    <n v="0"/>
    <n v="1763.74"/>
    <n v="1"/>
    <m/>
    <m/>
    <m/>
    <s v="Ertan Cicek"/>
    <s v="Direct Award"/>
    <d v="2018-05-02T00:00:00"/>
    <m/>
    <d v="2018-06-29T00:00:00"/>
    <n v="58"/>
  </r>
  <r>
    <s v="A401/Greenfield"/>
    <s v="Central Coast"/>
    <s v="Inv 13743"/>
    <d v="2018-06-18T00:00:00"/>
    <d v="2018-05-03T00:00:00"/>
    <d v="2018-05-30T00:00:00"/>
    <m/>
    <m/>
    <d v="2018-06-14T00:00:00"/>
    <d v="2018-06-19T00:00:00"/>
    <m/>
    <s v="May-18"/>
    <x v="10"/>
    <s v="MW22477 - AYCA-4XVGZ8 -  2WYO-03 -140 Pacific Highway Tuggerah"/>
    <s v="Tuggerah"/>
    <n v="3243.26"/>
    <m/>
    <n v="3243.26"/>
    <n v="3567.5860000000007"/>
    <n v="2358.27"/>
    <m/>
    <n v="2358.27"/>
    <n v="884.99000000000024"/>
    <n v="0.27287050683571473"/>
    <m/>
    <m/>
    <m/>
    <s v="Dave Yeomans"/>
    <m/>
    <m/>
    <m/>
    <m/>
    <n v="0"/>
  </r>
  <r>
    <s v="A401/Greenfield"/>
    <s v="Nth Coast"/>
    <s v="Inv 13844"/>
    <d v="2018-07-06T00:00:00"/>
    <d v="2018-06-06T00:00:00"/>
    <d v="2018-06-15T00:00:00"/>
    <d v="2018-06-18T00:00:00"/>
    <d v="2018-06-20T00:00:00"/>
    <d v="2018-06-29T00:00:00"/>
    <d v="2018-07-10T00:00:00"/>
    <m/>
    <s v="Jun-18"/>
    <x v="15"/>
    <s v="MW22472 - 2PTM-23 - AYCA-4Q0G0C-20 Scarborough Close Port Macquarie"/>
    <s v="Port Macquarie"/>
    <n v="8260.7999999999993"/>
    <n v="8719.58"/>
    <n v="16980.379999999997"/>
    <n v="18678.417999999998"/>
    <m/>
    <m/>
    <n v="0"/>
    <n v="16980.379999999997"/>
    <n v="1"/>
    <m/>
    <m/>
    <m/>
    <s v="Dave Yeomans"/>
    <m/>
    <m/>
    <m/>
    <m/>
    <n v="0"/>
  </r>
  <r>
    <s v="A417 Greenfield MDU"/>
    <s v="Sydney"/>
    <s v="Inv 13692"/>
    <d v="2018-06-06T00:00:00"/>
    <d v="2018-05-18T00:00:00"/>
    <d v="2018-05-18T00:00:00"/>
    <m/>
    <m/>
    <d v="2018-05-31T00:00:00"/>
    <d v="2018-06-05T00:00:00"/>
    <m/>
    <s v="May-18"/>
    <x v="10"/>
    <s v="MW22351-AYCA-49Z80V-2PIT-01-44 Wells Street Pitt Town"/>
    <s v="Pitt Town"/>
    <n v="2366"/>
    <m/>
    <n v="2366"/>
    <n v="2602.6000000000004"/>
    <n v="1129.72"/>
    <m/>
    <n v="1129.72"/>
    <n v="1236.28"/>
    <n v="0.52251901944209633"/>
    <m/>
    <m/>
    <m/>
    <s v="Ertan Cicek"/>
    <s v="Direct Award"/>
    <d v="2018-05-03T00:00:00"/>
    <m/>
    <d v="2018-06-27T00:00:00"/>
    <n v="55"/>
  </r>
  <r>
    <s v="A417 Greenfield MDU"/>
    <s v="Sydney"/>
    <s v="Inv 13775"/>
    <d v="2018-06-29T00:00:00"/>
    <d v="2018-05-14T00:00:00"/>
    <d v="2018-05-15T00:00:00"/>
    <d v="2018-05-30T00:00:00"/>
    <d v="2018-06-08T00:00:00"/>
    <d v="2018-05-29T00:00:00"/>
    <d v="2018-06-22T00:00:00"/>
    <m/>
    <s v="May-18"/>
    <x v="10"/>
    <s v="MW22358-AYCA-4OHMS3-2BLK-07-35 Holbeche Road Arndell Park-INT HMDU"/>
    <s v="Arndell park"/>
    <n v="285.60000000000002"/>
    <n v="294.53999999999996"/>
    <n v="580.14"/>
    <n v="638.154"/>
    <m/>
    <m/>
    <n v="0"/>
    <n v="580.14"/>
    <n v="1"/>
    <m/>
    <m/>
    <m/>
    <s v="Nabeel Jaimon"/>
    <s v="Direct Award"/>
    <d v="2018-05-03T00:00:00"/>
    <m/>
    <d v="2018-05-30T00:00:00"/>
    <n v="27"/>
  </r>
  <r>
    <s v="A401/Greenfield"/>
    <s v="ACT"/>
    <m/>
    <m/>
    <m/>
    <d v="2018-07-30T00:00:00"/>
    <m/>
    <m/>
    <m/>
    <m/>
    <m/>
    <s v="Jul-18"/>
    <x v="8"/>
    <s v="MW22350-AYCA-4VAQ8P-9SCU-07-11 Prevost Pl MacGregor, ACT "/>
    <s v="MacGregor"/>
    <n v="10564.933999999999"/>
    <m/>
    <n v="10564.933999999999"/>
    <n v="11621.4274"/>
    <n v="7339.16"/>
    <m/>
    <n v="7339.16"/>
    <n v="3225.7739999999994"/>
    <n v="0.30532836267599966"/>
    <m/>
    <m/>
    <m/>
    <s v="Andrew Mahassy"/>
    <d v="2018-05-01T00:00:00"/>
    <d v="2018-05-07T00:00:00"/>
    <n v="6"/>
    <d v="2018-06-11T00:00:00"/>
    <n v="35"/>
  </r>
  <r>
    <s v="A417 Greenfield MDU"/>
    <s v="Sydney"/>
    <m/>
    <m/>
    <m/>
    <d v="2018-07-30T00:00:00"/>
    <m/>
    <m/>
    <m/>
    <m/>
    <m/>
    <s v="Jul-18"/>
    <x v="8"/>
    <s v="MW22378-AYCA-4YJULB-2REV-22-479 Henry Lawson Drive Milperra "/>
    <s v="Milperra"/>
    <n v="2570.4"/>
    <m/>
    <n v="2570.4"/>
    <n v="2827.4400000000005"/>
    <m/>
    <m/>
    <n v="0"/>
    <n v="2570.4"/>
    <n v="1"/>
    <m/>
    <m/>
    <m/>
    <s v="Nabeel Jaimon"/>
    <s v="Direct Award"/>
    <d v="2018-05-07T00:00:00"/>
    <m/>
    <d v="2018-06-26T00:00:00"/>
    <n v="50"/>
  </r>
  <r>
    <s v="A417 Greenfield MDU"/>
    <s v="Sydney"/>
    <m/>
    <m/>
    <d v="2018-07-04T00:00:00"/>
    <d v="2018-07-04T00:00:00"/>
    <d v="2018-07-09T00:00:00"/>
    <m/>
    <d v="2018-07-18T00:00:00"/>
    <d v="2018-08-01T00:00:00"/>
    <m/>
    <s v="Jul-18"/>
    <x v="17"/>
    <s v="MW22405-AYCA-3BBGCI-2RIV-04-737 Windsor Rd Box Hill"/>
    <s v="Box Hill"/>
    <n v="611.63"/>
    <n v="530.88"/>
    <n v="1142.51"/>
    <n v="1256.7610000000002"/>
    <m/>
    <m/>
    <n v="0"/>
    <n v="1142.51"/>
    <n v="1"/>
    <m/>
    <m/>
    <m/>
    <s v="Andrew Mahassy"/>
    <s v="Direct Award"/>
    <d v="2018-05-07T00:00:00"/>
    <m/>
    <d v="2018-08-02T00:00:00"/>
    <n v="87"/>
  </r>
  <r>
    <s v="NBN FttC Drops"/>
    <s v="Sydney"/>
    <m/>
    <m/>
    <m/>
    <d v="2018-07-30T00:00:00"/>
    <m/>
    <m/>
    <m/>
    <m/>
    <m/>
    <s v="Jul-18"/>
    <x v="8"/>
    <s v="MW417R000169-2MIR-29-STELLAR NPDL_MWR (A417)-Miranda"/>
    <s v="Miranda"/>
    <n v="19955.095999999998"/>
    <m/>
    <n v="19955.095999999998"/>
    <n v="21950.605599999999"/>
    <n v="3000"/>
    <n v="3861.3399999999997"/>
    <n v="6861.34"/>
    <n v="13093.755999999998"/>
    <n v="0.6561610127057268"/>
    <m/>
    <m/>
    <m/>
    <s v="Kirsty Doyle"/>
    <s v="Direct Award"/>
    <m/>
    <m/>
    <m/>
    <m/>
  </r>
  <r>
    <s v="NBN FttC Drops"/>
    <s v="Sydney"/>
    <s v="Inv 13747"/>
    <d v="2018-06-14T00:00:00"/>
    <m/>
    <d v="2018-07-30T00:00:00"/>
    <m/>
    <m/>
    <m/>
    <d v="2018-06-14T00:00:00"/>
    <m/>
    <s v="Jul-18"/>
    <x v="10"/>
    <s v="MW417R000169-2MIR-29-STELLAR NPDL_MWR (A417)-Miranda, Mob Payment"/>
    <s v="Miranda"/>
    <n v="8552.1839999999993"/>
    <m/>
    <n v="8552.1839999999993"/>
    <n v="9407.4024000000009"/>
    <m/>
    <m/>
    <n v="0"/>
    <n v="8552.1839999999993"/>
    <n v="1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MW417R000172-2MON-25-STELLAR NPDL_MWR (A417)-Mona Vale"/>
    <s v="Mona Vale"/>
    <n v="12680.080000000002"/>
    <m/>
    <n v="12680.080000000002"/>
    <n v="13948.088000000003"/>
    <n v="9760"/>
    <m/>
    <n v="9760"/>
    <n v="2920.0800000000017"/>
    <n v="0.23028876789420896"/>
    <m/>
    <m/>
    <m/>
    <s v="Kirsty Doyle"/>
    <s v="Direct Award"/>
    <m/>
    <m/>
    <m/>
    <m/>
  </r>
  <r>
    <s v="NBN FttC Drops"/>
    <s v="Sydney"/>
    <s v="Inv 13750"/>
    <d v="2018-06-14T00:00:00"/>
    <m/>
    <d v="2018-07-30T00:00:00"/>
    <m/>
    <m/>
    <m/>
    <d v="2018-06-14T00:00:00"/>
    <m/>
    <s v="Jul-18"/>
    <x v="10"/>
    <s v="MW417R000172-2MON-25-STELLAR NPDL_MWR (A417)-Mona Vale, Mob Payment"/>
    <s v="Mona Vale"/>
    <n v="5434.3200000000006"/>
    <m/>
    <n v="5434.3200000000006"/>
    <n v="5977.7520000000013"/>
    <n v="9760"/>
    <m/>
    <n v="9760"/>
    <n v="-4325.6799999999994"/>
    <n v="-0.79599287491351245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MW417R000170-2MIR-22-STELLAR NPDL_MWR (A417)-Miranda"/>
    <s v="Miranda"/>
    <n v="14019.039999999997"/>
    <m/>
    <n v="14019.039999999997"/>
    <n v="15420.943999999998"/>
    <n v="11080"/>
    <m/>
    <n v="11080"/>
    <n v="2939.0399999999972"/>
    <n v="0.20964630959038549"/>
    <m/>
    <m/>
    <m/>
    <s v="Kirsty Doyle"/>
    <s v="Direct Award"/>
    <m/>
    <m/>
    <m/>
    <m/>
  </r>
  <r>
    <s v="NBN FttC Drops"/>
    <s v="Sydney"/>
    <s v="Inv 13745"/>
    <d v="2018-06-14T00:00:00"/>
    <m/>
    <d v="2018-07-30T00:00:00"/>
    <m/>
    <m/>
    <m/>
    <d v="2018-06-14T00:00:00"/>
    <m/>
    <s v="Jul-18"/>
    <x v="10"/>
    <s v="MW417R000170-2MIR-22-STELLAR NPDL_MWR (A417)-Miranda, Mob Payment"/>
    <s v="Miranda"/>
    <n v="6008.1599999999989"/>
    <m/>
    <n v="6008.1599999999989"/>
    <n v="6608.9759999999997"/>
    <n v="11080"/>
    <m/>
    <n v="11080"/>
    <n v="-5071.8400000000011"/>
    <n v="-0.84415861095576716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MW417R000174-2MIR-26-STELLAR NPDL_MWR (A417)-Miranda"/>
    <s v="Miranda"/>
    <n v="18303.712"/>
    <m/>
    <n v="18303.712"/>
    <n v="20134.083200000001"/>
    <n v="15304"/>
    <m/>
    <n v="15304"/>
    <n v="2999.7119999999995"/>
    <n v="0.16388544575002051"/>
    <m/>
    <m/>
    <m/>
    <s v="Kirsty Doyle"/>
    <s v="Direct Award"/>
    <m/>
    <m/>
    <m/>
    <m/>
  </r>
  <r>
    <s v="NBN FttC Drops"/>
    <s v="Sydney"/>
    <s v="Inv 13748"/>
    <d v="2018-06-14T00:00:00"/>
    <m/>
    <d v="2018-07-30T00:00:00"/>
    <m/>
    <m/>
    <m/>
    <d v="2018-06-14T00:00:00"/>
    <m/>
    <s v="Jul-18"/>
    <x v="10"/>
    <s v="MW417R000174-2MIR-26-STELLAR NPDL_MWR (A417)-Miranda, Mob Payment"/>
    <s v="Miranda"/>
    <n v="7844.4479999999994"/>
    <m/>
    <n v="7844.4479999999994"/>
    <n v="8628.8927999999996"/>
    <n v="15304"/>
    <m/>
    <n v="15304"/>
    <n v="-7459.5520000000006"/>
    <n v="-0.95093395991661889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MW417R000166-2MIR-31-STELLAR NPDL_MWR (A417)-Miranda"/>
    <s v="Miranda"/>
    <n v="16157.624"/>
    <m/>
    <n v="16157.624"/>
    <n v="17773.386399999999"/>
    <n v="12840"/>
    <m/>
    <n v="12840"/>
    <n v="3317.6239999999998"/>
    <n v="0.20532870426988523"/>
    <m/>
    <m/>
    <m/>
    <s v="Kirsty Doyle"/>
    <s v="Direct Award"/>
    <m/>
    <m/>
    <m/>
    <m/>
  </r>
  <r>
    <s v="NBN FttC Drops"/>
    <s v="Sydney"/>
    <s v="Inv 13746"/>
    <d v="2018-06-14T00:00:00"/>
    <m/>
    <d v="2018-07-30T00:00:00"/>
    <m/>
    <m/>
    <m/>
    <d v="2018-06-14T00:00:00"/>
    <m/>
    <s v="Jul-18"/>
    <x v="10"/>
    <s v="MW417R000166-2MIR-31-STELLAR NPDL_MWR (A417)-Miranda, Mob Payment"/>
    <s v="Miranda"/>
    <n v="6924.6959999999999"/>
    <m/>
    <n v="6924.6959999999999"/>
    <n v="7617.1656000000003"/>
    <n v="12840"/>
    <m/>
    <n v="12840"/>
    <n v="-5915.3040000000001"/>
    <n v="-0.85423302337026785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MW417R000180-2MIR-25-STELLAR NPDL_MWR (A417)-Miranda"/>
    <s v="Miranda"/>
    <n v="37618.881999999998"/>
    <m/>
    <n v="37618.881999999998"/>
    <n v="41380.770199999999"/>
    <n v="34356"/>
    <m/>
    <n v="34356"/>
    <n v="3262.8819999999978"/>
    <n v="8.6735219829233573E-2"/>
    <m/>
    <m/>
    <m/>
    <s v="Kirsty Doyle"/>
    <s v="Direct Award"/>
    <m/>
    <m/>
    <m/>
    <m/>
  </r>
  <r>
    <s v="NBN FttC Drops"/>
    <s v="Sydney"/>
    <s v="Inv 13749"/>
    <d v="2018-06-14T00:00:00"/>
    <m/>
    <d v="2018-07-30T00:00:00"/>
    <m/>
    <m/>
    <m/>
    <d v="2018-06-14T00:00:00"/>
    <m/>
    <s v="Jul-18"/>
    <x v="10"/>
    <s v="MW417R000180-2MIR-25-STELLAR NPDL_MWR (A417)-Miranda, Mob Payment"/>
    <s v="Miranda"/>
    <n v="16122.378000000001"/>
    <m/>
    <n v="16122.378000000001"/>
    <n v="17734.615800000003"/>
    <n v="34356"/>
    <m/>
    <n v="34356"/>
    <n v="-18233.621999999999"/>
    <n v="-1.1309511537317882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2CTH-20, Cresent Heads, Validation"/>
    <s v="Cresent Heads"/>
    <n v="15343.82"/>
    <m/>
    <n v="15343.82"/>
    <n v="16878.202000000001"/>
    <n v="9325.25"/>
    <m/>
    <n v="9325.25"/>
    <n v="6018.57"/>
    <n v="0.39224717182552976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2DRG-20, Dorrigo Validation"/>
    <s v="Dorrigo "/>
    <n v="17958"/>
    <m/>
    <n v="17958"/>
    <n v="19753.800000000003"/>
    <n v="10256.5"/>
    <m/>
    <n v="10256.5"/>
    <n v="7701.5"/>
    <n v="0.42886178861788615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2NDS-01, Nords Wharf, Validation"/>
    <s v="Nords Wharf"/>
    <n v="12067.14"/>
    <m/>
    <n v="12067.14"/>
    <n v="13273.854000000001"/>
    <n v="5136.5"/>
    <m/>
    <n v="5136.5"/>
    <n v="6930.6399999999994"/>
    <n v="0.57433990158397097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2LCT-01, Lake Cathie, Validation"/>
    <s v="Lake Cathie"/>
    <n v="2694.7"/>
    <m/>
    <n v="2694.7"/>
    <n v="2964.17"/>
    <n v="1151"/>
    <m/>
    <n v="1151"/>
    <n v="1543.6999999999998"/>
    <n v="0.57286525401714472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2ERP-20, Eastern Creek Validation"/>
    <s v="Eastern Creek"/>
    <n v="19905.239999999998"/>
    <m/>
    <n v="19905.239999999998"/>
    <n v="21895.763999999999"/>
    <n v="9452"/>
    <m/>
    <n v="9452"/>
    <n v="10453.239999999998"/>
    <n v="0.52515016146502125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2BGI-20, Boggabri Validations"/>
    <s v="Boggabri"/>
    <n v="3067.05"/>
    <m/>
    <n v="3067.05"/>
    <n v="3373.7550000000006"/>
    <n v="1782.5"/>
    <m/>
    <n v="1782.5"/>
    <n v="1284.5500000000002"/>
    <n v="0.41882264716910389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2WWA-20, Wee Waa Validation"/>
    <s v="Wee Waa"/>
    <n v="10375.619999999999"/>
    <m/>
    <n v="10375.619999999999"/>
    <n v="11413.182000000001"/>
    <n v="2088.5"/>
    <m/>
    <n v="2088.5"/>
    <n v="8287.119999999999"/>
    <n v="0.79871082402786531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2MAN-20, Manilla Validation"/>
    <s v="Manilla"/>
    <n v="10375.619999999999"/>
    <m/>
    <n v="10375.619999999999"/>
    <n v="11413.182000000001"/>
    <n v="4926.5"/>
    <m/>
    <n v="4926.5"/>
    <n v="5449.119999999999"/>
    <n v="0.5251850009927117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2WLH-20, Walcha Validation"/>
    <s v="Walcha"/>
    <n v="9022"/>
    <m/>
    <n v="9022"/>
    <n v="9924.2000000000007"/>
    <n v="2547.5"/>
    <m/>
    <n v="2547.5"/>
    <n v="6474.5"/>
    <n v="0.71763467080469967"/>
    <m/>
    <m/>
    <m/>
    <s v="Kirsty Doyle"/>
    <s v="Direct Award"/>
    <m/>
    <m/>
    <m/>
    <m/>
  </r>
  <r>
    <s v="NBN FttC Drops"/>
    <s v="Sydney"/>
    <m/>
    <m/>
    <m/>
    <d v="2018-07-30T00:00:00"/>
    <m/>
    <m/>
    <m/>
    <m/>
    <m/>
    <s v="Jul-18"/>
    <x v="8"/>
    <s v="2MIR-21, Miranda Valiadation"/>
    <s v="Miranda"/>
    <n v="6456.1"/>
    <m/>
    <n v="6456.1"/>
    <n v="7101.7100000000009"/>
    <m/>
    <m/>
    <n v="0"/>
    <n v="6456.1"/>
    <n v="1"/>
    <m/>
    <m/>
    <m/>
    <s v="Kirsty Doyle"/>
    <s v="Direct Award"/>
    <m/>
    <m/>
    <m/>
    <m/>
  </r>
  <r>
    <s v="A417 Greenfield MDU"/>
    <s v="Central West"/>
    <s v="Inv 13845"/>
    <d v="2018-07-06T00:00:00"/>
    <d v="2018-06-07T00:00:00"/>
    <d v="2018-06-07T00:00:00"/>
    <d v="2018-06-08T00:00:00"/>
    <d v="2018-07-02T00:00:00"/>
    <d v="2018-06-21T00:00:00"/>
    <d v="2018-07-10T00:00:00"/>
    <m/>
    <s v="Jun-18"/>
    <x v="15"/>
    <s v="MW22372-AYCA-4WVTLQ-2DBB-01-48 Southlakes Parade Dubbo"/>
    <s v="Dubbo"/>
    <n v="93.73"/>
    <n v="2506.9499999999998"/>
    <n v="2600.6799999999998"/>
    <n v="2860.748"/>
    <m/>
    <m/>
    <n v="0"/>
    <n v="2600.6799999999998"/>
    <n v="1"/>
    <m/>
    <m/>
    <m/>
    <s v="Mark Leal"/>
    <s v="Direct Award"/>
    <d v="2018-05-08T00:00:00"/>
    <m/>
    <d v="2018-08-01T00:00:00"/>
    <n v="85"/>
  </r>
  <r>
    <s v="A417 Greenfield MDU"/>
    <s v="Sydney"/>
    <s v="Inv 13635"/>
    <d v="2018-05-22T00:00:00"/>
    <d v="2018-05-23T00:00:00"/>
    <d v="2018-05-23T00:00:00"/>
    <d v="2018-05-31T00:00:00"/>
    <d v="2018-06-05T00:00:00"/>
    <d v="2018-06-05T00:00:00"/>
    <d v="2018-06-12T00:00:00"/>
    <m/>
    <s v="May-18"/>
    <x v="10"/>
    <s v="MW22345-AYCA-4R1HAL-2RIV-07-Crown, Edmund, William St-7 Riverstone"/>
    <s v="Riverstone"/>
    <n v="651.87"/>
    <n v="755.60000000000059"/>
    <n v="1407.4700000000007"/>
    <n v="1548.217000000001"/>
    <n v="384.84274999999991"/>
    <m/>
    <n v="384.84274999999991"/>
    <n v="1022.6272500000008"/>
    <n v="0.72657125906768905"/>
    <m/>
    <m/>
    <m/>
    <s v="Ertan Cicek"/>
    <s v="Direct Award"/>
    <d v="2018-05-09T00:00:00"/>
    <m/>
    <d v="2018-07-13T00:00:00"/>
    <n v="65"/>
  </r>
  <r>
    <s v="A417 Greenfield MDU"/>
    <s v="Sydney"/>
    <m/>
    <m/>
    <m/>
    <d v="2018-08-30T00:00:00"/>
    <m/>
    <m/>
    <m/>
    <m/>
    <m/>
    <s v="Aug-18"/>
    <x v="8"/>
    <s v="MW 22436 - AYCA-4SRFAN-2226 Roseberry St Balgowlah NSW EXT"/>
    <s v="Balgowlah"/>
    <n v="1928.04"/>
    <m/>
    <n v="1928.04"/>
    <n v="2120.8440000000001"/>
    <m/>
    <m/>
    <n v="0"/>
    <n v="1928.04"/>
    <n v="1"/>
    <m/>
    <m/>
    <m/>
    <s v="Ertan Cicek"/>
    <s v="Direct Award"/>
    <d v="2018-05-11T00:00:00"/>
    <m/>
    <d v="2018-07-25T00:00:00"/>
    <n v="75"/>
  </r>
  <r>
    <s v="A417 Greenfield MDU"/>
    <s v="Sydney"/>
    <m/>
    <m/>
    <m/>
    <d v="2018-07-30T00:00:00"/>
    <m/>
    <m/>
    <m/>
    <m/>
    <m/>
    <s v="Jul-18"/>
    <x v="8"/>
    <s v="MW22437-AYCA-4PIIN5-2RYD-66-101 Church St Ryde "/>
    <s v="Ryde"/>
    <n v="646.20000000000005"/>
    <m/>
    <n v="646.20000000000005"/>
    <n v="710.82000000000016"/>
    <m/>
    <m/>
    <n v="0"/>
    <n v="646.20000000000005"/>
    <n v="1"/>
    <m/>
    <m/>
    <m/>
    <s v="Ertan Cicek"/>
    <s v="Direct Award"/>
    <d v="2018-05-11T00:00:00"/>
    <m/>
    <d v="2018-06-26T00:00:00"/>
    <n v="46"/>
  </r>
  <r>
    <s v="A417 Greenfield MDU"/>
    <s v="Sydney"/>
    <s v="Inv 13717"/>
    <d v="2018-06-14T00:00:00"/>
    <d v="2018-05-24T00:00:00"/>
    <d v="2018-05-25T00:00:00"/>
    <d v="2018-05-24T00:00:00"/>
    <d v="2018-05-30T00:00:00"/>
    <d v="2018-06-05T00:00:00"/>
    <d v="2018-06-12T00:00:00"/>
    <m/>
    <s v="May-18"/>
    <x v="10"/>
    <s v="MW22366-AYCA-117I3H-2RIV-01-34 Station Street Schofields"/>
    <s v="Schofields"/>
    <n v="1073.74"/>
    <n v="14716.48"/>
    <n v="15790.22"/>
    <n v="17369.242000000002"/>
    <n v="11326.55"/>
    <m/>
    <n v="11326.55"/>
    <n v="4463.67"/>
    <n v="0.28268573838743222"/>
    <m/>
    <m/>
    <m/>
    <s v="Ertan Cicek"/>
    <s v="Direct Award"/>
    <d v="2018-05-14T00:00:00"/>
    <m/>
    <d v="2018-08-01T00:00:00"/>
    <n v="79"/>
  </r>
  <r>
    <s v="A401/Greenfield"/>
    <s v="Central West"/>
    <m/>
    <m/>
    <m/>
    <d v="2018-07-30T00:00:00"/>
    <m/>
    <m/>
    <m/>
    <m/>
    <m/>
    <s v="Jul-18"/>
    <x v="8"/>
    <s v="MW22392-AYCA-53Y8BE-2WEL-01-2WEL-01-17 Nicholii St, Montefiores"/>
    <s v="Montefiores"/>
    <n v="7630.73"/>
    <m/>
    <n v="7630.73"/>
    <n v="8393.8029999999999"/>
    <m/>
    <m/>
    <n v="0"/>
    <n v="7630.73"/>
    <n v="1"/>
    <m/>
    <m/>
    <m/>
    <s v="Mark Leal"/>
    <s v="Direct Award"/>
    <d v="2018-05-14T00:00:00"/>
    <m/>
    <d v="2018-06-15T00:00:00"/>
    <n v="32"/>
  </r>
  <r>
    <s v="A417 Greenfield MDU"/>
    <s v="Central Coast"/>
    <m/>
    <m/>
    <m/>
    <d v="2018-07-30T00:00:00"/>
    <m/>
    <m/>
    <m/>
    <m/>
    <m/>
    <s v="Jul-18"/>
    <x v="8"/>
    <s v="MW22435-AYCA-5576QH-2TGL-02-3 Ghersi Ave Wambera"/>
    <s v="Wamberal"/>
    <n v="1596.49"/>
    <m/>
    <n v="1596.49"/>
    <n v="1756.1390000000001"/>
    <m/>
    <m/>
    <n v="0"/>
    <n v="1596.49"/>
    <n v="1"/>
    <m/>
    <m/>
    <m/>
    <s v="Ertan Cicek"/>
    <s v="Direct Award"/>
    <d v="2018-05-14T00:00:00"/>
    <m/>
    <d v="2018-05-26T00:00:00"/>
    <n v="12"/>
  </r>
  <r>
    <s v="A417 Greenfield MDU"/>
    <s v="Sydney"/>
    <s v="Inv 13716"/>
    <d v="2018-06-20T00:00:00"/>
    <d v="2018-05-31T00:00:00"/>
    <d v="2018-05-31T00:00:00"/>
    <d v="2018-05-31T00:00:00"/>
    <d v="2018-06-05T00:00:00"/>
    <d v="2018-06-14T00:00:00"/>
    <d v="2018-06-22T00:00:00"/>
    <m/>
    <s v="May-18"/>
    <x v="10"/>
    <s v="MW22454-AYCA-2CVKCU-2ROT-60-60 Wallgrove Rd Easter Creek "/>
    <s v="Eastern Creek"/>
    <n v="1556.8"/>
    <n v="1927.12"/>
    <n v="3483.92"/>
    <n v="3832.3120000000004"/>
    <n v="2361.42"/>
    <m/>
    <n v="2361.42"/>
    <n v="1122.5"/>
    <n v="0.32219453948425908"/>
    <m/>
    <m/>
    <m/>
    <s v="Ertan Cicek"/>
    <s v="Direct Award"/>
    <d v="2018-05-17T00:00:00"/>
    <m/>
    <d v="2018-07-31T00:00:00"/>
    <n v="75"/>
  </r>
  <r>
    <s v="A401/Greenfield"/>
    <s v="Sth NSW"/>
    <m/>
    <m/>
    <m/>
    <d v="2018-07-30T00:00:00"/>
    <m/>
    <m/>
    <m/>
    <m/>
    <m/>
    <s v="Jul-18"/>
    <x v="8"/>
    <s v="MW22433-AYCA-4OJUJI-2GLB-04-20 Cathcart St Goulburn "/>
    <s v="Goulburn"/>
    <n v="4404.1400000000003"/>
    <m/>
    <n v="4404.1400000000003"/>
    <n v="4844.554000000001"/>
    <m/>
    <m/>
    <n v="0"/>
    <n v="4404.1400000000003"/>
    <n v="1"/>
    <m/>
    <m/>
    <m/>
    <s v="Sogand Mohtat"/>
    <d v="2018-05-15T00:00:00"/>
    <d v="2018-05-18T00:00:00"/>
    <n v="3"/>
    <d v="2018-06-20T00:00:00"/>
    <n v="33"/>
  </r>
  <r>
    <s v="A417 Greenfield MDU"/>
    <s v="Sydney"/>
    <m/>
    <m/>
    <m/>
    <d v="2018-08-30T00:00:00"/>
    <m/>
    <m/>
    <m/>
    <m/>
    <m/>
    <s v="Aug-18"/>
    <x v="8"/>
    <s v="MW417R000034-AYCA-44MH0G-2RYD-63-133-137 Bowden Street Meadowbank "/>
    <s v="Meadowbank"/>
    <n v="3333.98"/>
    <m/>
    <n v="3333.98"/>
    <n v="3667.3780000000002"/>
    <m/>
    <m/>
    <n v="0"/>
    <n v="3333.98"/>
    <n v="1"/>
    <m/>
    <m/>
    <m/>
    <s v="Ertan Cicek"/>
    <s v="Direct Award"/>
    <d v="2018-05-18T00:00:00"/>
    <m/>
    <d v="2018-08-01T00:00:00"/>
    <n v="75"/>
  </r>
  <r>
    <s v="A417 Greenfield MDU"/>
    <s v="Sydney"/>
    <s v="Inv 13506"/>
    <d v="2018-05-01T00:00:00"/>
    <d v="2018-05-21T00:00:00"/>
    <d v="2018-05-22T00:00:00"/>
    <d v="2018-05-22T00:00:00"/>
    <d v="2018-05-24T00:00:00"/>
    <d v="2018-05-31T00:00:00"/>
    <d v="2018-06-07T00:00:00"/>
    <m/>
    <s v="May-18"/>
    <x v="10"/>
    <s v="MW22390-AYCA-4EE89M-2RIV-04-15 Boundary Rd Box Hill"/>
    <s v="Box Hill"/>
    <n v="1635.31"/>
    <n v="845.60000000000559"/>
    <n v="2480.9100000000053"/>
    <n v="2729.0010000000061"/>
    <n v="976.93"/>
    <m/>
    <n v="976.93"/>
    <n v="1503.9800000000055"/>
    <n v="0.60622110435283916"/>
    <m/>
    <m/>
    <m/>
    <s v="Andrew Mahssy"/>
    <s v="Direct Award"/>
    <d v="2018-05-08T00:00:00"/>
    <m/>
    <d v="2018-08-02T00:00:00"/>
    <n v="86"/>
  </r>
  <r>
    <s v="A417 Greenfield MDU"/>
    <s v="Sydney"/>
    <m/>
    <m/>
    <m/>
    <d v="2018-08-30T00:00:00"/>
    <m/>
    <m/>
    <m/>
    <m/>
    <m/>
    <s v="Aug-18"/>
    <x v="8"/>
    <s v="MW417R000052-AYCA-44H3AU-2STL-65-13 Marshall Avenue St Leonards "/>
    <s v="St Leonards"/>
    <n v="1998.69"/>
    <m/>
    <n v="1998.69"/>
    <n v="2198.5590000000002"/>
    <m/>
    <m/>
    <n v="0"/>
    <n v="1998.69"/>
    <n v="1"/>
    <m/>
    <m/>
    <m/>
    <s v="Ertan Cicek"/>
    <s v="Direct Award"/>
    <d v="2018-05-21T00:00:00"/>
    <m/>
    <d v="2018-08-05T00:00:00"/>
    <n v="76"/>
  </r>
  <r>
    <s v="A417 Greenfield MDU"/>
    <s v="Sydney"/>
    <m/>
    <m/>
    <m/>
    <d v="2018-08-30T00:00:00"/>
    <m/>
    <m/>
    <m/>
    <m/>
    <m/>
    <s v="Aug-18"/>
    <x v="8"/>
    <s v="MW22474-AYCA-4UE5JN-2LID-03-46-48 Beaumont St "/>
    <s v="Lidcombe"/>
    <n v="1347.33"/>
    <m/>
    <n v="1347.33"/>
    <n v="1482.0630000000001"/>
    <m/>
    <m/>
    <n v="0"/>
    <n v="1347.33"/>
    <n v="1"/>
    <m/>
    <m/>
    <m/>
    <s v="Ertan Cicek"/>
    <s v="Direct Award"/>
    <d v="2018-05-21T00:00:00"/>
    <m/>
    <d v="2018-08-06T00:00:00"/>
    <n v="77"/>
  </r>
  <r>
    <s v="A417 Greenfield MDU"/>
    <s v="Sth Coast"/>
    <m/>
    <m/>
    <m/>
    <d v="2018-08-30T00:00:00"/>
    <m/>
    <m/>
    <m/>
    <m/>
    <m/>
    <s v="Aug-18"/>
    <x v="8"/>
    <s v="MW22501-AYCA-4W183C-2WLG-02-71 Auburn St Wollongong "/>
    <s v="Wollongong"/>
    <n v="1592.08"/>
    <m/>
    <n v="1592.08"/>
    <n v="1751.288"/>
    <m/>
    <m/>
    <n v="0"/>
    <n v="1592.08"/>
    <n v="1"/>
    <m/>
    <m/>
    <m/>
    <s v="Nabeel Jaimon"/>
    <s v="Direct Award"/>
    <d v="2018-05-22T00:00:00"/>
    <m/>
    <d v="2018-08-06T00:00:00"/>
    <n v="76"/>
  </r>
  <r>
    <s v="A417 Greenfield MDU"/>
    <s v="Sydney"/>
    <m/>
    <m/>
    <m/>
    <d v="2018-08-30T00:00:00"/>
    <m/>
    <m/>
    <m/>
    <m/>
    <m/>
    <s v="Aug-18"/>
    <x v="8"/>
    <s v="MW417R000049-AYCA-24QAXK-2ROC-03-10 Martin Avenue Arncliffe"/>
    <s v="Arncliffe"/>
    <n v="2655.28"/>
    <m/>
    <n v="2655.28"/>
    <n v="2920.8080000000004"/>
    <m/>
    <m/>
    <n v="0"/>
    <n v="2655.28"/>
    <n v="1"/>
    <m/>
    <m/>
    <m/>
    <s v="Ertan Cicek"/>
    <s v="Direct Award"/>
    <d v="2018-05-22T00:00:00"/>
    <m/>
    <d v="2018-08-06T00:00:00"/>
    <n v="76"/>
  </r>
  <r>
    <s v="A417 Greenfield MDU"/>
    <s v="Sydney"/>
    <m/>
    <m/>
    <m/>
    <d v="2018-08-30T00:00:00"/>
    <m/>
    <m/>
    <m/>
    <m/>
    <m/>
    <s v="Aug-18"/>
    <x v="8"/>
    <s v="MW417R000051-AYCA-55JW1J-2BOT-01-180 – 188 Maroubra Rd, Maroubra "/>
    <s v="Maroubra"/>
    <n v="1343.18"/>
    <m/>
    <n v="1343.18"/>
    <n v="1477.4980000000003"/>
    <n v="3524.25"/>
    <m/>
    <n v="3524.25"/>
    <n v="-2181.0699999999997"/>
    <n v="-1.6238106582885388"/>
    <m/>
    <m/>
    <m/>
    <s v="Ertan Cicek"/>
    <s v="Direct Award"/>
    <d v="2018-05-22T00:00:00"/>
    <m/>
    <d v="2018-08-01T00:00:00"/>
    <n v="71"/>
  </r>
  <r>
    <s v="A417 Greenfield MDU"/>
    <s v="Sydney"/>
    <m/>
    <m/>
    <d v="2018-06-29T00:00:00"/>
    <d v="2018-06-29T00:00:00"/>
    <d v="2018-07-02T00:00:00"/>
    <m/>
    <d v="2018-07-13T00:00:00"/>
    <d v="2018-07-27T00:00:00"/>
    <m/>
    <s v="Jun-18"/>
    <x v="15"/>
    <s v="MW22526-AYCA-4T7JU2-2MIR-25-13 Dudley Avenue Caringbah South "/>
    <s v="Carringbah"/>
    <n v="1804.33"/>
    <n v="12670.33"/>
    <n v="14474.66"/>
    <n v="15922.126000000002"/>
    <n v="3866.63"/>
    <m/>
    <n v="3866.63"/>
    <n v="10608.029999999999"/>
    <n v="0.73286902766628015"/>
    <m/>
    <m/>
    <m/>
    <s v="Ertan Cicek"/>
    <s v="Direct Award"/>
    <d v="2018-05-24T00:00:00"/>
    <m/>
    <d v="2018-05-30T00:00:00"/>
    <n v="6"/>
  </r>
  <r>
    <s v="A417 Greenfield MDU"/>
    <s v="Sydney"/>
    <m/>
    <m/>
    <m/>
    <d v="2018-07-30T00:00:00"/>
    <m/>
    <m/>
    <m/>
    <m/>
    <m/>
    <s v="Jul-18"/>
    <x v="8"/>
    <s v="MW22531-AYCA-413Z64-2PAR-64-2B Darcy Rd Westmead "/>
    <s v="Westmead"/>
    <n v="1987.42"/>
    <m/>
    <n v="1987.42"/>
    <n v="2186.1620000000003"/>
    <m/>
    <m/>
    <n v="0"/>
    <n v="1987.42"/>
    <n v="1"/>
    <m/>
    <m/>
    <m/>
    <s v="Ertan Cicek"/>
    <s v="Direct Award"/>
    <d v="2018-05-25T00:00:00"/>
    <m/>
    <d v="2018-06-15T00:00:00"/>
    <n v="21"/>
  </r>
  <r>
    <s v="A417 Greenfield MDU"/>
    <s v="Sth Coast"/>
    <m/>
    <m/>
    <d v="2018-06-19T00:00:00"/>
    <d v="2018-06-19T00:00:00"/>
    <d v="2018-07-02T00:00:00"/>
    <d v="2018-07-04T00:00:00"/>
    <d v="2018-07-03T00:00:00"/>
    <d v="2018-07-17T00:00:00"/>
    <m/>
    <s v="Jun-18"/>
    <x v="15"/>
    <s v="MW22420 - AYCA-4RFDRV - 2KIA-03 - 58 Old Saddleback Road Kiama"/>
    <s v="Kiama"/>
    <n v="11050.52"/>
    <n v="9243.7120000000159"/>
    <n v="20294.232000000018"/>
    <n v="22323.655200000023"/>
    <n v="5530.26"/>
    <n v="3905.8592500000004"/>
    <n v="9436.1192499999997"/>
    <n v="10858.112750000018"/>
    <n v="0.53503442505239951"/>
    <m/>
    <m/>
    <m/>
    <s v="Andrew Mahassy"/>
    <s v="Direct Award"/>
    <d v="2018-05-11T00:00:00"/>
    <m/>
    <d v="2018-05-23T00:00:00"/>
    <n v="12"/>
  </r>
  <r>
    <s v="A417 Greenfield MDU"/>
    <s v="Sydney"/>
    <m/>
    <m/>
    <m/>
    <d v="2018-08-30T00:00:00"/>
    <m/>
    <m/>
    <m/>
    <m/>
    <m/>
    <s v="Aug-18"/>
    <x v="8"/>
    <s v="MW22470-AYCA-2XJBL7-2SIL-02-3 Olympic Blvd Sydney Olympic Park"/>
    <s v="Olympic Park"/>
    <n v="5102.55"/>
    <m/>
    <n v="5102.55"/>
    <n v="5612.8050000000003"/>
    <m/>
    <m/>
    <n v="0"/>
    <n v="5102.55"/>
    <n v="1"/>
    <m/>
    <m/>
    <m/>
    <s v="Ertan Cicek"/>
    <s v="Direct Award"/>
    <d v="2018-05-28T00:00:00"/>
    <m/>
    <d v="2018-08-05T00:00:00"/>
    <n v="69"/>
  </r>
  <r>
    <s v="A401/Greenfield"/>
    <s v="Sydney"/>
    <s v="Inv 13751"/>
    <d v="2018-06-20T00:00:00"/>
    <d v="2018-05-29T00:00:00"/>
    <d v="2018-05-29T00:00:00"/>
    <d v="2018-05-31T00:00:00"/>
    <d v="2018-06-05T00:00:00"/>
    <d v="2018-06-14T00:00:00"/>
    <d v="2018-06-28T00:00:00"/>
    <m/>
    <s v="May-18"/>
    <x v="10"/>
    <s v="MW22478 - AYCA-501QN5 - 2CAS-23 - 30 Pentonville Parade, Castle Hill "/>
    <s v="Castle Hill"/>
    <n v="2549.4500000000003"/>
    <n v="1147.33"/>
    <n v="3696.78"/>
    <n v="4066.4580000000005"/>
    <n v="1826.69"/>
    <m/>
    <n v="1826.69"/>
    <n v="1870.0900000000001"/>
    <n v="0.50586997332813965"/>
    <m/>
    <m/>
    <m/>
    <s v="Dave Yoemans"/>
    <d v="2018-05-22T00:00:00"/>
    <d v="2018-05-30T00:00:00"/>
    <m/>
    <d v="2018-07-30T00:00:00"/>
    <n v="61"/>
  </r>
  <r>
    <s v="A417 Greenfield MDU"/>
    <s v="Newcastle"/>
    <m/>
    <m/>
    <m/>
    <m/>
    <m/>
    <m/>
    <m/>
    <m/>
    <m/>
    <m/>
    <x v="18"/>
    <s v="AYCA-54QQ6Y_48 KALAROO RD REDHEAD"/>
    <s v="Redhead"/>
    <m/>
    <m/>
    <m/>
    <m/>
    <m/>
    <m/>
    <m/>
    <m/>
    <m/>
    <m/>
    <m/>
    <m/>
    <m/>
    <m/>
    <m/>
    <m/>
    <m/>
    <m/>
  </r>
  <r>
    <s v="A417 Greenfield MDU"/>
    <s v="Sydney"/>
    <m/>
    <m/>
    <m/>
    <d v="2018-10-30T00:00:00"/>
    <m/>
    <m/>
    <m/>
    <m/>
    <m/>
    <s v="Oct-18"/>
    <x v="8"/>
    <s v="MW22548-AYCA-48V6NM-2PTH-05-Lord Sheffield Circuit Penrith"/>
    <s v="Penrith"/>
    <n v="6541.61"/>
    <m/>
    <n v="6541.61"/>
    <n v="7195.7710000000006"/>
    <m/>
    <m/>
    <n v="0"/>
    <n v="6541.61"/>
    <n v="1"/>
    <m/>
    <m/>
    <m/>
    <s v="Ertan Cicek"/>
    <s v="Direct Award"/>
    <d v="2018-05-30T00:00:00"/>
    <m/>
    <d v="2018-09-13T00:00:00"/>
    <n v="106"/>
  </r>
  <r>
    <s v="A417 Greenfield MDU"/>
    <s v="Sydney"/>
    <m/>
    <m/>
    <m/>
    <d v="2018-09-30T00:00:00"/>
    <m/>
    <m/>
    <m/>
    <m/>
    <m/>
    <s v="Sep-18"/>
    <x v="8"/>
    <s v="MW22505-2KNS-03-AYCA-4KBL5R-14-18 Primrose Ave &amp; 27-29 Roseberry Ave Rosberry "/>
    <s v="Rosberry"/>
    <n v="1091.81"/>
    <m/>
    <n v="1091.81"/>
    <n v="1200.991"/>
    <m/>
    <m/>
    <n v="0"/>
    <n v="1091.81"/>
    <n v="1"/>
    <m/>
    <m/>
    <m/>
    <s v="Ertan Cicek"/>
    <s v="Direct Award"/>
    <d v="2018-05-30T00:00:00"/>
    <m/>
    <d v="2018-08-18T00:00:00"/>
    <n v="80"/>
  </r>
  <r>
    <s v="A417 Greenfield MDU"/>
    <s v="Sydney"/>
    <m/>
    <m/>
    <m/>
    <d v="2018-10-30T00:00:00"/>
    <m/>
    <m/>
    <m/>
    <m/>
    <m/>
    <s v="Oct-18"/>
    <x v="8"/>
    <s v="MW417R000243-AYCA-56I886-2ASH-64-47 Cecil St, Ashfield"/>
    <s v="Ashfield"/>
    <n v="2864.22"/>
    <m/>
    <n v="2864.22"/>
    <n v="3150.6419999999998"/>
    <m/>
    <m/>
    <n v="0"/>
    <n v="2864.22"/>
    <n v="1"/>
    <m/>
    <m/>
    <m/>
    <s v="Ertan Cicek"/>
    <s v="Direct Award"/>
    <d v="2018-06-13T00:00:00"/>
    <m/>
    <d v="2018-09-28T00:00:00"/>
    <n v="107"/>
  </r>
  <r>
    <s v="A417 Greenfield MDU"/>
    <s v="Sydney"/>
    <m/>
    <m/>
    <m/>
    <d v="2018-08-30T00:00:00"/>
    <m/>
    <m/>
    <m/>
    <m/>
    <m/>
    <s v="Aug-18"/>
    <x v="8"/>
    <s v="MW22513 - AYCA-4JW63S - 2CRO-21 - 25-29 Tonkin St Cronulla"/>
    <s v="Cronulla"/>
    <n v="4221.51"/>
    <m/>
    <n v="4221.51"/>
    <n v="4643.661000000001"/>
    <m/>
    <m/>
    <n v="0"/>
    <n v="4221.51"/>
    <n v="1"/>
    <m/>
    <m/>
    <m/>
    <s v="Ertan Cicek"/>
    <s v="Direct Award"/>
    <d v="2018-05-29T00:00:00"/>
    <m/>
    <d v="2018-07-29T00:00:00"/>
    <n v="61"/>
  </r>
  <r>
    <s v="A401/Greenfield"/>
    <s v="Nth Coast"/>
    <m/>
    <m/>
    <m/>
    <d v="2018-07-30T00:00:00"/>
    <m/>
    <m/>
    <m/>
    <m/>
    <m/>
    <s v="Jul-18"/>
    <x v="8"/>
    <s v="MW22483-AYCA-4IEHVB-2CAH-21-Bottlebrush Place, Lakewood"/>
    <s v="Lakewood"/>
    <n v="3000"/>
    <m/>
    <n v="3000"/>
    <n v="3300.0000000000005"/>
    <m/>
    <m/>
    <n v="0"/>
    <n v="3000"/>
    <n v="1"/>
    <m/>
    <m/>
    <m/>
    <s v="Mark Leal"/>
    <d v="2018-05-21T00:00:00"/>
    <d v="2018-05-29T00:00:00"/>
    <n v="8"/>
    <d v="2018-06-29T00:00:00"/>
    <n v="31"/>
  </r>
  <r>
    <s v="A417 Greenfield MDU"/>
    <s v="Sydney"/>
    <m/>
    <m/>
    <m/>
    <d v="2018-09-30T00:00:00"/>
    <m/>
    <m/>
    <m/>
    <m/>
    <m/>
    <s v="Sep-18"/>
    <x v="8"/>
    <s v="MW22520-AYCA-48OYT0-2EDG-65-240 New South Head Road Edgecliff "/>
    <s v="Edgecliffe"/>
    <n v="1411.72"/>
    <m/>
    <n v="1411.72"/>
    <n v="1552.8920000000001"/>
    <m/>
    <m/>
    <n v="0"/>
    <n v="1411.72"/>
    <n v="1"/>
    <m/>
    <m/>
    <m/>
    <s v="Ertan Cicek"/>
    <s v="Direct Award"/>
    <d v="2018-05-30T00:00:00"/>
    <m/>
    <d v="2018-09-05T00:00:00"/>
    <n v="98"/>
  </r>
  <r>
    <s v="A417 Greenfield MDU"/>
    <s v="Central West"/>
    <m/>
    <m/>
    <m/>
    <d v="2018-09-30T00:00:00"/>
    <m/>
    <m/>
    <m/>
    <m/>
    <m/>
    <s v="Sep-18"/>
    <x v="8"/>
    <s v="MW22575-AYCA-4LHC6F-2DBB-01-30 Ritz Pl Dubbo"/>
    <s v="Dubbo"/>
    <n v="4042.34"/>
    <m/>
    <n v="4042.34"/>
    <n v="4446.5740000000005"/>
    <m/>
    <m/>
    <n v="0"/>
    <n v="4042.34"/>
    <n v="1"/>
    <m/>
    <m/>
    <m/>
    <s v="Ertan Cicek"/>
    <s v="Direct Award"/>
    <d v="2018-05-30T00:00:00"/>
    <m/>
    <d v="2018-08-23T00:00:00"/>
    <n v="85"/>
  </r>
  <r>
    <s v="A417 Greenfield MDU"/>
    <s v="Sydney"/>
    <m/>
    <m/>
    <m/>
    <d v="2018-09-30T00:00:00"/>
    <m/>
    <m/>
    <m/>
    <m/>
    <m/>
    <s v="Sep-18"/>
    <x v="8"/>
    <s v="MW22532-AYCA-55KUFO-2MIR-22-31 Bay Road Taren Point "/>
    <s v="Taren Point"/>
    <n v="2382.0700000000002"/>
    <m/>
    <n v="2382.0700000000002"/>
    <n v="2620.2770000000005"/>
    <m/>
    <m/>
    <n v="0"/>
    <n v="2382.0700000000002"/>
    <n v="1"/>
    <m/>
    <m/>
    <m/>
    <s v="Ertan Cicek"/>
    <s v="Direct Award"/>
    <d v="2018-05-30T00:00:00"/>
    <m/>
    <d v="2018-08-29T00:00:00"/>
    <n v="91"/>
  </r>
  <r>
    <s v="A417 Greenfield MDU"/>
    <s v="Sydney"/>
    <m/>
    <m/>
    <m/>
    <d v="2018-09-30T00:00:00"/>
    <m/>
    <m/>
    <m/>
    <m/>
    <m/>
    <s v="Sep-18"/>
    <x v="8"/>
    <s v="MW22574 - AYCA-4BBYMK - 2ROU-01 - 184 &amp; 186 Old Pitt Town Rd Box Hill"/>
    <s v="Box Hill"/>
    <n v="3453.15"/>
    <m/>
    <n v="3453.15"/>
    <n v="3798.4650000000006"/>
    <m/>
    <m/>
    <n v="0"/>
    <n v="3453.15"/>
    <n v="1"/>
    <m/>
    <m/>
    <m/>
    <s v="Ertan Cicek"/>
    <s v="Direct Award"/>
    <d v="2018-05-30T00:00:00"/>
    <m/>
    <d v="2018-08-23T00:00:00"/>
    <n v="85"/>
  </r>
  <r>
    <s v="A417 Greenfield MDU"/>
    <s v="Central West"/>
    <m/>
    <m/>
    <m/>
    <d v="2018-09-30T00:00:00"/>
    <m/>
    <m/>
    <m/>
    <m/>
    <m/>
    <s v="Sep-18"/>
    <x v="8"/>
    <s v="MW22547-AYCA-547JTQ-2DBB-04-1D Rawson St Dubbo "/>
    <s v="Dubbo"/>
    <n v="1056.4000000000001"/>
    <m/>
    <n v="1056.4000000000001"/>
    <n v="1162.0400000000002"/>
    <m/>
    <m/>
    <n v="0"/>
    <n v="1056.4000000000001"/>
    <n v="1"/>
    <m/>
    <m/>
    <m/>
    <s v="Ertan Cicek"/>
    <s v="Direct Award"/>
    <d v="2018-05-31T00:00:00"/>
    <m/>
    <d v="2018-08-22T00:00:00"/>
    <n v="83"/>
  </r>
  <r>
    <s v="A417 Greenfield MDU"/>
    <s v="Sydney"/>
    <m/>
    <m/>
    <m/>
    <d v="2018-09-30T00:00:00"/>
    <m/>
    <m/>
    <m/>
    <m/>
    <m/>
    <s v="Sep-18"/>
    <x v="8"/>
    <s v="MW22579-AYCA-4R1C1M-2RIV-07-William St Riverstone"/>
    <s v="Riverstone"/>
    <n v="923.71"/>
    <m/>
    <n v="923.71"/>
    <n v="1016.0810000000001"/>
    <m/>
    <m/>
    <n v="0"/>
    <n v="923.71"/>
    <n v="1"/>
    <m/>
    <m/>
    <m/>
    <s v="Ertan Cicek"/>
    <s v="Direct Award"/>
    <d v="2018-06-01T00:00:00"/>
    <m/>
    <d v="2018-08-23T00:00:00"/>
    <n v="83"/>
  </r>
  <r>
    <s v="A417 Greenfield MDU"/>
    <s v="Central West"/>
    <m/>
    <m/>
    <m/>
    <d v="2018-09-30T00:00:00"/>
    <m/>
    <m/>
    <m/>
    <m/>
    <m/>
    <s v="Sep-18"/>
    <x v="8"/>
    <s v="MW22580-AYCA-52S52D-2BTH-01-18 Hobson Cl Eglinton"/>
    <s v="Eglinton"/>
    <n v="2924.92"/>
    <m/>
    <n v="2924.92"/>
    <n v="3217.4120000000003"/>
    <m/>
    <m/>
    <n v="0"/>
    <n v="2924.92"/>
    <n v="1"/>
    <m/>
    <m/>
    <m/>
    <s v="Ertan Cicek"/>
    <s v="Direct Award"/>
    <d v="2018-06-01T00:00:00"/>
    <m/>
    <d v="2018-08-24T00:00:00"/>
    <n v="84"/>
  </r>
  <r>
    <s v="A417 Greenfield MDU"/>
    <s v="Sydney"/>
    <m/>
    <m/>
    <m/>
    <d v="2018-08-30T00:00:00"/>
    <m/>
    <m/>
    <m/>
    <m/>
    <m/>
    <s v="Aug-18"/>
    <x v="8"/>
    <s v="MW417R000099-AYCA-577BDS-2BLK-07-36 Huntingwood Drive Huntingwood"/>
    <s v="Huntingwood"/>
    <n v="856.8"/>
    <m/>
    <n v="856.8"/>
    <n v="942.48"/>
    <m/>
    <m/>
    <n v="0"/>
    <n v="856.8"/>
    <n v="1"/>
    <m/>
    <m/>
    <m/>
    <s v="Nabeel Jaimon"/>
    <s v="Direct Award"/>
    <d v="2018-06-01T00:00:00"/>
    <m/>
    <d v="2018-08-08T00:00:00"/>
    <n v="68"/>
  </r>
  <r>
    <s v="A401/Greenfield"/>
    <s v="Sth NSW"/>
    <m/>
    <m/>
    <d v="2018-06-18T00:00:00"/>
    <d v="2018-06-30T00:00:00"/>
    <m/>
    <m/>
    <d v="2018-07-02T00:00:00"/>
    <m/>
    <m/>
    <s v="Jun-18"/>
    <x v="8"/>
    <s v="MW22493 - AYCA-4VG4KY - 2LTO-20 -  23-25 Chelmsford Place Leeton"/>
    <s v="Leeton"/>
    <n v="4293.8739999999998"/>
    <m/>
    <n v="4293.8739999999998"/>
    <n v="4723.2614000000003"/>
    <m/>
    <m/>
    <n v="0"/>
    <n v="4293.8739999999998"/>
    <n v="1"/>
    <m/>
    <m/>
    <m/>
    <s v="Dave Yoemans"/>
    <m/>
    <m/>
    <m/>
    <m/>
    <n v="0"/>
  </r>
  <r>
    <s v="A417 Greenfield MDU"/>
    <s v="Sydney"/>
    <m/>
    <m/>
    <m/>
    <d v="2018-07-30T00:00:00"/>
    <m/>
    <m/>
    <m/>
    <m/>
    <m/>
    <s v="Jul-18"/>
    <x v="8"/>
    <s v="MW417R000065- AYCA-59DV6W-2CRR-72-Nelson St, Fairfield"/>
    <s v="Fairfield"/>
    <n v="1156.75"/>
    <m/>
    <n v="1156.75"/>
    <n v="1272.4250000000002"/>
    <n v="1502.68"/>
    <m/>
    <n v="1502.68"/>
    <n v="-345.93000000000006"/>
    <n v="-0.29905338232115847"/>
    <m/>
    <m/>
    <m/>
    <s v="Ertan Cicek"/>
    <s v="Direct Award"/>
    <d v="2018-06-05T00:00:00"/>
    <m/>
    <d v="2018-06-28T00:00:00"/>
    <n v="23"/>
  </r>
  <r>
    <s v="A417 Greenfield MDU"/>
    <s v="Newcastle"/>
    <m/>
    <m/>
    <m/>
    <d v="2018-09-30T00:00:00"/>
    <m/>
    <m/>
    <m/>
    <m/>
    <m/>
    <s v="Sep-18"/>
    <x v="8"/>
    <s v="MW417R000077-AYCA-5A2Y34-2MAI-03-100 George St East Maitland "/>
    <s v="East Maitland"/>
    <n v="926.02"/>
    <m/>
    <n v="926.02"/>
    <n v="1018.6220000000001"/>
    <m/>
    <m/>
    <n v="0"/>
    <n v="926.02"/>
    <n v="1"/>
    <m/>
    <m/>
    <m/>
    <s v="Ertan Cicek"/>
    <s v="Direct Award"/>
    <d v="2018-06-05T00:00:00"/>
    <m/>
    <d v="2018-08-29T00:00:00"/>
    <n v="85"/>
  </r>
  <r>
    <s v="A401/Greenfield"/>
    <s v="ACT"/>
    <m/>
    <m/>
    <d v="2018-07-03T00:00:00"/>
    <d v="2018-07-30T00:00:00"/>
    <m/>
    <m/>
    <m/>
    <m/>
    <m/>
    <s v="Jul-18"/>
    <x v="8"/>
    <s v="AYCA‐52JYBU NBN Tech Choice 7 Buggy Crescent McKellar"/>
    <s v="Mckellar"/>
    <n v="20864.64"/>
    <m/>
    <n v="20864.64"/>
    <n v="22951.104000000003"/>
    <n v="5714.37"/>
    <m/>
    <n v="5714.37"/>
    <n v="15150.27"/>
    <n v="0.72612180224532996"/>
    <m/>
    <m/>
    <m/>
    <s v="Dave Yoemans"/>
    <m/>
    <m/>
    <m/>
    <m/>
    <m/>
  </r>
  <r>
    <s v="A417 Greenfield MDU"/>
    <s v="Sydney"/>
    <m/>
    <m/>
    <d v="2018-07-05T00:00:00"/>
    <d v="2018-07-05T00:00:00"/>
    <m/>
    <m/>
    <d v="2018-07-19T00:00:00"/>
    <d v="2018-11-10T00:00:00"/>
    <m/>
    <s v="Jul-18"/>
    <x v="19"/>
    <s v="MW417R000070-AYCA-52UC2N-2WRO-63-Beech Rd Casula "/>
    <s v="Casula"/>
    <n v="19385.47"/>
    <m/>
    <n v="19385.47"/>
    <n v="21324.017000000003"/>
    <n v="7183.72"/>
    <m/>
    <n v="7183.72"/>
    <n v="12201.75"/>
    <n v="0.62942760737810322"/>
    <m/>
    <m/>
    <m/>
    <s v="Ertan Cicek"/>
    <s v="Direct Award"/>
    <d v="2018-06-07T00:00:00"/>
    <m/>
    <d v="2018-08-29T00:00:00"/>
    <n v="83"/>
  </r>
  <r>
    <s v="A417 Greenfield MDU"/>
    <s v="Sydney"/>
    <m/>
    <m/>
    <d v="2018-06-22T00:00:00"/>
    <d v="2018-06-22T00:00:00"/>
    <d v="2018-06-25T00:00:00"/>
    <m/>
    <d v="2018-07-06T00:00:00"/>
    <d v="2018-07-20T00:00:00"/>
    <m/>
    <s v="Jun-18"/>
    <x v="15"/>
    <s v="MW417R000124-AYCA-58BKNK-2RYD-66-2-6 Junction St Ryde"/>
    <s v="Ryde"/>
    <n v="1064.32"/>
    <n v="5366.5890000000036"/>
    <n v="6430.9090000000033"/>
    <n v="7073.9999000000043"/>
    <n v="1932.82"/>
    <m/>
    <n v="1932.82"/>
    <n v="4498.0890000000036"/>
    <n v="0.69944839835239481"/>
    <m/>
    <m/>
    <m/>
    <s v="Ertan Cicek"/>
    <s v="Direct Award"/>
    <d v="2018-06-06T00:00:00"/>
    <m/>
    <d v="2018-08-30T00:00:00"/>
    <n v="85"/>
  </r>
  <r>
    <s v="A417 Greenfield MDU"/>
    <s v="Sydney"/>
    <m/>
    <m/>
    <d v="2018-06-18T00:00:00"/>
    <d v="2018-06-19T00:00:00"/>
    <d v="2018-06-27T00:00:00"/>
    <m/>
    <d v="2018-07-03T00:00:00"/>
    <d v="2018-07-17T00:00:00"/>
    <m/>
    <s v="Jun-18"/>
    <x v="15"/>
    <s v="MW417R000098-AYCA-4TC0MT-2QUA-65-50 Farnham Rd, Quakers Hill"/>
    <s v="Quakers Hill"/>
    <n v="8779.84"/>
    <n v="16441.630000000008"/>
    <n v="25221.470000000008"/>
    <n v="27743.617000000013"/>
    <n v="17562.260000000002"/>
    <m/>
    <n v="17562.260000000002"/>
    <n v="7659.2100000000064"/>
    <n v="0.30367817577643191"/>
    <m/>
    <m/>
    <m/>
    <s v="Ertan Cicek"/>
    <s v="Direct Award"/>
    <d v="2018-06-08T00:00:00"/>
    <m/>
    <d v="2018-08-30T00:00:00"/>
    <n v="83"/>
  </r>
  <r>
    <s v="A417 Greenfield MDU"/>
    <s v="Sydney"/>
    <m/>
    <m/>
    <m/>
    <d v="2018-09-30T00:00:00"/>
    <m/>
    <m/>
    <m/>
    <m/>
    <m/>
    <s v="Sep-18"/>
    <x v="8"/>
    <s v="MW417R000132-AYCA-4L3R6E-2MIR-26-4-6 Ventura Ave Miranda"/>
    <s v="Miranda"/>
    <n v="5800.56"/>
    <m/>
    <n v="5800.56"/>
    <n v="6380.6160000000009"/>
    <m/>
    <m/>
    <n v="0"/>
    <n v="5800.56"/>
    <n v="1"/>
    <m/>
    <m/>
    <m/>
    <s v="Ertan Cicek"/>
    <s v="Direct Award"/>
    <d v="2018-06-07T00:00:00"/>
    <m/>
    <d v="2018-08-31T00:00:00"/>
    <n v="85"/>
  </r>
  <r>
    <s v="A417 Greenfield MDU"/>
    <s v="Sydney"/>
    <m/>
    <m/>
    <m/>
    <d v="2018-09-30T00:00:00"/>
    <m/>
    <m/>
    <m/>
    <m/>
    <m/>
    <s v="Sep-18"/>
    <x v="8"/>
    <s v="MW417R000139-AYCA-4IIZWC-2STL-60-22-28 Albany St St Leonards "/>
    <s v="St.Leonards"/>
    <n v="781.39"/>
    <m/>
    <n v="781.39"/>
    <n v="859.52900000000011"/>
    <m/>
    <m/>
    <n v="0"/>
    <n v="781.39"/>
    <n v="1"/>
    <m/>
    <m/>
    <m/>
    <s v="Ertan Cicek"/>
    <s v="Direct Award"/>
    <d v="2018-06-07T00:00:00"/>
    <m/>
    <m/>
    <m/>
  </r>
  <r>
    <s v="A417 Greenfield MDU"/>
    <s v="ACT"/>
    <m/>
    <m/>
    <m/>
    <d v="2018-09-30T00:00:00"/>
    <m/>
    <m/>
    <m/>
    <m/>
    <m/>
    <s v="Sep-18"/>
    <x v="8"/>
    <s v="MW417R000123-AYCA-523PM8-9MNK-01-8 Beaconsfield St Fyshwick ACT "/>
    <s v="Fyshwick"/>
    <n v="6863.96"/>
    <m/>
    <n v="6863.96"/>
    <n v="7550.3560000000007"/>
    <m/>
    <m/>
    <n v="0"/>
    <n v="6863.96"/>
    <n v="1"/>
    <m/>
    <m/>
    <m/>
    <s v="Ertan Cicek"/>
    <s v="Direct Award"/>
    <d v="2018-06-07T00:00:00"/>
    <m/>
    <d v="2018-08-30T00:00:00"/>
    <n v="84"/>
  </r>
  <r>
    <s v="A417 Greenfield MDU"/>
    <s v="Sydney"/>
    <m/>
    <m/>
    <m/>
    <d v="2018-09-30T00:00:00"/>
    <m/>
    <m/>
    <m/>
    <m/>
    <m/>
    <s v="Sep-18"/>
    <x v="8"/>
    <s v="MW417R000161-AYCA-3D0J11-2ROC-02-15-21 Willis St Wolli Creek "/>
    <s v="Wolli Creek"/>
    <n v="1641.98"/>
    <m/>
    <n v="1641.98"/>
    <n v="1806.1780000000001"/>
    <m/>
    <m/>
    <n v="0"/>
    <n v="1641.98"/>
    <n v="1"/>
    <m/>
    <m/>
    <m/>
    <s v="Ertan Cicek"/>
    <s v="Direct Award"/>
    <d v="2018-06-08T00:00:00"/>
    <m/>
    <d v="2018-08-31T00:00:00"/>
    <n v="84"/>
  </r>
  <r>
    <s v="A417 Greenfield MDU"/>
    <s v="Sydney"/>
    <m/>
    <m/>
    <d v="2018-07-06T00:00:00"/>
    <d v="2018-07-06T00:00:00"/>
    <d v="2018-07-09T00:00:00"/>
    <m/>
    <d v="2018-07-20T00:00:00"/>
    <d v="2018-08-03T00:00:00"/>
    <m/>
    <s v="Jul-18"/>
    <x v="17"/>
    <s v="MW417R000222-AYCA-4VFYJV-2BAN-64-27-37 Percy St, Bankstown"/>
    <s v="Bankstown"/>
    <n v="4388.9399999999996"/>
    <n v="14761.990000000002"/>
    <n v="19150.93"/>
    <n v="21066.023000000001"/>
    <n v="9921.16"/>
    <m/>
    <n v="9921.16"/>
    <n v="9229.77"/>
    <n v="0.48194891840761783"/>
    <m/>
    <m/>
    <m/>
    <s v="Ertan Cicek"/>
    <s v="Direct Award"/>
    <d v="2018-06-08T00:00:00"/>
    <m/>
    <d v="2018-09-29T00:00:00"/>
    <n v="113"/>
  </r>
  <r>
    <s v="A417 Greenfield MDU"/>
    <s v="Sydney"/>
    <m/>
    <m/>
    <m/>
    <d v="2018-09-30T00:00:00"/>
    <m/>
    <m/>
    <m/>
    <m/>
    <m/>
    <s v="Sep-18"/>
    <x v="8"/>
    <s v="MW417R000129-AYCA-4CG9U4-2KNS-04-29-31 Dunning Avenue Rosebery "/>
    <s v="Roseberry"/>
    <n v="1263"/>
    <m/>
    <n v="1263"/>
    <n v="1389.3000000000002"/>
    <m/>
    <m/>
    <n v="0"/>
    <n v="1263"/>
    <n v="1"/>
    <m/>
    <m/>
    <m/>
    <s v="Ertan Cicek"/>
    <s v="Direct Award"/>
    <d v="2018-06-11T00:00:00"/>
    <m/>
    <d v="2018-08-30T00:00:00"/>
    <n v="80"/>
  </r>
  <r>
    <s v="A417 Greenfield MDU"/>
    <s v="Sydney"/>
    <m/>
    <m/>
    <m/>
    <d v="2018-09-30T00:00:00"/>
    <m/>
    <m/>
    <m/>
    <m/>
    <m/>
    <s v="Sep-18"/>
    <x v="8"/>
    <s v="MW417R000091-AYCA-57S6JD-2REV-20-50/42 Violet St Revesby "/>
    <s v="Revesby"/>
    <n v="2570.5300000000002"/>
    <m/>
    <n v="2570.5300000000002"/>
    <n v="2827.5830000000005"/>
    <m/>
    <n v="380.18274999999994"/>
    <n v="380.18274999999994"/>
    <n v="2190.3472500000003"/>
    <n v="0.85209946975915474"/>
    <m/>
    <m/>
    <m/>
    <s v="Ertan Cicek"/>
    <s v="Direct Award"/>
    <d v="2018-06-08T00:00:00"/>
    <m/>
    <d v="2018-08-29T00:00:00"/>
    <n v="82"/>
  </r>
  <r>
    <s v="A417 Greenfield MDU"/>
    <s v="Sydney"/>
    <m/>
    <m/>
    <d v="2018-06-15T00:00:00"/>
    <d v="2018-06-15T00:00:00"/>
    <d v="2018-06-15T00:00:00"/>
    <d v="2018-06-20T00:00:00"/>
    <d v="2018-06-29T00:00:00"/>
    <d v="2018-07-13T00:00:00"/>
    <m/>
    <s v="Jun-18"/>
    <x v="15"/>
    <s v="MW417R000217-AYCA-5ENHJH-2MIL-01-Browning and Colenso Cct Edmondson Park"/>
    <s v="Edmondson Park"/>
    <n v="2924.92"/>
    <n v="-2087.42"/>
    <n v="837.5"/>
    <n v="921.25000000000011"/>
    <m/>
    <m/>
    <n v="0"/>
    <n v="837.5"/>
    <n v="1"/>
    <m/>
    <m/>
    <m/>
    <s v="Ertan Cicek"/>
    <s v="Direct Award"/>
    <d v="2018-06-08T00:00:00"/>
    <m/>
    <d v="2018-09-04T00:00:00"/>
    <n v="88"/>
  </r>
  <r>
    <s v="A417 Greenfield MDU"/>
    <s v="Sydney"/>
    <m/>
    <m/>
    <m/>
    <d v="2018-09-30T00:00:00"/>
    <m/>
    <m/>
    <m/>
    <m/>
    <m/>
    <s v="Sep-18"/>
    <x v="8"/>
    <s v="MW417R000157-2PAR-63-AYCA-4A46K7-208-210 Great Western Hwy, Westmead DFN Design &amp; Construct"/>
    <s v="Westmead"/>
    <n v="24836.059999999998"/>
    <m/>
    <n v="24836.059999999998"/>
    <n v="27319.666000000001"/>
    <m/>
    <m/>
    <n v="0"/>
    <n v="24836.059999999998"/>
    <n v="1"/>
    <m/>
    <m/>
    <m/>
    <s v="Mark Leal"/>
    <s v="Direct Award"/>
    <d v="2018-06-08T00:00:00"/>
    <m/>
    <d v="2018-08-31T00:00:00"/>
    <n v="84"/>
  </r>
  <r>
    <s v="A401/Greenfield"/>
    <s v="Sth Coast"/>
    <m/>
    <m/>
    <m/>
    <d v="2018-07-30T00:00:00"/>
    <m/>
    <m/>
    <m/>
    <m/>
    <m/>
    <s v="Jul-18"/>
    <x v="8"/>
    <s v="MW417R000044-AYCA-4YZZ1I-2ABN-03-149 The Boulevarde, Oak Flats"/>
    <s v="Oak Flats"/>
    <n v="7574.8"/>
    <m/>
    <n v="7574.8"/>
    <n v="8332.2800000000007"/>
    <m/>
    <m/>
    <n v="0"/>
    <n v="7574.8"/>
    <n v="1"/>
    <m/>
    <m/>
    <m/>
    <s v="Andrew Mahassy"/>
    <d v="2018-05-22T00:00:00"/>
    <d v="2018-05-25T00:00:00"/>
    <n v="3"/>
    <d v="2018-06-28T00:00:00"/>
    <n v="34"/>
  </r>
  <r>
    <s v="A401/Greenfield"/>
    <s v="Sth Coast"/>
    <m/>
    <m/>
    <d v="2018-07-04T00:00:00"/>
    <d v="2018-07-04T00:00:00"/>
    <d v="2018-07-11T00:00:00"/>
    <m/>
    <d v="2018-07-18T00:00:00"/>
    <d v="2018-08-01T00:00:00"/>
    <m/>
    <s v="Jul-18"/>
    <x v="17"/>
    <s v="MW417R000063-AYCA-52381N-2SUX-01-284 River Rd Sussex Inlet "/>
    <s v="Sussex Inlet"/>
    <n v="9332.5300000000007"/>
    <n v="1389.8600000000001"/>
    <n v="10722.390000000001"/>
    <n v="11794.629000000003"/>
    <m/>
    <m/>
    <n v="0"/>
    <n v="10722.390000000001"/>
    <n v="1"/>
    <m/>
    <m/>
    <m/>
    <s v="Ertan Cicek"/>
    <d v="2018-05-31T00:00:00"/>
    <d v="2018-06-12T00:00:00"/>
    <n v="12"/>
    <d v="2018-07-04T00:00:00"/>
    <n v="22"/>
  </r>
  <r>
    <s v="A417 Greenfield MDU"/>
    <s v="Sydney"/>
    <m/>
    <m/>
    <m/>
    <d v="2018-09-30T00:00:00"/>
    <m/>
    <m/>
    <m/>
    <m/>
    <m/>
    <s v="Sep-18"/>
    <x v="8"/>
    <s v="MW417R000159-AYCA-4EZRCH-2MIR-26-1-3 Higherdale Ave Miranda"/>
    <s v="Miranda"/>
    <n v="299.36"/>
    <m/>
    <n v="299.36"/>
    <n v="329.29600000000005"/>
    <m/>
    <m/>
    <n v="0"/>
    <n v="299.36"/>
    <n v="1"/>
    <m/>
    <m/>
    <m/>
    <s v="Ertan Cicek"/>
    <s v="Direct Award"/>
    <d v="2018-06-12T00:00:00"/>
    <m/>
    <d v="2018-08-31T00:00:00"/>
    <n v="80"/>
  </r>
  <r>
    <s v="A401/Greenfield"/>
    <s v="Sydney"/>
    <m/>
    <m/>
    <d v="2018-06-25T00:00:00"/>
    <d v="2018-06-25T00:00:00"/>
    <d v="2018-07-09T00:00:00"/>
    <m/>
    <d v="2018-07-09T00:00:00"/>
    <d v="2018-07-23T00:00:00"/>
    <m/>
    <s v="Jun-18"/>
    <x v="15"/>
    <s v="MW22455 -AYCA-3LT1P4 -  2KEL-08 - Sub of 123 Arnold Ave, Kellyville - 2"/>
    <s v="Kellyville"/>
    <n v="7140.73"/>
    <n v="3918.18"/>
    <n v="11058.91"/>
    <n v="12164.801000000001"/>
    <m/>
    <m/>
    <n v="0"/>
    <n v="11058.91"/>
    <n v="1"/>
    <m/>
    <m/>
    <m/>
    <s v="Sogand Mohtat"/>
    <d v="2018-05-22T00:00:00"/>
    <d v="2018-06-12T00:00:00"/>
    <n v="21"/>
    <d v="2018-06-26T00:00:00"/>
    <n v="14"/>
  </r>
  <r>
    <s v="A417 Greenfield MDU"/>
    <s v="Sydney"/>
    <m/>
    <m/>
    <d v="2018-07-05T00:00:00"/>
    <d v="2018-07-06T00:00:00"/>
    <d v="2018-07-09T00:00:00"/>
    <m/>
    <d v="2018-07-20T00:00:00"/>
    <d v="2018-08-03T00:00:00"/>
    <m/>
    <s v="Jul-18"/>
    <x v="17"/>
    <s v="MW417R000223 - AYCA-5ALZB0 - 2BLK-07 - 6 Woods CL, Huntingwood  Ext"/>
    <s v="Huntingwood"/>
    <n v="5802.97"/>
    <n v="5801.3047500000039"/>
    <n v="11604.274750000004"/>
    <n v="12764.702225000006"/>
    <m/>
    <m/>
    <n v="0"/>
    <n v="11604.274750000004"/>
    <n v="1"/>
    <m/>
    <m/>
    <m/>
    <s v="Ertan Cicek"/>
    <s v="Direct Award"/>
    <d v="2018-06-12T00:00:00"/>
    <m/>
    <d v="2018-09-28T00:00:00"/>
    <n v="108"/>
  </r>
  <r>
    <s v="A417 Greenfield MDU"/>
    <s v="Sydney"/>
    <m/>
    <m/>
    <m/>
    <d v="2018-10-30T00:00:00"/>
    <m/>
    <m/>
    <m/>
    <m/>
    <m/>
    <s v="Oct-18"/>
    <x v="8"/>
    <s v="MW417R000211-AYCA-56B97M-2SEF-61-1 Tangerine St, Fairfield East"/>
    <s v="Fairfield"/>
    <n v="2424.06"/>
    <m/>
    <n v="2424.06"/>
    <n v="2666.4660000000003"/>
    <m/>
    <m/>
    <n v="0"/>
    <n v="2424.06"/>
    <n v="1"/>
    <m/>
    <m/>
    <m/>
    <s v="Ertan Cicek"/>
    <s v="Direct Award"/>
    <d v="2018-06-12T00:00:00"/>
    <m/>
    <d v="2018-09-28T00:00:00"/>
    <n v="108"/>
  </r>
  <r>
    <s v="A401/Greenfield"/>
    <s v="Sth Coast"/>
    <m/>
    <m/>
    <d v="2018-07-11T00:00:00"/>
    <d v="2018-07-11T00:00:00"/>
    <d v="2018-07-11T00:00:00"/>
    <m/>
    <d v="2018-07-25T00:00:00"/>
    <d v="2018-08-08T00:00:00"/>
    <m/>
    <s v="Jul-18"/>
    <x v="17"/>
    <s v="MW417R000149-AYCA-4M2GZ2-2ABN-01-2 Pine Street, Albion Park Rail"/>
    <s v="Albion Park"/>
    <n v="7206.99"/>
    <n v="2158.71"/>
    <n v="9365.7000000000007"/>
    <n v="10302.270000000002"/>
    <m/>
    <m/>
    <n v="0"/>
    <n v="9365.7000000000007"/>
    <n v="1"/>
    <m/>
    <m/>
    <m/>
    <s v="Mark Leal"/>
    <d v="2018-06-04T00:00:00"/>
    <d v="2018-06-12T00:00:00"/>
    <m/>
    <d v="2018-06-29T00:00:00"/>
    <n v="17"/>
  </r>
  <r>
    <s v="NBN FttC Drops"/>
    <s v="Sydney"/>
    <m/>
    <m/>
    <m/>
    <d v="2017-08-30T00:00:00"/>
    <m/>
    <m/>
    <m/>
    <m/>
    <m/>
    <s v="Aug-17"/>
    <x v="8"/>
    <s v="2SPW-20 - Springwood Valiadation"/>
    <s v="Springwood"/>
    <n v="16902.96"/>
    <m/>
    <n v="16902.96"/>
    <n v="18593.256000000001"/>
    <n v="8924"/>
    <m/>
    <n v="8924"/>
    <n v="7978.9599999999991"/>
    <n v="0.47204513292346428"/>
    <m/>
    <m/>
    <m/>
    <s v="Kirsty Doyle"/>
    <s v="Direct Award"/>
    <m/>
    <m/>
    <m/>
    <m/>
  </r>
  <r>
    <s v="NBN FttC Drops"/>
    <s v="Sydney"/>
    <m/>
    <m/>
    <m/>
    <d v="2017-08-30T00:00:00"/>
    <m/>
    <m/>
    <m/>
    <m/>
    <m/>
    <s v="Aug-17"/>
    <x v="8"/>
    <s v="2SPW-21 - Springwood Valiadation"/>
    <s v="Springwood"/>
    <n v="8798.8799999999992"/>
    <m/>
    <n v="8798.8799999999992"/>
    <n v="9678.768"/>
    <n v="7472"/>
    <m/>
    <n v="7472"/>
    <n v="1326.8799999999992"/>
    <n v="0.15080101103776836"/>
    <m/>
    <m/>
    <m/>
    <s v="Kirsty Doyle"/>
    <s v="Direct Award"/>
    <m/>
    <m/>
    <m/>
    <m/>
  </r>
  <r>
    <s v="NBN FttC Drops"/>
    <s v="Sydney"/>
    <m/>
    <m/>
    <m/>
    <d v="2017-08-30T00:00:00"/>
    <m/>
    <m/>
    <m/>
    <m/>
    <m/>
    <s v="Aug-17"/>
    <x v="8"/>
    <s v="2MIR-24 - Miranda Valiadation"/>
    <s v="Miranda"/>
    <n v="33416.800000000003"/>
    <m/>
    <n v="33416.800000000003"/>
    <n v="36758.480000000003"/>
    <n v="20672"/>
    <m/>
    <n v="20672"/>
    <n v="12744.800000000003"/>
    <n v="0.38138900193914443"/>
    <m/>
    <m/>
    <m/>
    <s v="Kirsty Doyle"/>
    <s v="Direct Award"/>
    <m/>
    <m/>
    <m/>
    <m/>
  </r>
  <r>
    <s v="NBN FttC Drops"/>
    <s v="Sydney"/>
    <m/>
    <m/>
    <m/>
    <d v="2017-08-30T00:00:00"/>
    <m/>
    <m/>
    <m/>
    <m/>
    <m/>
    <s v="Aug-17"/>
    <x v="8"/>
    <s v="2POR-20 - Portland Valiadation"/>
    <s v="Portland"/>
    <n v="1956.4"/>
    <m/>
    <n v="1956.4"/>
    <n v="2152.0400000000004"/>
    <n v="1467.5"/>
    <m/>
    <n v="1467.5"/>
    <n v="488.90000000000009"/>
    <n v="0.24989777141688821"/>
    <m/>
    <m/>
    <m/>
    <s v="Kirsty Doyle"/>
    <s v="Direct Award"/>
    <m/>
    <m/>
    <m/>
    <m/>
  </r>
  <r>
    <s v="NBN FttC Drops"/>
    <s v="Sydney"/>
    <m/>
    <m/>
    <m/>
    <d v="2017-08-30T00:00:00"/>
    <m/>
    <m/>
    <m/>
    <m/>
    <m/>
    <s v="Aug-17"/>
    <x v="8"/>
    <s v="2MON-28 - Mona Vale Valiadation"/>
    <s v="Mona Vale"/>
    <n v="22896.399999999998"/>
    <m/>
    <n v="22896.399999999998"/>
    <n v="25186.04"/>
    <n v="13060"/>
    <m/>
    <n v="13060"/>
    <n v="9836.3999999999978"/>
    <n v="0.42960465400674336"/>
    <m/>
    <m/>
    <m/>
    <s v="Kirsty Doyle"/>
    <s v="Direct Award"/>
    <m/>
    <m/>
    <m/>
    <m/>
  </r>
  <r>
    <s v="A417 Greenfield MDU"/>
    <s v="Sydney"/>
    <m/>
    <m/>
    <d v="2018-06-29T00:00:00"/>
    <d v="2018-06-29T00:00:00"/>
    <m/>
    <m/>
    <d v="2018-07-13T00:00:00"/>
    <d v="2018-07-27T00:00:00"/>
    <m/>
    <s v="Jun-18"/>
    <x v="15"/>
    <s v="MW417R000218-AYCA-34MTV2-2BUR-07-133 Parramatta Rd, Homebush"/>
    <s v="Homebush"/>
    <n v="4296.8100000000004"/>
    <m/>
    <n v="4296.8100000000004"/>
    <n v="4726.4910000000009"/>
    <m/>
    <m/>
    <n v="0"/>
    <n v="4296.8100000000004"/>
    <n v="1"/>
    <m/>
    <m/>
    <m/>
    <s v="Ertan Cicek"/>
    <s v="Direct Award"/>
    <d v="2018-06-13T00:00:00"/>
    <m/>
    <d v="2018-09-28T00:00:00"/>
    <n v="107"/>
  </r>
  <r>
    <s v="A417 Greenfield MDU"/>
    <s v="Sydney"/>
    <m/>
    <m/>
    <m/>
    <d v="2018-10-30T00:00:00"/>
    <m/>
    <m/>
    <m/>
    <m/>
    <m/>
    <s v="Oct-18"/>
    <x v="8"/>
    <s v="MW417R000238-AYCA-52OEM0-2MON-25-33 Darley St, East, Mona Vale"/>
    <s v="Mona Vale"/>
    <n v="1832.88"/>
    <m/>
    <n v="1832.88"/>
    <n v="2016.1680000000003"/>
    <m/>
    <m/>
    <n v="0"/>
    <n v="1832.88"/>
    <n v="1"/>
    <m/>
    <m/>
    <m/>
    <s v="Ertan Cicek"/>
    <s v="Direct Award"/>
    <d v="2018-06-14T00:00:00"/>
    <m/>
    <d v="2018-09-28T00:00:00"/>
    <n v="106"/>
  </r>
  <r>
    <s v="A401/Greenfield"/>
    <s v="Nth Coast"/>
    <m/>
    <m/>
    <m/>
    <d v="2018-09-30T00:00:00"/>
    <m/>
    <m/>
    <m/>
    <m/>
    <m/>
    <s v="Sep-18"/>
    <x v="8"/>
    <s v="MW417R000148-AYCA-4Z992M-2LIS-21-2A Napier St Goonellabah; 17 Blue Hills Ave Goonellabah"/>
    <s v="Goonellabah"/>
    <n v="16470.774000000001"/>
    <m/>
    <n v="16470.774000000001"/>
    <n v="18117.851400000003"/>
    <m/>
    <m/>
    <n v="0"/>
    <n v="16470.774000000001"/>
    <n v="1"/>
    <m/>
    <m/>
    <m/>
    <s v="Mark Leal"/>
    <d v="2018-06-04T00:00:00"/>
    <d v="2018-06-19T00:00:00"/>
    <n v="15"/>
    <d v="2018-06-29T00:00:00"/>
    <n v="10"/>
  </r>
  <r>
    <s v="A417 Greenfield MDU"/>
    <s v="Sydney"/>
    <s v="Inv 13830"/>
    <d v="2018-07-06T00:00:00"/>
    <d v="2018-06-18T00:00:00"/>
    <d v="2018-06-18T00:00:00"/>
    <m/>
    <m/>
    <d v="2018-07-02T00:00:00"/>
    <d v="2018-07-05T00:00:00"/>
    <m/>
    <s v="Jun-18"/>
    <x v="15"/>
    <s v="MW22264-AYCA-4YPT3F-145/129 - 2WAG-05-145 Hammond Ave East Wagga Wagga"/>
    <s v="Wagga Wagga"/>
    <n v="1065"/>
    <m/>
    <n v="1065"/>
    <n v="1171.5"/>
    <m/>
    <m/>
    <n v="0"/>
    <n v="1065"/>
    <n v="1"/>
    <m/>
    <m/>
    <m/>
    <s v="Nabeel Jaimon"/>
    <d v="2018-04-19T00:00:00"/>
    <d v="2018-06-14T00:00:00"/>
    <n v="56"/>
    <d v="2018-06-29T00:00:00"/>
    <n v="15"/>
  </r>
  <r>
    <s v="A417 Greenfield MDU"/>
    <s v="Central West"/>
    <m/>
    <m/>
    <m/>
    <d v="2018-09-20T00:00:00"/>
    <m/>
    <m/>
    <m/>
    <m/>
    <m/>
    <s v="Sep-18"/>
    <x v="8"/>
    <s v="MW417R000280-AYCA-481ES7-2BTH-09-65 George St Bathurst "/>
    <s v="Bathurst"/>
    <n v="1194.07"/>
    <m/>
    <n v="1194.07"/>
    <n v="1313.4770000000001"/>
    <m/>
    <m/>
    <n v="0"/>
    <n v="1194.07"/>
    <n v="1"/>
    <m/>
    <m/>
    <m/>
    <s v="Ertan Cicek"/>
    <s v="Direct Award"/>
    <d v="2018-06-14T00:00:00"/>
    <m/>
    <d v="2018-09-20T00:00:00"/>
    <n v="98"/>
  </r>
  <r>
    <s v="A417 Greenfield MDU"/>
    <s v="Sydney"/>
    <m/>
    <m/>
    <m/>
    <d v="2018-08-30T00:00:00"/>
    <m/>
    <m/>
    <m/>
    <m/>
    <m/>
    <s v="Aug-18"/>
    <x v="8"/>
    <s v="MW417R000126-2HMK-02-AYCA-56Z0PS-37-49 O'Connor St Chippendale "/>
    <s v="Chippendale"/>
    <n v="3328.23"/>
    <m/>
    <n v="3328.23"/>
    <n v="3661.0530000000003"/>
    <m/>
    <m/>
    <n v="0"/>
    <n v="3328.23"/>
    <n v="1"/>
    <m/>
    <m/>
    <m/>
    <s v="Ertan Cicek"/>
    <s v="Direct Award"/>
    <d v="2018-06-15T00:00:00"/>
    <m/>
    <d v="2018-08-30T00:00:00"/>
    <n v="76"/>
  </r>
  <r>
    <s v="A417 Greenfield MDU"/>
    <s v="Sth NSW"/>
    <m/>
    <m/>
    <m/>
    <d v="2018-09-30T00:00:00"/>
    <m/>
    <m/>
    <m/>
    <m/>
    <m/>
    <s v="Sep-18"/>
    <x v="8"/>
    <s v="MW22573-AYCA-LYHJJ-2MTT-02-10 Cardigan St Mittagong "/>
    <s v="Mittagong"/>
    <n v="1458.46"/>
    <m/>
    <n v="1458.46"/>
    <n v="1604.3060000000003"/>
    <m/>
    <m/>
    <n v="0"/>
    <n v="1458.46"/>
    <n v="1"/>
    <m/>
    <m/>
    <m/>
    <s v="Ertan Cicek"/>
    <s v="Direct Award"/>
    <d v="2018-06-15T00:00:00"/>
    <m/>
    <d v="2018-08-28T00:00:00"/>
    <n v="74"/>
  </r>
  <r>
    <s v="A401/Greenfield"/>
    <s v="Sydney"/>
    <m/>
    <m/>
    <d v="2018-06-27T00:00:00"/>
    <d v="2018-06-27T00:00:00"/>
    <m/>
    <m/>
    <d v="2018-07-11T00:00:00"/>
    <d v="2018-07-25T00:00:00"/>
    <m/>
    <s v="Jun-18"/>
    <x v="15"/>
    <s v="MW417R000151-AYCA-4PBBAI-2RYD-01-6,8,10,12 Anderson Avenue Ryde "/>
    <s v="Ryde"/>
    <n v="4848.55"/>
    <m/>
    <n v="4848.55"/>
    <n v="5333.4050000000007"/>
    <m/>
    <m/>
    <n v="0"/>
    <n v="4848.55"/>
    <n v="1"/>
    <m/>
    <m/>
    <m/>
    <s v="Ertan Cicek"/>
    <s v="Direct Award"/>
    <d v="2018-06-15T00:00:00"/>
    <m/>
    <d v="2018-06-29T00:00:00"/>
    <n v="14"/>
  </r>
  <r>
    <s v="A417 Greenfield MDU"/>
    <s v="Central West"/>
    <m/>
    <m/>
    <m/>
    <d v="2018-07-30T00:00:00"/>
    <m/>
    <m/>
    <m/>
    <m/>
    <m/>
    <s v="Jul-18"/>
    <x v="8"/>
    <s v="MW417R000299-AYCA-5AZ97T-2BTH-02-1 Wark Parade, Windradyne"/>
    <s v="Windradyne"/>
    <n v="6779.46"/>
    <m/>
    <n v="6779.46"/>
    <n v="7457.4060000000009"/>
    <m/>
    <m/>
    <n v="0"/>
    <n v="6779.46"/>
    <n v="1"/>
    <m/>
    <m/>
    <m/>
    <s v="Ertan Cicek"/>
    <s v="Direct Award"/>
    <d v="2018-06-15T00:00:00"/>
    <m/>
    <d v="2018-09-28T00:00:00"/>
    <n v="105"/>
  </r>
  <r>
    <s v="A417 Greenfield MDU"/>
    <s v="Sydney"/>
    <m/>
    <m/>
    <d v="2018-07-04T00:00:00"/>
    <d v="2018-07-04T00:00:00"/>
    <d v="2018-07-09T00:00:00"/>
    <m/>
    <d v="2018-07-18T00:00:00"/>
    <d v="2018-08-01T00:00:00"/>
    <m/>
    <s v="Jul-18"/>
    <x v="17"/>
    <s v="MW417R000298-AYCA-5CSK69-2LIV-03-94 Flowerdale Rd, Liverpool "/>
    <s v="Liverpool"/>
    <n v="3687.45"/>
    <n v="2280.35"/>
    <n v="5967.7999999999993"/>
    <n v="6564.58"/>
    <m/>
    <m/>
    <n v="0"/>
    <n v="5967.7999999999993"/>
    <n v="1"/>
    <m/>
    <m/>
    <m/>
    <s v="Ertan Cicek"/>
    <s v="Direct Award"/>
    <d v="2018-06-15T00:00:00"/>
    <m/>
    <d v="2018-09-28T00:00:00"/>
    <n v="105"/>
  </r>
  <r>
    <s v="A401/Greenfield"/>
    <s v="Sydney"/>
    <s v="Inv 13833"/>
    <d v="2018-07-06T00:00:00"/>
    <d v="2018-06-18T00:00:00"/>
    <d v="2018-06-18T00:00:00"/>
    <d v="2018-06-18T00:00:00"/>
    <d v="2018-06-20T00:00:00"/>
    <d v="2018-07-02T00:00:00"/>
    <d v="2018-07-05T00:00:00"/>
    <m/>
    <s v="Jun-18"/>
    <x v="15"/>
    <s v="MW22481 - AYCA-4R2N0H - 2KEL-08 -6,8,9,11 John Hillas Avenue Kellyville "/>
    <s v="Kellyville"/>
    <n v="3239.95"/>
    <n v="3749.57"/>
    <n v="6989.52"/>
    <n v="7688.4720000000007"/>
    <m/>
    <n v="1627.8534999999997"/>
    <n v="1627.8534999999997"/>
    <n v="5361.6665000000012"/>
    <n v="0.7671008166512151"/>
    <m/>
    <m/>
    <m/>
    <s v="Dave Yoemans"/>
    <d v="2018-06-05T00:00:00"/>
    <d v="2018-06-13T00:00:00"/>
    <m/>
    <d v="2018-07-02T00:00:00"/>
    <n v="19"/>
  </r>
  <r>
    <s v="A417 Greenfield MDU"/>
    <s v="Sydney"/>
    <m/>
    <m/>
    <m/>
    <d v="2018-10-30T00:00:00"/>
    <m/>
    <m/>
    <m/>
    <m/>
    <m/>
    <s v="Oct-18"/>
    <x v="8"/>
    <s v="MW417R000301-AYCA-5AVN4W-2EPP-62-23-25 Forest Grove, Epping "/>
    <s v="Epping"/>
    <n v="1648"/>
    <m/>
    <n v="1648"/>
    <n v="1812.8000000000002"/>
    <m/>
    <m/>
    <n v="0"/>
    <n v="1648"/>
    <n v="1"/>
    <m/>
    <m/>
    <m/>
    <s v="Ertan Cicek"/>
    <s v="Direct Award"/>
    <d v="2018-06-18T00:00:00"/>
    <m/>
    <d v="2018-09-28T00:00:00"/>
    <n v="102"/>
  </r>
  <r>
    <s v="A417 Greenfield MDU"/>
    <s v="Sydney"/>
    <m/>
    <m/>
    <m/>
    <d v="2018-09-30T00:00:00"/>
    <m/>
    <m/>
    <m/>
    <m/>
    <m/>
    <s v="Sep-18"/>
    <x v="8"/>
    <s v="MW417R000300-AYCA-57KT5A-2PTH-02-153 Jamison Rd, Penrith"/>
    <s v="Penrith"/>
    <n v="958.19"/>
    <m/>
    <n v="958.19"/>
    <n v="1054.0090000000002"/>
    <m/>
    <m/>
    <n v="0"/>
    <n v="958.19"/>
    <n v="1"/>
    <m/>
    <m/>
    <m/>
    <s v="Ertan Cicek"/>
    <s v="Direct Award"/>
    <d v="2018-06-18T00:00:00"/>
    <m/>
    <d v="2018-08-28T00:00:00"/>
    <n v="71"/>
  </r>
  <r>
    <s v="A401/Greenfield"/>
    <s v="Central Coast"/>
    <m/>
    <m/>
    <m/>
    <d v="2018-07-30T00:00:00"/>
    <m/>
    <m/>
    <m/>
    <m/>
    <m/>
    <s v="Jul-18"/>
    <x v="8"/>
    <s v="MW417R000246 - AYCA-4RTZSH - 2WOY-07 - 25 Phegan Street Woy Woy "/>
    <s v="Woy Woy"/>
    <n v="9674.98"/>
    <m/>
    <n v="9674.98"/>
    <n v="10642.478000000001"/>
    <m/>
    <m/>
    <n v="0"/>
    <n v="9674.98"/>
    <n v="1"/>
    <m/>
    <m/>
    <m/>
    <s v="Ertan Cicek"/>
    <d v="2018-06-18T00:00:00"/>
    <d v="2018-06-28T00:00:00"/>
    <n v="10"/>
    <d v="2018-07-05T00:00:00"/>
    <n v="7"/>
  </r>
  <r>
    <s v="A417 Greenfield MDU"/>
    <s v="Sydney"/>
    <m/>
    <m/>
    <m/>
    <d v="2018-10-30T00:00:00"/>
    <m/>
    <m/>
    <m/>
    <m/>
    <m/>
    <s v="Oct-18"/>
    <x v="8"/>
    <s v="MW417R000310--AYCA-5DPOWN-2APN-01-13 Technology Dr, Appin EXT"/>
    <s v="Appin"/>
    <n v="7171.07"/>
    <m/>
    <n v="7171.07"/>
    <n v="7888.1770000000006"/>
    <m/>
    <n v="487.30525"/>
    <n v="487.30525"/>
    <n v="6683.7647499999994"/>
    <n v="0.93204567100864999"/>
    <m/>
    <m/>
    <m/>
    <s v="Ertan Cicek"/>
    <s v="Direct Award"/>
    <d v="2018-06-20T00:00:00"/>
    <m/>
    <d v="2018-09-28T00:00:00"/>
    <n v="100"/>
  </r>
  <r>
    <s v="A401/Greenfield"/>
    <s v="Sth NSW"/>
    <m/>
    <m/>
    <d v="2018-06-21T00:00:00"/>
    <d v="2018-06-21T00:00:00"/>
    <m/>
    <m/>
    <d v="2018-07-05T00:00:00"/>
    <d v="2018-07-19T00:00:00"/>
    <m/>
    <s v="Jun-18"/>
    <x v="15"/>
    <s v="MW22430-AYCA-5667HJ-2WAG-01-12-16 Beetson Street Boorooma "/>
    <s v="Boorooma"/>
    <n v="2717.54"/>
    <m/>
    <n v="2717.54"/>
    <n v="2989.2940000000003"/>
    <m/>
    <m/>
    <n v="0"/>
    <n v="2717.54"/>
    <n v="1"/>
    <m/>
    <m/>
    <m/>
    <s v="Sogand Mohtat"/>
    <d v="2018-05-17T00:00:00"/>
    <d v="2018-05-22T00:00:00"/>
    <n v="5"/>
    <d v="2018-06-20T00:00:00"/>
    <n v="29"/>
  </r>
  <r>
    <s v="NBN FttC Drops"/>
    <s v="Sydney"/>
    <m/>
    <m/>
    <m/>
    <d v="2017-08-30T00:00:00"/>
    <m/>
    <m/>
    <m/>
    <m/>
    <m/>
    <s v="Aug-17"/>
    <x v="8"/>
    <s v="2SPW-28 Springwood Validation"/>
    <s v="Springwood"/>
    <n v="26977.040000000001"/>
    <m/>
    <n v="26977.040000000001"/>
    <n v="29674.744000000002"/>
    <n v="15876"/>
    <m/>
    <n v="15876"/>
    <n v="11101.04"/>
    <n v="0.4114995566600339"/>
    <m/>
    <m/>
    <m/>
    <s v="Kirsty Doyle"/>
    <s v="Direct Award"/>
    <m/>
    <m/>
    <m/>
    <m/>
  </r>
  <r>
    <s v="NBN FttC Drops"/>
    <s v="Sydney"/>
    <m/>
    <m/>
    <m/>
    <d v="2017-08-30T00:00:00"/>
    <m/>
    <m/>
    <m/>
    <m/>
    <m/>
    <s v="Aug-17"/>
    <x v="8"/>
    <s v="2NYG-20 Nyngun Validation"/>
    <s v="Nyngan"/>
    <n v="10971.380000000001"/>
    <m/>
    <n v="10971.380000000001"/>
    <n v="12068.518000000002"/>
    <m/>
    <m/>
    <n v="0"/>
    <n v="10971.380000000001"/>
    <n v="1"/>
    <m/>
    <m/>
    <m/>
    <s v="Kirsty Doyle"/>
    <s v="Direct Award"/>
    <m/>
    <m/>
    <m/>
    <m/>
  </r>
  <r>
    <s v="NBN FttC Drops"/>
    <s v="Sydney"/>
    <m/>
    <m/>
    <m/>
    <d v="2017-08-30T00:00:00"/>
    <m/>
    <m/>
    <m/>
    <m/>
    <m/>
    <s v="Aug-17"/>
    <x v="8"/>
    <s v="2ORC-21 Orchard Hills Validation"/>
    <s v="Orchard Hills"/>
    <n v="11802.16"/>
    <m/>
    <n v="11802.16"/>
    <n v="12982.376"/>
    <m/>
    <m/>
    <n v="0"/>
    <n v="11802.16"/>
    <n v="1"/>
    <m/>
    <m/>
    <m/>
    <s v="Kirsty Doyle"/>
    <s v="Direct Award"/>
    <m/>
    <m/>
    <m/>
    <m/>
  </r>
  <r>
    <s v="NBN FttC Drops"/>
    <s v="Sydney"/>
    <m/>
    <m/>
    <m/>
    <d v="2017-08-30T00:00:00"/>
    <m/>
    <m/>
    <m/>
    <m/>
    <m/>
    <s v="Aug-17"/>
    <x v="8"/>
    <s v="2ERP-21 Estern Creek Validation"/>
    <s v="Eskine park"/>
    <n v="6956.4"/>
    <m/>
    <n v="6956.4"/>
    <n v="7652.04"/>
    <m/>
    <m/>
    <n v="0"/>
    <n v="6956.4"/>
    <n v="1"/>
    <m/>
    <m/>
    <m/>
    <s v="Kirsty Doyle"/>
    <s v="Direct Award"/>
    <m/>
    <m/>
    <m/>
    <m/>
  </r>
  <r>
    <s v="A417 Greenfield MDU"/>
    <s v="Sydney"/>
    <m/>
    <m/>
    <m/>
    <d v="2018-10-30T00:00:00"/>
    <m/>
    <m/>
    <m/>
    <m/>
    <m/>
    <s v="Oct-18"/>
    <x v="8"/>
    <s v="MW417R000348 - AYCA-5F1RYP - 2EDG-66 - 114 New South Head Road, Edgecliff"/>
    <s v="Edgecliffe"/>
    <n v="3323.69"/>
    <m/>
    <n v="3323.69"/>
    <n v="3656.0590000000002"/>
    <m/>
    <m/>
    <n v="0"/>
    <n v="3323.69"/>
    <n v="1"/>
    <m/>
    <m/>
    <m/>
    <s v="Ertan Cicek"/>
    <s v="Direct Award"/>
    <d v="2018-06-22T00:00:00"/>
    <m/>
    <d v="2018-09-28T00:00:00"/>
    <n v="98"/>
  </r>
  <r>
    <s v="A417 Greenfield MDU"/>
    <s v="Central Coast"/>
    <m/>
    <m/>
    <m/>
    <d v="2018-10-30T00:00:00"/>
    <m/>
    <m/>
    <m/>
    <m/>
    <m/>
    <s v="Oct-18"/>
    <x v="8"/>
    <s v="MW417R000347-AYCA-397TA7-2TGL-02-6-8 Painters Lane Terrigal"/>
    <s v="Terrigal"/>
    <n v="4185.8999999999996"/>
    <m/>
    <n v="4185.8999999999996"/>
    <n v="4604.49"/>
    <m/>
    <m/>
    <n v="0"/>
    <n v="4185.8999999999996"/>
    <n v="1"/>
    <m/>
    <m/>
    <m/>
    <s v="Ertan Cicek"/>
    <s v="Direct Award"/>
    <d v="2018-06-25T00:00:00"/>
    <m/>
    <d v="2018-09-19T00:00:00"/>
    <n v="86"/>
  </r>
  <r>
    <s v="A417 Greenfield MDU"/>
    <s v="Sydney"/>
    <m/>
    <m/>
    <m/>
    <d v="2018-11-30T00:00:00"/>
    <m/>
    <m/>
    <m/>
    <m/>
    <m/>
    <s v="Nov-18"/>
    <x v="8"/>
    <s v="MW417R000381-2APN-01-AYCA-5DPOWN-13 Technology Drive Appin INT"/>
    <s v="Appin"/>
    <n v="1592.08"/>
    <m/>
    <n v="1592.08"/>
    <n v="1751.288"/>
    <m/>
    <m/>
    <n v="0"/>
    <n v="1592.08"/>
    <n v="1"/>
    <m/>
    <m/>
    <m/>
    <s v="Ertan Cicek"/>
    <s v="Direct Award"/>
    <d v="2018-06-25T00:00:00"/>
    <m/>
    <d v="2018-10-30T00:00:00"/>
    <n v="127"/>
  </r>
  <r>
    <s v="A401/Greenfield"/>
    <s v="Central Coast"/>
    <m/>
    <m/>
    <m/>
    <d v="2018-07-30T00:00:00"/>
    <m/>
    <m/>
    <m/>
    <m/>
    <m/>
    <s v="Jul-18"/>
    <x v="8"/>
    <s v="MW417R000141-AYCA-4UXA3J-2ERN-03-1 and 4 Fox Glove Close, Green"/>
    <s v="Green Point"/>
    <n v="6603.41"/>
    <m/>
    <n v="6603.41"/>
    <n v="7263.7510000000002"/>
    <m/>
    <m/>
    <n v="0"/>
    <n v="6603.41"/>
    <n v="1"/>
    <m/>
    <m/>
    <m/>
    <s v="Dave Yoemans"/>
    <d v="2018-06-04T00:00:00"/>
    <d v="2018-06-19T00:00:00"/>
    <n v="15"/>
    <d v="2018-06-29T00:00:00"/>
    <n v="10"/>
  </r>
  <r>
    <s v="A417 Greenfield MDU"/>
    <s v="Sydney"/>
    <m/>
    <m/>
    <d v="2018-07-06T00:00:00"/>
    <d v="2018-07-06T00:00:00"/>
    <m/>
    <m/>
    <d v="2018-07-20T00:00:00"/>
    <d v="2018-08-03T00:00:00"/>
    <m/>
    <s v="Jul-18"/>
    <x v="17"/>
    <s v="MW417R000354-AYCA-57CAFW-2CRO-01-KURNELL 2"/>
    <s v="Kurnell"/>
    <n v="1791.95"/>
    <n v="1609.79"/>
    <n v="3401.74"/>
    <n v="3741.9140000000002"/>
    <m/>
    <m/>
    <n v="0"/>
    <n v="3401.74"/>
    <n v="1"/>
    <m/>
    <m/>
    <m/>
    <s v="Ertan Cicek"/>
    <s v="Direct Award"/>
    <d v="2018-06-26T00:00:00"/>
    <m/>
    <d v="2018-09-28T00:00:00"/>
    <n v="94"/>
  </r>
  <r>
    <s v="A401/Greenfield"/>
    <s v="Sth Coast"/>
    <m/>
    <m/>
    <d v="2018-07-03T00:00:00"/>
    <d v="2018-07-05T00:00:00"/>
    <m/>
    <m/>
    <d v="2018-07-19T00:00:00"/>
    <d v="2018-08-02T00:00:00"/>
    <m/>
    <s v="Jul-18"/>
    <x v="17"/>
    <s v="MW417R000364-2ABN-03-AYCA-5DBDK2 -8 Werrang St, Albion Park Rail"/>
    <s v="Albion Park"/>
    <n v="2852.73"/>
    <m/>
    <n v="2852.73"/>
    <n v="3138.0030000000002"/>
    <m/>
    <m/>
    <n v="0"/>
    <n v="2852.73"/>
    <n v="1"/>
    <m/>
    <m/>
    <m/>
    <s v="Ertan Cicek"/>
    <d v="2018-06-26T00:00:00"/>
    <d v="2018-07-04T00:00:00"/>
    <n v="8"/>
    <d v="2018-09-12T00:00:00"/>
    <n v="70"/>
  </r>
  <r>
    <s v="A417 Greenfield MDU"/>
    <s v="ACT"/>
    <m/>
    <m/>
    <m/>
    <d v="2018-10-30T00:00:00"/>
    <m/>
    <m/>
    <m/>
    <m/>
    <m/>
    <s v="Oct-18"/>
    <x v="8"/>
    <s v="MW417R000383-AYCA-3MEHNA-9BLC-04-Nevertire St, Lawson"/>
    <s v="Lawson"/>
    <n v="8900.2199999999993"/>
    <m/>
    <n v="8900.2199999999993"/>
    <n v="9790.2420000000002"/>
    <m/>
    <m/>
    <n v="0"/>
    <n v="8900.2199999999993"/>
    <n v="1"/>
    <m/>
    <m/>
    <m/>
    <s v="Ertan Cicek"/>
    <s v="Direct Award"/>
    <d v="2018-06-28T00:00:00"/>
    <m/>
    <d v="2018-09-28T00:00:00"/>
    <n v="92"/>
  </r>
  <r>
    <s v="A417 Greenfield MDU"/>
    <s v="Sydney"/>
    <m/>
    <m/>
    <d v="2018-07-06T00:00:00"/>
    <d v="2018-07-06T00:00:00"/>
    <d v="2018-07-10T00:00:00"/>
    <m/>
    <d v="2018-07-20T00:00:00"/>
    <d v="2018-07-20T00:00:00"/>
    <m/>
    <s v="Jul-18"/>
    <x v="15"/>
    <s v="MW417R000346-AYCA-57CH4J-2CRO-01-8/268A Captain Cook Dr, Kurnell"/>
    <s v="Kurnell"/>
    <n v="3154.72"/>
    <n v="4773.34"/>
    <n v="7928.0599999999995"/>
    <n v="8720.866"/>
    <m/>
    <m/>
    <n v="0"/>
    <n v="7928.0599999999995"/>
    <n v="1"/>
    <m/>
    <m/>
    <m/>
    <s v="Ertan Cicek"/>
    <s v="Direct Award"/>
    <d v="2018-06-28T00:00:00"/>
    <m/>
    <d v="2018-09-28T00:00:00"/>
    <n v="92"/>
  </r>
  <r>
    <s v="A417 Greenfield MDU"/>
    <s v="Sydney"/>
    <s v="Inv 13742"/>
    <d v="2018-06-14T00:00:00"/>
    <m/>
    <d v="2018-08-30T00:00:00"/>
    <m/>
    <m/>
    <m/>
    <d v="2018-06-14T00:00:00"/>
    <m/>
    <s v="Aug-18"/>
    <x v="10"/>
    <s v="MW417R000157-2PAR-63-AYCA-4A46K7-208-210 Great Western Hwy, Westmead DFN Design &amp; Construct,  Mob payment"/>
    <s v="Westmead"/>
    <n v="10941.9"/>
    <m/>
    <n v="10941.9"/>
    <n v="12036.09"/>
    <m/>
    <m/>
    <n v="0"/>
    <n v="10941.9"/>
    <n v="1"/>
    <m/>
    <m/>
    <m/>
    <s v="Mark Leal"/>
    <s v="Direct Award"/>
    <d v="2018-06-08T00:00:00"/>
    <m/>
    <d v="2018-08-31T00:00:00"/>
    <n v="84"/>
  </r>
  <r>
    <s v="A417 Greenfield MDU"/>
    <s v="Sydney"/>
    <m/>
    <m/>
    <m/>
    <d v="2018-10-30T00:00:00"/>
    <m/>
    <m/>
    <m/>
    <m/>
    <m/>
    <s v="Oct-18"/>
    <x v="8"/>
    <s v="MW417R000397-AYCA-5BX3DW-2NEW-23-7-9 Hutchinson St, St Peters - 1"/>
    <s v="St Peters"/>
    <n v="1998.95"/>
    <m/>
    <n v="1998.95"/>
    <n v="2198.8450000000003"/>
    <m/>
    <m/>
    <n v="0"/>
    <n v="1998.95"/>
    <n v="1"/>
    <m/>
    <m/>
    <m/>
    <s v="Ertan Cicek"/>
    <s v="Direct Award"/>
    <d v="2018-06-29T00:00:00"/>
    <m/>
    <d v="2018-09-28T00:00:00"/>
    <n v="91"/>
  </r>
  <r>
    <s v="A417 Greenfield MDU"/>
    <s v="Sydney"/>
    <m/>
    <m/>
    <m/>
    <d v="2018-10-30T00:00:00"/>
    <m/>
    <m/>
    <m/>
    <m/>
    <m/>
    <s v="Oct-18"/>
    <x v="8"/>
    <s v="MW417R000395 - AYCA-56PP6W-2BAN-67-55-57 Chelmsford Ave, Bankstown"/>
    <s v="Bankstown"/>
    <n v="6228.33"/>
    <m/>
    <n v="6228.33"/>
    <n v="6851.1630000000005"/>
    <m/>
    <m/>
    <n v="0"/>
    <n v="6228.33"/>
    <n v="1"/>
    <m/>
    <m/>
    <m/>
    <s v="Ertan Cicek"/>
    <s v="Direct Award"/>
    <d v="2018-06-29T00:00:00"/>
    <m/>
    <d v="2018-09-28T00:00:00"/>
    <n v="91"/>
  </r>
  <r>
    <s v="A401/Greenfield"/>
    <s v="Sth Coast"/>
    <m/>
    <m/>
    <d v="2018-07-05T00:00:00"/>
    <d v="2018-07-05T00:00:00"/>
    <d v="2018-07-10T00:00:00"/>
    <m/>
    <d v="2018-07-19T00:00:00"/>
    <d v="2018-08-02T00:00:00"/>
    <m/>
    <s v="Jul-18"/>
    <x v="17"/>
    <s v="MW22519 - AYCA-4V3JM3 - 2COR-01 - 69 High Street, Thirroul"/>
    <s v="Thirroul"/>
    <n v="9249"/>
    <n v="5339.41"/>
    <n v="14588.41"/>
    <n v="16047.251000000002"/>
    <m/>
    <m/>
    <n v="0"/>
    <n v="14588.41"/>
    <n v="1"/>
    <m/>
    <m/>
    <m/>
    <s v="Dave Yoemans"/>
    <d v="2018-05-31T00:00:00"/>
    <d v="2018-06-13T00:00:00"/>
    <n v="13"/>
    <d v="2018-06-29T00:00:00"/>
    <n v="16"/>
  </r>
  <r>
    <s v="NBN Assurance Sydney"/>
    <s v="NSW"/>
    <s v="Inv 13781"/>
    <m/>
    <d v="2018-07-03T00:00:00"/>
    <d v="2018-07-03T00:00:00"/>
    <m/>
    <m/>
    <d v="2018-07-17T00:00:00"/>
    <d v="2018-07-31T00:00:00"/>
    <m/>
    <s v="Jul-18"/>
    <x v="15"/>
    <s v="INC000008387493 - 166 Great Western Hwy, Wentworth Falls"/>
    <s v="Wentworth Falls"/>
    <n v="2434.66"/>
    <m/>
    <n v="2434.66"/>
    <n v="2678.1260000000002"/>
    <m/>
    <m/>
    <n v="0"/>
    <n v="2434.66"/>
    <n v="1"/>
    <m/>
    <d v="2018-07-17T00:00:00"/>
    <m/>
    <s v="Tony Gabriel"/>
    <m/>
    <m/>
    <m/>
    <m/>
    <m/>
  </r>
  <r>
    <s v="NBN Assurance Sydney"/>
    <s v="NSW"/>
    <s v="Inv 13782"/>
    <m/>
    <d v="2018-07-03T00:00:00"/>
    <d v="2018-07-03T00:00:00"/>
    <m/>
    <m/>
    <d v="2018-07-17T00:00:00"/>
    <d v="2018-07-31T00:00:00"/>
    <m/>
    <s v="Jul-18"/>
    <x v="15"/>
    <s v="MW417R000569-2KTB-02-INC000007293986-Lot 22, 33 Foy Avenue, Medlow Bath"/>
    <s v="Medlow Bath"/>
    <n v="1537.6799999999998"/>
    <m/>
    <n v="1537.6799999999998"/>
    <n v="1691.4479999999999"/>
    <m/>
    <m/>
    <n v="0"/>
    <n v="1537.6799999999998"/>
    <n v="1"/>
    <m/>
    <d v="2018-07-17T00:00:00"/>
    <m/>
    <s v="Tony Gabriel"/>
    <m/>
    <m/>
    <m/>
    <m/>
    <m/>
  </r>
  <r>
    <s v="NBN Assurance Wagga"/>
    <s v="NSW"/>
    <s v="Inv 13784"/>
    <m/>
    <d v="2018-07-03T00:00:00"/>
    <d v="2018-07-03T00:00:00"/>
    <m/>
    <m/>
    <d v="2018-07-17T00:00:00"/>
    <d v="2018-07-31T00:00:00"/>
    <m/>
    <s v="Jul-18"/>
    <x v="15"/>
    <s v="INC000007561589 - Lot 102, 51 Mount St, Yass"/>
    <s v="Yass"/>
    <n v="1819.54"/>
    <m/>
    <n v="1819.54"/>
    <n v="2001.4940000000001"/>
    <m/>
    <m/>
    <n v="0"/>
    <n v="1819.54"/>
    <n v="1"/>
    <m/>
    <d v="2018-07-17T00:00:00"/>
    <m/>
    <s v="Tony Gabriel"/>
    <m/>
    <m/>
    <m/>
    <m/>
    <m/>
  </r>
  <r>
    <s v="NBN Assurance Wagga"/>
    <s v="NSW"/>
    <s v="Inv 13785"/>
    <m/>
    <d v="2018-07-03T00:00:00"/>
    <d v="2018-07-03T00:00:00"/>
    <m/>
    <m/>
    <d v="2018-07-17T00:00:00"/>
    <d v="2018-07-31T00:00:00"/>
    <m/>
    <s v="Jul-18"/>
    <x v="15"/>
    <s v="MW417R000520-2WWY-20-34 Church St, West Wyalong, NSW"/>
    <s v="West Wyalong"/>
    <n v="768.84"/>
    <m/>
    <n v="768.84"/>
    <n v="845.72400000000016"/>
    <m/>
    <m/>
    <n v="0"/>
    <n v="768.84"/>
    <n v="1"/>
    <m/>
    <d v="2018-07-17T00:00:00"/>
    <m/>
    <s v="Tony Gabriel"/>
    <m/>
    <m/>
    <m/>
    <m/>
    <m/>
  </r>
  <r>
    <s v="NBN Assurance Wagga"/>
    <s v="NSW"/>
    <s v="Inv 13786"/>
    <m/>
    <d v="2018-07-03T00:00:00"/>
    <d v="2018-07-03T00:00:00"/>
    <m/>
    <m/>
    <d v="2018-07-17T00:00:00"/>
    <d v="2018-07-31T00:00:00"/>
    <m/>
    <s v="Jul-18"/>
    <x v="15"/>
    <s v="MW417R000510-2CON-20-74-76 Orange St, Condobolin, NSW-INC000007693413"/>
    <s v="Condobolin"/>
    <n v="961.05"/>
    <m/>
    <n v="961.05"/>
    <n v="1057.155"/>
    <m/>
    <m/>
    <n v="0"/>
    <n v="961.05"/>
    <n v="1"/>
    <m/>
    <d v="2018-07-17T00:00:00"/>
    <m/>
    <s v="Tony Gabriel"/>
    <m/>
    <m/>
    <m/>
    <m/>
    <m/>
  </r>
  <r>
    <s v="NBN Assurance Wagga"/>
    <s v="NSW"/>
    <s v="Inv 13787"/>
    <m/>
    <d v="2018-07-03T00:00:00"/>
    <d v="2018-07-03T00:00:00"/>
    <m/>
    <m/>
    <d v="2018-07-17T00:00:00"/>
    <d v="2018-07-31T00:00:00"/>
    <m/>
    <s v="Jul-18"/>
    <x v="15"/>
    <s v="MW417R000508-2WAG-06-Lot 220, 23 Crisp Dr, Ashmont, NSW"/>
    <s v="Ashmont"/>
    <n v="962.81299999999999"/>
    <m/>
    <n v="962.81299999999999"/>
    <n v="1059.0943"/>
    <m/>
    <m/>
    <n v="0"/>
    <n v="962.81299999999999"/>
    <n v="1"/>
    <m/>
    <d v="2018-07-17T00:00:00"/>
    <m/>
    <s v="Tony Gabriel"/>
    <m/>
    <m/>
    <m/>
    <m/>
    <m/>
  </r>
  <r>
    <s v="NBN Assurance Wagga"/>
    <s v="NSW"/>
    <s v="Inv 13788"/>
    <m/>
    <d v="2018-07-03T00:00:00"/>
    <d v="2018-07-03T00:00:00"/>
    <m/>
    <m/>
    <d v="2018-07-17T00:00:00"/>
    <d v="2018-07-31T00:00:00"/>
    <m/>
    <s v="Jul-18"/>
    <x v="15"/>
    <s v="MW417R000503-2CON-20-Lot 11, 15 Busby Street, Condobolin"/>
    <s v="Condobolin"/>
    <n v="962.81299999999999"/>
    <m/>
    <n v="962.81299999999999"/>
    <n v="1059.0943"/>
    <m/>
    <m/>
    <n v="0"/>
    <n v="962.81299999999999"/>
    <n v="1"/>
    <m/>
    <d v="2018-07-17T00:00:00"/>
    <m/>
    <s v="Tony Gabriel"/>
    <m/>
    <m/>
    <m/>
    <m/>
    <m/>
  </r>
  <r>
    <s v="NBN Assurance Wagga"/>
    <s v="NSW"/>
    <s v="Inv 13789"/>
    <m/>
    <d v="2018-07-03T00:00:00"/>
    <d v="2018-07-03T00:00:00"/>
    <m/>
    <m/>
    <d v="2018-07-17T00:00:00"/>
    <d v="2018-07-31T00:00:00"/>
    <m/>
    <s v="Jul-18"/>
    <x v="15"/>
    <s v="MW417R000507-2ALB-04-Lot 4, 2 Bunker Ct, Albury, NSW-INC000007471430"/>
    <s v="Albury"/>
    <n v="2947.22"/>
    <m/>
    <n v="2947.22"/>
    <n v="3241.942"/>
    <m/>
    <m/>
    <n v="0"/>
    <n v="2947.22"/>
    <n v="1"/>
    <m/>
    <d v="2018-07-17T00:00:00"/>
    <m/>
    <s v="Tony Gabriel"/>
    <m/>
    <m/>
    <m/>
    <m/>
    <m/>
  </r>
  <r>
    <s v="NBN Assurance Wagga"/>
    <s v="NSW"/>
    <s v="Inv 13790"/>
    <m/>
    <d v="2018-07-03T00:00:00"/>
    <d v="2018-07-03T00:00:00"/>
    <m/>
    <m/>
    <d v="2018-07-17T00:00:00"/>
    <d v="2018-07-31T00:00:00"/>
    <m/>
    <s v="Jul-18"/>
    <x v="15"/>
    <s v="MW417R000511-2LTO-21-Lot 1, 45 Gossamer St, Leeton"/>
    <s v="Leeton"/>
    <n v="3655.39"/>
    <m/>
    <n v="3655.39"/>
    <n v="4020.9290000000001"/>
    <m/>
    <m/>
    <n v="0"/>
    <n v="3655.39"/>
    <n v="1"/>
    <m/>
    <d v="2018-07-17T00:00:00"/>
    <m/>
    <s v="Tony Gabriel"/>
    <m/>
    <m/>
    <m/>
    <m/>
    <m/>
  </r>
  <r>
    <s v="NBN Assurance Sydney"/>
    <s v="NSW"/>
    <s v="Inv 13794"/>
    <m/>
    <d v="2018-07-03T00:00:00"/>
    <d v="2018-07-03T00:00:00"/>
    <m/>
    <m/>
    <d v="2018-07-17T00:00:00"/>
    <d v="2018-07-31T00:00:00"/>
    <m/>
    <s v="Jul-18"/>
    <x v="15"/>
    <s v="MW417R000542-2KTB-02-51 DELMONTE AV, MEDLOW BATH-INC000008346619"/>
    <s v="Medlow Bath"/>
    <n v="1422.33"/>
    <m/>
    <n v="1422.33"/>
    <n v="1564.5630000000001"/>
    <m/>
    <m/>
    <n v="0"/>
    <n v="1422.33"/>
    <n v="1"/>
    <m/>
    <d v="2018-07-17T00:00:00"/>
    <m/>
    <s v="Tony Gabriel"/>
    <m/>
    <m/>
    <m/>
    <m/>
    <m/>
  </r>
  <r>
    <s v="NBN Assurance Wagga"/>
    <s v="NSW"/>
    <s v="Inv 13791"/>
    <d v="2018-07-03T00:00:00"/>
    <d v="2018-07-03T00:00:00"/>
    <d v="2018-07-03T00:00:00"/>
    <m/>
    <m/>
    <d v="2018-07-17T00:00:00"/>
    <d v="2018-07-31T00:00:00"/>
    <m/>
    <s v="Jul-18"/>
    <x v="15"/>
    <s v="MW417R000516-2HAY-20-Lot 7, 460 Orson St, Hay, NSW-INC000006971761"/>
    <s v="Hay"/>
    <n v="11144.61"/>
    <m/>
    <n v="11144.61"/>
    <n v="12259.071000000002"/>
    <m/>
    <m/>
    <n v="0"/>
    <n v="11144.61"/>
    <n v="1"/>
    <m/>
    <d v="2018-07-17T00:00:00"/>
    <m/>
    <s v="Tony Gabriel"/>
    <m/>
    <m/>
    <m/>
    <m/>
    <m/>
  </r>
  <r>
    <s v="NBN Assurance Sydney"/>
    <s v="NSW"/>
    <m/>
    <m/>
    <d v="2018-07-03T00:00:00"/>
    <d v="2018-07-03T00:00:00"/>
    <m/>
    <m/>
    <d v="2018-07-17T00:00:00"/>
    <d v="2018-07-31T00:00:00"/>
    <m/>
    <s v="Jul-18"/>
    <x v="15"/>
    <s v="INC000008263241 –  24 NELSON RD, KATOOMBA"/>
    <s v="Katoomba"/>
    <n v="3799.81"/>
    <m/>
    <n v="3799.81"/>
    <n v="4179.7910000000002"/>
    <m/>
    <m/>
    <n v="0"/>
    <n v="3799.81"/>
    <n v="1"/>
    <m/>
    <d v="2018-07-17T00:00:00"/>
    <m/>
    <s v="Tony Gabriel"/>
    <m/>
    <m/>
    <m/>
    <m/>
    <m/>
  </r>
  <r>
    <s v="NBN Assurance Sydney"/>
    <s v="NSW"/>
    <s v="Inv 13795"/>
    <m/>
    <d v="2018-07-03T00:00:00"/>
    <d v="2018-07-03T00:00:00"/>
    <m/>
    <m/>
    <d v="2018-07-17T00:00:00"/>
    <d v="2018-07-31T00:00:00"/>
    <m/>
    <s v="Jul-18"/>
    <x v="15"/>
    <s v="MW417R000567-2BLK-05-INC000007924200-UNIT 501, LOT 1, 3 FIRST AV, SEVEN HILLS "/>
    <s v="Seven Hills"/>
    <n v="4389.9072857142855"/>
    <m/>
    <n v="4389.9072857142855"/>
    <n v="4828.8980142857145"/>
    <m/>
    <m/>
    <n v="0"/>
    <n v="4389.9072857142855"/>
    <n v="1"/>
    <m/>
    <d v="2018-07-17T00:00:00"/>
    <m/>
    <s v="Tony Gabriel"/>
    <m/>
    <m/>
    <m/>
    <m/>
    <m/>
  </r>
  <r>
    <s v="NBN Assurance Sydney"/>
    <s v="NSW"/>
    <s v="Inv 13798"/>
    <m/>
    <d v="2018-07-03T00:00:00"/>
    <d v="2018-07-03T00:00:00"/>
    <m/>
    <m/>
    <d v="2018-07-17T00:00:00"/>
    <d v="2018-07-31T00:00:00"/>
    <m/>
    <s v="Jul-18"/>
    <x v="15"/>
    <s v="INC000007742541- Lot 18 30 Christabel Street Lawson"/>
    <s v="Lawson"/>
    <n v="1473.61"/>
    <m/>
    <n v="1473.61"/>
    <n v="1620.971"/>
    <m/>
    <m/>
    <n v="0"/>
    <n v="1473.61"/>
    <n v="1"/>
    <m/>
    <d v="2018-07-17T00:00:00"/>
    <m/>
    <s v="Tony Gabriel"/>
    <m/>
    <m/>
    <m/>
    <m/>
    <m/>
  </r>
  <r>
    <s v="NBN Assurance Sydney"/>
    <s v="NSW"/>
    <s v="Inv 13799"/>
    <m/>
    <d v="2018-07-03T00:00:00"/>
    <d v="2018-07-03T00:00:00"/>
    <m/>
    <m/>
    <d v="2018-07-17T00:00:00"/>
    <d v="2018-07-31T00:00:00"/>
    <m/>
    <s v="Jul-18"/>
    <x v="15"/>
    <s v="MW417R000521-2KTB-01-42-84 Martin St, Katoomba High School, Katoomba"/>
    <s v="Katoomba"/>
    <n v="1409.54"/>
    <m/>
    <n v="1409.54"/>
    <n v="1550.4940000000001"/>
    <m/>
    <m/>
    <n v="0"/>
    <n v="1409.54"/>
    <n v="1"/>
    <m/>
    <d v="2018-07-17T00:00:00"/>
    <m/>
    <s v="Tony Gabriel"/>
    <m/>
    <m/>
    <m/>
    <m/>
    <m/>
  </r>
  <r>
    <s v="NBN Assurance Wagga"/>
    <s v="NSW"/>
    <s v="Inv 13815"/>
    <m/>
    <d v="2018-07-03T00:00:00"/>
    <d v="2018-07-03T00:00:00"/>
    <m/>
    <m/>
    <d v="2018-07-17T00:00:00"/>
    <d v="2018-07-31T00:00:00"/>
    <m/>
    <s v="Jul-18"/>
    <x v="15"/>
    <s v="MW417R000576-2NMN-20-INC000007557971-113 WATTLE CR, NARROMINE"/>
    <s v="Narromine"/>
    <n v="1153.26"/>
    <m/>
    <n v="1153.26"/>
    <n v="1268.586"/>
    <m/>
    <m/>
    <n v="0"/>
    <n v="1153.26"/>
    <n v="1"/>
    <m/>
    <d v="2018-07-17T00:00:00"/>
    <m/>
    <s v="Tony Gabriel"/>
    <m/>
    <m/>
    <m/>
    <m/>
    <m/>
  </r>
  <r>
    <s v="NBN Assurance Wagga"/>
    <s v="NSW"/>
    <s v="inv 13783"/>
    <m/>
    <d v="2018-07-03T00:00:00"/>
    <d v="2018-07-03T00:00:00"/>
    <m/>
    <m/>
    <d v="2018-07-17T00:00:00"/>
    <d v="2018-07-31T00:00:00"/>
    <m/>
    <s v="Jul-18"/>
    <x v="15"/>
    <s v="INC000007735234 –  12-20 BARNADO ST, WEST WYALONG"/>
    <s v="West Wyalong"/>
    <n v="512.55999999999995"/>
    <m/>
    <n v="512.55999999999995"/>
    <n v="563.81600000000003"/>
    <m/>
    <m/>
    <n v="0"/>
    <n v="512.55999999999995"/>
    <n v="1"/>
    <m/>
    <d v="2018-07-17T00:00:00"/>
    <m/>
    <s v="Tony Gabriel"/>
    <m/>
    <m/>
    <m/>
    <m/>
    <m/>
  </r>
  <r>
    <s v="A417 Greenfield MDU"/>
    <s v="Sydney"/>
    <m/>
    <m/>
    <m/>
    <d v="2018-10-30T00:00:00"/>
    <m/>
    <m/>
    <m/>
    <m/>
    <m/>
    <s v="Oct-18"/>
    <x v="8"/>
    <s v="MW417R000463-2MIR-28-AYCA-48HHL8-2-22 University Rd &amp; 660-664"/>
    <s v="Miranda"/>
    <n v="957.85"/>
    <m/>
    <n v="957.85"/>
    <n v="1053.6350000000002"/>
    <m/>
    <m/>
    <n v="0"/>
    <n v="957.85"/>
    <n v="1"/>
    <m/>
    <d v="2018-11-13T00:00:00"/>
    <m/>
    <s v="Ertan Cicek"/>
    <s v="Direct Award"/>
    <d v="2018-07-05T00:00:00"/>
    <m/>
    <d v="2018-09-28T00:00:00"/>
    <n v="85"/>
  </r>
  <r>
    <s v="A417 Greenfield MDU"/>
    <s v="Sydney"/>
    <m/>
    <m/>
    <m/>
    <d v="2018-09-30T00:00:00"/>
    <m/>
    <m/>
    <m/>
    <m/>
    <m/>
    <s v="Sep-18"/>
    <x v="8"/>
    <s v="MW417R000454 -AYCA-4V7F3M -  2LAK-22 - 23 Willeroo St, Lakemba"/>
    <s v="Lakemba"/>
    <n v="2111.65"/>
    <m/>
    <n v="2111.65"/>
    <n v="2322.8150000000005"/>
    <m/>
    <m/>
    <n v="0"/>
    <n v="2111.65"/>
    <n v="1"/>
    <m/>
    <d v="2018-10-14T00:00:00"/>
    <m/>
    <s v="Ertan Cicek"/>
    <s v="Direct Award"/>
    <d v="2018-07-05T00:00:00"/>
    <m/>
    <d v="2018-08-03T00:00:00"/>
    <n v="29"/>
  </r>
  <r>
    <s v="A417 Greenfield MDU"/>
    <s v="Sth Coast"/>
    <m/>
    <m/>
    <m/>
    <d v="2018-10-30T00:00:00"/>
    <m/>
    <m/>
    <m/>
    <m/>
    <m/>
    <s v="Oct-18"/>
    <x v="8"/>
    <s v="MW417R000494-AYCA-21R8AP-2WLG-07-12-14 New Dapto Rd Wollongong"/>
    <s v="Wollongong"/>
    <n v="1022.88"/>
    <m/>
    <n v="1022.88"/>
    <n v="1125.1680000000001"/>
    <m/>
    <m/>
    <n v="0"/>
    <n v="1022.88"/>
    <n v="1"/>
    <m/>
    <d v="2018-11-13T00:00:00"/>
    <m/>
    <s v="Ertan Cicek"/>
    <s v="Direct Award"/>
    <d v="2018-07-05T00:00:00"/>
    <m/>
    <d v="2018-09-28T00:00:00"/>
    <n v="85"/>
  </r>
  <r>
    <s v="A417 Greenfield MDU"/>
    <s v="Sydney"/>
    <m/>
    <m/>
    <m/>
    <d v="2018-10-30T00:00:00"/>
    <m/>
    <m/>
    <m/>
    <m/>
    <m/>
    <s v="Oct-18"/>
    <x v="8"/>
    <s v="MW417R000495-AYCA-4X1Z9M-2MIR-26-58/60 Karimbla Rd, Miranda"/>
    <s v="Miranda"/>
    <n v="680.91"/>
    <m/>
    <n v="680.91"/>
    <n v="749.00099999999998"/>
    <m/>
    <m/>
    <n v="0"/>
    <n v="680.91"/>
    <n v="1"/>
    <m/>
    <d v="2018-11-13T00:00:00"/>
    <m/>
    <s v="Ertan Cicek"/>
    <s v="Direct Award"/>
    <d v="2018-07-05T00:00:00"/>
    <m/>
    <d v="2018-09-28T00:00:00"/>
    <n v="85"/>
  </r>
  <r>
    <s v="A417 Greenfield MDU"/>
    <s v="Sydney"/>
    <m/>
    <m/>
    <m/>
    <d v="2018-10-30T00:00:00"/>
    <m/>
    <m/>
    <m/>
    <m/>
    <m/>
    <s v="Oct-18"/>
    <x v="8"/>
    <s v="MW417R000461-AYCA-5AXHNZ-2SIL-02-4 Murray Rose Ave, Sydney Olympic Park"/>
    <s v="Sydney Olympic Park"/>
    <n v="2123.65"/>
    <m/>
    <n v="2123.65"/>
    <n v="2336.0150000000003"/>
    <m/>
    <m/>
    <n v="0"/>
    <n v="2123.65"/>
    <n v="1"/>
    <m/>
    <d v="2018-11-13T00:00:00"/>
    <m/>
    <s v="Ertan Cicek"/>
    <s v="Direct Award"/>
    <d v="2018-07-05T00:00:00"/>
    <m/>
    <d v="2018-09-28T00:00:00"/>
    <n v="85"/>
  </r>
  <r>
    <s v="A417 Greenfield MDU"/>
    <s v="Sydney"/>
    <m/>
    <m/>
    <m/>
    <d v="2018-10-30T00:00:00"/>
    <m/>
    <m/>
    <m/>
    <m/>
    <m/>
    <s v="Oct-18"/>
    <x v="8"/>
    <s v="MW417R000462-AYCA-328OYF-2CBT-05-37-41 Chamberlain St, Campbelltown"/>
    <s v="Campbelltown"/>
    <n v="1821.28"/>
    <m/>
    <n v="1821.28"/>
    <n v="2003.4080000000001"/>
    <m/>
    <m/>
    <n v="0"/>
    <n v="1821.28"/>
    <n v="1"/>
    <m/>
    <d v="2018-11-13T00:00:00"/>
    <m/>
    <s v="Ertan Cicek"/>
    <s v="Direct Award"/>
    <d v="2018-07-05T00:00:00"/>
    <m/>
    <d v="2018-09-28T00:00:00"/>
    <n v="85"/>
  </r>
  <r>
    <s v="A417 Greenfield MDU"/>
    <s v="Sydney"/>
    <m/>
    <m/>
    <m/>
    <d v="2018-10-30T00:00:00"/>
    <m/>
    <m/>
    <m/>
    <m/>
    <m/>
    <s v="Oct-18"/>
    <x v="8"/>
    <s v="MW417R000518-AYCA-2V9V2D-2HOR-63-2 Cowan Road &amp; 540A-542 Pacific Highway, Mount Colah"/>
    <s v="Mount Colah"/>
    <n v="1606.42"/>
    <m/>
    <n v="1606.42"/>
    <n v="1767.0620000000001"/>
    <m/>
    <m/>
    <n v="0"/>
    <n v="1606.42"/>
    <n v="1"/>
    <m/>
    <d v="2018-11-13T00:00:00"/>
    <m/>
    <s v="Ertan Cicek"/>
    <s v="Direct Award"/>
    <d v="2018-07-05T00:00:00"/>
    <m/>
    <d v="2018-09-28T00:00:00"/>
    <n v="85"/>
  </r>
  <r>
    <s v="A417 Greenfield MDU"/>
    <s v="Sydney"/>
    <m/>
    <m/>
    <m/>
    <d v="2018-10-30T00:00:00"/>
    <m/>
    <m/>
    <m/>
    <m/>
    <m/>
    <s v="Oct-18"/>
    <x v="8"/>
    <s v="MW417R000502-AYCA-4UMUPA-2KEL-07-21 Fairway Dr, Kellyville"/>
    <s v="Kellyville"/>
    <n v="1976.12"/>
    <m/>
    <n v="1976.12"/>
    <n v="2173.732"/>
    <m/>
    <m/>
    <n v="0"/>
    <n v="1976.12"/>
    <n v="1"/>
    <m/>
    <d v="2018-11-13T00:00:00"/>
    <m/>
    <s v="Ertan Cicek"/>
    <s v="Direct Award"/>
    <d v="2018-07-05T00:00:00"/>
    <m/>
    <d v="2018-09-28T00:00:00"/>
    <n v="85"/>
  </r>
  <r>
    <s v="A417 Greenfield MDU"/>
    <s v="Sydney"/>
    <m/>
    <m/>
    <d v="2018-07-10T00:00:00"/>
    <d v="2018-07-10T00:00:00"/>
    <m/>
    <m/>
    <d v="2018-07-24T00:00:00"/>
    <d v="2018-07-24T00:00:00"/>
    <m/>
    <s v="Jul-18"/>
    <x v="15"/>
    <s v="MW417R000529-AYCA-5ALZB0-2BLK-07-6 Woods Cl Huntingwood  Int"/>
    <s v="Huntingwood"/>
    <n v="285.60000000000002"/>
    <m/>
    <n v="285.60000000000002"/>
    <n v="314.16000000000003"/>
    <m/>
    <m/>
    <n v="0"/>
    <n v="285.60000000000002"/>
    <n v="1"/>
    <m/>
    <d v="2018-07-24T00:00:00"/>
    <m/>
    <s v="Ertan Cicek"/>
    <s v="Direct Award"/>
    <d v="2018-07-09T00:00:00"/>
    <m/>
    <d v="2018-07-18T00:00:00"/>
    <n v="9"/>
  </r>
  <r>
    <s v="A401/Greenfield"/>
    <s v="Central West"/>
    <m/>
    <m/>
    <m/>
    <d v="2018-10-30T00:00:00"/>
    <m/>
    <m/>
    <m/>
    <m/>
    <m/>
    <s v="Oct-18"/>
    <x v="8"/>
    <s v="MW417R000543-2PKS-21-AYCA-5866DJ-2 Cecile Street, Parkes "/>
    <s v="Parkes"/>
    <n v="7336.89"/>
    <m/>
    <n v="7336.89"/>
    <n v="8070.5790000000006"/>
    <m/>
    <m/>
    <n v="0"/>
    <n v="7336.89"/>
    <n v="1"/>
    <m/>
    <d v="2018-11-13T00:00:00"/>
    <m/>
    <s v="Mark Leal"/>
    <d v="2018-07-06T00:00:00"/>
    <d v="2018-07-10T00:00:00"/>
    <n v="4"/>
    <d v="2018-09-27T00:00:00"/>
    <n v="79"/>
  </r>
  <r>
    <s v="A401/Greenfield"/>
    <s v="Sth NSW"/>
    <m/>
    <m/>
    <m/>
    <d v="2018-09-30T00:00:00"/>
    <m/>
    <m/>
    <m/>
    <m/>
    <m/>
    <s v="Sep-18"/>
    <x v="8"/>
    <s v="MW417R000059-AYCA-59JUMX - 2WAG-02-J83 Trail Street, Wagga Wagga "/>
    <s v="Wagga Wagga"/>
    <n v="3012.97"/>
    <m/>
    <n v="3012.97"/>
    <n v="3314.2669999999998"/>
    <m/>
    <m/>
    <n v="0"/>
    <n v="3012.97"/>
    <n v="1"/>
    <m/>
    <d v="2018-10-14T00:00:00"/>
    <m/>
    <s v="Mark Leal"/>
    <d v="2018-05-31T00:00:00"/>
    <d v="2018-07-11T00:00:00"/>
    <n v="41"/>
    <d v="2018-09-06T00:00:00"/>
    <n v="57"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n v="2769146.8506100001"/>
    <n v="1425859.5521456583"/>
    <n v="4195294.4027556572"/>
    <n v="4614823.8430312267"/>
    <n v="1339260.7391136358"/>
    <n v="38780.697030000003"/>
    <n v="1245603.8953936363"/>
    <n v="2311436.4803263107"/>
    <n v="0.70801175624430845"/>
    <m/>
    <m/>
    <m/>
    <m/>
    <m/>
    <m/>
    <m/>
    <m/>
    <m/>
  </r>
  <r>
    <m/>
    <m/>
    <m/>
    <m/>
    <m/>
    <m/>
    <m/>
    <m/>
    <m/>
    <m/>
    <m/>
    <m/>
    <x v="18"/>
    <s v=" 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s v=" "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m/>
    <x v="18"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71">
  <r>
    <x v="0"/>
    <s v="Nth Coast"/>
    <s v="Inv 12261"/>
    <d v="2017-05-31T00:00:00"/>
    <d v="2017-05-18T00:00:00"/>
    <d v="2017-05-18T00:00:00"/>
    <m/>
    <m/>
    <d v="2017-06-30T00:00:00"/>
    <d v="2017-08-24T00:00:00"/>
    <m/>
    <x v="0"/>
    <s v="Aug-17"/>
    <s v="MW20264 - 2NLB-02 - AYCA-32ARIB - Dowling St "/>
    <s v="Nelson Bay"/>
    <n v="6033.93"/>
    <m/>
    <n v="6033.93"/>
    <n v="6637.3230000000012"/>
    <m/>
    <m/>
    <n v="0"/>
    <n v="6033.93"/>
    <n v="1"/>
    <s v="Invoiced"/>
    <d v="2017-06-01T00:00:00"/>
    <s v="Completed and handover forwarded"/>
    <s v="Mark Leal"/>
    <d v="2016-11-17T00:00:00"/>
    <d v="2016-11-25T00:00:00"/>
    <n v="8"/>
    <d v="2016-12-16T00:00:00"/>
    <n v="21"/>
  </r>
  <r>
    <x v="0"/>
    <s v="Sydney"/>
    <s v="Inv 12150 &amp; 12150b"/>
    <d v="2017-06-01T00:00:00"/>
    <d v="2017-06-13T00:00:00"/>
    <d v="2017-06-14T00:00:00"/>
    <d v="2017-06-26T00:00:00"/>
    <d v="2017-07-25T00:00:00"/>
    <d v="2017-07-14T00:00:00"/>
    <d v="2017-08-15T00:00:00"/>
    <s v="payment schedule received 14/8"/>
    <x v="1"/>
    <s v="Aug-17"/>
    <s v="MW20367 - AYCA-3H6ZBG - 2NRN-03 - 61 Smeaton Grange Rd,"/>
    <s v="Smeaton Grange"/>
    <n v="2081.7600000000002"/>
    <n v="6995.47"/>
    <n v="9077.23"/>
    <n v="9984.9529999999995"/>
    <n v="1574.16"/>
    <n v="3292.54"/>
    <n v="4866.7"/>
    <n v="4210.53"/>
    <n v="0.46385626452122508"/>
    <s v="Invoiced"/>
    <d v="2017-06-28T00:00:00"/>
    <s v="Completed and handover forwarded"/>
    <s v="John Luker"/>
    <d v="2017-01-23T00:00:00"/>
    <d v="2017-02-06T00:00:00"/>
    <n v="14"/>
    <d v="2017-02-21T00:00:00"/>
    <n v="15"/>
  </r>
  <r>
    <x v="1"/>
    <s v="Sydney"/>
    <s v="Inv 11969b"/>
    <d v="2017-02-28T00:00:00"/>
    <d v="2017-02-14T00:00:00"/>
    <d v="2017-05-02T00:00:00"/>
    <d v="2017-05-02T00:00:00"/>
    <d v="2017-05-09T00:00:00"/>
    <d v="2017-05-16T00:00:00"/>
    <d v="2017-05-25T00:00:00"/>
    <m/>
    <x v="0"/>
    <s v="May-17"/>
    <s v="2BLK-07  Huntingwood - Additional Variations"/>
    <s v="Huntingwood"/>
    <m/>
    <n v="766.97"/>
    <n v="766.97"/>
    <n v="843.66700000000014"/>
    <m/>
    <m/>
    <n v="0"/>
    <n v="766.97"/>
    <n v="1"/>
    <s v="Invoiced"/>
    <d v="2017-05-16T00:00:00"/>
    <s v="Completed and handover forwarded"/>
    <s v="Shaher Aslam / Jay Shrestha"/>
    <d v="2016-09-02T00:00:00"/>
    <d v="2016-09-22T00:00:00"/>
    <n v="20"/>
    <d v="2016-10-19T00:00:00"/>
    <n v="27"/>
  </r>
  <r>
    <x v="1"/>
    <s v="Sth Coast"/>
    <s v="Inv 13377"/>
    <d v="2018-03-15T00:00:00"/>
    <d v="2018-02-07T00:00:00"/>
    <d v="2018-02-07T00:00:00"/>
    <d v="2017-02-07T00:00:00"/>
    <d v="2018-02-20T00:00:00"/>
    <d v="2018-02-20T00:00:00"/>
    <d v="2018-03-15T00:00:00"/>
    <m/>
    <x v="2"/>
    <s v="Mar-18"/>
    <s v="MW20154 - 2WLG-01 &amp; 02 "/>
    <s v="Wollongong"/>
    <n v="5867.23"/>
    <n v="28433.11"/>
    <n v="34300.339999999997"/>
    <n v="37730.373999999996"/>
    <n v="254.54545454545456"/>
    <m/>
    <n v="254.54545454545456"/>
    <n v="34045.794545454541"/>
    <n v="0.99257892328340025"/>
    <s v="Invoiced"/>
    <d v="2018-02-21T00:00:00"/>
    <s v="Completed and handover forwarded"/>
    <s v="Milan Khanal"/>
    <m/>
    <m/>
    <m/>
    <m/>
    <m/>
  </r>
  <r>
    <x v="1"/>
    <s v="Sydney"/>
    <s v="Inv 12876"/>
    <d v="2017-11-29T00:00:00"/>
    <d v="2017-09-19T00:00:00"/>
    <d v="2017-09-19T00:00:00"/>
    <m/>
    <m/>
    <d v="2017-11-20T00:00:00"/>
    <d v="2017-12-05T00:00:00"/>
    <s v="Waiting on access to one site, Macquarie Street"/>
    <x v="3"/>
    <s v="Dec-17"/>
    <s v="MW20311 - 2LIV-04 - Liverpool various sites"/>
    <s v="Liverpool"/>
    <n v="1505.23"/>
    <m/>
    <n v="1505.23"/>
    <n v="1655.7530000000002"/>
    <m/>
    <m/>
    <n v="0"/>
    <n v="1505.23"/>
    <n v="1"/>
    <s v="Invoiced"/>
    <d v="2017-10-03T00:00:00"/>
    <s v="Completed and handover forwarded"/>
    <s v="Milan Khanal"/>
    <m/>
    <m/>
    <m/>
    <m/>
    <m/>
  </r>
  <r>
    <x v="1"/>
    <s v="Sth Coast"/>
    <s v="Inv 12812"/>
    <d v="2017-11-16T00:00:00"/>
    <d v="2017-08-10T00:00:00"/>
    <d v="2017-08-10T00:00:00"/>
    <m/>
    <m/>
    <d v="2017-08-31T00:00:00"/>
    <d v="2017-11-21T00:00:00"/>
    <m/>
    <x v="4"/>
    <s v="Nov-17"/>
    <s v="MW20425 - 2WLG - MPS-062-144-191-190-197-241 &amp; 2WLG-08 "/>
    <s v="Wollongong"/>
    <n v="8027.19"/>
    <m/>
    <n v="8027.19"/>
    <n v="8829.9089999999997"/>
    <m/>
    <m/>
    <n v="0"/>
    <n v="8027.19"/>
    <n v="1"/>
    <s v="Invoiced"/>
    <d v="2017-08-24T00:00:00"/>
    <s v="Completed and handover forwarded"/>
    <s v="Milan Khanal"/>
    <m/>
    <m/>
    <m/>
    <m/>
    <m/>
  </r>
  <r>
    <x v="0"/>
    <s v="Sydney"/>
    <s v="Inv 12352"/>
    <d v="2017-06-26T00:00:00"/>
    <d v="2017-06-27T00:00:00"/>
    <d v="2017-06-27T00:00:00"/>
    <d v="2017-06-27T00:00:00"/>
    <d v="2017-09-22T00:00:00"/>
    <d v="2017-08-08T00:00:00"/>
    <d v="2017-10-03T00:00:00"/>
    <s v="Waiting on Variation Approval submitted 2/7"/>
    <x v="1"/>
    <s v="Oct-17"/>
    <s v="MW20385 - AYCA-38OMCL - 6 Hepher Rd, Campbelltown"/>
    <s v="Campbelltown"/>
    <n v="10952.8"/>
    <n v="2567.12"/>
    <n v="13519.919999999998"/>
    <n v="14871.911999999998"/>
    <n v="1702.74"/>
    <m/>
    <n v="1702.74"/>
    <n v="11817.179999999998"/>
    <n v="0.87405694708252712"/>
    <s v="Invoiced"/>
    <d v="2017-07-11T00:00:00"/>
    <s v="Completed and handover forwarded"/>
    <s v="Michael Tram"/>
    <d v="2017-02-18T00:00:00"/>
    <d v="2017-03-14T00:00:00"/>
    <n v="24"/>
    <d v="2017-03-15T00:00:00"/>
    <n v="1"/>
  </r>
  <r>
    <x v="0"/>
    <s v="Central Coast"/>
    <s v="Inv 12641"/>
    <d v="2017-10-10T00:00:00"/>
    <d v="2017-07-17T00:00:00"/>
    <d v="2017-07-17T00:00:00"/>
    <d v="2017-08-14T00:00:00"/>
    <d v="2017-09-07T00:00:00"/>
    <d v="2017-08-08T00:00:00"/>
    <d v="2017-10-10T00:00:00"/>
    <m/>
    <x v="5"/>
    <s v="Oct-17"/>
    <s v="MW20441 - AYCA-3KSRGR - Norberta St, The Entrance - 1"/>
    <s v="Long Jetty"/>
    <n v="8188.78"/>
    <n v="496.57"/>
    <n v="8685.35"/>
    <n v="9553.885000000002"/>
    <m/>
    <m/>
    <n v="0"/>
    <n v="8685.35"/>
    <n v="1"/>
    <s v="Invoiced"/>
    <d v="2017-07-31T00:00:00"/>
    <s v="Completed and handover forwarded"/>
    <s v="Andrew Partalis"/>
    <d v="2017-02-25T00:00:00"/>
    <d v="2017-03-13T00:00:00"/>
    <n v="16"/>
    <d v="2017-03-29T00:00:00"/>
    <n v="16"/>
  </r>
  <r>
    <x v="0"/>
    <s v="Sydney"/>
    <s v="Inv 12262"/>
    <d v="2017-05-31T00:00:00"/>
    <d v="2017-05-30T00:00:00"/>
    <d v="2017-05-30T00:00:00"/>
    <d v="2017-06-01T00:00:00"/>
    <d v="2017-06-21T00:00:00"/>
    <d v="2017-08-08T00:00:00"/>
    <d v="2017-08-15T00:00:00"/>
    <m/>
    <x v="0"/>
    <s v="Aug-17"/>
    <s v="MW20386 - 2CBT-03 - AYCA-39MU9X - Macarthur Mazda"/>
    <s v="Campbelltown"/>
    <n v="7705.93"/>
    <n v="12720.52"/>
    <n v="20426.45"/>
    <n v="22469.095000000001"/>
    <m/>
    <m/>
    <n v="0"/>
    <n v="20426.45"/>
    <n v="1"/>
    <s v="Invoiced"/>
    <d v="2017-06-13T00:00:00"/>
    <s v="Completed and handover forwarded"/>
    <s v="Michael Tram"/>
    <d v="2017-02-18T00:00:00"/>
    <d v="2017-03-15T00:00:00"/>
    <n v="25"/>
    <d v="2017-03-10T00:00:00"/>
    <n v="-5"/>
  </r>
  <r>
    <x v="0"/>
    <s v="Sydney"/>
    <s v="Inv 12265"/>
    <d v="2017-05-31T00:00:00"/>
    <d v="2017-05-05T00:00:00"/>
    <d v="2017-05-05T00:00:00"/>
    <m/>
    <m/>
    <d v="2017-06-06T00:00:00"/>
    <d v="2017-07-28T00:00:00"/>
    <m/>
    <x v="0"/>
    <s v="Jul-17"/>
    <s v="MW20475 - 2ROU-03 - AYCA-3HUY3N- 4 Wickham Blvd"/>
    <s v="Rouse Hill"/>
    <n v="10233.06"/>
    <m/>
    <n v="10233.06"/>
    <n v="11256.366"/>
    <m/>
    <m/>
    <n v="0"/>
    <n v="10233.06"/>
    <n v="1"/>
    <s v="Invoiced"/>
    <d v="2017-05-19T00:00:00"/>
    <s v="Completed and handover forwarded"/>
    <s v="Andrew Mahassy"/>
    <d v="2017-03-15T00:00:00"/>
    <d v="2017-03-27T00:00:00"/>
    <n v="12"/>
    <d v="2017-03-29T00:00:00"/>
    <n v="2"/>
  </r>
  <r>
    <x v="0"/>
    <s v="Sydney"/>
    <s v="Inv 12353"/>
    <d v="2017-06-30T00:00:00"/>
    <d v="2017-06-05T00:00:00"/>
    <d v="2017-06-05T00:00:00"/>
    <d v="2017-06-25T00:00:00"/>
    <d v="2017-07-12T00:00:00"/>
    <d v="2017-06-16T00:00:00"/>
    <d v="2017-08-28T00:00:00"/>
    <s v="Waiting on Variation Approval"/>
    <x v="1"/>
    <s v="Aug-17"/>
    <s v="MW20442 - 2TGL-02 - AYCA-30RVNV - Rockpool – 1"/>
    <s v="Terrigal"/>
    <n v="1026.44"/>
    <n v="8543.546111367652"/>
    <n v="9569.9861113676525"/>
    <n v="10526.984722504418"/>
    <m/>
    <m/>
    <n v="0"/>
    <n v="9569.9861113676525"/>
    <n v="1"/>
    <s v="Invoiced"/>
    <d v="2017-06-19T00:00:00"/>
    <s v="Completed and handover forwarded"/>
    <s v="Andrew Partalis"/>
    <d v="2017-03-01T00:00:00"/>
    <d v="2017-03-10T00:00:00"/>
    <n v="9"/>
    <d v="2017-03-29T00:00:00"/>
    <n v="19"/>
  </r>
  <r>
    <x v="0"/>
    <s v="Central West"/>
    <s v="Inv 12691"/>
    <d v="2017-10-11T00:00:00"/>
    <d v="2017-07-31T00:00:00"/>
    <d v="2017-07-31T00:00:00"/>
    <d v="2017-09-05T00:00:00"/>
    <d v="2017-09-11T00:00:00"/>
    <d v="2017-09-08T00:00:00"/>
    <d v="2017-10-17T00:00:00"/>
    <m/>
    <x v="5"/>
    <s v="Oct-17"/>
    <s v="MW20318 - AYCA-35AM2J - NENSW0608 - Yarrandale Road"/>
    <s v="Dubbo"/>
    <n v="16626.7"/>
    <n v="8393.0685714285719"/>
    <n v="25019.768571428573"/>
    <n v="27521.745428571434"/>
    <n v="2317"/>
    <m/>
    <n v="2317"/>
    <n v="22702.768571428573"/>
    <n v="0.90739322814336865"/>
    <s v="Invoiced"/>
    <d v="2017-08-14T00:00:00"/>
    <s v="Completed and handover forwarded"/>
    <s v="Dave Yoemans"/>
    <d v="2016-12-14T00:00:00"/>
    <d v="2017-03-28T00:00:00"/>
    <n v="104"/>
    <d v="2016-12-07T00:00:00"/>
    <n v="-111"/>
  </r>
  <r>
    <x v="0"/>
    <s v="Sydney"/>
    <s v="Inv 12264"/>
    <d v="2017-05-31T00:00:00"/>
    <d v="2017-05-15T00:00:00"/>
    <d v="2017-05-15T00:00:00"/>
    <d v="2017-05-30T00:00:00"/>
    <d v="2017-06-26T00:00:00"/>
    <d v="2017-05-25T00:00:00"/>
    <d v="2017-07-28T00:00:00"/>
    <m/>
    <x v="0"/>
    <s v="Jul-17"/>
    <s v="MW20489 - AYCA-3ZU1PE - 89 Old Hume Highway, Camden"/>
    <s v="Camden"/>
    <n v="2091.71"/>
    <n v="1025.1428571428571"/>
    <n v="3116.8528571428569"/>
    <n v="3428.5381428571427"/>
    <m/>
    <m/>
    <n v="0"/>
    <n v="3116.8528571428569"/>
    <n v="1"/>
    <s v="Invoiced"/>
    <d v="2017-05-29T00:00:00"/>
    <s v="Completed and handover forwarded"/>
    <s v="Nabel Jaimon"/>
    <d v="2017-03-20T00:00:00"/>
    <d v="2017-04-07T00:00:00"/>
    <n v="18"/>
    <d v="2017-04-04T00:00:00"/>
    <n v="-3"/>
  </r>
  <r>
    <x v="0"/>
    <s v="Sydney"/>
    <s v="Inv 12637"/>
    <d v="2017-09-27T00:00:00"/>
    <d v="2017-08-11T00:00:00"/>
    <d v="2017-08-14T00:00:00"/>
    <m/>
    <m/>
    <d v="2017-08-28T00:00:00"/>
    <d v="2017-10-03T00:00:00"/>
    <m/>
    <x v="4"/>
    <s v="Oct-17"/>
    <s v="MW20491 - AYCA-3W8T05 - 2PAR-60 - Amos St "/>
    <s v="Parramatta"/>
    <n v="3449.71"/>
    <m/>
    <n v="3449.71"/>
    <n v="3794.6810000000005"/>
    <m/>
    <m/>
    <n v="0"/>
    <n v="3449.71"/>
    <n v="1"/>
    <s v="Invoiced"/>
    <d v="2017-08-28T00:00:00"/>
    <s v="Completed and handover forwarded"/>
    <s v="Nabel Jaimon"/>
    <d v="2017-03-20T00:00:00"/>
    <d v="2017-04-08T00:00:00"/>
    <n v="19"/>
    <d v="2017-04-05T00:00:00"/>
    <n v="-3"/>
  </r>
  <r>
    <x v="0"/>
    <s v="Sydney"/>
    <s v="Inv 12364"/>
    <d v="2017-07-03T00:00:00"/>
    <d v="2017-06-08T00:00:00"/>
    <d v="2017-06-08T00:00:00"/>
    <d v="2017-06-15T00:00:00"/>
    <d v="2017-07-11T00:00:00"/>
    <d v="2017-07-11T00:00:00"/>
    <d v="2017-08-15T00:00:00"/>
    <m/>
    <x v="1"/>
    <s v="Aug-17"/>
    <s v="MW20493 - 2KNS-02 - AYCA-1BR2R4 - Link Apartments Zetland - 1"/>
    <s v="Zetland"/>
    <n v="5062.76"/>
    <n v="3398.56"/>
    <n v="8461.32"/>
    <n v="9307.4520000000011"/>
    <m/>
    <m/>
    <n v="0"/>
    <n v="8461.32"/>
    <n v="1"/>
    <s v="Invoiced"/>
    <d v="2017-06-22T00:00:00"/>
    <s v="Completed and handover forwarded"/>
    <s v="Lindy Chan"/>
    <d v="2017-03-20T00:00:00"/>
    <d v="2017-04-07T00:00:00"/>
    <n v="18"/>
    <d v="2017-04-05T00:00:00"/>
    <n v="-2"/>
  </r>
  <r>
    <x v="0"/>
    <s v="Sydney"/>
    <s v="Inv 12354"/>
    <d v="2017-06-30T00:00:00"/>
    <d v="2017-06-14T00:00:00"/>
    <d v="2017-06-14T00:00:00"/>
    <d v="2017-06-22T00:00:00"/>
    <d v="2017-07-14T00:00:00"/>
    <d v="2017-09-07T00:00:00"/>
    <d v="2017-10-05T00:00:00"/>
    <s v="Waiting on Variation Approval"/>
    <x v="1"/>
    <s v="Oct-17"/>
    <s v="MW20477 - AYCA-40BZFT - 2HOM-01 - 51-55 Homebush Rd Strathfield"/>
    <s v="Strathfield"/>
    <n v="3433.24"/>
    <n v="6774.67"/>
    <n v="10207.91"/>
    <n v="11228.701000000001"/>
    <m/>
    <m/>
    <n v="0"/>
    <n v="10207.91"/>
    <n v="1"/>
    <s v="Invoiced"/>
    <d v="2017-06-28T00:00:00"/>
    <s v="Completed and handover forwarded"/>
    <s v="Lindy Chan"/>
    <d v="2017-03-17T00:00:00"/>
    <d v="2017-04-08T00:00:00"/>
    <n v="22"/>
    <d v="2017-03-31T00:00:00"/>
    <n v="-8"/>
  </r>
  <r>
    <x v="2"/>
    <s v="Sydney"/>
    <s v="Inv 12638"/>
    <d v="2017-09-27T00:00:00"/>
    <d v="2017-08-14T00:00:00"/>
    <d v="2017-08-14T00:00:00"/>
    <d v="2017-08-15T00:00:00"/>
    <d v="2017-09-04T00:00:00"/>
    <d v="2017-09-11T00:00:00"/>
    <d v="2017-09-27T00:00:00"/>
    <m/>
    <x v="4"/>
    <s v="Sep-17"/>
    <s v="MW20615 - AYCA-3ZMQUE - Grove Family Trust - 1"/>
    <s v="Lidcombe"/>
    <n v="1761.82"/>
    <n v="1647.1"/>
    <n v="3408.92"/>
    <n v="3749.8120000000004"/>
    <n v="235"/>
    <m/>
    <n v="235"/>
    <n v="3173.92"/>
    <n v="0.93106321063562658"/>
    <s v="Invoiced"/>
    <d v="2017-08-28T00:00:00"/>
    <s v="Completed and handover forwarded"/>
    <s v="Andrew Partalis"/>
    <m/>
    <m/>
    <m/>
    <m/>
    <m/>
  </r>
  <r>
    <x v="2"/>
    <s v="Sydney"/>
    <s v="Inv 12633"/>
    <d v="2017-09-27T00:00:00"/>
    <d v="2017-07-31T00:00:00"/>
    <d v="2017-07-31T00:00:00"/>
    <d v="2017-08-09T00:00:00"/>
    <d v="2017-09-04T00:00:00"/>
    <d v="2017-09-07T00:00:00"/>
    <d v="2017-09-28T00:00:00"/>
    <s v="Variation submitted 9/8/17"/>
    <x v="5"/>
    <s v="Sep-17"/>
    <s v="MW20620 - 2EPP-05 - AYCA-3071BP - Macquarie Park Village - 2 "/>
    <s v="Nth Ryde"/>
    <n v="44.62"/>
    <n v="1490.48"/>
    <n v="1535.1"/>
    <n v="1688.6100000000001"/>
    <m/>
    <m/>
    <n v="0"/>
    <n v="1535.1"/>
    <n v="1"/>
    <s v="Invoiced"/>
    <d v="2017-08-14T00:00:00"/>
    <s v="Completed and handover forwarded"/>
    <s v="Lindy Chan"/>
    <s v="Direct Award"/>
    <d v="2017-05-01T00:00:00"/>
    <m/>
    <m/>
    <m/>
  </r>
  <r>
    <x v="2"/>
    <s v="Sydney"/>
    <s v="Inv 12627"/>
    <d v="2017-09-22T00:00:00"/>
    <d v="2017-08-22T00:00:00"/>
    <d v="2017-08-22T00:00:00"/>
    <d v="2017-08-28T00:00:00"/>
    <d v="2017-09-06T00:00:00"/>
    <d v="2017-09-06T00:00:00"/>
    <d v="2017-09-27T00:00:00"/>
    <m/>
    <x v="4"/>
    <s v="Sep-17"/>
    <s v="MW20628 - AYCA-32PR0X - 2ROU-03 - 21 Hezlett Rd Kellyville 1"/>
    <s v="Kellyville"/>
    <n v="1520.83"/>
    <n v="6404.7449999999999"/>
    <n v="7925.5749999999998"/>
    <n v="8718.1324999999997"/>
    <n v="3682.66"/>
    <m/>
    <n v="3682.66"/>
    <n v="4242.915"/>
    <n v="0.5353447541661015"/>
    <s v="Invoiced"/>
    <d v="2017-09-05T00:00:00"/>
    <s v="Completed and handover forwarded"/>
    <s v="Andrew Partalis"/>
    <m/>
    <m/>
    <m/>
    <m/>
    <m/>
  </r>
  <r>
    <x v="2"/>
    <s v="Sydney"/>
    <s v="Inv 12635"/>
    <d v="2017-09-27T00:00:00"/>
    <d v="2017-07-12T00:00:00"/>
    <d v="2017-07-12T00:00:00"/>
    <d v="2017-08-09T00:00:00"/>
    <d v="2017-09-04T00:00:00"/>
    <d v="2017-09-07T00:00:00"/>
    <d v="2017-09-27T00:00:00"/>
    <s v="Variation submitted 9/8/17"/>
    <x v="5"/>
    <s v="Sep-17"/>
    <s v="MW20644 - AYCA-35B3X9 -  Renocorp Australia Pty Ltd - 1"/>
    <s v="Parramatta"/>
    <n v="628.32000000000005"/>
    <n v="4350.78"/>
    <n v="4979.0999999999995"/>
    <n v="5477.01"/>
    <m/>
    <m/>
    <n v="0"/>
    <n v="4979.0999999999995"/>
    <n v="1"/>
    <s v="Invoiced"/>
    <d v="2017-07-26T00:00:00"/>
    <s v="Completed and handover forwarded"/>
    <s v="Lindy Chan"/>
    <m/>
    <m/>
    <m/>
    <m/>
    <m/>
  </r>
  <r>
    <x v="2"/>
    <s v="Sydney"/>
    <s v="Inv 12874"/>
    <d v="2017-11-29T00:00:00"/>
    <d v="2017-09-25T00:00:00"/>
    <d v="2017-09-25T00:00:00"/>
    <d v="2017-09-27T00:00:00"/>
    <d v="2017-10-04T00:00:00"/>
    <d v="2017-10-03T00:00:00"/>
    <d v="2017-11-30T00:00:00"/>
    <m/>
    <x v="3"/>
    <s v="Nov-17"/>
    <s v="MW20798 - AYCA-2LT5GF - Castlereagh Street - 1"/>
    <s v="Liverpool"/>
    <n v="2015.36"/>
    <n v="13856.22"/>
    <n v="15871.58"/>
    <n v="17458.738000000001"/>
    <n v="3777.5600000000004"/>
    <m/>
    <n v="3777.5600000000004"/>
    <n v="12094.02"/>
    <n v="0.76199218981349059"/>
    <s v="Invoiced"/>
    <d v="2017-10-09T00:00:00"/>
    <s v="Completed and handover forwarded"/>
    <s v="Michael Tram"/>
    <s v="Direct Award"/>
    <d v="2017-05-26T00:00:00"/>
    <m/>
    <m/>
    <m/>
  </r>
  <r>
    <x v="2"/>
    <s v="Sydney"/>
    <s v="Inv 12614"/>
    <d v="2017-09-25T00:00:00"/>
    <d v="2017-07-18T00:00:00"/>
    <d v="2017-07-18T00:00:00"/>
    <d v="2017-08-09T00:00:00"/>
    <d v="2017-08-23T00:00:00"/>
    <d v="2017-09-07T00:00:00"/>
    <d v="2017-09-21T00:00:00"/>
    <s v="Variation submitted 9/8/17"/>
    <x v="5"/>
    <s v="Sep-17"/>
    <s v="MW20758 -  AYCA-3ETV2Y - 2BAN-64 - 21-25 Leonard Street - 1"/>
    <s v="Bankstown"/>
    <n v="2121.89"/>
    <n v="6429.99"/>
    <n v="8551.8799999999992"/>
    <n v="9407.0679999999993"/>
    <m/>
    <m/>
    <n v="0"/>
    <n v="8551.8799999999992"/>
    <n v="1"/>
    <s v="Invoiced"/>
    <d v="2017-08-01T00:00:00"/>
    <s v="Completed and handover forwarded"/>
    <s v="Andrew Partalis"/>
    <s v="Direct Award"/>
    <d v="2017-05-29T00:00:00"/>
    <m/>
    <m/>
    <m/>
  </r>
  <r>
    <x v="0"/>
    <s v="Central Coast"/>
    <s v="Inv 12260"/>
    <d v="2017-05-31T00:00:00"/>
    <d v="2017-05-15T00:00:00"/>
    <d v="2017-05-15T00:00:00"/>
    <d v="2017-06-01T00:00:00"/>
    <d v="2017-06-15T00:00:00"/>
    <d v="2017-05-29T00:00:00"/>
    <d v="2017-07-28T00:00:00"/>
    <m/>
    <x v="0"/>
    <s v="Jul-17"/>
    <s v="MW20552 - 2WYO-02 - AYCA-394Y1I - 13 Colonial St "/>
    <s v="Wadalba"/>
    <n v="3798.42"/>
    <n v="3110.87"/>
    <n v="6909.29"/>
    <n v="7600.219000000001"/>
    <m/>
    <m/>
    <n v="0"/>
    <n v="6909.29"/>
    <n v="1"/>
    <s v="Invoiced"/>
    <d v="2017-05-29T00:00:00"/>
    <s v="Completed and handover forwarded"/>
    <s v="Dave Yoemans"/>
    <d v="2016-08-29T00:00:00"/>
    <d v="2017-04-05T00:00:00"/>
    <n v="219"/>
    <m/>
    <m/>
  </r>
  <r>
    <x v="3"/>
    <s v="Sydney"/>
    <s v="Inv 12759"/>
    <d v="2017-10-30T00:00:00"/>
    <d v="2017-10-30T00:00:00"/>
    <d v="2017-10-30T00:00:00"/>
    <m/>
    <m/>
    <m/>
    <m/>
    <m/>
    <x v="6"/>
    <s v="Jan-00"/>
    <s v="ICQ-315 IPT2073 WSU Parramatta Square Western Lead-in"/>
    <s v="Parramatta"/>
    <n v="38717.01"/>
    <n v="29612.840000000004"/>
    <n v="68329.850000000006"/>
    <n v="75162.835000000006"/>
    <n v="27168.080000000002"/>
    <m/>
    <n v="27168.080000000002"/>
    <n v="41161.770000000004"/>
    <n v="0.60239807346276919"/>
    <s v="Invoiced"/>
    <d v="2017-11-13T00:00:00"/>
    <s v="Completed and handover forwarded"/>
    <s v="Matt Putland"/>
    <d v="2017-03-22T00:00:00"/>
    <d v="2017-04-10T00:00:00"/>
    <n v="19"/>
    <m/>
    <m/>
  </r>
  <r>
    <x v="1"/>
    <s v="Sydney"/>
    <s v="Inv 13533"/>
    <d v="2018-04-25T00:00:00"/>
    <d v="2018-03-29T00:00:00"/>
    <d v="2018-04-03T00:00:00"/>
    <d v="2018-03-26T00:00:00"/>
    <d v="2018-04-17T00:00:00"/>
    <d v="2018-04-19T00:00:00"/>
    <d v="2018-05-01T00:00:00"/>
    <m/>
    <x v="7"/>
    <s v="May-18"/>
    <s v="MW20495 - 2CBT-09 - MPS-01 - FTTN-FTTB Construction "/>
    <s v="Campbelltown"/>
    <n v="12264.47"/>
    <n v="10584.18"/>
    <n v="22848.65"/>
    <n v="25133.515000000003"/>
    <n v="12574.74"/>
    <m/>
    <n v="12574.74"/>
    <n v="10273.910000000002"/>
    <n v="0.44965063581436981"/>
    <m/>
    <m/>
    <m/>
    <s v="Anna Juranic"/>
    <d v="2017-03-23T00:00:00"/>
    <d v="2017-04-07T00:00:00"/>
    <n v="15"/>
    <d v="2017-04-10T00:00:00"/>
    <n v="3"/>
  </r>
  <r>
    <x v="0"/>
    <s v="Sydney"/>
    <s v="Inv 13693"/>
    <d v="2018-06-06T00:00:00"/>
    <d v="2018-05-02T00:00:00"/>
    <d v="2018-05-03T00:00:00"/>
    <d v="2018-05-08T00:00:00"/>
    <d v="2018-05-09T00:00:00"/>
    <d v="2018-05-17T00:00:00"/>
    <d v="2018-06-05T00:00:00"/>
    <m/>
    <x v="8"/>
    <s v="Jun-18"/>
    <s v="MW20507 - AYCA-2Y5DX4 - Bridgeland Investment"/>
    <s v="Epping"/>
    <n v="6265.77"/>
    <n v="7637.8819999999996"/>
    <n v="13903.652"/>
    <n v="15294.017200000002"/>
    <n v="3486.54"/>
    <m/>
    <n v="3486.54"/>
    <n v="10417.112000000001"/>
    <n v="0.74923566844164402"/>
    <m/>
    <m/>
    <m/>
    <s v="Andrew Partalis"/>
    <d v="2017-03-23T00:00:00"/>
    <d v="2017-04-08T00:00:00"/>
    <n v="16"/>
    <d v="2017-04-07T00:00:00"/>
    <n v="-1"/>
  </r>
  <r>
    <x v="3"/>
    <s v="Sydney"/>
    <s v="Inv 12362"/>
    <d v="2017-06-30T00:00:00"/>
    <d v="2017-08-07T00:00:00"/>
    <d v="2017-08-30T00:00:00"/>
    <m/>
    <m/>
    <m/>
    <m/>
    <m/>
    <x v="4"/>
    <s v="Jan-00"/>
    <s v="ICQ-459 NSW Health Auburn Hospital"/>
    <s v="Auburn"/>
    <n v="23006.15"/>
    <m/>
    <n v="23006.15"/>
    <n v="25306.765000000003"/>
    <n v="13667.57"/>
    <m/>
    <n v="13667.57"/>
    <n v="9338.5800000000017"/>
    <n v="0.40591667880110321"/>
    <s v="Invoiced"/>
    <d v="2017-09-13T00:00:00"/>
    <s v="Completed and handover forwarded"/>
    <s v="Matt Putland"/>
    <d v="2017-04-11T00:00:00"/>
    <d v="2017-04-13T00:00:00"/>
    <m/>
    <m/>
    <m/>
  </r>
  <r>
    <x v="2"/>
    <s v="Sydney"/>
    <s v="Inv 12267"/>
    <d v="2017-05-31T00:00:00"/>
    <d v="2017-05-25T00:00:00"/>
    <d v="2017-06-09T00:00:00"/>
    <m/>
    <m/>
    <d v="2017-06-09T00:00:00"/>
    <d v="2017-09-14T00:00:00"/>
    <s v="Waiting on Payment Claim approval"/>
    <x v="1"/>
    <s v="Sep-17"/>
    <s v="MW20555 - AYCA-2Q8I3Y -  2ROU-03 - 16-20 Withers Road – 3 "/>
    <s v="Rouse Hill"/>
    <n v="3030.14"/>
    <m/>
    <n v="3030.14"/>
    <n v="3333.154"/>
    <m/>
    <m/>
    <n v="0"/>
    <n v="3030.14"/>
    <n v="1"/>
    <s v="Invoiced"/>
    <d v="2017-06-23T00:00:00"/>
    <s v="Completed and handover forwarded"/>
    <s v="Ertan Cicek"/>
    <s v="Direct Award"/>
    <d v="2017-04-18T00:00:00"/>
    <m/>
    <d v="2017-04-22T00:00:00"/>
    <n v="4"/>
  </r>
  <r>
    <x v="2"/>
    <s v="Sydney"/>
    <s v="Inv 12267b"/>
    <d v="2017-06-30T00:00:00"/>
    <d v="2017-05-25T00:00:00"/>
    <d v="2017-06-09T00:00:00"/>
    <d v="2017-08-15T00:00:00"/>
    <d v="2017-08-28T00:00:00"/>
    <d v="2017-06-09T00:00:00"/>
    <d v="2017-09-14T00:00:00"/>
    <s v="Waiting on Payment Claim approval"/>
    <x v="1"/>
    <s v="Sep-17"/>
    <s v="MW20555 - AYCA-2Q8I3Y -  2ROU-03 - 16-20 Withers Road – 3 "/>
    <s v="Rouse Hill"/>
    <m/>
    <n v="1899.06"/>
    <n v="1899.06"/>
    <n v="2088.9659999999999"/>
    <m/>
    <m/>
    <n v="0"/>
    <n v="1899.06"/>
    <n v="1"/>
    <s v="Invoiced"/>
    <d v="2017-06-23T00:00:00"/>
    <s v="Completed and handover forwarded"/>
    <s v="Ertan Cicek"/>
    <s v="Direct Award"/>
    <d v="2017-04-18T00:00:00"/>
    <m/>
    <m/>
    <m/>
  </r>
  <r>
    <x v="0"/>
    <s v="Sydney"/>
    <s v="Inv 12355"/>
    <d v="2017-06-30T00:00:00"/>
    <d v="2017-06-08T00:00:00"/>
    <d v="2017-06-08T00:00:00"/>
    <m/>
    <m/>
    <d v="2017-07-11T00:00:00"/>
    <d v="2017-08-10T00:00:00"/>
    <s v="PC 33 days, Payment schedule 17days,  payment made on the 10/8/17"/>
    <x v="1"/>
    <s v="Aug-17"/>
    <s v="MW20532 - 2WYO-01 - AYCA-47OSBM - Pacific Business Centre"/>
    <s v="Wyong"/>
    <n v="10229.42"/>
    <m/>
    <n v="10229.42"/>
    <n v="11252.362000000001"/>
    <n v="549.22"/>
    <m/>
    <n v="549.22"/>
    <n v="9680.2000000000007"/>
    <n v="0.94630976145275103"/>
    <s v="Invoiced"/>
    <d v="2017-06-22T00:00:00"/>
    <s v="Completed and handover forwarded"/>
    <s v="Andrew Partalis"/>
    <s v="Direct Award"/>
    <d v="2017-04-26T00:00:00"/>
    <m/>
    <d v="2017-04-05T00:00:00"/>
    <n v="-21"/>
  </r>
  <r>
    <x v="0"/>
    <s v="Sth NSW"/>
    <s v="Inv 12266"/>
    <d v="2017-05-31T00:00:00"/>
    <d v="2017-05-26T00:00:00"/>
    <d v="2017-05-26T00:00:00"/>
    <d v="2017-06-25T00:00:00"/>
    <d v="2017-08-30T00:00:00"/>
    <d v="2017-06-14T00:00:00"/>
    <d v="2017-09-27T00:00:00"/>
    <m/>
    <x v="0"/>
    <s v="Sep-17"/>
    <s v="MW20543 - AYCA-3SR1C6 - 1140 Pemberton St Albury"/>
    <s v="Albury"/>
    <n v="4074.14"/>
    <n v="936.42678571428553"/>
    <n v="5010.5667857142853"/>
    <n v="5511.6234642857144"/>
    <m/>
    <m/>
    <n v="0"/>
    <n v="5010.5667857142853"/>
    <n v="1"/>
    <s v="Invoiced"/>
    <d v="2017-06-09T00:00:00"/>
    <s v="Completed and handover forwarded"/>
    <s v="Ertan Cicek"/>
    <d v="2017-04-04T00:00:00"/>
    <d v="2017-04-26T00:00:00"/>
    <n v="22"/>
    <d v="2017-04-14T00:00:00"/>
    <n v="-12"/>
  </r>
  <r>
    <x v="0"/>
    <s v="Sth Coast"/>
    <s v="Inv 12275"/>
    <d v="2017-05-31T00:00:00"/>
    <d v="2017-05-30T00:00:00"/>
    <d v="2017-05-30T00:00:00"/>
    <d v="2017-06-30T00:00:00"/>
    <d v="2017-07-25T00:00:00"/>
    <d v="2017-06-16T00:00:00"/>
    <d v="2017-08-29T00:00:00"/>
    <m/>
    <x v="0"/>
    <s v="Aug-17"/>
    <s v="MW20554 - 2DAP-02 - AYCA-2DO5HN - MNJG 145"/>
    <s v="Dapto"/>
    <n v="2277.5100000000002"/>
    <n v="2122.87"/>
    <n v="4400.38"/>
    <n v="4840.4180000000006"/>
    <n v="235"/>
    <m/>
    <n v="235"/>
    <n v="4165.38"/>
    <n v="0.94659552129588809"/>
    <s v="Invoiced"/>
    <d v="2017-06-13T00:00:00"/>
    <s v="Completed and handover forwarded"/>
    <s v="Ertan Cicek"/>
    <d v="2017-04-05T00:00:00"/>
    <d v="2017-04-26T00:00:00"/>
    <n v="21"/>
    <d v="2017-04-18T00:00:00"/>
    <n v="-8"/>
  </r>
  <r>
    <x v="0"/>
    <s v="Sth Coast"/>
    <s v="Inv 12272"/>
    <d v="2017-05-31T00:00:00"/>
    <d v="2017-05-02T00:00:00"/>
    <d v="2017-05-02T00:00:00"/>
    <m/>
    <m/>
    <d v="2017-05-15T00:00:00"/>
    <d v="2017-07-26T00:00:00"/>
    <s v="Payment schedule received 21/7,  payment made on the 26/7"/>
    <x v="0"/>
    <s v="Jul-17"/>
    <s v="MW20409 - AYCA-2ONMWX -  Brookwood Estate - 2"/>
    <s v="Jamberoo"/>
    <n v="2943.37"/>
    <m/>
    <n v="2943.37"/>
    <n v="3237.7070000000003"/>
    <m/>
    <m/>
    <n v="0"/>
    <n v="2943.37"/>
    <n v="1"/>
    <s v="Invoiced"/>
    <d v="2017-05-16T00:00:00"/>
    <s v="Completed and handover forwarded"/>
    <s v="Ertan Cicek"/>
    <d v="2017-02-14T00:00:00"/>
    <d v="2017-03-01T00:00:00"/>
    <n v="15"/>
    <d v="2017-03-02T00:00:00"/>
    <n v="1"/>
  </r>
  <r>
    <x v="2"/>
    <s v="Sydney"/>
    <s v="Inv 12363 &amp; b"/>
    <d v="2017-09-19T00:00:00"/>
    <d v="2017-06-14T00:00:00"/>
    <d v="2017-06-14T00:00:00"/>
    <d v="2017-08-10T00:00:00"/>
    <d v="2017-08-31T00:00:00"/>
    <d v="2017-07-11T00:00:00"/>
    <d v="2017-09-29T00:00:00"/>
    <m/>
    <x v="1"/>
    <s v="Sep-17"/>
    <s v="MW20649 - 2RCH-03 - AYCA-2MLHJO - Macquarie Street Subdivision"/>
    <s v="Richmond"/>
    <n v="621.32000000000005"/>
    <n v="340.31"/>
    <n v="961.63000000000011"/>
    <n v="1057.7930000000001"/>
    <m/>
    <m/>
    <n v="0"/>
    <n v="961.63000000000011"/>
    <n v="1"/>
    <s v="Invoiced"/>
    <d v="2017-06-28T00:00:00"/>
    <s v="Completed and handover forwarded"/>
    <s v="Ertan Cicek"/>
    <s v="Direct Award"/>
    <d v="2017-05-02T00:00:00"/>
    <m/>
    <m/>
    <m/>
  </r>
  <r>
    <x v="0"/>
    <s v="Nth Coast"/>
    <s v="Inv 12655"/>
    <d v="2017-10-03T00:00:00"/>
    <d v="2017-07-21T00:00:00"/>
    <d v="2017-07-21T00:00:00"/>
    <d v="2017-09-05T00:00:00"/>
    <d v="2017-09-18T00:00:00"/>
    <d v="2017-08-08T00:00:00"/>
    <d v="2017-10-05T00:00:00"/>
    <s v="Requested PC"/>
    <x v="5"/>
    <s v="Oct-17"/>
    <s v="MW20585 - AYCA-3KUUY6 - 2WOY-09 - Brittwood "/>
    <s v="Woy Woy"/>
    <n v="7728.82"/>
    <n v="12183.400428571427"/>
    <n v="19912.220428571425"/>
    <n v="21903.442471428571"/>
    <n v="9914.77"/>
    <m/>
    <n v="9914.77"/>
    <n v="9997.4504285714247"/>
    <n v="0.50207612277264646"/>
    <s v="Invoiced"/>
    <d v="2017-08-04T00:00:00"/>
    <s v="Completed and handover forwarded"/>
    <s v="Mark Leal"/>
    <d v="2017-04-10T00:00:00"/>
    <d v="2017-05-03T00:00:00"/>
    <n v="23"/>
    <d v="2017-04-26T00:00:00"/>
    <n v="-7"/>
  </r>
  <r>
    <x v="0"/>
    <s v="Sth Coast"/>
    <s v="Inv 12356"/>
    <d v="2017-06-30T00:00:00"/>
    <d v="2017-06-19T00:00:00"/>
    <d v="2017-06-25T00:00:00"/>
    <d v="2017-07-03T00:00:00"/>
    <d v="2017-09-05T00:00:00"/>
    <d v="2017-08-09T00:00:00"/>
    <d v="2017-09-27T00:00:00"/>
    <s v="Waiting on PC sent in 25/6, Variation 3/7"/>
    <x v="1"/>
    <s v="Sep-17"/>
    <s v="MW20612 - AYCA-3NXX2P - 7 Cascade Circuit Albion Park"/>
    <s v="Albion Park"/>
    <n v="4242.71"/>
    <n v="2751.05"/>
    <n v="6993.76"/>
    <n v="7693.1360000000004"/>
    <m/>
    <m/>
    <n v="0"/>
    <n v="6993.76"/>
    <n v="1"/>
    <s v="Invoiced"/>
    <d v="2017-07-09T00:00:00"/>
    <s v="Completed and handover forwarded"/>
    <s v="Ertan Cicek"/>
    <d v="2017-04-19T00:00:00"/>
    <d v="2017-05-05T00:00:00"/>
    <n v="16"/>
    <d v="2017-05-02T00:00:00"/>
    <n v="-3"/>
  </r>
  <r>
    <x v="2"/>
    <s v="Sydney"/>
    <s v="Inv 12332"/>
    <d v="2017-06-26T00:00:00"/>
    <d v="2017-05-31T00:00:00"/>
    <d v="2017-05-30T00:00:00"/>
    <m/>
    <m/>
    <d v="2017-06-07T00:00:00"/>
    <d v="2017-08-10T00:00:00"/>
    <s v="39 days for payment claim to come through"/>
    <x v="0"/>
    <s v="Aug-17"/>
    <s v="MW20673 - 2BLK-11 - AYCA-3RN6QW - 19-21 Irelands Road, Blacktown"/>
    <s v="Blacktown"/>
    <n v="1134.2699999999998"/>
    <m/>
    <n v="1134.2699999999998"/>
    <n v="1247.6969999999999"/>
    <m/>
    <m/>
    <n v="0"/>
    <n v="1134.2699999999998"/>
    <n v="1"/>
    <s v="Invoiced"/>
    <d v="2017-06-13T00:00:00"/>
    <s v="Completed and handover forwarded"/>
    <s v="Andrew Mahassy"/>
    <s v="Direct Award"/>
    <d v="2017-05-04T00:00:00"/>
    <m/>
    <m/>
    <m/>
  </r>
  <r>
    <x v="0"/>
    <s v="Central Coast"/>
    <s v="Inv 12498"/>
    <d v="2017-08-17T00:00:00"/>
    <d v="2017-07-03T00:00:00"/>
    <d v="2017-07-03T00:00:00"/>
    <m/>
    <m/>
    <d v="2017-08-08T00:00:00"/>
    <d v="2017-08-24T00:00:00"/>
    <m/>
    <x v="5"/>
    <s v="Aug-17"/>
    <s v="MW20613 - AYCA-3CGK8N - Tulkaba View – 1"/>
    <s v="Terabla"/>
    <n v="3471.5"/>
    <m/>
    <n v="3471.5"/>
    <n v="3818.65"/>
    <m/>
    <m/>
    <n v="0"/>
    <n v="3471.5"/>
    <n v="1"/>
    <s v="Invoiced"/>
    <d v="2017-07-17T00:00:00"/>
    <s v="Completed and handover forwarded"/>
    <s v="Mark Leal"/>
    <d v="2017-04-19T00:00:00"/>
    <d v="2017-05-05T00:00:00"/>
    <n v="16"/>
    <d v="2017-05-02T00:00:00"/>
    <n v="-3"/>
  </r>
  <r>
    <x v="2"/>
    <s v="Sydney"/>
    <s v="Inv 12357"/>
    <d v="2017-06-30T00:00:00"/>
    <d v="2017-06-02T00:00:00"/>
    <d v="2017-06-01T00:00:00"/>
    <m/>
    <m/>
    <d v="2017-06-13T00:00:00"/>
    <d v="2017-08-10T00:00:00"/>
    <s v="39 Days for payment claim approval"/>
    <x v="1"/>
    <s v="Aug-17"/>
    <s v="MW20682 - AYCA-3NDQ7T - 2ROU-04 - 67 Barry Street "/>
    <s v="Rouse Hill"/>
    <n v="345.37"/>
    <n v="139.95999999999998"/>
    <n v="485.33"/>
    <n v="533.86300000000006"/>
    <m/>
    <m/>
    <n v="0"/>
    <n v="485.33"/>
    <n v="1"/>
    <s v="Invoiced"/>
    <d v="2017-06-15T00:00:00"/>
    <s v="Completed and handover forwarded"/>
    <s v="Andrew Mahassy"/>
    <s v="Direct Award"/>
    <d v="2017-05-04T00:00:00"/>
    <m/>
    <m/>
    <m/>
  </r>
  <r>
    <x v="2"/>
    <s v="Sydney"/>
    <s v="Inv 12636"/>
    <d v="2017-10-27T00:00:00"/>
    <d v="2017-07-05T00:00:00"/>
    <d v="2017-07-05T00:00:00"/>
    <d v="2017-08-09T00:00:00"/>
    <d v="2017-09-11T00:00:00"/>
    <d v="2017-09-11T00:00:00"/>
    <d v="2017-09-28T00:00:00"/>
    <m/>
    <x v="5"/>
    <s v="Sep-17"/>
    <s v="MW20648-2KEL-03 -AYCA-3BH4IQ - Lot A, 8 Merriville Road - 1"/>
    <s v="Kellyville"/>
    <n v="1532.61"/>
    <n v="1946.79"/>
    <n v="3479.3999999999996"/>
    <n v="3827.3399999999997"/>
    <n v="935.3"/>
    <m/>
    <n v="935.3"/>
    <n v="2544.0999999999995"/>
    <n v="0.73118928550899576"/>
    <s v="Invoiced"/>
    <d v="2017-07-19T00:00:00"/>
    <s v="Completed and handover forwarded"/>
    <s v="Lindy Chan"/>
    <s v="Direct Award"/>
    <d v="2017-05-11T00:00:00"/>
    <m/>
    <m/>
    <m/>
  </r>
  <r>
    <x v="2"/>
    <s v="Sydney"/>
    <s v="Inv 12358"/>
    <d v="2017-06-30T00:00:00"/>
    <d v="2017-06-14T00:00:00"/>
    <d v="2017-06-14T00:00:00"/>
    <d v="2017-08-09T00:00:00"/>
    <d v="2017-08-14T00:00:00"/>
    <d v="2017-07-14T00:00:00"/>
    <d v="2017-08-24T00:00:00"/>
    <s v="Waiting on PC approval sent in 14/6, variation submitted 9/8/17"/>
    <x v="1"/>
    <s v="Aug-17"/>
    <s v="MW20652 - AYCA-1CI2SU - Jenkins - East, West &amp; South"/>
    <s v="Carlingford"/>
    <n v="1166.1099999999999"/>
    <n v="7788.37"/>
    <n v="8954.48"/>
    <n v="9849.9279999999999"/>
    <m/>
    <m/>
    <n v="0"/>
    <n v="8954.48"/>
    <n v="1"/>
    <s v="Invoiced"/>
    <d v="2017-06-28T00:00:00"/>
    <s v="Completed and handover forwarded"/>
    <s v="Michael Tram"/>
    <s v="Direct Award"/>
    <d v="2017-05-04T00:00:00"/>
    <m/>
    <m/>
    <m/>
  </r>
  <r>
    <x v="2"/>
    <s v="Sydney"/>
    <s v="Inv 12712"/>
    <d v="2017-10-18T00:00:00"/>
    <d v="2017-06-30T00:00:00"/>
    <d v="2017-07-01T00:00:00"/>
    <d v="2017-08-09T00:00:00"/>
    <d v="2017-09-07T00:00:00"/>
    <d v="2017-08-08T00:00:00"/>
    <d v="2017-10-24T00:00:00"/>
    <s v="Variation submitted 9/8/17"/>
    <x v="5"/>
    <s v="Oct-17"/>
    <s v="MW20669 - AYCA-47X9GS - Mackenzie Residences - Strathfield - 1 "/>
    <s v="Strathfield"/>
    <n v="1633.8"/>
    <n v="826.67"/>
    <n v="2460.4699999999998"/>
    <n v="2706.5169999999998"/>
    <m/>
    <m/>
    <n v="0"/>
    <n v="2460.4699999999998"/>
    <n v="1"/>
    <s v="Invoiced"/>
    <d v="2017-07-15T00:00:00"/>
    <s v="Completed and handover forwarded"/>
    <s v="Lindy Chan"/>
    <s v="Direct Award"/>
    <d v="2017-05-08T00:00:00"/>
    <m/>
    <m/>
    <m/>
  </r>
  <r>
    <x v="2"/>
    <s v="Sydney"/>
    <m/>
    <m/>
    <m/>
    <d v="2018-07-30T00:00:00"/>
    <m/>
    <m/>
    <m/>
    <m/>
    <m/>
    <x v="9"/>
    <s v="Jan-00"/>
    <s v="MW20698 - AYCA-1SQ3K5 - 189 Macquarie Street"/>
    <s v="Parramatta"/>
    <n v="1056.78"/>
    <m/>
    <n v="1056.78"/>
    <n v="1162.4580000000001"/>
    <n v="235"/>
    <m/>
    <n v="235"/>
    <n v="821.78"/>
    <n v="0.77762637445825999"/>
    <m/>
    <d v="2018-08-13T00:00:00"/>
    <m/>
    <s v="Lindy Chan"/>
    <s v="Direct Award"/>
    <d v="2017-05-08T00:00:00"/>
    <m/>
    <m/>
    <m/>
  </r>
  <r>
    <x v="2"/>
    <s v="Sydney"/>
    <s v="Inv 12600"/>
    <d v="2017-09-15T00:00:00"/>
    <d v="2017-07-11T00:00:00"/>
    <d v="2017-07-11T00:00:00"/>
    <d v="2017-08-09T00:00:00"/>
    <d v="2017-09-01T00:00:00"/>
    <d v="2017-08-08T00:00:00"/>
    <d v="2017-09-21T00:00:00"/>
    <m/>
    <x v="5"/>
    <s v="Sep-17"/>
    <s v="MW20686 - AYCA-1RBL6L - The North Village , Kellyville - 1"/>
    <s v="Kellyville"/>
    <n v="1317.54"/>
    <n v="7782.07"/>
    <n v="9099.61"/>
    <n v="10009.571000000002"/>
    <n v="2486.86"/>
    <m/>
    <n v="2486.86"/>
    <n v="6612.75"/>
    <n v="0.72670696876019958"/>
    <s v="Invoiced"/>
    <d v="2017-07-25T00:00:00"/>
    <s v="Completed and handover forwarded"/>
    <s v="Michael Tram"/>
    <s v="Direct Award"/>
    <d v="2017-05-11T00:00:00"/>
    <m/>
    <m/>
    <m/>
  </r>
  <r>
    <x v="2"/>
    <s v="Sydney"/>
    <s v="Inv 13121"/>
    <d v="2018-01-23T00:00:00"/>
    <d v="2017-11-23T00:00:00"/>
    <d v="2017-11-23T00:00:00"/>
    <d v="2017-12-04T00:00:00"/>
    <d v="2017-12-08T00:00:00"/>
    <d v="2017-12-14T00:00:00"/>
    <d v="2018-02-06T00:00:00"/>
    <m/>
    <x v="10"/>
    <s v="Feb-18"/>
    <s v="MW20692 - AYCA-2HTGPP - Scalabrini Village Residential"/>
    <s v="Drummoyne "/>
    <n v="2134.75"/>
    <n v="8039.13"/>
    <n v="10173.880000000001"/>
    <n v="11191.268000000002"/>
    <n v="7738.49"/>
    <m/>
    <n v="7738.49"/>
    <n v="2435.3900000000012"/>
    <n v="0.23937671763378388"/>
    <s v="Invoiced"/>
    <d v="2017-12-07T00:00:00"/>
    <s v="Completed and handover forwarded"/>
    <s v="Michael Tram"/>
    <s v="Direct Award"/>
    <d v="2017-05-26T00:00:00"/>
    <m/>
    <m/>
    <m/>
  </r>
  <r>
    <x v="2"/>
    <s v="Sydney"/>
    <s v="Inv 12361 &amp;12361b"/>
    <d v="2017-06-30T00:00:00"/>
    <d v="2017-07-01T00:00:00"/>
    <d v="2017-06-30T00:00:00"/>
    <d v="2017-08-09T00:00:00"/>
    <d v="2017-09-07T00:00:00"/>
    <d v="2017-08-08T00:00:00"/>
    <d v="2017-09-14T00:00:00"/>
    <s v="Variation Submitted 09/08/17"/>
    <x v="1"/>
    <s v="Sep-17"/>
    <s v="MW20699 - AYCA-3BSZ4M - 41 &amp; 55 Rynan Ave"/>
    <s v="Edmondson Park"/>
    <n v="254.28"/>
    <n v="780"/>
    <n v="1034.28"/>
    <n v="1137.7080000000001"/>
    <m/>
    <m/>
    <n v="0"/>
    <n v="1034.28"/>
    <n v="1"/>
    <s v="Invoiced"/>
    <d v="2017-07-14T00:00:00"/>
    <s v="Completed and handover forwarded"/>
    <s v="Andrew Mahassy"/>
    <s v="Direct Award"/>
    <d v="2017-05-08T00:00:00"/>
    <m/>
    <m/>
    <m/>
  </r>
  <r>
    <x v="2"/>
    <s v="Sydney"/>
    <s v="Inv 12873"/>
    <d v="2017-11-29T00:00:00"/>
    <d v="2017-08-09T00:00:00"/>
    <d v="2017-09-06T00:00:00"/>
    <m/>
    <m/>
    <d v="2017-09-20T00:00:00"/>
    <d v="2017-11-30T00:00:00"/>
    <m/>
    <x v="3"/>
    <s v="Nov-17"/>
    <s v="MW20727 - 2NRN-10 - AYCA-3UYW26 - P150 - Internals"/>
    <s v="Smeaton Grange"/>
    <n v="1120"/>
    <m/>
    <n v="1120"/>
    <n v="1232"/>
    <m/>
    <m/>
    <n v="0"/>
    <n v="1120"/>
    <n v="1"/>
    <s v="Invoiced"/>
    <d v="2017-09-20T00:00:00"/>
    <s v="Completed and handover forwarded"/>
    <s v="Nabeel Jaimon"/>
    <s v="Direct Award"/>
    <d v="2017-05-11T00:00:00"/>
    <m/>
    <d v="2017-05-30T00:00:00"/>
    <m/>
  </r>
  <r>
    <x v="0"/>
    <s v="Newcastle"/>
    <s v="Inv 12263"/>
    <d v="2017-05-31T00:00:00"/>
    <d v="2017-05-19T00:00:00"/>
    <d v="2017-05-30T00:00:00"/>
    <m/>
    <m/>
    <d v="2017-08-08T00:00:00"/>
    <d v="2017-08-24T00:00:00"/>
    <s v="Payment Claim submitted 9/9/17"/>
    <x v="0"/>
    <s v="Aug-17"/>
    <s v="MW20660 - AYCA-45D358 NSB Albuera Close SITE SURVEY"/>
    <s v="Matiland"/>
    <n v="2760"/>
    <m/>
    <n v="2760"/>
    <n v="3036.0000000000005"/>
    <m/>
    <m/>
    <n v="0"/>
    <n v="2760"/>
    <n v="1"/>
    <s v="Invoiced"/>
    <d v="2017-06-13T00:00:00"/>
    <s v="Completed and handover forwarded"/>
    <s v="Mark Leal"/>
    <d v="2017-05-10T00:00:00"/>
    <d v="2017-05-23T00:00:00"/>
    <n v="13"/>
    <m/>
    <m/>
  </r>
  <r>
    <x v="2"/>
    <s v="Sydney"/>
    <s v="Inv 12269"/>
    <d v="2017-05-31T00:00:00"/>
    <d v="2017-05-31T00:00:00"/>
    <d v="2017-05-31T00:00:00"/>
    <m/>
    <m/>
    <d v="2017-06-09T00:00:00"/>
    <d v="2017-08-15T00:00:00"/>
    <m/>
    <x v="0"/>
    <s v="Aug-17"/>
    <s v="MW20749 - 2KEL-07 - AYCA-3R9JM5 - 31 Memorial Av"/>
    <s v="Kellyville"/>
    <n v="465.57"/>
    <m/>
    <n v="465.57"/>
    <n v="512.12700000000007"/>
    <m/>
    <m/>
    <n v="0"/>
    <n v="465.57"/>
    <n v="1"/>
    <s v="Invoiced"/>
    <d v="2017-06-14T00:00:00"/>
    <s v="Completed and handover forwarded"/>
    <s v="Andrew Mahassy"/>
    <s v="Direct Award"/>
    <d v="2017-05-17T00:00:00"/>
    <m/>
    <m/>
    <m/>
  </r>
  <r>
    <x v="1"/>
    <s v="Sydney"/>
    <s v="Inv 12065b"/>
    <d v="2017-05-31T00:00:00"/>
    <d v="2017-03-31T00:00:00"/>
    <d v="2017-05-16T00:00:00"/>
    <d v="2017-07-07T00:00:00"/>
    <d v="2017-08-10T00:00:00"/>
    <d v="2017-04-20T00:00:00"/>
    <d v="2017-08-24T00:00:00"/>
    <s v="Up to V3 of Variation request, Chris A handling it now.  Submitted payment claim on the 10/8"/>
    <x v="0"/>
    <s v="Aug-17"/>
    <s v="MW20187 - 2CBT-01-14_10 &amp; 2CBT-04-14"/>
    <s v="Campbelltown"/>
    <n v="0"/>
    <n v="39403.65"/>
    <n v="39403.65"/>
    <n v="43344.015000000007"/>
    <m/>
    <m/>
    <n v="0"/>
    <n v="39403.65"/>
    <n v="1"/>
    <s v="Invoiced"/>
    <d v="2017-05-30T00:00:00"/>
    <s v="Completed and handover forwarded"/>
    <s v="Anna Juranic"/>
    <d v="2016-10-19T00:00:00"/>
    <d v="2016-11-21T00:00:00"/>
    <n v="33"/>
    <d v="2017-01-30T00:00:00"/>
    <n v="70"/>
  </r>
  <r>
    <x v="0"/>
    <s v="Sydney"/>
    <s v="Inv 12338"/>
    <d v="2017-06-27T00:00:00"/>
    <d v="2017-06-05T00:00:00"/>
    <d v="2017-06-05T00:00:00"/>
    <m/>
    <m/>
    <d v="2017-08-08T00:00:00"/>
    <d v="2017-08-22T00:00:00"/>
    <m/>
    <x v="1"/>
    <s v="Aug-17"/>
    <s v="MW20662 - 2KEL-08 - AYCA-42POJA - NSB - Memorial Ave Kelly Survey"/>
    <s v="Kellyville"/>
    <n v="2100"/>
    <m/>
    <n v="2100"/>
    <n v="2310"/>
    <m/>
    <m/>
    <n v="0"/>
    <n v="2100"/>
    <n v="1"/>
    <s v="Invoiced"/>
    <d v="2017-06-19T00:00:00"/>
    <s v="Completed and handover forwarded"/>
    <s v="Andrew Mahassy"/>
    <d v="2017-05-11T00:00:00"/>
    <d v="2017-05-25T00:00:00"/>
    <n v="14"/>
    <d v="2017-05-30T00:00:00"/>
    <n v="5"/>
  </r>
  <r>
    <x v="0"/>
    <s v="Sydney"/>
    <s v="Inv 12359"/>
    <d v="2017-06-30T00:00:00"/>
    <d v="2017-06-26T00:00:00"/>
    <d v="2017-06-30T00:00:00"/>
    <m/>
    <m/>
    <d v="2017-08-08T00:00:00"/>
    <d v="2017-08-29T00:00:00"/>
    <s v="Payment Claim submitted 9/9/17"/>
    <x v="1"/>
    <s v="Aug-17"/>
    <s v="MW20661 - 2LIV-04 - AYCA-476RM9 - 87-91 Campbell St NSB Survey"/>
    <s v="Liverpool"/>
    <n v="2100"/>
    <m/>
    <n v="2100"/>
    <n v="2310"/>
    <m/>
    <m/>
    <n v="0"/>
    <n v="2100"/>
    <n v="1"/>
    <s v="Invoiced"/>
    <d v="2017-07-14T00:00:00"/>
    <s v="Completed and handover forwarded"/>
    <s v="Andrew Mahassy"/>
    <d v="2017-05-11T00:00:00"/>
    <d v="2017-05-25T00:00:00"/>
    <n v="14"/>
    <d v="2017-05-30T00:00:00"/>
    <n v="5"/>
  </r>
  <r>
    <x v="0"/>
    <s v="Sth Coast"/>
    <s v="Inv 12049b"/>
    <d v="2017-08-17T00:00:00"/>
    <d v="2017-07-13T00:00:00"/>
    <d v="2017-07-18T00:00:00"/>
    <d v="2017-07-18T00:00:00"/>
    <d v="2017-08-11T00:00:00"/>
    <d v="2017-08-18T00:00:00"/>
    <d v="2017-09-19T00:00:00"/>
    <m/>
    <x v="5"/>
    <s v="Sep-17"/>
    <s v="MW20667 - AYCA-41NF6X - Non Standard Builds - Miller St    BUILD"/>
    <s v="Coniston"/>
    <n v="10585.7"/>
    <n v="2720.57"/>
    <n v="13306.27"/>
    <n v="14636.897000000001"/>
    <m/>
    <m/>
    <n v="0"/>
    <n v="13306.27"/>
    <n v="1"/>
    <s v="Invoiced"/>
    <d v="2017-08-01T00:00:00"/>
    <s v="Completed and handover forwarded"/>
    <s v="Andrew Mahassy"/>
    <d v="2017-05-15T00:00:00"/>
    <d v="2017-05-23T00:00:00"/>
    <n v="8"/>
    <d v="2017-05-30T00:00:00"/>
    <n v="7"/>
  </r>
  <r>
    <x v="0"/>
    <s v="Central Coast"/>
    <s v="Inv 12640"/>
    <d v="2017-10-11T00:00:00"/>
    <d v="2017-08-17T00:00:00"/>
    <d v="2017-08-17T00:00:00"/>
    <d v="2017-08-17T00:00:00"/>
    <d v="2017-09-11T00:00:00"/>
    <d v="2017-09-11T00:00:00"/>
    <d v="2017-10-17T00:00:00"/>
    <s v="Waiting on DY NBN"/>
    <x v="4"/>
    <s v="Oct-17"/>
    <s v="MW20604 - AYCA-46I5YX - 878 Pacific Hwy, Lisarow"/>
    <s v="Lisarow"/>
    <n v="6610.72"/>
    <n v="2460.3428571428572"/>
    <n v="9071.062857142857"/>
    <n v="9978.169142857143"/>
    <n v="6348.9"/>
    <m/>
    <n v="6348.9"/>
    <n v="2722.1628571428573"/>
    <n v="0.30009304312110852"/>
    <s v="Invoiced"/>
    <d v="2017-08-31T00:00:00"/>
    <s v="Completed and handover forwarded"/>
    <s v="Dave Yoemans"/>
    <d v="2017-05-19T00:00:00"/>
    <m/>
    <m/>
    <m/>
    <m/>
  </r>
  <r>
    <x v="1"/>
    <s v="Central Coast"/>
    <s v="Inv 12360a"/>
    <d v="2017-06-30T00:00:00"/>
    <d v="2017-06-26T00:00:00"/>
    <d v="2017-06-26T00:00:00"/>
    <d v="2017-07-20T00:00:00"/>
    <d v="2017-07-28T00:00:00"/>
    <d v="2017-07-20T00:00:00"/>
    <d v="2017-08-31T00:00:00"/>
    <s v="Waiting on Variation Approval"/>
    <x v="1"/>
    <s v="Aug-17"/>
    <s v="MW20679 - 2LJT-02 - MPS-012 - 3 Corella"/>
    <s v="Long Jetty"/>
    <n v="6239.62"/>
    <n v="-4880.3"/>
    <n v="1359.3199999999997"/>
    <n v="1495.2519999999997"/>
    <m/>
    <m/>
    <n v="0"/>
    <n v="1359.3199999999997"/>
    <n v="1"/>
    <s v="Invoiced"/>
    <d v="2017-07-10T00:00:00"/>
    <s v="Completed and handover forwarded"/>
    <s v="Jay Shrestha"/>
    <d v="2017-05-16T00:00:00"/>
    <d v="2017-05-23T00:00:00"/>
    <n v="7"/>
    <d v="2017-06-16T00:00:00"/>
    <n v="24"/>
  </r>
  <r>
    <x v="0"/>
    <s v="Sydney"/>
    <s v="Inv 13434"/>
    <d v="2018-03-27T00:00:00"/>
    <d v="2018-03-07T00:00:00"/>
    <d v="2018-03-08T00:00:00"/>
    <m/>
    <m/>
    <d v="2018-03-21T00:00:00"/>
    <d v="2018-03-28T00:00:00"/>
    <m/>
    <x v="11"/>
    <s v="Mar-18"/>
    <s v="MW21642- AYCA-48KUSD-2NRN-10 - 79-85 TURNER ROAD, GREGORY HILLS"/>
    <s v="Gregory Hills"/>
    <n v="2107.06"/>
    <m/>
    <n v="2107.06"/>
    <n v="2317.7660000000001"/>
    <n v="676.5"/>
    <m/>
    <n v="676.5"/>
    <n v="1430.56"/>
    <n v="0.67893652767363055"/>
    <s v="Invoiced"/>
    <d v="2018-03-22T00:00:00"/>
    <s v="Completed and handover forwarded"/>
    <s v="Andrew Mahassy"/>
    <d v="2017-11-23T00:00:00"/>
    <d v="2018-01-04T00:00:00"/>
    <n v="42"/>
    <d v="2018-01-10T00:00:00"/>
    <n v="6"/>
  </r>
  <r>
    <x v="2"/>
    <s v="Sydney"/>
    <s v="Inv 12588"/>
    <d v="2017-09-18T00:00:00"/>
    <d v="2017-08-04T00:00:00"/>
    <d v="2017-08-04T00:00:00"/>
    <d v="2017-08-09T00:00:00"/>
    <d v="2017-08-23T00:00:00"/>
    <d v="2017-09-04T00:00:00"/>
    <d v="2017-09-21T00:00:00"/>
    <s v="Variation submitted 9/08/17"/>
    <x v="4"/>
    <s v="Sep-17"/>
    <s v="MW20786 - 2LIV-03 - AYCA-47DIBW - Dale Development – 1"/>
    <s v="Liverpool"/>
    <n v="945.25"/>
    <n v="2842.35"/>
    <n v="3787.6"/>
    <n v="4166.3600000000006"/>
    <m/>
    <m/>
    <n v="0"/>
    <n v="3787.6"/>
    <n v="1"/>
    <s v="Invoiced"/>
    <d v="2017-08-18T00:00:00"/>
    <s v="Completed and handover forwarded"/>
    <s v="Andrew Mahassy"/>
    <s v="Direct Award"/>
    <d v="2017-05-25T00:00:00"/>
    <m/>
    <m/>
    <m/>
  </r>
  <r>
    <x v="2"/>
    <s v="Sydney"/>
    <s v="Inv 13399"/>
    <d v="2018-03-22T00:00:00"/>
    <d v="2018-02-26T00:00:00"/>
    <d v="2018-02-27T00:00:00"/>
    <d v="2018-02-27T00:00:00"/>
    <d v="2018-03-14T00:00:00"/>
    <d v="2018-03-12T00:00:00"/>
    <d v="2018-03-22T00:00:00"/>
    <s v="Waiting on PC and Variation submission"/>
    <x v="2"/>
    <s v="Mar-18"/>
    <s v="MW20767 - AYCA-1PM9JB - 2GRA-64 -  Merrylands Rd"/>
    <s v="Merrylands"/>
    <n v="982.6"/>
    <n v="14413.24"/>
    <n v="15395.84"/>
    <n v="16935.424000000003"/>
    <n v="5328.82"/>
    <m/>
    <n v="5328.82"/>
    <n v="10067.02"/>
    <n v="0.6538792297140007"/>
    <s v="Invoiced"/>
    <d v="2018-03-13T00:00:00"/>
    <s v="Completed and handover forwarded"/>
    <s v="Michael Tram"/>
    <s v="Direct Award"/>
    <d v="2017-05-25T00:00:00"/>
    <m/>
    <d v="2017-07-01T00:00:00"/>
    <n v="37"/>
  </r>
  <r>
    <x v="0"/>
    <s v="Sydney"/>
    <s v="Inv 12573"/>
    <d v="2017-09-11T00:00:00"/>
    <d v="2017-07-03T00:00:00"/>
    <d v="2017-07-03T00:00:00"/>
    <d v="2017-07-03T00:00:00"/>
    <d v="2017-08-18T00:00:00"/>
    <d v="2017-09-04T00:00:00"/>
    <d v="2017-09-21T00:00:00"/>
    <s v="Waiting for PC &amp; Variation approval"/>
    <x v="5"/>
    <s v="Sep-17"/>
    <s v="MW20725 - AYCA-3I8QKP - 6-8 Biara Street, Bargo – 11"/>
    <s v="Bargo"/>
    <n v="4091.52"/>
    <n v="1416.6946428571423"/>
    <n v="5508.2146428571423"/>
    <n v="6059.036107142857"/>
    <m/>
    <m/>
    <n v="0"/>
    <n v="5508.2146428571423"/>
    <n v="1"/>
    <s v="Invoiced"/>
    <d v="2017-07-17T00:00:00"/>
    <s v="Completed and handover forwarded"/>
    <s v="Ertan Cicek"/>
    <d v="2017-05-18T00:00:00"/>
    <d v="2017-05-26T00:00:00"/>
    <n v="8"/>
    <d v="2017-05-30T00:00:00"/>
    <n v="4"/>
  </r>
  <r>
    <x v="2"/>
    <s v="Sydney"/>
    <s v="Inv 12798"/>
    <d v="2017-11-09T00:00:00"/>
    <d v="2017-09-12T00:00:00"/>
    <d v="2017-09-12T00:00:00"/>
    <d v="2017-09-12T00:00:00"/>
    <d v="2017-10-03T00:00:00"/>
    <d v="2017-09-26T00:00:00"/>
    <d v="2017-11-23T00:00:00"/>
    <m/>
    <x v="3"/>
    <s v="Nov-17"/>
    <s v="MW20765 - 2HOR-63 - AYCA-2ZE1AV - 1 &amp; 1A Cowan Road, Mount Colah - Killara "/>
    <s v="Hornsby"/>
    <n v="1984.44"/>
    <n v="2687.91"/>
    <n v="4672.3500000000004"/>
    <n v="5139.5850000000009"/>
    <m/>
    <m/>
    <n v="0"/>
    <n v="4672.3500000000004"/>
    <n v="1"/>
    <s v="Invoiced"/>
    <d v="2017-09-26T00:00:00"/>
    <s v="Completed and handover forwarded"/>
    <s v="Andrew Partalis"/>
    <s v="Direct Award"/>
    <d v="2017-05-24T00:00:00"/>
    <m/>
    <m/>
    <m/>
  </r>
  <r>
    <x v="1"/>
    <s v="Sydney"/>
    <s v="Inv 12268"/>
    <d v="2017-05-31T00:00:00"/>
    <d v="2017-05-31T00:00:00"/>
    <d v="2017-05-16T00:00:00"/>
    <m/>
    <m/>
    <d v="2017-06-28T00:00:00"/>
    <d v="2017-07-28T00:00:00"/>
    <m/>
    <x v="0"/>
    <s v="Jul-17"/>
    <s v="MW20680 - 2BLK-02/07 - MPS-032 &amp; MPS-010"/>
    <s v="Blacktown"/>
    <n v="18758.95"/>
    <m/>
    <n v="18758.95"/>
    <n v="20634.845000000001"/>
    <n v="1501.72"/>
    <m/>
    <n v="1501.72"/>
    <n v="17257.23"/>
    <n v="0.91994647888074754"/>
    <s v="Invoiced"/>
    <d v="2017-05-30T00:00:00"/>
    <s v="Completed and handover forwarded"/>
    <s v="Jay Shrestha"/>
    <d v="2017-05-16T00:00:00"/>
    <d v="2017-05-25T00:00:00"/>
    <n v="9"/>
    <d v="2017-06-16T00:00:00"/>
    <n v="22"/>
  </r>
  <r>
    <x v="2"/>
    <s v="Sydney"/>
    <s v="Inv 12562"/>
    <d v="2017-09-07T00:00:00"/>
    <d v="2017-07-21T00:00:00"/>
    <d v="2017-07-21T00:00:00"/>
    <d v="2017-08-09T00:00:00"/>
    <d v="2017-08-18T00:00:00"/>
    <d v="2017-08-08T00:00:00"/>
    <d v="2017-09-12T00:00:00"/>
    <m/>
    <x v="5"/>
    <s v="Sep-17"/>
    <s v="MW20791 - 2RIV-01 - AYCA-3W8B3W - 43 Church St - 1"/>
    <s v="Riverstone"/>
    <n v="891.6"/>
    <n v="601.80999999999995"/>
    <n v="1493.4099999999999"/>
    <n v="1642.751"/>
    <m/>
    <m/>
    <n v="0"/>
    <n v="1493.4099999999999"/>
    <n v="1"/>
    <s v="Invoiced"/>
    <d v="2017-08-04T00:00:00"/>
    <s v="Completed and handover forwarded"/>
    <s v="Andrew Mahassy"/>
    <s v="Direct Award"/>
    <d v="2017-05-25T00:00:00"/>
    <m/>
    <m/>
    <m/>
  </r>
  <r>
    <x v="0"/>
    <s v="Newcastle"/>
    <s v="Inv 12586"/>
    <d v="2017-09-18T00:00:00"/>
    <d v="2017-07-04T00:00:00"/>
    <d v="2017-07-04T00:00:00"/>
    <m/>
    <m/>
    <d v="2017-08-08T00:00:00"/>
    <d v="2017-09-21T00:00:00"/>
    <m/>
    <x v="5"/>
    <s v="Sep-17"/>
    <s v="MW20719 - AYCA-3RWSQB - 26 Kalinya Close, Cameron Park – 1"/>
    <s v="Cameron Park"/>
    <n v="3684.78"/>
    <m/>
    <n v="3684.78"/>
    <n v="4053.2580000000007"/>
    <m/>
    <m/>
    <n v="0"/>
    <n v="3684.78"/>
    <n v="1"/>
    <s v="Invoiced"/>
    <d v="2017-07-18T00:00:00"/>
    <s v="Completed and handover forwarded"/>
    <s v="Mark Leal"/>
    <d v="2017-05-11T00:00:00"/>
    <d v="2017-05-29T00:00:00"/>
    <n v="18"/>
    <d v="2017-05-29T00:00:00"/>
    <n v="0"/>
  </r>
  <r>
    <x v="0"/>
    <s v="Sth NSW"/>
    <s v="Inv 12496"/>
    <d v="2017-08-17T00:00:00"/>
    <d v="2017-07-03T00:00:00"/>
    <d v="2017-07-03T00:00:00"/>
    <m/>
    <m/>
    <d v="2017-08-08T00:00:00"/>
    <d v="2017-08-24T00:00:00"/>
    <m/>
    <x v="5"/>
    <s v="Aug-17"/>
    <s v="MW20720 - AYCA-4BHWVV - Argyle Community Housing - 1 "/>
    <s v="Bowral"/>
    <n v="3135.04"/>
    <m/>
    <n v="3135.04"/>
    <n v="3448.5440000000003"/>
    <m/>
    <m/>
    <n v="0"/>
    <n v="3135.04"/>
    <n v="1"/>
    <s v="Invoiced"/>
    <d v="2017-07-17T00:00:00"/>
    <s v="Completed and handover forwarded"/>
    <s v="Nabel Jaimon"/>
    <d v="2017-05-21T00:00:00"/>
    <d v="2017-06-05T00:00:00"/>
    <n v="15"/>
    <d v="2017-05-31T00:00:00"/>
    <n v="-5"/>
  </r>
  <r>
    <x v="2"/>
    <s v="Sydney"/>
    <s v="Inv 12685"/>
    <d v="2017-10-10T00:00:00"/>
    <d v="2017-08-12T00:00:00"/>
    <d v="2017-08-14T00:00:00"/>
    <d v="2017-08-16T00:00:00"/>
    <d v="2017-08-25T00:00:00"/>
    <d v="2017-09-08T00:00:00"/>
    <d v="2017-10-12T00:00:00"/>
    <m/>
    <x v="4"/>
    <s v="Oct-17"/>
    <s v="MW20801 - 2RCH-05- AYCA-35BURW - 503-505 Londonderry Road "/>
    <s v="Londonderry"/>
    <n v="1539.68"/>
    <n v="2526.21"/>
    <n v="4065.8900000000003"/>
    <n v="4472.4790000000003"/>
    <m/>
    <m/>
    <n v="0"/>
    <n v="4065.8900000000003"/>
    <n v="1"/>
    <s v="Invoiced"/>
    <d v="2017-08-28T00:00:00"/>
    <s v="Completed and handover forwarded"/>
    <s v="Andrew Mahassy"/>
    <s v="Direct Award"/>
    <d v="2017-06-05T00:00:00"/>
    <m/>
    <m/>
    <m/>
  </r>
  <r>
    <x v="2"/>
    <s v="Sydney"/>
    <s v="Inv 12799"/>
    <d v="2017-11-13T00:00:00"/>
    <d v="2017-09-21T00:00:00"/>
    <d v="2017-09-25T00:00:00"/>
    <d v="2017-09-27T00:00:00"/>
    <d v="2017-10-02T00:00:00"/>
    <d v="2017-10-02T00:00:00"/>
    <d v="2017-11-16T00:00:00"/>
    <m/>
    <x v="3"/>
    <s v="Nov-17"/>
    <s v="MW20817 - 2LIV-12 - 2QUA – 02- 2PTH-02 - Glenfield_Margo_Jamison"/>
    <s v="Various"/>
    <n v="1876.95"/>
    <n v="2105.2800000000002"/>
    <n v="3982.2300000000005"/>
    <n v="4380.4530000000004"/>
    <m/>
    <m/>
    <n v="0"/>
    <n v="3982.2300000000005"/>
    <n v="1"/>
    <s v="Invoiced"/>
    <d v="2017-10-09T00:00:00"/>
    <s v="Completed and handover forwarded"/>
    <s v="Andrew Mahassy"/>
    <s v="Direct Award"/>
    <d v="2017-06-05T00:00:00"/>
    <m/>
    <m/>
    <m/>
  </r>
  <r>
    <x v="2"/>
    <s v="Sydney"/>
    <s v="Inv 12639"/>
    <d v="2017-09-27T00:00:00"/>
    <d v="2017-07-21T00:00:00"/>
    <d v="2017-07-21T00:00:00"/>
    <d v="2017-08-09T00:00:00"/>
    <d v="2017-08-31T00:00:00"/>
    <d v="2017-09-07T00:00:00"/>
    <d v="2017-09-27T00:00:00"/>
    <m/>
    <x v="5"/>
    <s v="Sep-17"/>
    <s v="MW20688 - AYCA-42LEI4 - MNR Investment Group Pty Ltd - 1 "/>
    <s v="Lidcombe"/>
    <n v="1706.42"/>
    <n v="2638"/>
    <n v="4344.42"/>
    <n v="4778.8620000000001"/>
    <m/>
    <m/>
    <n v="0"/>
    <n v="4344.42"/>
    <n v="1"/>
    <s v="Invoiced"/>
    <d v="2017-08-04T00:00:00"/>
    <s v="Completed and handover forwarded"/>
    <s v="Mary Angly"/>
    <s v="Direct Award"/>
    <d v="2017-06-06T00:00:00"/>
    <m/>
    <m/>
    <m/>
  </r>
  <r>
    <x v="2"/>
    <s v="Sydney"/>
    <s v="Inv 12499"/>
    <d v="2017-08-17T00:00:00"/>
    <d v="2017-07-21T00:00:00"/>
    <d v="2017-07-21T00:00:00"/>
    <d v="2017-08-10T00:00:00"/>
    <d v="2017-08-24T00:00:00"/>
    <d v="2017-08-09T00:00:00"/>
    <d v="2017-09-14T00:00:00"/>
    <m/>
    <x v="5"/>
    <s v="Sep-17"/>
    <s v="MW20876 - SOPR MWI - 2RIV-02 - 34-36 Schofields - North Park - 10"/>
    <s v="Schofields"/>
    <n v="815.12"/>
    <n v="142.16"/>
    <n v="957.28"/>
    <n v="1053.008"/>
    <m/>
    <m/>
    <n v="0"/>
    <n v="957.28"/>
    <n v="1"/>
    <s v="Invoiced"/>
    <d v="2017-08-04T00:00:00"/>
    <s v="Completed and handover forwarded"/>
    <s v="Andrew Mahassy"/>
    <s v="Direct Award"/>
    <d v="2017-06-20T00:00:00"/>
    <m/>
    <m/>
    <m/>
  </r>
  <r>
    <x v="2"/>
    <s v="Sydney"/>
    <s v="Inv 12590"/>
    <d v="2017-09-18T00:00:00"/>
    <d v="2017-07-04T00:00:00"/>
    <d v="2017-07-04T00:00:00"/>
    <d v="2017-08-09T00:00:00"/>
    <d v="2017-08-18T00:00:00"/>
    <d v="2017-09-04T00:00:00"/>
    <d v="2017-09-21T00:00:00"/>
    <m/>
    <x v="5"/>
    <s v="Sep-17"/>
    <s v="MW20877 - 2RIV-02 - 34-36 Schofields - North Park  - 9"/>
    <s v="Schofields"/>
    <n v="124.97"/>
    <n v="390"/>
    <n v="514.97"/>
    <n v="566.4670000000001"/>
    <m/>
    <m/>
    <n v="0"/>
    <n v="514.97"/>
    <n v="1"/>
    <s v="Invoiced"/>
    <d v="2017-07-18T00:00:00"/>
    <s v="Completed and handover forwarded"/>
    <s v="Andrew Mahassy"/>
    <s v="Direct Award"/>
    <d v="2017-06-20T00:00:00"/>
    <m/>
    <m/>
    <m/>
  </r>
  <r>
    <x v="2"/>
    <s v="Sydney"/>
    <s v="Inv 12568"/>
    <d v="2017-09-08T00:00:00"/>
    <d v="2017-07-21T00:00:00"/>
    <d v="2017-07-21T00:00:00"/>
    <d v="2017-08-09T00:00:00"/>
    <d v="2017-08-18T00:00:00"/>
    <d v="2017-08-08T00:00:00"/>
    <d v="2017-09-08T00:00:00"/>
    <m/>
    <x v="5"/>
    <s v="Sep-17"/>
    <s v="MW20882 - 2BLK-07 - AYCA-468EU5 - 299 Flushcombe - 1"/>
    <s v="Blacktown"/>
    <n v="288.08"/>
    <n v="692.46"/>
    <n v="980.54"/>
    <n v="1078.5940000000001"/>
    <m/>
    <m/>
    <n v="0"/>
    <n v="980.54"/>
    <n v="1"/>
    <s v="Invoiced"/>
    <d v="2017-08-04T00:00:00"/>
    <s v="Completed and handover forwarded"/>
    <s v="Andrew Mahassy"/>
    <s v="Direct Award"/>
    <d v="2017-06-16T00:00:00"/>
    <m/>
    <m/>
    <m/>
  </r>
  <r>
    <x v="2"/>
    <s v="Sydney"/>
    <s v="Inv 12606"/>
    <d v="2017-09-06T00:00:00"/>
    <d v="2017-07-12T00:00:00"/>
    <d v="2017-07-03T00:00:00"/>
    <d v="2017-08-09T00:00:00"/>
    <d v="2017-09-01T00:00:00"/>
    <d v="2017-08-08T00:00:00"/>
    <d v="2017-09-21T00:00:00"/>
    <s v="Variation Proposal Submitted 9/8/17"/>
    <x v="5"/>
    <s v="Sep-17"/>
    <s v="MW20898 - 2MIL-01 -AYCA-45L86C-Non Standard Builds - Zulu Road – Build"/>
    <s v="Edmonton"/>
    <n v="1026.45"/>
    <n v="112.25"/>
    <n v="1138.7"/>
    <n v="1252.5700000000002"/>
    <m/>
    <m/>
    <n v="0"/>
    <n v="1138.7"/>
    <n v="1"/>
    <s v="Invoiced"/>
    <d v="2017-07-17T00:00:00"/>
    <s v="Completed and handover forwarded"/>
    <s v="Andrew Mahassy"/>
    <s v="Direct Award"/>
    <d v="2017-06-19T00:00:00"/>
    <m/>
    <m/>
    <m/>
  </r>
  <r>
    <x v="2"/>
    <s v="Sydney"/>
    <s v="Inv 12744"/>
    <d v="2017-10-25T00:00:00"/>
    <d v="2017-08-01T00:00:00"/>
    <d v="2017-08-04T00:00:00"/>
    <d v="2017-08-09T00:00:00"/>
    <d v="2017-09-15T00:00:00"/>
    <d v="2017-09-07T00:00:00"/>
    <d v="2017-10-31T00:00:00"/>
    <m/>
    <x v="4"/>
    <s v="Oct-17"/>
    <s v="MW20897 - AYCA-3UMID0 - 2BLK-01 - 25 ALLAWAH ST, BLACKTOWN"/>
    <s v="Blacktown"/>
    <n v="182.87"/>
    <n v="375.17"/>
    <n v="558.04"/>
    <n v="613.84400000000005"/>
    <m/>
    <m/>
    <n v="0"/>
    <n v="558.04"/>
    <n v="1"/>
    <s v="Invoiced"/>
    <d v="2017-08-18T00:00:00"/>
    <s v="Completed and handover forwarded"/>
    <s v="Mark Leal"/>
    <s v="Direct Award"/>
    <d v="2017-06-20T00:00:00"/>
    <m/>
    <m/>
    <m/>
  </r>
  <r>
    <x v="0"/>
    <s v="Sydney"/>
    <s v="Inv 12872"/>
    <d v="2017-11-29T00:00:00"/>
    <d v="2017-09-04T00:00:00"/>
    <d v="2017-09-04T00:00:00"/>
    <m/>
    <m/>
    <d v="2017-09-18T00:00:00"/>
    <d v="2017-11-30T00:00:00"/>
    <m/>
    <x v="3"/>
    <s v="Nov-17"/>
    <s v="MW20705 - AYCA-3QCL7A - 48 Arnold Avenue Kellyville"/>
    <s v="Kellyville"/>
    <n v="2090.71"/>
    <m/>
    <n v="2090.71"/>
    <n v="2299.7810000000004"/>
    <m/>
    <m/>
    <n v="0"/>
    <n v="2090.71"/>
    <n v="1"/>
    <s v="Invoiced"/>
    <d v="2017-09-18T00:00:00"/>
    <s v="Completed and handover forwarded"/>
    <s v="Dave Yoemans"/>
    <d v="2017-05-15T00:00:00"/>
    <d v="2017-06-16T00:00:00"/>
    <n v="32"/>
    <d v="2017-07-30T00:00:00"/>
    <n v="44"/>
  </r>
  <r>
    <x v="2"/>
    <s v="Sydney"/>
    <s v="Inv 12686"/>
    <d v="2017-10-10T00:00:00"/>
    <d v="2017-08-13T00:00:00"/>
    <d v="2017-08-14T00:00:00"/>
    <d v="2017-08-15T00:00:00"/>
    <d v="2017-09-01T00:00:00"/>
    <d v="2017-08-28T00:00:00"/>
    <d v="2017-10-12T00:00:00"/>
    <m/>
    <x v="4"/>
    <s v="Oct-17"/>
    <s v="MW20875 - ACYA-3W8TJD - 31-33 Irelands Road Blacktown "/>
    <s v="Blacktown"/>
    <n v="300.05"/>
    <n v="3632.01"/>
    <n v="3932.0600000000004"/>
    <n v="4325.2660000000005"/>
    <n v="2573.9699999999998"/>
    <m/>
    <n v="2573.9699999999998"/>
    <n v="1358.0900000000006"/>
    <n v="0.34538893099291479"/>
    <s v="Invoiced"/>
    <d v="2017-08-28T00:00:00"/>
    <s v="Completed and handover forwarded"/>
    <s v="Andrew Mahassy"/>
    <s v="Direct Award"/>
    <d v="2017-06-28T00:00:00"/>
    <m/>
    <m/>
    <m/>
  </r>
  <r>
    <x v="0"/>
    <s v="Sydney"/>
    <s v="Inv 12871"/>
    <d v="2017-11-29T00:00:00"/>
    <d v="2017-10-05T00:00:00"/>
    <d v="2017-10-05T00:00:00"/>
    <d v="2017-10-16T00:00:00"/>
    <d v="2017-11-17T00:00:00"/>
    <d v="2017-10-20T00:00:00"/>
    <d v="2017-12-05T00:00:00"/>
    <m/>
    <x v="6"/>
    <s v="Dec-17"/>
    <s v="MW20677 - AYCA-3ENYEX - Cleopatra St Blackheath"/>
    <s v="Blackheath"/>
    <n v="2844.81"/>
    <n v="-106.5"/>
    <n v="2738.31"/>
    <n v="3012.1410000000001"/>
    <m/>
    <m/>
    <n v="0"/>
    <n v="2738.31"/>
    <n v="1"/>
    <s v="Invoiced"/>
    <d v="2017-10-19T00:00:00"/>
    <s v="Completed and handover forwarded"/>
    <s v="Mark Leal"/>
    <d v="2017-05-11T00:00:00"/>
    <d v="2017-05-15T00:00:00"/>
    <n v="4"/>
    <d v="2017-05-19T00:00:00"/>
    <n v="4"/>
  </r>
  <r>
    <x v="0"/>
    <s v="Sydney"/>
    <s v="Inv 12572"/>
    <d v="2017-09-11T00:00:00"/>
    <d v="2017-07-10T00:00:00"/>
    <d v="2017-07-11T00:00:00"/>
    <m/>
    <m/>
    <d v="2017-08-08T00:00:00"/>
    <d v="2017-09-21T00:00:00"/>
    <m/>
    <x v="5"/>
    <s v="Sep-17"/>
    <s v="MW20730 - AYCA-3ZFK8V - 2NRN-10 - 11-19 Waler "/>
    <s v="Narellan"/>
    <n v="12365.6"/>
    <m/>
    <n v="12365.6"/>
    <n v="13602.160000000002"/>
    <m/>
    <m/>
    <n v="0"/>
    <n v="12365.6"/>
    <n v="1"/>
    <s v="Invoiced"/>
    <d v="2017-07-25T00:00:00"/>
    <s v="Completed and handover forwarded"/>
    <s v="Andrew Partalis"/>
    <d v="2017-05-31T00:00:00"/>
    <d v="2017-07-03T00:00:00"/>
    <n v="33"/>
    <d v="2017-06-09T00:00:00"/>
    <n v="-24"/>
  </r>
  <r>
    <x v="2"/>
    <s v="Sydney"/>
    <m/>
    <m/>
    <m/>
    <d v="2018-05-30T00:00:00"/>
    <m/>
    <m/>
    <s v=" "/>
    <m/>
    <m/>
    <x v="8"/>
    <s v="Jan-00"/>
    <s v="MW20888 - 2HOR-62 - AYCA-39AB50 -2HOR-62 -JAAN – 1"/>
    <s v="Asquith"/>
    <n v="1035.19"/>
    <m/>
    <n v="1035.19"/>
    <n v="1138.7090000000001"/>
    <n v="2974.72"/>
    <m/>
    <n v="2974.72"/>
    <n v="-1939.5299999999997"/>
    <n v="-1.8735980834436188"/>
    <m/>
    <d v="2018-06-13T00:00:00"/>
    <m/>
    <s v="Andrew Partalis"/>
    <s v="Direct Award"/>
    <d v="2017-07-04T00:00:00"/>
    <m/>
    <m/>
    <m/>
  </r>
  <r>
    <x v="1"/>
    <s v="Sth NSW"/>
    <s v="Inv 12934"/>
    <d v="2017-12-07T00:00:00"/>
    <d v="2017-08-10T00:00:00"/>
    <d v="2017-10-23T00:00:00"/>
    <d v="2017-11-04T00:00:00"/>
    <d v="2017-11-24T00:00:00"/>
    <d v="2017-11-02T00:00:00"/>
    <d v="2017-12-13T00:00:00"/>
    <m/>
    <x v="6"/>
    <s v="Dec-17"/>
    <s v="MW20812 - 2WLG-01 - 2LIV-04 - Crown, Kembla, Macquarie, George"/>
    <s v="Wollongong / Liverpool"/>
    <n v="10612"/>
    <n v="9213"/>
    <n v="19825"/>
    <n v="21807.5"/>
    <n v="8083.95"/>
    <m/>
    <n v="8083.95"/>
    <n v="11741.05"/>
    <n v="0.592234552332913"/>
    <s v="Invoiced"/>
    <d v="2017-11-06T00:00:00"/>
    <s v="Completed and handover forwarded"/>
    <s v="Milan Khanal"/>
    <d v="2017-06-06T00:00:00"/>
    <d v="2017-07-06T00:00:00"/>
    <n v="30"/>
    <d v="2017-06-30T00:00:00"/>
    <n v="-6"/>
  </r>
  <r>
    <x v="1"/>
    <s v="Sth NSW"/>
    <s v="Inv 12687"/>
    <d v="2017-10-10T00:00:00"/>
    <d v="2017-08-07T00:00:00"/>
    <d v="2017-08-10T00:00:00"/>
    <m/>
    <m/>
    <d v="2017-09-19T00:00:00"/>
    <d v="2017-10-12T00:00:00"/>
    <m/>
    <x v="4"/>
    <s v="Oct-17"/>
    <s v="MW20828 - 2WLG-07 - MPS-889 - 438 Crown Street Wollongong."/>
    <s v="Wollongong"/>
    <n v="6272.99"/>
    <m/>
    <n v="6272.99"/>
    <n v="6900.2890000000007"/>
    <m/>
    <m/>
    <n v="0"/>
    <n v="6272.99"/>
    <n v="1"/>
    <s v="Invoiced"/>
    <d v="2017-08-24T00:00:00"/>
    <s v="Completed and handover forwarded"/>
    <s v="Milan Khanal"/>
    <d v="2017-06-06T00:00:00"/>
    <d v="2017-07-06T00:00:00"/>
    <n v="30"/>
    <d v="2017-06-30T00:00:00"/>
    <n v="-6"/>
  </r>
  <r>
    <x v="2"/>
    <s v="Sydney"/>
    <s v="Inv 12830"/>
    <d v="2017-11-16T00:00:00"/>
    <d v="2017-10-16T00:00:00"/>
    <d v="2017-10-16T00:00:00"/>
    <d v="2017-10-24T00:00:00"/>
    <d v="2017-10-24T00:00:00"/>
    <d v="2017-10-23T00:00:00"/>
    <d v="2017-11-21T00:00:00"/>
    <m/>
    <x v="6"/>
    <s v="Nov-17"/>
    <s v="MW20833 - 2RIV-02 - AYCA-334H1X - The Maples - 4"/>
    <s v="Schofields"/>
    <n v="2766.71"/>
    <n v="-1040.96"/>
    <n v="1725.75"/>
    <n v="1898.325"/>
    <m/>
    <m/>
    <n v="0"/>
    <n v="1725.75"/>
    <n v="1"/>
    <s v="Invoiced"/>
    <d v="2017-10-30T00:00:00"/>
    <s v="Completed and handover forwarded"/>
    <s v="Andrew Mahassy"/>
    <s v="Direct Award"/>
    <d v="2017-07-05T00:00:00"/>
    <m/>
    <m/>
    <m/>
  </r>
  <r>
    <x v="2"/>
    <s v="Sydney"/>
    <s v="Inv 12811"/>
    <d v="2017-11-16T00:00:00"/>
    <d v="2017-09-27T00:00:00"/>
    <d v="2017-09-27T00:00:00"/>
    <d v="2017-09-28T00:00:00"/>
    <d v="2017-10-03T00:00:00"/>
    <d v="2017-10-13T00:00:00"/>
    <d v="2017-11-21T00:00:00"/>
    <m/>
    <x v="3"/>
    <s v="Nov-17"/>
    <s v="MW20966 - 2BLK-11 - AYCA-3W8LJB - 42-44 Norfolk St"/>
    <s v="Blacktown"/>
    <n v="232.27"/>
    <n v="7875.13"/>
    <n v="8107.4000000000005"/>
    <n v="8918.1400000000012"/>
    <n v="5913.37"/>
    <m/>
    <n v="5913.37"/>
    <n v="2194.0300000000007"/>
    <n v="0.27062066753829839"/>
    <s v="Invoiced"/>
    <d v="2017-10-11T00:00:00"/>
    <s v="Completed and handover forwarded"/>
    <s v="Andrew Mahassy"/>
    <s v="Direct Award"/>
    <d v="2017-07-05T00:00:00"/>
    <m/>
    <m/>
    <m/>
  </r>
  <r>
    <x v="2"/>
    <s v="Sydney"/>
    <s v="Inv 12802"/>
    <d v="2017-11-13T00:00:00"/>
    <d v="2017-10-04T00:00:00"/>
    <d v="2017-10-06T00:00:00"/>
    <d v="2017-10-18T00:00:00"/>
    <d v="2017-10-25T00:00:00"/>
    <d v="2017-10-20T00:00:00"/>
    <d v="2017-11-16T00:00:00"/>
    <m/>
    <x v="6"/>
    <s v="Nov-17"/>
    <s v="MW20939 - AYCA-2Y4BYB -2PEN-64 - 344 GWH Wentworthville – 1- EXTERNAL"/>
    <s v="Wentworthville"/>
    <n v="1768.07"/>
    <n v="2146.79"/>
    <n v="3914.8599999999997"/>
    <n v="4306.3459999999995"/>
    <n v="2739.01"/>
    <m/>
    <n v="2739.01"/>
    <n v="1175.8499999999995"/>
    <n v="0.30035556827064047"/>
    <s v="Invoiced"/>
    <d v="2017-10-20T00:00:00"/>
    <s v="Completed and handover forwarded"/>
    <s v="Michael Tram"/>
    <s v="Direct Award"/>
    <d v="2017-07-06T00:00:00"/>
    <m/>
    <m/>
    <m/>
  </r>
  <r>
    <x v="0"/>
    <s v="Sydney"/>
    <s v="Inv 12803"/>
    <d v="2017-11-13T00:00:00"/>
    <d v="2017-09-25T00:00:00"/>
    <d v="2017-09-25T00:00:00"/>
    <d v="2017-09-27T00:00:00"/>
    <d v="2017-10-02T00:00:00"/>
    <d v="2017-10-04T00:00:00"/>
    <d v="2017-11-16T00:00:00"/>
    <m/>
    <x v="3"/>
    <s v="Nov-17"/>
    <s v="MW20806 - 2EPS-61 -AYCA-42J4C9– 54 Tyrone Place, Erskine Park - Loscam"/>
    <s v="Erskine Park"/>
    <n v="6073.69"/>
    <n v="3516.71"/>
    <n v="9590.4"/>
    <n v="10549.44"/>
    <n v="6233.7"/>
    <m/>
    <n v="6233.7"/>
    <n v="3356.7"/>
    <n v="0.35000625625625625"/>
    <s v="Invoiced"/>
    <d v="2017-10-09T00:00:00"/>
    <s v="Completed and handover forwarded"/>
    <s v="Andrew Mahassy"/>
    <d v="2017-06-13T00:00:00"/>
    <d v="2017-06-30T00:00:00"/>
    <n v="17"/>
    <d v="2017-07-28T00:00:00"/>
    <n v="28"/>
  </r>
  <r>
    <x v="0"/>
    <s v="Newcastle"/>
    <s v="Inv 12497"/>
    <d v="2017-10-03T00:00:00"/>
    <d v="2017-08-14T00:00:00"/>
    <d v="2017-08-14T00:00:00"/>
    <d v="2017-08-15T00:00:00"/>
    <d v="2017-09-15T00:00:00"/>
    <d v="2017-08-25T00:00:00"/>
    <d v="2017-10-05T00:00:00"/>
    <m/>
    <x v="4"/>
    <s v="Oct-17"/>
    <s v="MW20821 - AYCA-45D358 NSB Albuera Close -  BUILD"/>
    <s v="Morphet"/>
    <n v="7531.6314285714288"/>
    <n v="464.5"/>
    <n v="7996.1314285714288"/>
    <n v="8795.7445714285732"/>
    <n v="6043.99"/>
    <m/>
    <n v="6043.99"/>
    <n v="1952.1414285714291"/>
    <n v="0.24413573563787636"/>
    <s v="Invoiced"/>
    <d v="2017-08-28T00:00:00"/>
    <s v="Completed and handover forwarded"/>
    <s v="Mark Leal"/>
    <d v="2017-06-02T00:00:00"/>
    <d v="2017-07-11T00:00:00"/>
    <n v="39"/>
    <d v="2017-07-13T00:00:00"/>
    <n v="2"/>
  </r>
  <r>
    <x v="2"/>
    <s v="Sydney"/>
    <s v="Inv 12807"/>
    <d v="2017-11-14T00:00:00"/>
    <d v="2017-08-22T00:00:00"/>
    <d v="2017-08-22T00:00:00"/>
    <d v="2017-08-22T00:00:00"/>
    <d v="2017-10-06T00:00:00"/>
    <d v="2017-09-07T00:00:00"/>
    <d v="2017-11-16T00:00:00"/>
    <m/>
    <x v="4"/>
    <s v="Nov-17"/>
    <s v="MW20927 - 2ASH-61 - AYCA-482KZM - Lionsgate Projects – 1"/>
    <s v="Croydon park"/>
    <n v="3340.88"/>
    <n v="2772.83"/>
    <n v="6113.71"/>
    <n v="6725.0810000000001"/>
    <n v="4280.95"/>
    <m/>
    <n v="4280.95"/>
    <n v="1832.7600000000002"/>
    <n v="0.29977869411535718"/>
    <s v="Invoiced"/>
    <d v="2017-09-05T00:00:00"/>
    <s v="Completed and handover forwarded"/>
    <s v="Michael Tram"/>
    <s v="Direct Award"/>
    <d v="2017-07-11T00:00:00"/>
    <m/>
    <m/>
    <m/>
  </r>
  <r>
    <x v="2"/>
    <s v="Sydney"/>
    <s v="Inv 12501"/>
    <d v="2017-08-17T00:00:00"/>
    <d v="2017-08-16T00:00:00"/>
    <d v="2017-08-16T00:00:00"/>
    <d v="2017-08-16T00:00:00"/>
    <d v="2017-09-23T00:00:00"/>
    <d v="2017-10-16T00:00:00"/>
    <d v="2017-10-26T00:00:00"/>
    <m/>
    <x v="4"/>
    <s v="Oct-17"/>
    <s v="MW20894 - 2KEL-08 - AYCA-42POJA - NSB - Memorial Ave Kelly Build"/>
    <s v="Kellyville"/>
    <n v="10316"/>
    <n v="155.54"/>
    <n v="10471.540000000001"/>
    <n v="11518.694000000001"/>
    <m/>
    <m/>
    <n v="0"/>
    <n v="10471.540000000001"/>
    <n v="1"/>
    <s v="Invoiced"/>
    <d v="2017-08-30T00:00:00"/>
    <s v="Completed and handover forwarded"/>
    <s v="Andrew Mahassy"/>
    <s v="Direct Award"/>
    <d v="2017-06-14T00:00:00"/>
    <m/>
    <m/>
    <m/>
  </r>
  <r>
    <x v="0"/>
    <s v="Nth Coast"/>
    <s v="Inv 12828"/>
    <d v="2017-11-17T00:00:00"/>
    <d v="2017-08-27T00:00:00"/>
    <d v="2017-08-27T00:00:00"/>
    <m/>
    <m/>
    <d v="2017-11-01T00:00:00"/>
    <d v="2017-11-23T00:00:00"/>
    <m/>
    <x v="4"/>
    <s v="Nov-17"/>
    <s v="MW20946 - 2OBA-20 - AYCA-4DWSZZ-  81 Albatross Way - NSB - SURVEY"/>
    <s v="Old Bar"/>
    <n v="1430"/>
    <m/>
    <n v="1430"/>
    <n v="1573.0000000000002"/>
    <m/>
    <m/>
    <n v="0"/>
    <n v="1430"/>
    <n v="1"/>
    <s v="Invoiced"/>
    <d v="2017-09-10T00:00:00"/>
    <s v="Completed and handover forwarded"/>
    <s v="Mark Leal"/>
    <d v="2017-06-13T00:00:00"/>
    <d v="2017-07-17T00:00:00"/>
    <n v="34"/>
    <d v="2017-06-13T00:00:00"/>
    <n v="-34"/>
  </r>
  <r>
    <x v="2"/>
    <s v="Sydney"/>
    <s v="Inv 12875"/>
    <d v="2017-11-29T00:00:00"/>
    <d v="2017-08-29T00:00:00"/>
    <d v="2017-08-29T00:00:00"/>
    <d v="2017-09-14T00:00:00"/>
    <d v="2017-10-09T00:00:00"/>
    <d v="2017-10-31T00:00:00"/>
    <d v="2017-11-29T00:00:00"/>
    <m/>
    <x v="4"/>
    <s v="Nov-17"/>
    <s v="MW20983 - 2RYD-01 - AYCA-2ZD7NM - 86-94 Blaxland Rd "/>
    <s v="Parramatta Road"/>
    <n v="4035.55"/>
    <n v="1147.97"/>
    <n v="5183.5200000000004"/>
    <n v="5701.8720000000012"/>
    <m/>
    <m/>
    <n v="0"/>
    <n v="5183.5200000000004"/>
    <n v="1"/>
    <s v="Invoiced"/>
    <d v="2017-09-12T00:00:00"/>
    <s v="Completed and handover forwarded"/>
    <s v="Lindy Chan"/>
    <s v="Direct Award"/>
    <d v="2017-07-19T00:00:00"/>
    <m/>
    <m/>
    <m/>
  </r>
  <r>
    <x v="1"/>
    <s v="Central Coast"/>
    <s v="Inv 12985"/>
    <d v="2017-12-19T00:00:00"/>
    <d v="2017-11-04T00:00:00"/>
    <d v="2017-11-04T00:00:00"/>
    <d v="2017-11-17T00:00:00"/>
    <d v="2017-11-24T00:00:00"/>
    <d v="2017-12-04T00:00:00"/>
    <d v="2018-12-19T00:00:00"/>
    <m/>
    <x v="10"/>
    <s v="Dec-18"/>
    <s v="MW20718 - 2LJT-04-07-08 Unit 2, 234 The Entrance Road"/>
    <s v="Long Jetty"/>
    <n v="1829.49"/>
    <n v="11994.14"/>
    <n v="13823.63"/>
    <n v="15205.993"/>
    <m/>
    <m/>
    <n v="0"/>
    <n v="13823.63"/>
    <n v="1"/>
    <s v="Invoiced"/>
    <d v="2017-11-18T00:00:00"/>
    <s v="Completed and handover forwarded"/>
    <s v="Jay Shrestha"/>
    <m/>
    <m/>
    <m/>
    <m/>
    <m/>
  </r>
  <r>
    <x v="1"/>
    <s v="Central Coast"/>
    <s v="Inv 12933"/>
    <d v="2017-12-07T00:00:00"/>
    <d v="2017-09-26T00:00:00"/>
    <d v="2017-09-26T00:00:00"/>
    <d v="2017-11-04T00:00:00"/>
    <d v="2017-11-24T00:00:00"/>
    <d v="2017-11-03T00:00:00"/>
    <d v="2017-12-13T00:00:00"/>
    <m/>
    <x v="3"/>
    <s v="Dec-17"/>
    <s v="MW20736 - 2GOS-01-04 - 3-7 Wharf-East Gosford Public School-Unit 3 354 Mann."/>
    <s v="Gosford"/>
    <n v="1829.49"/>
    <n v="2155.37"/>
    <n v="3984.8599999999997"/>
    <n v="4383.3459999999995"/>
    <m/>
    <m/>
    <n v="0"/>
    <n v="3984.8599999999997"/>
    <n v="1"/>
    <s v="Invoiced"/>
    <d v="2017-10-10T00:00:00"/>
    <s v="Completed and handover forwarded"/>
    <s v="Jay Shrestha"/>
    <m/>
    <m/>
    <m/>
    <m/>
    <m/>
  </r>
  <r>
    <x v="1"/>
    <s v="Sydney"/>
    <s v="Inv 13028"/>
    <d v="2018-01-08T00:00:00"/>
    <d v="2017-11-27T00:00:00"/>
    <d v="2017-12-01T00:00:00"/>
    <d v="2017-11-27T00:00:00"/>
    <d v="2017-12-14T00:00:00"/>
    <d v="2017-12-13T00:00:00"/>
    <d v="2018-01-11T00:00:00"/>
    <m/>
    <x v="12"/>
    <s v="Jan-18"/>
    <s v="MW20764 - 2BLK-12-07 - Lot 21 Western MTQY/2 Rudders/Unit 40 - 15 Valediction"/>
    <s v="Blacktown"/>
    <n v="1829.49"/>
    <n v="37470.15"/>
    <n v="39299.64"/>
    <n v="43229.603999999999"/>
    <n v="9711.4490909090891"/>
    <m/>
    <n v="9711.4490909090891"/>
    <n v="29588.19090909091"/>
    <n v="0.75288707247931308"/>
    <s v="Invoiced"/>
    <d v="2017-12-15T00:00:00"/>
    <s v="Completed and handover forwarded"/>
    <s v="Jay Shrestha"/>
    <d v="2017-06-02T00:00:00"/>
    <d v="2017-07-24T00:00:00"/>
    <n v="52"/>
    <m/>
    <m/>
  </r>
  <r>
    <x v="2"/>
    <s v="Sydney"/>
    <s v="Inv 12826"/>
    <d v="2017-11-16T00:00:00"/>
    <d v="2017-10-02T00:00:00"/>
    <d v="2017-10-04T00:00:00"/>
    <d v="2017-10-16T00:00:00"/>
    <d v="2017-10-24T00:00:00"/>
    <d v="2017-10-13T00:00:00"/>
    <d v="2017-11-16T00:00:00"/>
    <m/>
    <x v="6"/>
    <s v="Nov-17"/>
    <s v="MW20951   - 2ROU-03 - AYCA-486V6Q  - Non Standard Builds - McCarthy Street "/>
    <s v="Kellyville"/>
    <n v="9841.41"/>
    <n v="4157.68"/>
    <n v="13999.09"/>
    <n v="15398.999000000002"/>
    <m/>
    <m/>
    <n v="0"/>
    <n v="13999.09"/>
    <n v="1"/>
    <s v="Invoiced"/>
    <d v="2017-10-18T00:00:00"/>
    <s v="Completed and handover forwarded"/>
    <s v="Andrew Mahassy"/>
    <s v="Direct Award"/>
    <d v="2017-07-25T00:00:00"/>
    <m/>
    <m/>
    <m/>
  </r>
  <r>
    <x v="2"/>
    <s v="ACT"/>
    <s v="Inv 12915"/>
    <d v="2017-12-04T00:00:00"/>
    <d v="2017-09-20T00:00:00"/>
    <d v="2017-09-25T00:00:00"/>
    <d v="2017-09-27T00:00:00"/>
    <d v="2017-11-17T00:00:00"/>
    <d v="2017-10-04T00:00:00"/>
    <d v="2017-12-07T00:00:00"/>
    <m/>
    <x v="3"/>
    <s v="Dec-17"/>
    <s v="MW21016 - AYCA-3UESPG -9CRC-06 -IVAR Villas Externals"/>
    <s v="Franklin"/>
    <n v="5109.41"/>
    <n v="883.35"/>
    <n v="5992.76"/>
    <n v="6592.036000000001"/>
    <m/>
    <m/>
    <n v="0"/>
    <n v="5992.76"/>
    <n v="1"/>
    <s v="Invoiced"/>
    <d v="2017-10-09T00:00:00"/>
    <s v="Completed and handover forwarded"/>
    <s v="Shaher Aslam"/>
    <s v="Direct Award"/>
    <d v="2017-07-21T00:00:00"/>
    <m/>
    <m/>
    <m/>
  </r>
  <r>
    <x v="2"/>
    <s v="ACT"/>
    <s v="Inv 12916"/>
    <d v="2017-12-04T00:00:00"/>
    <d v="2017-09-20T00:00:00"/>
    <d v="2017-09-25T00:00:00"/>
    <m/>
    <m/>
    <d v="2017-10-04T00:00:00"/>
    <d v="2017-12-07T00:00:00"/>
    <m/>
    <x v="3"/>
    <s v="Dec-17"/>
    <s v="MW21016 - AYCA-3UESPG -9CRC-06 -IVAR Villas Internals"/>
    <s v="Franklin"/>
    <n v="10627.34"/>
    <m/>
    <n v="10627.34"/>
    <n v="11690.074000000001"/>
    <m/>
    <m/>
    <n v="0"/>
    <n v="10627.34"/>
    <n v="1"/>
    <s v="Invoiced"/>
    <d v="2017-10-09T00:00:00"/>
    <s v="Completed and handover forwarded"/>
    <s v="Shaher Aslam"/>
    <s v="Direct Award"/>
    <d v="2017-07-22T00:00:00"/>
    <m/>
    <m/>
    <m/>
  </r>
  <r>
    <x v="2"/>
    <s v="Sydney"/>
    <s v="Inv 12829"/>
    <d v="2017-11-16T00:00:00"/>
    <d v="2017-10-10T00:00:00"/>
    <d v="2017-10-12T00:00:00"/>
    <d v="2017-10-17T00:00:00"/>
    <d v="2017-10-25T00:00:00"/>
    <d v="2017-10-20T00:00:00"/>
    <d v="2017-11-21T00:00:00"/>
    <m/>
    <x v="6"/>
    <s v="Nov-17"/>
    <s v="MW21067 - 2PTH-01 - AYCA-3VF189 - 293-295 Jamison - 1"/>
    <s v="Penrith"/>
    <n v="2496.87"/>
    <n v="-147.13999999999999"/>
    <n v="2349.73"/>
    <n v="2584.7030000000004"/>
    <n v="689.79"/>
    <m/>
    <n v="689.79"/>
    <n v="1659.94"/>
    <n v="0.70643861209585779"/>
    <s v="Invoiced"/>
    <d v="2017-10-26T00:00:00"/>
    <s v="Completed and handover forwarded"/>
    <s v="Michael Tram"/>
    <s v="Direct Award"/>
    <d v="2017-07-24T00:00:00"/>
    <m/>
    <m/>
    <m/>
  </r>
  <r>
    <x v="2"/>
    <s v="Newcastle"/>
    <s v="Inv 12653"/>
    <d v="2017-10-03T00:00:00"/>
    <d v="2017-08-20T00:00:00"/>
    <d v="2017-08-25T00:00:00"/>
    <d v="2017-09-19T00:00:00"/>
    <d v="2017-09-22T00:00:00"/>
    <d v="2017-09-06T00:00:00"/>
    <d v="2017-10-05T00:00:00"/>
    <m/>
    <x v="4"/>
    <s v="Oct-17"/>
    <s v="MW21052 - 2MAI-11 - AYCA-3OLAP3-WA Brown INTERNAL"/>
    <s v="Morphet"/>
    <n v="3600"/>
    <n v="5391.9"/>
    <n v="8991.9"/>
    <n v="9891.09"/>
    <n v="6294.34"/>
    <m/>
    <n v="6294.34"/>
    <n v="2697.5599999999995"/>
    <n v="0.29999888788798801"/>
    <s v="Invoiced"/>
    <d v="2017-09-08T00:00:00"/>
    <s v="Completed and handover forwarded"/>
    <s v="Shaher Aslam"/>
    <s v="Direct Award"/>
    <d v="2017-07-21T00:00:00"/>
    <m/>
    <m/>
    <m/>
  </r>
  <r>
    <x v="2"/>
    <s v="Newcastle"/>
    <s v="Inv 13318"/>
    <d v="2018-03-06T00:00:00"/>
    <d v="2018-02-06T00:00:00"/>
    <d v="2018-02-06T00:00:00"/>
    <d v="2018-02-21T00:00:00"/>
    <d v="2018-02-27T00:00:00"/>
    <d v="2018-02-20T00:00:00"/>
    <d v="2018-03-02T00:00:00"/>
    <m/>
    <x v="2"/>
    <s v="Mar-18"/>
    <s v="MW21054 - 2MAI-11 - AYCA-2NU9NV - Northwood Retirement Village - 1 - INTERNAL"/>
    <s v="Rutherford"/>
    <n v="5760"/>
    <n v="-5760"/>
    <n v="288"/>
    <n v="316.8"/>
    <m/>
    <m/>
    <n v="0"/>
    <n v="288"/>
    <n v="1"/>
    <s v="Invoiced"/>
    <d v="2018-02-20T00:00:00"/>
    <s v="Completed and handover forwarded"/>
    <s v="Shaher Aslam"/>
    <s v="Direct Award"/>
    <d v="2017-07-21T00:00:00"/>
    <m/>
    <m/>
    <m/>
  </r>
  <r>
    <x v="2"/>
    <s v="Sydney"/>
    <s v="Inv 13114"/>
    <d v="2018-01-30T00:00:00"/>
    <d v="2017-12-13T00:00:00"/>
    <d v="2017-12-13T00:00:00"/>
    <d v="2017-12-21T00:00:00"/>
    <d v="2017-01-03T00:00:00"/>
    <d v="2018-01-03T00:00:00"/>
    <d v="2018-01-25T00:00:00"/>
    <m/>
    <x v="12"/>
    <s v="Jan-18"/>
    <s v="MW21026 - 2HOR-62 - AYCA-3TQB8K - MOUNT COLAH GARDENS - 2 - EXTERNAL"/>
    <s v="Mt Colah"/>
    <n v="2338.56"/>
    <n v="1630.43"/>
    <n v="3968.99"/>
    <n v="4365.8890000000001"/>
    <n v="2919.77"/>
    <m/>
    <n v="2919.77"/>
    <n v="1049.2199999999998"/>
    <n v="0.26435440754448863"/>
    <s v="Invoiced"/>
    <d v="2017-12-27T00:00:00"/>
    <s v="Completed and handover forwarded"/>
    <s v="Andrew Partalis"/>
    <s v="Direct Award"/>
    <d v="2017-07-19T00:00:00"/>
    <m/>
    <m/>
    <m/>
  </r>
  <r>
    <x v="1"/>
    <s v="Sydney"/>
    <s v="Inv 12652"/>
    <d v="2017-10-03T00:00:00"/>
    <d v="2017-08-22T00:00:00"/>
    <d v="2017-08-22T00:00:00"/>
    <d v="2017-08-28T00:00:00"/>
    <d v="2017-09-06T00:00:00"/>
    <d v="2017-09-06T00:00:00"/>
    <d v="2017-10-05T00:00:00"/>
    <m/>
    <x v="4"/>
    <s v="Oct-17"/>
    <s v="MW21062 - 2REV-20  - AYCA-4IDMPC- 9 Fitzpatrick St - 1"/>
    <s v="Milpera"/>
    <n v="8099.36"/>
    <n v="-3540"/>
    <n v="4559.3599999999997"/>
    <n v="5015.2960000000003"/>
    <n v="1725.57"/>
    <m/>
    <n v="1725.57"/>
    <n v="2833.79"/>
    <n v="0.62153240805727128"/>
    <s v="Invoiced"/>
    <d v="2017-09-05T00:00:00"/>
    <s v="Completed and handover forwarded"/>
    <s v="Shaher Aslan"/>
    <d v="2017-08-03T00:00:00"/>
    <d v="2017-08-10T00:00:00"/>
    <n v="7"/>
    <d v="2017-08-18T00:00:00"/>
    <n v="8"/>
  </r>
  <r>
    <x v="2"/>
    <s v="Sydney"/>
    <s v="Inv 13025 &amp; 13151"/>
    <d v="2018-01-10T00:00:00"/>
    <d v="2017-12-01T00:00:00"/>
    <d v="2017-12-01T00:00:00"/>
    <d v="2017-12-05T00:00:00"/>
    <d v="2017-12-12T00:00:00"/>
    <d v="2017-12-15T00:00:00"/>
    <d v="2017-12-26T00:00:00"/>
    <m/>
    <x v="12"/>
    <s v="Dec-17"/>
    <s v="MW21031 - 2KEL-07 -AYCA-36X4LO - 7 Fairway Drive"/>
    <s v="Kellyville"/>
    <n v="7372.49"/>
    <n v="6818.21"/>
    <n v="14190.7"/>
    <n v="15609.770000000002"/>
    <m/>
    <m/>
    <n v="0"/>
    <n v="14190.7"/>
    <n v="1"/>
    <s v="Invoiced"/>
    <d v="2017-12-15T00:00:00"/>
    <s v="Completed and handover forwarded"/>
    <s v="Andrew Mahassy"/>
    <s v="Direct Award"/>
    <d v="2017-07-19T00:00:00"/>
    <m/>
    <m/>
    <m/>
  </r>
  <r>
    <x v="2"/>
    <s v="Sydney"/>
    <s v="Inv 12654"/>
    <d v="2017-10-03T00:00:00"/>
    <d v="2017-08-24T00:00:00"/>
    <d v="2017-08-24T00:00:00"/>
    <d v="2017-09-06T00:00:00"/>
    <d v="2017-09-15T00:00:00"/>
    <d v="2017-12-11T00:00:00"/>
    <d v="2017-10-05T00:00:00"/>
    <m/>
    <x v="4"/>
    <s v="Oct-17"/>
    <s v="MW21034 - 2LIV-04 - AYCA-2XM8XA - Castlereagh Projects PTY LTD - 1- EXTERNAL"/>
    <s v="Liverpool"/>
    <n v="1096.17"/>
    <n v="-1.1200000000000001"/>
    <n v="1095.0500000000002"/>
    <n v="1204.5550000000003"/>
    <m/>
    <m/>
    <n v="0"/>
    <n v="1095.0500000000002"/>
    <n v="1"/>
    <s v="Invoiced"/>
    <d v="2017-09-07T00:00:00"/>
    <s v="Completed and handover forwarded"/>
    <s v="Nabeel Jaimon"/>
    <s v="Direct Award"/>
    <d v="2017-07-19T00:00:00"/>
    <m/>
    <m/>
    <m/>
  </r>
  <r>
    <x v="2"/>
    <s v="Sydney"/>
    <s v="Inv 12689"/>
    <d v="2017-01-11T00:00:00"/>
    <d v="2017-08-28T00:00:00"/>
    <d v="2017-08-28T00:00:00"/>
    <d v="2017-09-06T00:00:00"/>
    <d v="2017-09-15T00:00:00"/>
    <d v="2017-09-11T00:00:00"/>
    <d v="2017-10-17T00:00:00"/>
    <m/>
    <x v="4"/>
    <s v="Oct-17"/>
    <s v="MW20941 - AYCA-2KQ04J -2KEL-01 - 112 Hambledon"/>
    <s v="Schofields"/>
    <n v="2908.06"/>
    <n v="-95.96"/>
    <n v="2812.1"/>
    <n v="3093.31"/>
    <n v="1039.3"/>
    <m/>
    <n v="1039.3"/>
    <n v="1772.8"/>
    <n v="0.63041854841577472"/>
    <s v="Invoiced"/>
    <d v="2017-09-11T00:00:00"/>
    <s v="Completed and handover forwarded"/>
    <s v="Ertan Cicek "/>
    <s v="Direct Award"/>
    <d v="2017-07-26T00:00:00"/>
    <m/>
    <m/>
    <m/>
  </r>
  <r>
    <x v="0"/>
    <s v="Sydney"/>
    <s v="Inv 12574"/>
    <d v="2017-09-11T00:00:00"/>
    <d v="2017-07-31T00:00:00"/>
    <d v="2017-07-31T00:00:00"/>
    <d v="2017-08-15T00:00:00"/>
    <d v="2017-09-04T00:00:00"/>
    <d v="2017-08-15T00:00:00"/>
    <d v="2017-09-19T00:00:00"/>
    <m/>
    <x v="5"/>
    <s v="Sep-17"/>
    <s v="MW20627 - AYCA-40UYFT - 2PKE-06 - Berkeley "/>
    <s v="Port Kembla"/>
    <n v="8858.31"/>
    <n v="512.57000000000005"/>
    <n v="9370.8799999999992"/>
    <n v="10307.968000000001"/>
    <n v="2095.98"/>
    <m/>
    <n v="2095.98"/>
    <n v="7274.9"/>
    <n v="0.776330504712471"/>
    <s v="Invoiced"/>
    <d v="2017-08-14T00:00:00"/>
    <s v="Completed and handover forwarded"/>
    <s v="Nabeel Jaimon"/>
    <d v="2017-05-01T00:00:00"/>
    <d v="2017-05-10T00:00:00"/>
    <n v="9"/>
    <d v="2017-05-10T00:00:00"/>
    <n v="0"/>
  </r>
  <r>
    <x v="2"/>
    <s v="Sydney"/>
    <s v="Inv 12608"/>
    <d v="2017-09-25T00:00:00"/>
    <d v="2017-08-01T00:00:00"/>
    <d v="2017-08-01T00:00:00"/>
    <d v="2017-08-15T00:00:00"/>
    <d v="2017-09-01T00:00:00"/>
    <d v="2017-08-14T00:00:00"/>
    <d v="2017-09-19T00:00:00"/>
    <m/>
    <x v="4"/>
    <s v="Sep-17"/>
    <s v="MW21024 - AYCA-4JN54Z - 2NRN-05 - Elderslie - TH5"/>
    <s v="Elderslie"/>
    <n v="1561.37"/>
    <n v="698.01"/>
    <n v="2259.38"/>
    <n v="2485.3180000000002"/>
    <m/>
    <m/>
    <n v="0"/>
    <n v="2259.38"/>
    <n v="1"/>
    <s v="Invoiced"/>
    <d v="2017-08-15T00:00:00"/>
    <s v="Completed and handover forwarded"/>
    <s v="Andrew Mahassy"/>
    <s v="Direct Award"/>
    <d v="2017-07-26T00:00:00"/>
    <m/>
    <m/>
    <m/>
  </r>
  <r>
    <x v="0"/>
    <s v="Sth Coast"/>
    <s v="Inv 12805"/>
    <d v="2017-11-14T00:00:00"/>
    <d v="2017-09-25T00:00:00"/>
    <d v="2017-09-25T00:00:00"/>
    <d v="2017-09-27T00:00:00"/>
    <d v="2017-10-04T00:00:00"/>
    <d v="2017-10-13T00:00:00"/>
    <d v="2017-11-16T00:00:00"/>
    <m/>
    <x v="3"/>
    <s v="Nov-17"/>
    <s v="MW20844 - 2TAH-02 - AYCA-3YUT4L - Brundah Road - 1"/>
    <s v="Thirlmere"/>
    <n v="6869.8742857142852"/>
    <n v="8608.4699999999993"/>
    <n v="15478.344285714284"/>
    <n v="17026.178714285714"/>
    <n v="6117.91"/>
    <m/>
    <n v="6117.91"/>
    <n v="9360.4342857142838"/>
    <n v="0.60474389979511467"/>
    <s v="Invoiced"/>
    <d v="2017-10-09T00:00:00"/>
    <s v="Completed and handover forwarded"/>
    <s v="Ertan Cicek "/>
    <d v="2017-07-07T00:00:00"/>
    <d v="2017-08-14T00:00:00"/>
    <n v="38"/>
    <d v="2017-08-25T00:00:00"/>
    <n v="11"/>
  </r>
  <r>
    <x v="2"/>
    <s v="Sydney"/>
    <s v="Inv 12787"/>
    <d v="2017-11-07T00:00:00"/>
    <d v="2017-08-01T00:00:00"/>
    <d v="2017-08-01T00:00:00"/>
    <d v="2017-08-09T00:00:00"/>
    <d v="2017-08-18T00:00:00"/>
    <d v="2017-09-06T00:00:00"/>
    <d v="2017-11-09T00:00:00"/>
    <s v="Vriation Submitted 9/08/17"/>
    <x v="4"/>
    <s v="Nov-17"/>
    <s v="MW20797 - SOPR MWI  - 2RYD-03 - AYCA-1SUDYS – 15 Porter Street, Ryde - La Pearl - 1"/>
    <s v="Ryde"/>
    <n v="226.41"/>
    <n v="2148.5500000000002"/>
    <n v="2374.96"/>
    <n v="2612.4560000000001"/>
    <m/>
    <m/>
    <n v="0"/>
    <n v="2374.96"/>
    <n v="1"/>
    <s v="Invoiced"/>
    <d v="2017-08-15T00:00:00"/>
    <s v="Completed and handover forwarded"/>
    <s v="Lindy Chan"/>
    <s v="Direct Award"/>
    <d v="2017-05-30T00:00:00"/>
    <m/>
    <m/>
    <m/>
  </r>
  <r>
    <x v="0"/>
    <s v="Sydney"/>
    <s v="Inv 12690"/>
    <d v="2017-10-11T00:00:00"/>
    <d v="2017-09-10T00:00:00"/>
    <d v="2017-09-11T00:00:00"/>
    <d v="2017-09-20T00:00:00"/>
    <d v="2017-09-28T00:00:00"/>
    <d v="2017-09-26T00:00:00"/>
    <d v="2017-10-10T00:00:00"/>
    <m/>
    <x v="3"/>
    <s v="Oct-17"/>
    <s v="MW21021 - 2MGO-20 -AYCA-45UVAF - Non Standard Builds - 15 Baldi "/>
    <s v="Silverdale"/>
    <n v="18063.68"/>
    <n v="5154.37"/>
    <n v="23218.05"/>
    <n v="25539.855"/>
    <m/>
    <m/>
    <n v="0"/>
    <n v="23218.05"/>
    <n v="1"/>
    <s v="Invoiced"/>
    <d v="2017-09-25T00:00:00"/>
    <s v="Completed and handover forwarded"/>
    <s v="Andrew Mahassy"/>
    <d v="2017-07-31T00:00:00"/>
    <d v="2017-08-14T00:00:00"/>
    <n v="14"/>
    <d v="2017-08-31T00:00:00"/>
    <n v="17"/>
  </r>
  <r>
    <x v="2"/>
    <s v="Sydney"/>
    <s v="Inv 13122"/>
    <d v="2018-01-30T00:00:00"/>
    <d v="2017-12-01T00:00:00"/>
    <d v="2017-12-01T00:00:00"/>
    <d v="2017-12-04T00:00:00"/>
    <d v="2017-12-20T00:00:00"/>
    <d v="2017-12-13T00:00:00"/>
    <d v="2018-01-29T00:00:00"/>
    <m/>
    <x v="12"/>
    <s v="Jan-18"/>
    <s v="MW21104 - AYCA-3UHHF8-2LIV-12-25 Glenfield Road "/>
    <s v="Liverpool"/>
    <n v="8071.38"/>
    <n v="14816.270000000002"/>
    <n v="22887.65"/>
    <n v="25176.415000000005"/>
    <n v="11278.4"/>
    <m/>
    <n v="11278.4"/>
    <n v="11609.250000000002"/>
    <n v="0.50722769703311621"/>
    <s v="Invoiced"/>
    <d v="2017-12-15T00:00:00"/>
    <s v="Completed and handover forwarded"/>
    <s v="Shaher Aslan"/>
    <s v="Direct Award"/>
    <d v="2017-08-08T00:00:00"/>
    <m/>
    <d v="2017-09-29T00:00:00"/>
    <m/>
  </r>
  <r>
    <x v="2"/>
    <s v="Sydney"/>
    <s v="Inv 13279"/>
    <d v="2018-02-22T00:00:00"/>
    <d v="2017-12-27T00:00:00"/>
    <d v="2017-11-27T00:00:00"/>
    <d v="2018-01-16T00:00:00"/>
    <d v="2018-02-07T00:00:00"/>
    <d v="2017-12-11T00:00:00"/>
    <d v="2018-02-27T00:00:00"/>
    <m/>
    <x v="10"/>
    <s v="Feb-18"/>
    <s v="MW21108 - AYCA-4D6F80 - 2NEW-03 - CASA - Terraces - Estate"/>
    <s v="Erskinwille"/>
    <n v="7693.89"/>
    <n v="11728.23"/>
    <n v="19422.12"/>
    <n v="21364.332000000002"/>
    <n v="6867.81"/>
    <m/>
    <n v="6867.81"/>
    <n v="12554.309999999998"/>
    <n v="0.64639236087512575"/>
    <s v="Invoiced"/>
    <d v="2017-12-11T00:00:00"/>
    <s v="Completed and handover forwarded"/>
    <s v="Shaher Aslan"/>
    <s v="Direct Award"/>
    <d v="2017-08-08T00:00:00"/>
    <m/>
    <m/>
    <m/>
  </r>
  <r>
    <x v="0"/>
    <s v="Sydney"/>
    <s v="Inv 13249"/>
    <d v="2018-02-19T00:00:00"/>
    <d v="2018-10-10T00:00:00"/>
    <d v="2018-01-10T00:00:00"/>
    <d v="2017-01-10T00:00:00"/>
    <d v="2018-01-24T00:00:00"/>
    <d v="2018-01-22T00:00:00"/>
    <d v="2018-02-20T00:00:00"/>
    <m/>
    <x v="13"/>
    <s v="Feb-18"/>
    <s v="MW20777 - 2HBD-21 - AYCA-46PUI1 - 724 Pittwater Rd"/>
    <s v="Brookvale"/>
    <n v="2139.2800000000002"/>
    <n v="3780.43"/>
    <n v="5919.71"/>
    <n v="6511.6810000000005"/>
    <n v="1612.32"/>
    <m/>
    <n v="1612.32"/>
    <n v="4307.3900000000003"/>
    <n v="0.72763530645926922"/>
    <s v="Invoiced"/>
    <d v="2018-01-24T00:00:00"/>
    <s v="Completed and handover forwarded"/>
    <s v="Andrew Partalis"/>
    <d v="2017-05-30T00:00:00"/>
    <d v="2017-08-04T00:00:00"/>
    <n v="66"/>
    <d v="2017-10-27T00:00:00"/>
    <n v="84"/>
  </r>
  <r>
    <x v="2"/>
    <s v="Sydney"/>
    <s v="Inv 12836"/>
    <d v="2017-11-29T00:00:00"/>
    <d v="2017-09-25T00:00:00"/>
    <d v="2017-09-25T00:00:00"/>
    <d v="2017-10-17T00:00:00"/>
    <d v="2017-11-01T00:00:00"/>
    <d v="2017-10-03T00:00:00"/>
    <d v="2017-10-17T00:00:00"/>
    <m/>
    <x v="3"/>
    <s v="Oct-17"/>
    <s v="MW21065 - AYCA-3JKNRK -2ROU-02 -15-19 Hillview - 2B"/>
    <s v="Kellyville"/>
    <n v="271.88"/>
    <n v="393.66"/>
    <n v="665.54"/>
    <n v="732.09400000000005"/>
    <m/>
    <m/>
    <n v="0"/>
    <n v="665.54"/>
    <n v="1"/>
    <s v="Invoiced"/>
    <d v="2017-10-09T00:00:00"/>
    <s v="Completed and handover forwarded"/>
    <s v="Ertan Cicek "/>
    <s v="Direct Award"/>
    <d v="2017-08-03T00:00:00"/>
    <m/>
    <m/>
    <m/>
  </r>
  <r>
    <x v="2"/>
    <s v="Sydney"/>
    <s v="Inv 12713"/>
    <d v="2017-10-18T00:00:00"/>
    <d v="2017-09-14T00:00:00"/>
    <d v="2017-09-25T00:00:00"/>
    <m/>
    <m/>
    <d v="2017-09-26T00:00:00"/>
    <d v="2017-10-24T00:00:00"/>
    <m/>
    <x v="3"/>
    <s v="Oct-17"/>
    <s v="MW21095 - AYCA-4K6BDG - Melito Drive Internals"/>
    <s v="Liverpool"/>
    <n v="560"/>
    <m/>
    <n v="560"/>
    <n v="616"/>
    <m/>
    <m/>
    <n v="0"/>
    <n v="560"/>
    <n v="1"/>
    <s v="Invoiced"/>
    <d v="2017-10-09T00:00:00"/>
    <s v="Completed and handover forwarded"/>
    <s v="Shaher Aslan"/>
    <s v="Direct Award"/>
    <d v="2017-08-04T00:00:00"/>
    <m/>
    <d v="2017-10-18T00:00:00"/>
    <m/>
  </r>
  <r>
    <x v="0"/>
    <s v="Nth Coast"/>
    <s v="Inv 12634"/>
    <d v="2017-09-27T00:00:00"/>
    <d v="2017-07-20T00:00:00"/>
    <d v="2017-07-20T00:00:00"/>
    <d v="2017-07-20T00:00:00"/>
    <d v="2017-09-20T00:00:00"/>
    <d v="2017-08-08T00:00:00"/>
    <d v="2017-09-27T00:00:00"/>
    <m/>
    <x v="5"/>
    <s v="Sep-17"/>
    <s v="MW20436 - AYCA-3B8YY0 - Warrana Place – 2"/>
    <s v="Taree"/>
    <n v="10810.68"/>
    <n v="3518.7182857142861"/>
    <n v="14329.398285714287"/>
    <n v="15762.338114285718"/>
    <n v="10142.709999999999"/>
    <m/>
    <n v="10142.709999999999"/>
    <n v="4186.6882857142882"/>
    <n v="0.29217474469170229"/>
    <s v="Invoiced"/>
    <d v="2017-08-03T00:00:00"/>
    <s v="Completed and handover forwarded"/>
    <s v="Andrew Partalis"/>
    <d v="2017-03-07T00:00:00"/>
    <d v="2017-03-23T00:00:00"/>
    <n v="16"/>
    <d v="2017-03-22T00:00:00"/>
    <n v="-1"/>
  </r>
  <r>
    <x v="2"/>
    <s v="Sydney"/>
    <s v="Inv 13317"/>
    <d v="2018-03-02T00:00:00"/>
    <d v="2018-01-15T00:00:00"/>
    <d v="2018-01-15T00:00:00"/>
    <d v="2018-01-16T00:00:00"/>
    <d v="2018-02-19T00:00:00"/>
    <d v="2018-02-21T00:00:00"/>
    <d v="2018-03-06T00:00:00"/>
    <m/>
    <x v="13"/>
    <s v="Mar-18"/>
    <s v="MW21056 - 2KNS-04 - AYCA-4BYB3Q -33 Dunning Ave - 1- EXTERNAL"/>
    <s v="Rosebery"/>
    <n v="751.67"/>
    <n v="16052.96"/>
    <n v="16804.629999999997"/>
    <n v="18485.092999999997"/>
    <n v="8499.5"/>
    <m/>
    <n v="8499.5"/>
    <n v="8305.1299999999974"/>
    <n v="0.49421677240141548"/>
    <s v="Invoiced"/>
    <d v="2018-01-29T00:00:00"/>
    <s v="Completed and handover forwarded"/>
    <s v="Lindy Chan"/>
    <s v="Direct Award"/>
    <d v="2017-08-10T00:00:00"/>
    <m/>
    <m/>
    <m/>
  </r>
  <r>
    <x v="2"/>
    <s v="Sydney"/>
    <d v="1935-11-27T00:00:00"/>
    <d v="2018-01-19T00:00:00"/>
    <d v="2017-12-15T00:00:00"/>
    <d v="2017-12-18T00:00:00"/>
    <d v="2017-12-21T00:00:00"/>
    <d v="2017-01-02T00:00:00"/>
    <d v="2018-01-03T00:00:00"/>
    <d v="2018-01-25T00:00:00"/>
    <m/>
    <x v="12"/>
    <s v="Jan-18"/>
    <s v="MW21120 - 2EDG-62 - AYCA-4GJD8J - 10 COURT ROAD - External"/>
    <s v="Double Bay"/>
    <n v="875.4"/>
    <n v="1139.2"/>
    <n v="2014.6"/>
    <n v="2216.06"/>
    <n v="1523.39"/>
    <m/>
    <n v="1523.39"/>
    <n v="491.20999999999981"/>
    <n v="0.24382507693834995"/>
    <s v="Invoiced"/>
    <d v="2018-01-01T00:00:00"/>
    <s v="Completed and handover forwarded"/>
    <s v="Andrew Mahassy"/>
    <s v="Direct Award"/>
    <d v="2017-08-15T00:00:00"/>
    <m/>
    <m/>
    <m/>
  </r>
  <r>
    <x v="0"/>
    <s v="Newcastle"/>
    <s v="Inv 12870"/>
    <d v="2017-11-29T00:00:00"/>
    <d v="2017-08-27T00:00:00"/>
    <d v="2017-08-27T00:00:00"/>
    <m/>
    <m/>
    <d v="2017-09-10T00:00:00"/>
    <d v="2017-11-30T00:00:00"/>
    <m/>
    <x v="4"/>
    <s v="Nov-17"/>
    <s v="MW20949 - AYCA-4F1FWW_AYCA-4GRO21 -2MAI-06 -  NSB 13 Vantage 55 Kingston"/>
    <s v="Maitland"/>
    <n v="1905.5"/>
    <m/>
    <n v="1905.5"/>
    <n v="2096.0500000000002"/>
    <m/>
    <m/>
    <n v="0"/>
    <n v="1905.5"/>
    <n v="1"/>
    <s v="Invoiced"/>
    <d v="2017-09-10T00:00:00"/>
    <s v="Completed and handover forwarded"/>
    <s v="Mark Leal"/>
    <d v="2017-07-17T00:00:00"/>
    <d v="2017-08-14T00:00:00"/>
    <n v="28"/>
    <d v="2017-08-30T00:00:00"/>
    <n v="16"/>
  </r>
  <r>
    <x v="0"/>
    <s v="Sydney"/>
    <s v="Inv 12797"/>
    <d v="2017-11-13T00:00:00"/>
    <d v="2017-09-15T00:00:00"/>
    <d v="2017-09-15T00:00:00"/>
    <d v="2017-09-27T00:00:00"/>
    <d v="2017-10-03T00:00:00"/>
    <d v="2017-09-27T00:00:00"/>
    <d v="2017-11-16T00:00:00"/>
    <m/>
    <x v="3"/>
    <s v="Nov-17"/>
    <s v="MW21085 - 2ROU-02 - AYCA-47PV52 - Non Standard Builds - 22-24 Barry Road "/>
    <s v="Kellyville"/>
    <n v="17870.099999999999"/>
    <n v="-184.09"/>
    <n v="17686.009999999998"/>
    <n v="19454.611000000001"/>
    <n v="4410.54"/>
    <m/>
    <n v="4410.54"/>
    <n v="13275.469999999998"/>
    <n v="0.7506198402013794"/>
    <s v="Invoiced"/>
    <d v="2017-09-29T00:00:00"/>
    <s v="Completed and handover forwarded"/>
    <s v="Andrew Mahassy"/>
    <d v="2017-08-09T00:00:00"/>
    <d v="2017-08-17T00:00:00"/>
    <n v="8"/>
    <m/>
    <m/>
  </r>
  <r>
    <x v="0"/>
    <s v="Sydney"/>
    <s v="Inv 12688"/>
    <d v="2017-10-11T00:00:00"/>
    <d v="2017-09-14T00:00:00"/>
    <d v="2017-09-14T00:00:00"/>
    <m/>
    <m/>
    <d v="2017-09-26T00:00:00"/>
    <d v="2017-10-17T00:00:00"/>
    <m/>
    <x v="3"/>
    <s v="Oct-17"/>
    <s v="MW21095 - AYCA-4K6BDG - Melito Drive Externals"/>
    <s v="Liverpool"/>
    <n v="8291.4699999999993"/>
    <m/>
    <n v="8291.4699999999993"/>
    <n v="9120.6170000000002"/>
    <n v="4155.96"/>
    <m/>
    <n v="4155.96"/>
    <n v="4135.5099999999993"/>
    <n v="0.49876680492120212"/>
    <s v="Invoiced"/>
    <d v="2017-09-28T00:00:00"/>
    <s v="Completed and handover forwarded"/>
    <s v="Shaher Aslan"/>
    <d v="2017-08-29T00:00:00"/>
    <d v="2017-08-29T00:00:00"/>
    <m/>
    <d v="2017-10-18T00:00:00"/>
    <m/>
  </r>
  <r>
    <x v="0"/>
    <s v="Newcastle"/>
    <s v="Inv 12589"/>
    <d v="2017-09-15T00:00:00"/>
    <d v="2017-07-25T00:00:00"/>
    <d v="2017-07-25T00:00:00"/>
    <m/>
    <m/>
    <d v="2017-09-07T00:00:00"/>
    <d v="2017-09-21T00:00:00"/>
    <m/>
    <x v="5"/>
    <s v="Sep-17"/>
    <s v="MW20814 - 2NLB-05  - AYCA-4E7Y0D - Albatross Ave and Cu, Survey"/>
    <s v="Salamanda Bay"/>
    <n v="1365"/>
    <m/>
    <n v="1365"/>
    <n v="1501.5000000000002"/>
    <m/>
    <m/>
    <n v="0"/>
    <n v="1365"/>
    <n v="1"/>
    <s v="Invoiced"/>
    <d v="2017-08-08T00:00:00"/>
    <s v="Completed and handover forwarded"/>
    <s v="Mark Leal"/>
    <d v="2017-06-13T00:00:00"/>
    <d v="2017-07-17T00:00:00"/>
    <n v="34"/>
    <d v="2017-06-13T00:00:00"/>
    <n v="-34"/>
  </r>
  <r>
    <x v="0"/>
    <s v="Sth Coast"/>
    <s v="Inv 12684"/>
    <d v="2017-10-10T00:00:00"/>
    <d v="2017-08-05T00:00:00"/>
    <d v="2017-08-07T00:00:00"/>
    <d v="2017-08-07T00:00:00"/>
    <d v="2017-08-31T00:00:00"/>
    <d v="2017-09-15T00:00:00"/>
    <d v="2017-10-10T00:00:00"/>
    <m/>
    <x v="4"/>
    <s v="Oct-17"/>
    <s v="MW20729 - COR-04 - AYCA-4D6AY6 - 94 POPES RD"/>
    <s v="Wonoona"/>
    <n v="10398.84"/>
    <n v="13152.88"/>
    <n v="23551.72"/>
    <n v="25906.892000000003"/>
    <n v="10667.8"/>
    <m/>
    <n v="10667.8"/>
    <n v="12883.920000000002"/>
    <n v="0.54704794384444111"/>
    <s v="Invoiced"/>
    <d v="2017-08-21T00:00:00"/>
    <s v="Completed and handover forwarded"/>
    <s v="Ertan Cicek "/>
    <d v="2017-05-18T00:00:00"/>
    <d v="2017-05-26T00:00:00"/>
    <n v="8"/>
    <d v="2017-05-26T00:00:00"/>
    <n v="0"/>
  </r>
  <r>
    <x v="2"/>
    <s v="Sydney"/>
    <s v="Inv 12827"/>
    <d v="2017-11-17T00:00:00"/>
    <d v="2017-08-31T00:00:00"/>
    <d v="2017-08-31T00:00:00"/>
    <d v="2017-09-05T00:00:00"/>
    <d v="2017-09-13T00:00:00"/>
    <d v="2017-11-01T00:00:00"/>
    <d v="2017-11-15T00:00:00"/>
    <m/>
    <x v="4"/>
    <s v="Nov-17"/>
    <s v="MW20858 - 2ROU-03 - AYCA-3R9WD2 - 2 Foxall Rd"/>
    <s v="Kellyville"/>
    <n v="350.24"/>
    <n v="-95.96"/>
    <n v="254.28000000000003"/>
    <n v="279.70800000000003"/>
    <m/>
    <m/>
    <n v="0"/>
    <n v="254.28000000000003"/>
    <n v="1"/>
    <s v="Invoiced"/>
    <d v="2017-09-14T00:00:00"/>
    <s v="Completed and handover forwarded"/>
    <s v="Andrew Mahassy"/>
    <s v="Direct Award"/>
    <d v="2017-06-16T00:00:00"/>
    <m/>
    <d v="2017-07-20T00:00:00"/>
    <n v="34"/>
  </r>
  <r>
    <x v="2"/>
    <s v="Sydney"/>
    <s v="Inv 12804"/>
    <d v="2017-11-14T00:00:00"/>
    <d v="2017-09-03T00:00:00"/>
    <d v="2017-09-04T00:00:00"/>
    <d v="2017-09-11T00:00:00"/>
    <d v="2017-09-14T00:00:00"/>
    <d v="2017-11-01T00:00:00"/>
    <d v="2017-11-16T00:00:00"/>
    <m/>
    <x v="3"/>
    <s v="Nov-17"/>
    <s v="MW21092 - AYCA-1NGPGW - 2BRG-03 - Gledswood"/>
    <s v="Kellyville"/>
    <n v="12757.7"/>
    <n v="668.4"/>
    <n v="13426.1"/>
    <n v="14768.710000000001"/>
    <n v="10608.279999999999"/>
    <m/>
    <n v="10608.279999999999"/>
    <n v="2817.8200000000015"/>
    <n v="0.2098762857419505"/>
    <s v="Invoiced"/>
    <d v="2017-09-18T00:00:00"/>
    <s v="Completed and handover forwarded"/>
    <s v="Andrew Mahassy"/>
    <s v="Direct Award"/>
    <d v="2017-08-22T00:00:00"/>
    <m/>
    <d v="2017-08-31T00:00:00"/>
    <n v="9"/>
  </r>
  <r>
    <x v="0"/>
    <s v="Sth Coast"/>
    <s v="Inv 13118"/>
    <d v="2018-01-23T00:00:00"/>
    <d v="2017-12-15T00:00:00"/>
    <d v="2017-12-18T00:00:00"/>
    <d v="2017-12-21T00:00:00"/>
    <d v="2018-01-10T00:00:00"/>
    <d v="2018-01-09T00:00:00"/>
    <d v="2018-01-23T00:00:00"/>
    <m/>
    <x v="12"/>
    <s v="Jan-18"/>
    <s v="MW21006 - AYCA-49DNJ1 - 2NWR-02 - Nowra BP &amp; McDonalds - 1-  INTERNAL AND EXTERNAL"/>
    <s v="Nowra"/>
    <n v="6352.19"/>
    <n v="5603.16"/>
    <n v="11955.349999999999"/>
    <n v="13150.885"/>
    <n v="4349.75"/>
    <m/>
    <n v="4349.75"/>
    <n v="7605.5999999999985"/>
    <n v="0.63616707164574848"/>
    <s v="Invoiced"/>
    <d v="2018-01-01T00:00:00"/>
    <s v="Completed and handover forwarded"/>
    <s v="Nabeel Jaimon"/>
    <d v="2017-07-17T00:00:00"/>
    <m/>
    <m/>
    <d v="2017-11-01T00:00:00"/>
    <m/>
  </r>
  <r>
    <x v="0"/>
    <s v="Sth Coast"/>
    <s v="Inv 13031"/>
    <d v="2018-01-10T00:00:00"/>
    <d v="2017-10-30T00:00:00"/>
    <d v="2017-10-31T00:00:00"/>
    <d v="2017-11-26T00:00:00"/>
    <d v="2017-12-13T00:00:00"/>
    <d v="2018-11-25T00:00:00"/>
    <d v="2018-01-16T00:00:00"/>
    <m/>
    <x v="6"/>
    <s v="Jan-18"/>
    <s v="MW21074 - 2ABN-01 - AYCA-461JCF - 8 Creole Road"/>
    <s v="Wollongong"/>
    <n v="5449.38"/>
    <n v="785.90892857142853"/>
    <n v="6235.2889285714282"/>
    <n v="6858.8178214285717"/>
    <m/>
    <m/>
    <n v="0"/>
    <n v="6235.2889285714282"/>
    <n v="1"/>
    <s v="Invoiced"/>
    <d v="2017-11-14T00:00:00"/>
    <s v="Completed and handover forwarded"/>
    <s v="Dave Yoemans"/>
    <d v="2017-08-11T00:00:00"/>
    <d v="2017-10-13T00:00:00"/>
    <n v="63"/>
    <d v="2017-10-13T00:00:00"/>
    <n v="0"/>
  </r>
  <r>
    <x v="2"/>
    <s v="Sth Coast"/>
    <s v="Inv 12814"/>
    <d v="2017-11-16T00:00:00"/>
    <d v="2017-09-12T00:00:00"/>
    <d v="2017-09-12T00:00:00"/>
    <d v="2017-10-04T00:00:00"/>
    <d v="2017-10-25T00:00:00"/>
    <d v="2017-09-26T00:00:00"/>
    <d v="2017-11-21T00:00:00"/>
    <m/>
    <x v="3"/>
    <s v="Nov-17"/>
    <s v="MW21223 - AYCA-2568YW - 25 29 Harbour St"/>
    <s v="Wollongong"/>
    <n v="1143.67"/>
    <n v="27049.75"/>
    <n v="28193.42"/>
    <n v="31012.761999999999"/>
    <n v="11125.84"/>
    <m/>
    <n v="11125.84"/>
    <n v="17067.579999999998"/>
    <n v="0.60537458740372752"/>
    <s v="Invoiced"/>
    <d v="2017-09-26T00:00:00"/>
    <s v="Completed and handover forwarded"/>
    <s v="Shaher Aslan"/>
    <s v="Direct Award"/>
    <d v="2017-09-05T00:00:00"/>
    <m/>
    <d v="2017-09-15T00:00:00"/>
    <n v="10"/>
  </r>
  <r>
    <x v="2"/>
    <s v="Sydney"/>
    <s v="Inv 12878"/>
    <d v="2017-11-29T00:00:00"/>
    <d v="2017-10-16T00:00:00"/>
    <d v="2017-10-16T00:00:00"/>
    <d v="2017-10-17T00:00:00"/>
    <d v="2017-11-17T00:00:00"/>
    <d v="2017-11-01T00:00:00"/>
    <d v="2017-12-05T00:00:00"/>
    <m/>
    <x v="6"/>
    <s v="Dec-17"/>
    <s v="MW21250 - AYCA-4BEC9X-2LIV-68-The Birdwood"/>
    <s v="Liverpool"/>
    <n v="1627.43"/>
    <n v="5149.76"/>
    <n v="6777.1900000000005"/>
    <n v="7454.9090000000015"/>
    <n v="4549.53"/>
    <m/>
    <n v="4549.53"/>
    <n v="2227.6600000000008"/>
    <n v="0.32869965280595653"/>
    <s v="Invoiced"/>
    <d v="2017-10-30T00:00:00"/>
    <s v="Completed and handover forwarded"/>
    <s v="Shaher Aslan"/>
    <s v="Direct Award"/>
    <d v="2017-09-05T00:00:00"/>
    <m/>
    <d v="2017-09-29T00:00:00"/>
    <n v="24"/>
  </r>
  <r>
    <x v="2"/>
    <s v="Sydney"/>
    <s v="Inv 12800"/>
    <d v="2017-11-13T00:00:00"/>
    <d v="2017-10-06T00:00:00"/>
    <d v="2017-10-06T00:00:00"/>
    <m/>
    <m/>
    <d v="2017-10-25T00:00:00"/>
    <d v="2017-11-16T00:00:00"/>
    <m/>
    <x v="6"/>
    <s v="Nov-17"/>
    <s v="MW21221 - 2CRO-01 - AYCA-1UEMOR - Shearwater Landing"/>
    <s v="Kurnell"/>
    <n v="980.54"/>
    <m/>
    <n v="980.54"/>
    <n v="1078.5940000000001"/>
    <m/>
    <m/>
    <n v="0"/>
    <n v="980.54"/>
    <n v="1"/>
    <s v="Invoiced"/>
    <d v="2017-10-20T00:00:00"/>
    <s v="Completed and handover forwarded"/>
    <s v="Ertan Cicek "/>
    <s v="Direct Award"/>
    <d v="2017-09-01T00:00:00"/>
    <m/>
    <d v="2017-09-22T00:00:00"/>
    <n v="21"/>
  </r>
  <r>
    <x v="0"/>
    <s v="Sydney"/>
    <s v="Inv 13431"/>
    <d v="2018-03-27T00:00:00"/>
    <d v="2018-03-08T00:00:00"/>
    <d v="2018-03-08T00:00:00"/>
    <d v="2018-03-09T00:00:00"/>
    <d v="2018-03-14T00:00:00"/>
    <d v="2018-03-21T00:00:00"/>
    <d v="2018-03-27T00:00:00"/>
    <m/>
    <x v="11"/>
    <s v="Mar-18"/>
    <s v="MW21493 - AYCA-3O0SC6 - 2PTH-02 - Hope Gardens - 1"/>
    <s v="Hope Gardens"/>
    <n v="741.95"/>
    <n v="7519.2900000000009"/>
    <n v="8261.2400000000016"/>
    <n v="9087.3640000000032"/>
    <n v="5244.89"/>
    <m/>
    <n v="5244.89"/>
    <n v="3016.3500000000013"/>
    <n v="0.36512073248083832"/>
    <s v="Invoiced"/>
    <d v="2018-03-22T00:00:00"/>
    <s v="Completed and handover forwarded"/>
    <s v="Ertan Cicek"/>
    <d v="2017-11-08T00:00:00"/>
    <d v="2017-11-15T00:00:00"/>
    <n v="7"/>
    <d v="2017-12-15T00:00:00"/>
    <n v="30"/>
  </r>
  <r>
    <x v="2"/>
    <s v="Sydney"/>
    <s v="Inv 13316"/>
    <d v="2018-03-01T00:00:00"/>
    <d v="2018-01-23T00:00:00"/>
    <d v="2018-01-24T00:00:00"/>
    <m/>
    <m/>
    <d v="2018-02-07T00:00:00"/>
    <d v="2018-03-01T00:00:00"/>
    <m/>
    <x v="13"/>
    <s v="Mar-18"/>
    <s v="MW21153 - 2NRN-03 - AYCA-4EAKM1 - 63 SGR - 1 - INTERNAL"/>
    <s v="Smeaton Grange"/>
    <n v="1680"/>
    <m/>
    <n v="1680"/>
    <n v="1848.0000000000002"/>
    <m/>
    <m/>
    <n v="0"/>
    <n v="1680"/>
    <n v="1"/>
    <s v="Invoiced"/>
    <d v="2018-02-07T00:00:00"/>
    <s v="Completed and handover forwarded"/>
    <s v="Nabeel Jaimon"/>
    <s v="Direct Award"/>
    <d v="2017-08-22T00:00:00"/>
    <m/>
    <d v="2017-10-11T00:00:00"/>
    <n v="50"/>
  </r>
  <r>
    <x v="0"/>
    <s v="Sydney"/>
    <s v="Inv 12587"/>
    <d v="2017-09-18T00:00:00"/>
    <d v="2017-08-09T00:00:00"/>
    <d v="2017-08-09T00:00:00"/>
    <m/>
    <m/>
    <d v="2017-09-07T00:00:00"/>
    <d v="2017-09-21T00:00:00"/>
    <s v="Aug-17"/>
    <x v="4"/>
    <s v="Sep-17"/>
    <s v="MW20728 - 2NRN-10 - AYCA-3UYW26 - P150 – Externals"/>
    <s v="Smeaton Grange"/>
    <n v="5825.12"/>
    <m/>
    <n v="5825.12"/>
    <n v="6407.6320000000005"/>
    <m/>
    <m/>
    <n v="0"/>
    <n v="5825.12"/>
    <n v="1"/>
    <s v="Invoiced"/>
    <d v="2017-08-23T00:00:00"/>
    <s v="Completed and handover forwarded"/>
    <s v="Nabeel Jaimon"/>
    <d v="2017-05-22T00:00:00"/>
    <d v="2017-06-14T00:00:00"/>
    <m/>
    <d v="2017-05-30T00:00:00"/>
    <m/>
  </r>
  <r>
    <x v="0"/>
    <s v="Nth Coast"/>
    <s v="Inv 12813"/>
    <d v="2017-11-16T00:00:00"/>
    <d v="2017-09-26T00:00:00"/>
    <d v="2017-09-26T00:00:00"/>
    <m/>
    <m/>
    <d v="2017-10-13T00:00:00"/>
    <d v="2017-11-21T00:00:00"/>
    <m/>
    <x v="3"/>
    <s v="Nov-17"/>
    <s v="MW21209 - AYCA-4K7VB2 -2TWH-05 - River Views – 1"/>
    <s v="Tweed Heads"/>
    <n v="6516"/>
    <m/>
    <n v="6516"/>
    <n v="7167.6"/>
    <n v="2013"/>
    <m/>
    <n v="2013"/>
    <n v="4503"/>
    <n v="0.69106813996316763"/>
    <s v="Invoiced"/>
    <d v="2017-10-10T00:00:00"/>
    <s v="Completed and handover forwarded"/>
    <s v="Shaher Aslan"/>
    <d v="2017-09-01T00:00:00"/>
    <d v="2017-09-08T00:00:00"/>
    <n v="7"/>
    <d v="2017-09-08T00:00:00"/>
    <n v="0"/>
  </r>
  <r>
    <x v="2"/>
    <s v="Sydney"/>
    <s v="Inv 13281"/>
    <d v="2018-02-22T00:00:00"/>
    <d v="2018-01-29T00:00:00"/>
    <d v="2018-01-30T00:00:00"/>
    <m/>
    <m/>
    <d v="2018-02-12T00:00:00"/>
    <d v="2018-02-27T00:00:00"/>
    <m/>
    <x v="13"/>
    <s v="Feb-18"/>
    <s v="MW21261 - AYCA-30PYA6 - 2MIL-01 - CEO St Francis College - 1"/>
    <s v="Miller"/>
    <n v="280"/>
    <m/>
    <n v="280"/>
    <n v="308"/>
    <m/>
    <m/>
    <n v="0"/>
    <n v="280"/>
    <n v="1"/>
    <s v="Invoiced"/>
    <d v="2018-02-13T00:00:00"/>
    <s v="Completed and handover forwarded"/>
    <s v="Nabeel Jaimon"/>
    <s v="Driect Award"/>
    <d v="2017-09-08T00:00:00"/>
    <m/>
    <d v="2017-11-22T00:00:00"/>
    <n v="75"/>
  </r>
  <r>
    <x v="2"/>
    <s v="Sydney"/>
    <s v="Inv 13302"/>
    <d v="2018-03-02T00:00:00"/>
    <d v="2017-12-16T00:00:00"/>
    <d v="2017-12-18T00:00:00"/>
    <d v="2018-01-09T00:00:00"/>
    <d v="2018-02-12T00:00:00"/>
    <d v="2017-01-02T00:00:00"/>
    <d v="2018-03-01T00:00:00"/>
    <m/>
    <x v="12"/>
    <s v="Mar-18"/>
    <s v="MW21244 - AYCA-4J7JTW - 2LIV-03 - Passefield St"/>
    <s v="Liverpool"/>
    <n v="2643.57"/>
    <n v="3359.82"/>
    <n v="6003.39"/>
    <n v="6603.7290000000012"/>
    <n v="4295.7000000000007"/>
    <m/>
    <n v="4295.7000000000007"/>
    <n v="1707.6899999999996"/>
    <n v="0.28445428332991851"/>
    <s v="Invoiced"/>
    <d v="2018-01-01T00:00:00"/>
    <s v="Completed and handover forwarded"/>
    <s v="Shaher Aslan"/>
    <s v="Driect Award"/>
    <d v="2017-09-07T00:00:00"/>
    <m/>
    <d v="2017-09-22T00:00:00"/>
    <n v="15"/>
  </r>
  <r>
    <x v="2"/>
    <s v="Sydney"/>
    <s v="Inv 13244"/>
    <d v="2018-02-16T00:00:00"/>
    <d v="2017-12-05T00:00:00"/>
    <d v="2017-12-05T00:00:00"/>
    <m/>
    <m/>
    <d v="2017-12-22T00:00:00"/>
    <d v="2018-01-05T00:00:00"/>
    <m/>
    <x v="12"/>
    <s v="Jan-18"/>
    <s v="MW21281 - AYCA-3K4RCM - 2RIV-03 - Marsden Park Tonzat Development - 2"/>
    <s v="Marsden Park"/>
    <n v="1960"/>
    <m/>
    <n v="1960"/>
    <n v="2156"/>
    <n v="1465.4545454545455"/>
    <m/>
    <n v="1465.4545454545455"/>
    <n v="494.5454545454545"/>
    <n v="0.25231910946196656"/>
    <s v="Invoiced"/>
    <d v="2017-12-19T00:00:00"/>
    <s v="Completed and handover forwarded"/>
    <s v="Michael Tram"/>
    <s v="Driect Award"/>
    <d v="2017-09-08T00:00:00"/>
    <m/>
    <d v="2017-10-12T00:00:00"/>
    <n v="34"/>
  </r>
  <r>
    <x v="0"/>
    <s v="Central West"/>
    <s v="Inv 12984"/>
    <d v="2017-12-18T00:00:00"/>
    <d v="2017-10-31T00:00:00"/>
    <d v="2017-10-31T00:00:00"/>
    <d v="2017-11-08T00:00:00"/>
    <d v="2017-11-21T00:00:00"/>
    <d v="2017-11-24T00:00:00"/>
    <d v="2017-12-18T00:00:00"/>
    <m/>
    <x v="6"/>
    <s v="Dec-17"/>
    <s v="MW21072 - 2PKS-20 - AYCA-49I4SO - 72 Brolgan Road "/>
    <s v="Parkes"/>
    <n v="7731.53"/>
    <n v="1439.14"/>
    <n v="9170.67"/>
    <n v="10087.737000000001"/>
    <n v="2570.91"/>
    <m/>
    <n v="2570.91"/>
    <n v="6599.76"/>
    <n v="0.71965952324094096"/>
    <s v="Invoiced"/>
    <d v="2017-11-14T00:00:00"/>
    <s v="Completed and handover forwarded"/>
    <s v="Dave Yoemans"/>
    <d v="2017-08-11T00:00:00"/>
    <d v="2017-09-14T00:00:00"/>
    <n v="34"/>
    <d v="2017-10-13T00:00:00"/>
    <n v="29"/>
  </r>
  <r>
    <x v="2"/>
    <s v="Sydney"/>
    <s v="Inv 13082"/>
    <d v="2018-01-17T00:00:00"/>
    <d v="2017-12-03T00:00:00"/>
    <d v="2017-12-04T00:00:00"/>
    <d v="2017-12-04T00:00:00"/>
    <d v="2017-12-12T00:00:00"/>
    <d v="2017-12-14T00:00:00"/>
    <d v="2018-01-18T00:00:00"/>
    <m/>
    <x v="12"/>
    <s v="Jan-18"/>
    <s v="MW21293 - 2LIV-63 - AYCA-4GNO0E - Coopers Paddock - 1-  INTERNAL "/>
    <s v="Liverpool"/>
    <n v="1400"/>
    <n v="1060.6857142857141"/>
    <n v="2460.6857142857143"/>
    <n v="2706.7542857142857"/>
    <n v="1387.2727272727273"/>
    <m/>
    <n v="1387.2727272727273"/>
    <n v="1073.4129870129871"/>
    <n v="0.43622514682846297"/>
    <s v="Invoiced"/>
    <d v="2017-12-18T00:00:00"/>
    <s v="Completed and handover forwarded"/>
    <s v="Michael Tram"/>
    <s v="Driect Award"/>
    <d v="2017-09-12T00:00:00"/>
    <m/>
    <d v="2017-11-11T00:00:00"/>
    <n v="60"/>
  </r>
  <r>
    <x v="0"/>
    <s v="Newcastle"/>
    <s v="Inv 12884"/>
    <d v="2017-11-30T00:00:00"/>
    <d v="2017-10-17T00:00:00"/>
    <d v="2017-10-17T00:00:00"/>
    <d v="2017-10-17T00:00:00"/>
    <d v="2017-11-17T00:00:00"/>
    <d v="2017-11-01T00:00:00"/>
    <d v="2017-12-05T00:00:00"/>
    <m/>
    <x v="6"/>
    <s v="Dec-17"/>
    <s v="MW20905 - 2NLT-09 - AYCA-47ENGU - 16 WALL – 1"/>
    <s v="Wallsend"/>
    <n v="5557.33"/>
    <n v="6059.7460000000001"/>
    <n v="11617.076000000001"/>
    <n v="12778.783600000002"/>
    <m/>
    <m/>
    <n v="0"/>
    <n v="11617.076000000001"/>
    <n v="1"/>
    <s v="Invoiced"/>
    <d v="2017-10-31T00:00:00"/>
    <s v="Completed and handover forwarded"/>
    <s v="Mark Leal"/>
    <d v="2017-06-26T00:00:00"/>
    <m/>
    <m/>
    <d v="2017-11-01T00:00:00"/>
    <m/>
  </r>
  <r>
    <x v="0"/>
    <s v="Sydney"/>
    <m/>
    <m/>
    <m/>
    <d v="2018-05-30T00:00:00"/>
    <m/>
    <m/>
    <m/>
    <m/>
    <m/>
    <x v="8"/>
    <s v="Jan-00"/>
    <s v="MW21097 - 2LIV-04 - AYCA-476RM9 - NSB - 87-91 Campbell St Build"/>
    <s v="Liverpool"/>
    <n v="8773.94"/>
    <m/>
    <n v="8773.94"/>
    <n v="9651.3340000000007"/>
    <n v="300"/>
    <m/>
    <n v="300"/>
    <n v="8473.94"/>
    <n v="0.96580783547642224"/>
    <m/>
    <d v="2018-06-13T00:00:00"/>
    <m/>
    <s v="Andrew Mahassy"/>
    <d v="2017-08-22T00:00:00"/>
    <m/>
    <m/>
    <d v="2017-09-30T00:00:00"/>
    <m/>
  </r>
  <r>
    <x v="2"/>
    <s v="ACT"/>
    <s v="Inv 13192"/>
    <d v="2018-02-07T00:00:00"/>
    <d v="2017-10-23T00:00:00"/>
    <d v="2017-10-23T00:00:00"/>
    <d v="2017-11-22T00:00:00"/>
    <d v="2017-12-20T00:00:00"/>
    <d v="2017-11-02T00:00:00"/>
    <d v="2018-02-08T00:00:00"/>
    <m/>
    <x v="6"/>
    <s v="Feb-18"/>
    <s v="MW21284 - 9DKI-07 - AYCA-3ZXA9V - 10 BAKEWELL ST -  COOMBS"/>
    <s v="Deakin"/>
    <n v="8321.6"/>
    <n v="12809.51"/>
    <n v="21131.11"/>
    <n v="23244.221000000001"/>
    <m/>
    <m/>
    <n v="0"/>
    <n v="21131.11"/>
    <n v="1"/>
    <s v="Invoiced"/>
    <d v="2017-11-06T00:00:00"/>
    <s v="Completed and handover forwarded"/>
    <s v="Shaher Aslan"/>
    <s v="Driect Award"/>
    <d v="2017-09-12T00:00:00"/>
    <m/>
    <d v="2017-09-22T00:00:00"/>
    <n v="10"/>
  </r>
  <r>
    <x v="0"/>
    <s v="Sth NSW"/>
    <s v="Inv 13386"/>
    <d v="2018-03-19T00:00:00"/>
    <d v="2018-02-08T00:00:00"/>
    <d v="2018-02-13T00:00:00"/>
    <d v="2018-03-06T00:00:00"/>
    <d v="2018-03-14T00:00:00"/>
    <d v="2018-02-26T00:00:00"/>
    <d v="2018-03-20T00:00:00"/>
    <m/>
    <x v="2"/>
    <s v="Mar-18"/>
    <s v="MW21073 - 2WAG-05 AYCA-48HYBB - 89 Hammond Ave"/>
    <s v="Wagga Wagga"/>
    <n v="6447.82"/>
    <n v="2330.9699999999998"/>
    <n v="8778.7899999999991"/>
    <n v="9656.6689999999999"/>
    <m/>
    <m/>
    <n v="0"/>
    <n v="8778.7899999999991"/>
    <n v="1"/>
    <m/>
    <d v="2018-02-27T00:00:00"/>
    <m/>
    <s v="Dave Yoemans"/>
    <d v="2017-08-11T00:00:00"/>
    <d v="2017-09-14T00:00:00"/>
    <m/>
    <d v="2017-10-13T00:00:00"/>
    <n v="29"/>
  </r>
  <r>
    <x v="0"/>
    <s v="Sth Coast"/>
    <s v="Inv 12877"/>
    <d v="2017-11-29T00:00:00"/>
    <d v="2017-10-12T00:00:00"/>
    <d v="2017-10-12T00:00:00"/>
    <d v="2017-10-24T00:00:00"/>
    <d v="2017-11-16T00:00:00"/>
    <d v="2017-10-26T00:00:00"/>
    <d v="2017-12-05T00:00:00"/>
    <m/>
    <x v="6"/>
    <s v="Dec-17"/>
    <s v="MW20865 - 2NWR-03 - AYCA-2K3SGD - Elian Crescent 1."/>
    <s v="Nowra"/>
    <n v="8598.36"/>
    <n v="2094.25"/>
    <n v="10692.61"/>
    <n v="11761.871000000001"/>
    <n v="1480"/>
    <m/>
    <n v="1480"/>
    <n v="9212.61"/>
    <n v="0.86158664722644895"/>
    <s v="Invoiced"/>
    <d v="2017-10-26T00:00:00"/>
    <s v="Completed and handover forwarded"/>
    <s v="Ertan Cicek "/>
    <d v="2017-09-05T00:00:00"/>
    <d v="2017-09-18T00:00:00"/>
    <n v="13"/>
    <d v="2017-09-25T00:00:00"/>
    <n v="7"/>
  </r>
  <r>
    <x v="0"/>
    <s v="Sydney"/>
    <s v="Inv 12825"/>
    <d v="2017-11-16T00:00:00"/>
    <d v="2017-10-04T00:00:00"/>
    <d v="2017-10-06T00:00:00"/>
    <d v="2017-10-17T00:00:00"/>
    <d v="2017-10-25T00:00:00"/>
    <d v="2017-10-13T00:00:00"/>
    <d v="2017-11-21T00:00:00"/>
    <m/>
    <x v="6"/>
    <s v="Nov-17"/>
    <s v="MW21015 - AYCA-1Z6XAC -1-9 Florence Street &amp; 19-23 Quinn Street "/>
    <s v="Pendle Hill"/>
    <n v="37391.760000000002"/>
    <n v="-1916.7276785714289"/>
    <n v="35475.032321428575"/>
    <n v="39022.535553571433"/>
    <n v="27764.9"/>
    <m/>
    <n v="27764.9"/>
    <n v="7710.1323214285731"/>
    <n v="0.21733968419167002"/>
    <s v="Invoiced"/>
    <d v="2017-10-20T00:00:00"/>
    <s v="Completed and handover forwarded"/>
    <s v="Michael Tram"/>
    <d v="2017-08-15T00:00:00"/>
    <d v="2017-09-25T00:00:00"/>
    <n v="41"/>
    <d v="2017-11-01T00:00:00"/>
    <n v="37"/>
  </r>
  <r>
    <x v="4"/>
    <s v="Sydney"/>
    <s v="Inv 12631"/>
    <d v="2017-09-26T00:00:00"/>
    <d v="2017-09-26T00:00:00"/>
    <d v="2017-09-26T00:00:00"/>
    <m/>
    <m/>
    <d v="2017-09-26T00:00:00"/>
    <d v="2017-10-26T00:00:00"/>
    <m/>
    <x v="3"/>
    <s v="Oct-17"/>
    <s v="2RIV-02-AYCA-1XO4MJ,  Hub install for Craig Comms"/>
    <s v="Rouse Hill"/>
    <n v="1475"/>
    <m/>
    <n v="1475"/>
    <n v="1622.5000000000002"/>
    <m/>
    <m/>
    <n v="0"/>
    <n v="1475"/>
    <n v="1"/>
    <s v="Invoiced"/>
    <d v="2017-10-10T00:00:00"/>
    <s v="Completed and handover forwarded"/>
    <s v="Craig Smith (Craig Comms)"/>
    <m/>
    <m/>
    <m/>
    <m/>
    <m/>
  </r>
  <r>
    <x v="2"/>
    <s v="Sth NSW"/>
    <s v="Inv 13300"/>
    <d v="2018-03-01T00:00:00"/>
    <d v="2018-01-29T00:00:00"/>
    <d v="2018-01-30T00:00:00"/>
    <d v="2018-01-30T00:00:00"/>
    <d v="2018-02-09T00:00:00"/>
    <d v="2018-02-09T00:00:00"/>
    <d v="2018-03-01T00:00:00"/>
    <m/>
    <x v="13"/>
    <s v="Mar-18"/>
    <s v="MW21324 - AYCA-4L3K9Q - 2GLB-01 - Kidd Crt - 1 "/>
    <s v="Goulburn"/>
    <n v="560.70000000000005"/>
    <n v="1627.9699999999998"/>
    <n v="2188.67"/>
    <n v="2407.5370000000003"/>
    <m/>
    <m/>
    <n v="0"/>
    <n v="2188.67"/>
    <n v="1"/>
    <s v="Invoiced"/>
    <d v="2018-02-13T00:00:00"/>
    <s v="Completed and handover forwarded"/>
    <s v="Ertan Cicek "/>
    <s v="Direct Award"/>
    <d v="2017-09-20T00:00:00"/>
    <m/>
    <d v="2017-10-26T00:00:00"/>
    <n v="36"/>
  </r>
  <r>
    <x v="2"/>
    <s v="Sydney"/>
    <s v="Inv 13301"/>
    <d v="2018-03-06T00:00:00"/>
    <d v="2018-01-17T00:00:00"/>
    <d v="2018-01-18T00:00:00"/>
    <d v="2017-01-18T00:00:00"/>
    <d v="2018-02-19T00:00:00"/>
    <d v="2018-02-01T00:00:00"/>
    <d v="2018-02-15T00:00:00"/>
    <m/>
    <x v="13"/>
    <s v="Feb-18"/>
    <s v="MW21369 - AYCA-4EEPL6 - 2KNS-03 - Rosebery Park - 3 "/>
    <s v="Rosebery"/>
    <n v="2155.7399999999998"/>
    <n v="6398.35"/>
    <n v="8554.09"/>
    <n v="9409.4990000000016"/>
    <n v="2427.2600000000002"/>
    <m/>
    <n v="2427.2600000000002"/>
    <n v="6126.83"/>
    <n v="0.71624567896760494"/>
    <m/>
    <d v="2018-02-01T00:00:00"/>
    <m/>
    <s v="Lindy Chan"/>
    <s v="Direct Award"/>
    <d v="2017-09-26T00:00:00"/>
    <m/>
    <d v="2017-09-29T00:00:00"/>
    <n v="3"/>
  </r>
  <r>
    <x v="0"/>
    <s v="Sydney"/>
    <s v="Inv 13515"/>
    <d v="2018-04-20T00:00:00"/>
    <d v="2018-03-09T00:00:00"/>
    <d v="2018-03-13T00:00:00"/>
    <d v="2018-03-13T00:00:00"/>
    <d v="2018-04-13T00:00:00"/>
    <d v="2018-03-26T00:00:00"/>
    <d v="2018-04-24T00:00:00"/>
    <m/>
    <x v="11"/>
    <s v="Apr-18"/>
    <s v="MW21911-AYCA-4YPSLH-2ROU-02-6/4 COMMMERCIAL RD, ROUSE HILL"/>
    <s v="Rouse Hill"/>
    <n v="680.36"/>
    <n v="512.55999999999995"/>
    <n v="1192.92"/>
    <n v="1312.2120000000002"/>
    <m/>
    <m/>
    <n v="0"/>
    <n v="1192.92"/>
    <n v="1"/>
    <m/>
    <d v="2018-03-27T00:00:00"/>
    <m/>
    <s v="Ertan Cicek"/>
    <s v="Direct Award"/>
    <d v="2018-02-22T00:00:00"/>
    <m/>
    <m/>
    <n v="-43153"/>
  </r>
  <r>
    <x v="2"/>
    <s v="Sydney"/>
    <s v="Inv 13024"/>
    <d v="2018-01-08T00:00:00"/>
    <d v="2017-11-14T00:00:00"/>
    <d v="2017-11-16T00:00:00"/>
    <d v="2017-11-16T00:00:00"/>
    <d v="2017-11-24T00:00:00"/>
    <d v="2017-11-30T00:00:00"/>
    <d v="2018-01-11T00:00:00"/>
    <m/>
    <x v="10"/>
    <s v="Jan-18"/>
    <s v="MW21314 - 2BLK-10 - AYCA-4NCJ90 - Fine Property Group - 1- EXTERNAL"/>
    <s v="Doonside"/>
    <n v="1080.54"/>
    <n v="473.56"/>
    <n v="1554.1"/>
    <n v="1709.51"/>
    <m/>
    <m/>
    <n v="0"/>
    <n v="1554.1"/>
    <n v="1"/>
    <m/>
    <d v="2017-11-30T00:00:00"/>
    <m/>
    <s v="Lindy Chan"/>
    <s v="Direct Award"/>
    <d v="2017-09-27T00:00:00"/>
    <m/>
    <d v="2017-10-21T00:00:00"/>
    <n v="24"/>
  </r>
  <r>
    <x v="0"/>
    <s v="West NSW"/>
    <s v="Inv 12914"/>
    <d v="2017-12-04T00:00:00"/>
    <d v="2017-10-12T00:00:00"/>
    <d v="2017-10-12T00:00:00"/>
    <m/>
    <m/>
    <d v="2017-11-24T00:00:00"/>
    <d v="2017-12-07T00:00:00"/>
    <m/>
    <x v="6"/>
    <s v="Dec-17"/>
    <s v="MW21032 - AYCA-4L57RB - 2MDG-01 -NSB - Bateman Ave Mudgee"/>
    <s v="Mudgee"/>
    <n v="1760"/>
    <m/>
    <n v="1760"/>
    <n v="1936.0000000000002"/>
    <m/>
    <m/>
    <n v="0"/>
    <n v="1760"/>
    <n v="1"/>
    <s v="Invoiced"/>
    <d v="2017-10-26T00:00:00"/>
    <s v="Completed and handover forwarded"/>
    <s v="Mark Leal"/>
    <d v="2017-09-08T00:00:00"/>
    <d v="2017-09-28T00:00:00"/>
    <n v="20"/>
    <d v="2017-10-07T00:00:00"/>
    <n v="9"/>
  </r>
  <r>
    <x v="2"/>
    <s v="Sydney"/>
    <s v="Inv 13117"/>
    <d v="2018-01-23T00:00:00"/>
    <d v="2017-12-12T00:00:00"/>
    <d v="2017-12-13T00:00:00"/>
    <d v="2017-12-18T00:00:00"/>
    <d v="2017-12-20T00:00:00"/>
    <d v="2017-01-02T00:00:00"/>
    <d v="2018-01-23T00:00:00"/>
    <m/>
    <x v="12"/>
    <s v="Jan-18"/>
    <s v="MW21381 - 2LIV-03 - AYCA-4B5X29 - 209-213 Memorial Ave - 1- EXTERNAL"/>
    <s v="Liverpool"/>
    <n v="5179.88"/>
    <n v="-125.23"/>
    <n v="5054.6500000000005"/>
    <n v="5560.1150000000007"/>
    <n v="931.3609090909091"/>
    <m/>
    <n v="931.3609090909091"/>
    <n v="4123.2890909090911"/>
    <n v="0.81574176073696314"/>
    <m/>
    <d v="2017-12-27T00:00:00"/>
    <m/>
    <s v="Lindy Chan"/>
    <s v="Direct Award"/>
    <d v="2017-09-29T00:00:00"/>
    <m/>
    <d v="2017-10-31T00:00:00"/>
    <n v="32"/>
  </r>
  <r>
    <x v="2"/>
    <s v="Sydney"/>
    <s v="Inv 13283"/>
    <d v="2018-02-22T00:00:00"/>
    <d v="2018-01-10T00:00:00"/>
    <d v="2018-01-10T00:00:00"/>
    <d v="2018-01-25T00:00:00"/>
    <d v="2018-02-07T00:00:00"/>
    <d v="2018-01-19T00:00:00"/>
    <d v="2018-02-27T00:00:00"/>
    <m/>
    <x v="13"/>
    <s v="Feb-18"/>
    <s v="MW21384 - 2PEN-65  - AYCA-4LWMQ0 - 271 Dunmore Street - 1- EXTERNAL"/>
    <s v="Pendle Hill"/>
    <n v="2140.21"/>
    <n v="3046.46"/>
    <n v="5186.67"/>
    <n v="5705.3370000000004"/>
    <n v="3121.35"/>
    <m/>
    <n v="3121.35"/>
    <n v="2065.3200000000002"/>
    <n v="0.39819768753361984"/>
    <m/>
    <d v="2018-01-24T00:00:00"/>
    <m/>
    <s v="Lindy Chan"/>
    <s v="Direct Award"/>
    <d v="2017-09-29T00:00:00"/>
    <m/>
    <d v="2017-10-31T00:00:00"/>
    <n v="32"/>
  </r>
  <r>
    <x v="2"/>
    <s v="Sydney"/>
    <s v="Inv 13685"/>
    <d v="2018-05-30T00:00:00"/>
    <d v="2018-04-17T00:00:00"/>
    <d v="2018-04-18T00:00:00"/>
    <d v="2028-04-24T00:00:00"/>
    <d v="2018-05-23T00:00:00"/>
    <d v="2018-05-02T00:00:00"/>
    <d v="2018-05-31T00:00:00"/>
    <m/>
    <x v="7"/>
    <s v="May-18"/>
    <s v="MW20116 - AYCA-3I8XUO - 2RDL-60 - Highgardens – 1- EXTERNAL"/>
    <s v="Eastwood"/>
    <n v="1559.83"/>
    <n v="13890.210000000001"/>
    <n v="15450.04"/>
    <n v="16995.044000000002"/>
    <n v="9603.8700000000008"/>
    <m/>
    <n v="9603.8700000000008"/>
    <n v="5846.17"/>
    <n v="0.37839190060349359"/>
    <m/>
    <d v="2018-05-02T00:00:00"/>
    <m/>
    <s v="Lindy Chan"/>
    <s v="Direct Award"/>
    <d v="2017-10-09T00:00:00"/>
    <m/>
    <d v="2017-11-14T00:00:00"/>
    <n v="36"/>
  </r>
  <r>
    <x v="2"/>
    <s v="Sydney"/>
    <s v="Inv 12932"/>
    <d v="2017-12-21T00:00:00"/>
    <d v="2017-10-16T00:00:00"/>
    <d v="2017-10-16T00:00:00"/>
    <d v="2017-11-17T00:00:00"/>
    <d v="2017-12-04T00:00:00"/>
    <d v="2017-10-23T00:00:00"/>
    <d v="2017-11-06T00:00:00"/>
    <m/>
    <x v="6"/>
    <s v="Nov-17"/>
    <s v="MW20106 - 2ROU-02 - AYCA-30C7IB - Hillview Rise - 6"/>
    <s v="Eastwood"/>
    <n v="742.2"/>
    <n v="321.29000000000002"/>
    <n v="1063.49"/>
    <n v="1169.8390000000002"/>
    <m/>
    <m/>
    <n v="0"/>
    <n v="1063.49"/>
    <n v="1"/>
    <s v="Invoiced"/>
    <d v="2017-10-30T00:00:00"/>
    <s v="Completed and handover forwarded"/>
    <s v="Lindy Chan"/>
    <s v="Direct Award"/>
    <d v="2017-10-09T00:00:00"/>
    <m/>
    <d v="2017-11-14T00:00:00"/>
    <n v="36"/>
  </r>
  <r>
    <x v="2"/>
    <s v="Sydney"/>
    <s v="Inv 13193"/>
    <d v="2017-02-06T00:00:00"/>
    <d v="2018-01-12T00:00:00"/>
    <d v="2018-01-12T00:00:00"/>
    <d v="2018-01-12T00:00:00"/>
    <d v="2018-01-16T00:00:00"/>
    <d v="2018-01-25T00:00:00"/>
    <d v="2018-02-06T00:00:00"/>
    <m/>
    <x v="13"/>
    <s v="Feb-18"/>
    <s v="MW20115 - 2PTH-02 - AYCA-4OSDE9 - ONYX - 1- EXTERNAL"/>
    <s v="Penrith"/>
    <n v="684.18"/>
    <n v="1930.07"/>
    <n v="2614.25"/>
    <n v="2875.6750000000002"/>
    <m/>
    <m/>
    <n v="0"/>
    <n v="2614.25"/>
    <n v="1"/>
    <m/>
    <d v="2018-01-26T00:00:00"/>
    <m/>
    <s v="Andrew Partalis"/>
    <s v="Direct Award"/>
    <d v="2017-10-10T00:00:00"/>
    <m/>
    <d v="2017-11-14T00:00:00"/>
    <n v="35"/>
  </r>
  <r>
    <x v="2"/>
    <s v="Sydney"/>
    <s v="Inv 12806"/>
    <d v="2017-11-14T00:00:00"/>
    <d v="2017-10-16T00:00:00"/>
    <d v="2017-10-16T00:00:00"/>
    <m/>
    <m/>
    <d v="2017-10-23T00:00:00"/>
    <d v="2017-11-16T00:00:00"/>
    <m/>
    <x v="6"/>
    <s v="Nov-17"/>
    <s v="MW21430 - 2RIV-02 - AYCA-3347PM - The Maples - 3 "/>
    <s v="Schofields"/>
    <n v="697.93"/>
    <m/>
    <n v="697.93"/>
    <n v="767.72299999999996"/>
    <m/>
    <m/>
    <n v="0"/>
    <n v="697.93"/>
    <n v="1"/>
    <s v="Invoiced"/>
    <d v="2017-10-30T00:00:00"/>
    <s v="Completed and handover forwarded"/>
    <s v="Andrew Mahassy"/>
    <s v="Direct Award"/>
    <d v="2017-10-03T00:00:00"/>
    <m/>
    <d v="2017-11-11T00:00:00"/>
    <n v="39"/>
  </r>
  <r>
    <x v="2"/>
    <s v="Sydney"/>
    <s v="Inv 13048"/>
    <d v="2018-01-12T00:00:00"/>
    <d v="2017-11-24T00:00:00"/>
    <d v="2017-11-24T00:00:00"/>
    <d v="2017-11-24T00:00:00"/>
    <d v="2017-12-20T00:00:00"/>
    <d v="2017-12-08T00:00:00"/>
    <d v="2018-01-16T00:00:00"/>
    <m/>
    <x v="10"/>
    <s v="Jan-18"/>
    <s v="MW21425 - 2LIV-04 - AYCA-2IQYU1 - Macquaire St Development – 1-EXTERNAL"/>
    <s v="Liverpool"/>
    <n v="787.99"/>
    <n v="3543.3989999999999"/>
    <n v="4331.3890000000001"/>
    <n v="4764.527900000001"/>
    <n v="2729.39"/>
    <m/>
    <n v="2729.39"/>
    <n v="1601.9990000000003"/>
    <n v="0.36985802937579615"/>
    <m/>
    <d v="2017-12-08T00:00:00"/>
    <m/>
    <s v="Lindy Chan"/>
    <s v="Direct Award"/>
    <d v="2017-10-03T00:00:00"/>
    <m/>
    <d v="2017-11-14T00:00:00"/>
    <n v="42"/>
  </r>
  <r>
    <x v="2"/>
    <s v="Sydney"/>
    <s v="Inv 13369"/>
    <d v="2018-03-15T00:00:00"/>
    <d v="2018-02-08T00:00:00"/>
    <d v="2018-02-08T00:00:00"/>
    <d v="2018-02-08T00:00:00"/>
    <d v="2018-02-21T00:00:00"/>
    <d v="2018-02-20T00:00:00"/>
    <d v="2018-03-15T00:00:00"/>
    <m/>
    <x v="2"/>
    <s v="Mar-18"/>
    <s v="MW21385 - 2BLK-10 - AYCA-4A93XN - 43 Graham St - Doonside - 1"/>
    <s v="Doonside"/>
    <n v="550.82000000000005"/>
    <n v="2183.1"/>
    <n v="2733.92"/>
    <n v="3007.3120000000004"/>
    <m/>
    <m/>
    <n v="0"/>
    <n v="2733.92"/>
    <n v="1"/>
    <m/>
    <d v="2018-02-22T00:00:00"/>
    <m/>
    <s v="Andrew Mahassy\Ertan Cicek "/>
    <s v="Direct Award"/>
    <d v="2017-10-04T00:00:00"/>
    <m/>
    <d v="2017-10-31T00:00:00"/>
    <n v="27"/>
  </r>
  <r>
    <x v="2"/>
    <s v="Sydney"/>
    <s v="Inv 13022"/>
    <d v="2017-01-08T00:00:00"/>
    <d v="2017-11-23T00:00:00"/>
    <d v="2017-11-23T00:00:00"/>
    <d v="2017-11-23T00:00:00"/>
    <d v="2017-11-28T00:00:00"/>
    <d v="2017-12-12T00:00:00"/>
    <d v="2017-12-28T00:00:00"/>
    <m/>
    <x v="10"/>
    <s v="Dec-17"/>
    <s v="MW21426 - 2PTH-05 - AYCA-3QAOV2 - Meyer Timber NSW - 1-EXTERNAL and INTERNAL"/>
    <s v="Penrith"/>
    <n v="1098.26"/>
    <n v="994.09"/>
    <n v="2092.35"/>
    <n v="2301.585"/>
    <n v="1331.8"/>
    <m/>
    <n v="1331.8"/>
    <n v="760.55"/>
    <n v="0.3634908117666738"/>
    <s v="Invoiced"/>
    <d v="2017-12-07T00:00:00"/>
    <s v="Completed and handover forwarded"/>
    <s v="Nabeel Jaimon"/>
    <s v="Direct Award"/>
    <d v="2017-10-04T00:00:00"/>
    <m/>
    <d v="2017-11-14T00:00:00"/>
    <n v="41"/>
  </r>
  <r>
    <x v="0"/>
    <s v="Sth NSW"/>
    <s v="Inv 12988"/>
    <d v="2018-12-21T00:00:00"/>
    <d v="2017-11-21T00:00:00"/>
    <d v="2017-11-21T00:00:00"/>
    <d v="2017-11-21T00:00:00"/>
    <d v="2017-11-28T00:00:00"/>
    <d v="2017-12-06T00:00:00"/>
    <d v="2017-12-21T00:00:00"/>
    <m/>
    <x v="10"/>
    <s v="Dec-17"/>
    <s v="MW21080 - AYCA-2K262F - 2MSV-05 - Rochester Park - 1"/>
    <s v="Moss Vale"/>
    <n v="5689.31"/>
    <n v="1388.17"/>
    <n v="7077.4800000000005"/>
    <n v="7785.228000000001"/>
    <m/>
    <m/>
    <n v="0"/>
    <n v="7077.4800000000005"/>
    <n v="1"/>
    <s v="Invoiced"/>
    <d v="2017-12-05T00:00:00"/>
    <s v="Completed and handover forwarded"/>
    <s v="Ertan Cicek "/>
    <d v="2017-09-18T00:00:00"/>
    <d v="2017-10-24T00:00:00"/>
    <m/>
    <d v="2017-11-23T00:00:00"/>
    <n v="30"/>
  </r>
  <r>
    <x v="0"/>
    <s v="Sth NSW"/>
    <s v="Inv 12983"/>
    <d v="2018-12-18T00:00:00"/>
    <d v="2017-11-17T00:00:00"/>
    <d v="2017-11-17T00:00:00"/>
    <d v="2017-11-22T00:00:00"/>
    <d v="2017-11-28T00:00:00"/>
    <d v="2017-12-04T00:00:00"/>
    <d v="2017-12-12T00:00:00"/>
    <m/>
    <x v="10"/>
    <s v="Dec-17"/>
    <s v="MW21400 - 2MTT-02 - AYCA-4JV9PM - Wattle St Colo Vale - 1"/>
    <s v="Colo Vale"/>
    <n v="6328.8649999999998"/>
    <n v="14364.323571428573"/>
    <n v="20693.188571428575"/>
    <n v="22762.507428571433"/>
    <m/>
    <m/>
    <n v="0"/>
    <n v="20693.188571428575"/>
    <n v="1"/>
    <s v="Invoiced"/>
    <d v="2017-12-01T00:00:00"/>
    <s v="Completed and handover forwarded"/>
    <s v="Ertan Cicek "/>
    <d v="2017-10-02T00:00:00"/>
    <m/>
    <m/>
    <m/>
    <m/>
  </r>
  <r>
    <x v="0"/>
    <s v="Sth NSW"/>
    <s v="Inv 13299"/>
    <d v="2018-02-22T00:00:00"/>
    <d v="2018-01-22T00:00:00"/>
    <d v="2018-01-22T00:00:00"/>
    <d v="2018-01-22T00:00:00"/>
    <d v="2018-02-07T00:00:00"/>
    <d v="2018-02-07T00:00:00"/>
    <d v="2018-02-27T00:00:00"/>
    <m/>
    <x v="13"/>
    <s v="Feb-18"/>
    <s v="MW21398 - 2MSV-03 - AYCA-3MIX48 - Sutherland Park Estate - 1"/>
    <s v="Moss Vale"/>
    <n v="8670.86"/>
    <n v="4015.54"/>
    <n v="12686.400000000001"/>
    <n v="13955.040000000003"/>
    <m/>
    <m/>
    <n v="0"/>
    <n v="12686.400000000001"/>
    <n v="1"/>
    <m/>
    <d v="2018-02-05T00:00:00"/>
    <m/>
    <s v="Ertan Cicek "/>
    <d v="2017-10-02T00:00:00"/>
    <m/>
    <m/>
    <m/>
    <m/>
  </r>
  <r>
    <x v="1"/>
    <s v="ACT"/>
    <s v="Inv 13326"/>
    <d v="2018-02-06T00:00:00"/>
    <d v="2018-01-31T00:00:00"/>
    <d v="2018-01-25T00:00:00"/>
    <d v="2018-01-31T00:00:00"/>
    <d v="2018-02-12T00:00:00"/>
    <d v="2018-02-02T00:00:00"/>
    <d v="2018-03-08T00:00:00"/>
    <m/>
    <x v="13"/>
    <s v="Mar-18"/>
    <s v="MW21423 - 9QBN-03 - 16 Ellerton Drive Queanbeyan NSW"/>
    <s v="Queanbeyan"/>
    <n v="1281.43"/>
    <n v="69306.039999999994"/>
    <n v="70587.469999999987"/>
    <n v="77646.21699999999"/>
    <m/>
    <m/>
    <n v="0"/>
    <n v="70587.469999999987"/>
    <n v="1"/>
    <m/>
    <d v="2018-02-08T00:00:00"/>
    <m/>
    <s v="Linda Stahlgren Bouveng"/>
    <d v="2017-09-29T00:00:00"/>
    <d v="2017-10-16T00:00:00"/>
    <m/>
    <m/>
    <m/>
  </r>
  <r>
    <x v="2"/>
    <s v="Sydney"/>
    <s v="Inv 13202"/>
    <d v="2018-02-07T00:00:00"/>
    <d v="2017-12-12T00:00:00"/>
    <d v="2017-12-13T00:00:00"/>
    <d v="2018-01-12T00:00:00"/>
    <d v="2018-01-24T00:00:00"/>
    <d v="2018-01-02T00:00:00"/>
    <d v="2018-02-08T00:00:00"/>
    <m/>
    <x v="12"/>
    <s v="Feb-18"/>
    <s v="MW20150 - 2BLK-06 - AYCA-3W8B2F - 6 Old Church Lane "/>
    <s v="Blacktown"/>
    <n v="2633.83"/>
    <n v="-2118.86"/>
    <n v="514.9699999999998"/>
    <n v="566.46699999999987"/>
    <m/>
    <m/>
    <n v="0"/>
    <n v="514.9699999999998"/>
    <n v="1"/>
    <m/>
    <d v="2017-12-27T00:00:00"/>
    <m/>
    <s v="Andrew Mahassy"/>
    <s v="Direct Award"/>
    <d v="2017-10-14T00:00:00"/>
    <m/>
    <d v="2017-11-14T00:00:00"/>
    <n v="31"/>
  </r>
  <r>
    <x v="0"/>
    <s v="Sydney"/>
    <s v="Inv 13278"/>
    <d v="2018-02-22T00:00:00"/>
    <d v="2017-12-21T00:00:00"/>
    <d v="2017-12-22T00:00:00"/>
    <d v="2018-01-09T00:00:00"/>
    <d v="2018-02-07T00:00:00"/>
    <d v="2018-01-08T00:00:00"/>
    <d v="2018-02-27T00:00:00"/>
    <m/>
    <x v="12"/>
    <s v="Feb-18"/>
    <s v="MW21145 - AYCA-4KU6BE -OOMWI - 2WET-20 - Seniors Housing"/>
    <s v="Bossley Park"/>
    <n v="2751.085"/>
    <n v="1880.81"/>
    <n v="4631.8950000000004"/>
    <n v="5095.0845000000008"/>
    <n v="1316.57"/>
    <m/>
    <n v="1316.57"/>
    <n v="3315.3250000000007"/>
    <n v="0.71575996433425204"/>
    <m/>
    <d v="2018-01-05T00:00:00"/>
    <m/>
    <s v="Michael Tram"/>
    <d v="2017-09-18T00:00:00"/>
    <d v="2017-10-13T00:00:00"/>
    <m/>
    <d v="2017-10-14T00:00:00"/>
    <m/>
  </r>
  <r>
    <x v="2"/>
    <s v="Sydney"/>
    <s v="Inv 12801"/>
    <d v="2017-11-13T00:00:00"/>
    <d v="2017-10-16T00:00:00"/>
    <d v="2017-10-16T00:00:00"/>
    <d v="2017-10-24T00:00:00"/>
    <d v="2017-10-31T00:00:00"/>
    <d v="2017-10-23T00:00:00"/>
    <d v="2017-11-16T00:00:00"/>
    <m/>
    <x v="6"/>
    <s v="Nov-17"/>
    <s v="MW21205 - 2RIV-02 - AYCA-3349N6 - Schofields Farm Road - The Maples 2"/>
    <s v="Schofields"/>
    <n v="1740.59"/>
    <n v="-95.96"/>
    <n v="1644.6299999999999"/>
    <n v="1809.0930000000001"/>
    <n v="637.19090909090903"/>
    <m/>
    <n v="637.19090909090903"/>
    <n v="1007.4390909090909"/>
    <n v="0.6125627593495746"/>
    <s v="Invoiced"/>
    <d v="2017-10-30T00:00:00"/>
    <s v="Completed and handover forwarded"/>
    <s v="Andrew Mahassy"/>
    <s v="Direct Award"/>
    <d v="2017-08-24T00:00:00"/>
    <m/>
    <d v="2017-09-15T00:00:00"/>
    <n v="22"/>
  </r>
  <r>
    <x v="0"/>
    <s v="Nth Coast"/>
    <s v="Inv 13006"/>
    <d v="2017-12-21T00:00:00"/>
    <d v="2017-11-22T00:00:00"/>
    <d v="2017-11-22T00:00:00"/>
    <m/>
    <m/>
    <d v="2017-12-06T00:00:00"/>
    <d v="2017-12-20T00:00:00"/>
    <m/>
    <x v="10"/>
    <s v="Dec-17"/>
    <s v="MW21041 - 2OBA-20 - AYCA-4L6PEC - NSB - Old Bar Survey"/>
    <s v="Old Bar"/>
    <n v="1430"/>
    <m/>
    <n v="1430"/>
    <n v="1573.0000000000002"/>
    <m/>
    <m/>
    <n v="0"/>
    <n v="1430"/>
    <n v="1"/>
    <s v="Invoiced"/>
    <d v="2017-12-06T00:00:00"/>
    <s v="Completed and handover forwarded"/>
    <s v="Mark Leal"/>
    <d v="2017-09-08T00:00:00"/>
    <m/>
    <n v="-42986"/>
    <m/>
    <m/>
  </r>
  <r>
    <x v="0"/>
    <s v="Sydney"/>
    <m/>
    <m/>
    <m/>
    <d v="2018-05-30T00:00:00"/>
    <m/>
    <m/>
    <m/>
    <m/>
    <m/>
    <x v="8"/>
    <s v="Jan-00"/>
    <s v="MW21325 - 2NRL-20 - AYCA-2QFUTJ - Camden Day Hospital - 1"/>
    <s v="Elderslie"/>
    <n v="2322.6892857142852"/>
    <m/>
    <n v="2322.6892857142852"/>
    <n v="2554.9582142857139"/>
    <m/>
    <m/>
    <n v="0"/>
    <n v="2322.6892857142852"/>
    <n v="1"/>
    <m/>
    <d v="2018-06-13T00:00:00"/>
    <s v="Completed and handover forwarded"/>
    <s v="Nabeel Jaimon"/>
    <d v="2017-09-29T00:00:00"/>
    <d v="2017-10-18T00:00:00"/>
    <n v="19"/>
    <d v="2017-10-26T00:00:00"/>
    <n v="8"/>
  </r>
  <r>
    <x v="0"/>
    <s v="West NSW"/>
    <s v="Inv 13119"/>
    <d v="2018-01-23T00:00:00"/>
    <d v="2017-12-20T00:00:00"/>
    <d v="2017-12-20T00:00:00"/>
    <m/>
    <m/>
    <d v="2018-01-08T00:00:00"/>
    <d v="2018-01-23T00:00:00"/>
    <m/>
    <x v="12"/>
    <s v="Jan-18"/>
    <s v="MW21270 - 2BTH-01 - AYCA-47Y3BF - Arndilly"/>
    <s v="Bathurst"/>
    <n v="6664.39"/>
    <m/>
    <n v="6664.39"/>
    <n v="7330.8290000000006"/>
    <m/>
    <m/>
    <n v="0"/>
    <n v="6664.39"/>
    <n v="1"/>
    <m/>
    <d v="2018-01-03T00:00:00"/>
    <m/>
    <m/>
    <m/>
    <m/>
    <m/>
    <m/>
    <m/>
  </r>
  <r>
    <x v="2"/>
    <s v="Nth Coast"/>
    <s v="Inv 13414"/>
    <d v="2018-03-27T00:00:00"/>
    <d v="2018-02-23T00:00:00"/>
    <d v="2018-02-28T00:00:00"/>
    <d v="2018-03-01T00:00:00"/>
    <d v="2018-03-07T00:00:00"/>
    <d v="2018-03-16T00:00:00"/>
    <d v="2018-03-27T00:00:00"/>
    <m/>
    <x v="2"/>
    <s v="Mar-18"/>
    <s v="MW20843 - 2KCL-02 - AYCA-4EIN5M - 171 Casuarina Way Pty Ltd – 1- EXTERNAL"/>
    <s v="Casuarina"/>
    <n v="1790.44"/>
    <n v="4547.3999999999996"/>
    <n v="6337.84"/>
    <n v="6971.6240000000007"/>
    <n v="5237.6000000000004"/>
    <m/>
    <n v="5237.6000000000004"/>
    <n v="1100.2399999999998"/>
    <n v="0.17359857617106139"/>
    <m/>
    <d v="2018-03-14T00:00:00"/>
    <m/>
    <s v="Andrew Partalis"/>
    <m/>
    <m/>
    <m/>
    <m/>
    <m/>
  </r>
  <r>
    <x v="0"/>
    <s v="Sth NSW"/>
    <s v="Inv 13584"/>
    <d v="2018-05-10T00:00:00"/>
    <d v="2018-02-25T00:00:00"/>
    <d v="2018-02-28T00:00:00"/>
    <d v="2018-03-22T00:00:00"/>
    <d v="2018-04-20T00:00:00"/>
    <d v="2018-03-12T00:00:00"/>
    <d v="2018-05-03T00:00:00"/>
    <m/>
    <x v="2"/>
    <s v="May-18"/>
    <s v="MW21289 -  2WAG-05 - AYCA-45YGSM - 138 Elizabeth Avenue Forest Hill"/>
    <s v="Wagga Wagga"/>
    <n v="12652.97"/>
    <n v="1876.25"/>
    <n v="14529.22"/>
    <n v="15982.142"/>
    <m/>
    <m/>
    <n v="0"/>
    <n v="14529.22"/>
    <n v="1"/>
    <m/>
    <d v="2018-03-14T00:00:00"/>
    <m/>
    <s v="Dave Yoemans"/>
    <d v="2017-09-18T00:00:00"/>
    <d v="2017-10-18T00:00:00"/>
    <n v="30"/>
    <d v="2017-11-30T00:00:00"/>
    <n v="43"/>
  </r>
  <r>
    <x v="0"/>
    <s v="Sth NSW"/>
    <s v="Inv 13587"/>
    <d v="2018-05-10T00:00:00"/>
    <d v="2018-01-23T00:00:00"/>
    <d v="2018-01-23T00:00:00"/>
    <m/>
    <m/>
    <d v="2018-02-07T00:00:00"/>
    <d v="2018-05-08T00:00:00"/>
    <m/>
    <x v="13"/>
    <s v="May-18"/>
    <s v="MW21287 - AYCA-4BSSM6 - 2WAG-10 - 10 Fisher Place Lloyd"/>
    <s v="Wagga Wagga"/>
    <n v="4882.83"/>
    <m/>
    <n v="4882.83"/>
    <n v="5371.1130000000003"/>
    <m/>
    <m/>
    <n v="0"/>
    <n v="4882.83"/>
    <n v="1"/>
    <m/>
    <d v="2018-02-06T00:00:00"/>
    <m/>
    <s v="Dave Yoemans"/>
    <d v="2017-09-19T00:00:00"/>
    <d v="2017-10-18T00:00:00"/>
    <n v="29"/>
    <d v="2017-11-30T00:00:00"/>
    <n v="43"/>
  </r>
  <r>
    <x v="0"/>
    <s v="Sth NSW"/>
    <s v="Inv 13027"/>
    <d v="2018-01-30T00:00:00"/>
    <d v="2017-12-04T00:00:00"/>
    <d v="2017-12-04T00:00:00"/>
    <d v="2017-12-04T00:00:00"/>
    <d v="2017-12-13T00:00:00"/>
    <d v="2017-12-14T00:00:00"/>
    <d v="2018-01-30T00:00:00"/>
    <m/>
    <x v="12"/>
    <s v="Jan-18"/>
    <s v="MW21285 - 2MSV-04 - AYCA-496F3H - 8 Bendooley Street Bowral"/>
    <s v="Bowral"/>
    <n v="4895.03"/>
    <n v="10424.728000000001"/>
    <n v="15319.758000000002"/>
    <n v="16851.733800000002"/>
    <n v="7890.75"/>
    <m/>
    <n v="7890.75"/>
    <n v="7429.0080000000016"/>
    <n v="0.48492985333058136"/>
    <s v="Invoiced"/>
    <d v="2017-12-18T00:00:00"/>
    <s v="Completed and handover forwarded"/>
    <s v="Dave Yoemans"/>
    <d v="2017-09-18T00:00:00"/>
    <d v="2017-10-18T00:00:00"/>
    <n v="30"/>
    <d v="2017-11-30T00:00:00"/>
    <n v="43"/>
  </r>
  <r>
    <x v="2"/>
    <s v="Sydney"/>
    <s v="Inv 13026"/>
    <d v="2018-01-08T00:00:00"/>
    <d v="2017-12-05T00:00:00"/>
    <d v="2017-12-05T00:00:00"/>
    <d v="2017-12-05T00:00:00"/>
    <d v="2017-12-12T00:00:00"/>
    <d v="2017-12-19T00:00:00"/>
    <d v="2018-01-11T00:00:00"/>
    <m/>
    <x v="12"/>
    <s v="Jan-18"/>
    <s v="MW21386 - AYCA-3BBYF2 - 2PTH-05 - 40-50 Union Rd, Penrith  EXTERNAL"/>
    <s v="Penrith"/>
    <n v="1126.31"/>
    <n v="2848.31"/>
    <n v="3974.62"/>
    <n v="4372.0820000000003"/>
    <n v="2621.77"/>
    <m/>
    <n v="2621.77"/>
    <n v="1352.85"/>
    <n v="0.34037216136385362"/>
    <s v="Invoiced"/>
    <d v="2017-12-19T00:00:00"/>
    <s v="Completed and handover forwarded"/>
    <s v="Andrew Partalis"/>
    <s v="Direct Award"/>
    <d v="2017-10-18T00:00:00"/>
    <m/>
    <d v="2017-11-22T00:00:00"/>
    <n v="35"/>
  </r>
  <r>
    <x v="0"/>
    <s v="Sydney"/>
    <s v="Inv 13233"/>
    <d v="2018-02-15T00:00:00"/>
    <d v="2017-12-21T00:00:00"/>
    <d v="2017-12-22T00:00:00"/>
    <d v="2018-01-10T00:00:00"/>
    <d v="2018-01-24T00:00:00"/>
    <d v="2018-01-12T00:00:00"/>
    <d v="2018-02-15T00:00:00"/>
    <m/>
    <x v="12"/>
    <s v="Feb-18"/>
    <s v="MW21373 - 2WET-65 - AYCA-4O5GBC - 106 - 108 Chifley St - Smithfield - 1- EXTERNAL"/>
    <s v="Smithfield"/>
    <n v="5336.9454285714291"/>
    <n v="9985.27"/>
    <n v="15322.21542857143"/>
    <n v="16854.436971428575"/>
    <n v="4774.4799999999996"/>
    <m/>
    <n v="4774.4799999999996"/>
    <n v="10547.73542857143"/>
    <n v="0.68839493072933844"/>
    <m/>
    <d v="2018-01-05T00:00:00"/>
    <m/>
    <s v="Lindy Chan"/>
    <d v="2017-09-29T00:00:00"/>
    <d v="2017-10-19T00:00:00"/>
    <n v="20"/>
    <d v="2017-10-26T00:00:00"/>
    <n v="7"/>
  </r>
  <r>
    <x v="2"/>
    <s v="Sydney"/>
    <s v="Inv 13697"/>
    <d v="2018-06-06T00:00:00"/>
    <d v="2018-05-17T00:00:00"/>
    <d v="2018-05-17T00:00:00"/>
    <d v="2018-05-18T00:00:00"/>
    <d v="2018-05-30T00:00:00"/>
    <d v="2018-05-30T00:00:00"/>
    <d v="2018-06-07T00:00:00"/>
    <m/>
    <x v="8"/>
    <s v="Jun-18"/>
    <s v="MW20917 - AYCA-3A485K -2LID-03 -  Lidbury Street Berala - 1 - EXTERNAL"/>
    <s v="Berala"/>
    <n v="82.91"/>
    <n v="6597.0000000000009"/>
    <n v="6679.9100000000008"/>
    <n v="7347.9010000000017"/>
    <n v="4651.88"/>
    <m/>
    <n v="4651.88"/>
    <n v="2028.0300000000007"/>
    <n v="0.30360139582718937"/>
    <m/>
    <d v="2018-05-31T00:00:00"/>
    <m/>
    <s v="Lindy Chan"/>
    <s v="Direct Award"/>
    <d v="2017-10-19T00:00:00"/>
    <m/>
    <d v="2017-11-22T00:00:00"/>
    <n v="34"/>
  </r>
  <r>
    <x v="2"/>
    <s v="Sydney"/>
    <s v="Inv 13023"/>
    <d v="2018-01-08T00:00:00"/>
    <d v="2017-11-30T00:00:00"/>
    <d v="2017-11-30T00:00:00"/>
    <d v="2017-12-01T00:00:00"/>
    <d v="2017-12-12T00:00:00"/>
    <d v="2017-12-13T00:00:00"/>
    <d v="2017-12-28T00:00:00"/>
    <m/>
    <x v="10"/>
    <s v="Dec-17"/>
    <s v="MW21452 - AYCA-4FFBGM - 2PIT-01 - The Oaks Development"/>
    <s v="Pitt Town"/>
    <n v="5919.34"/>
    <n v="3816.2100000000009"/>
    <n v="9735.5500000000011"/>
    <n v="10709.105000000001"/>
    <n v="6437.11"/>
    <m/>
    <n v="6437.11"/>
    <n v="3298.4400000000014"/>
    <n v="0.33880366286445052"/>
    <s v="Invoiced"/>
    <d v="2017-12-14T00:00:00"/>
    <s v="Completed and handover forwarded"/>
    <s v="Andrew Mahassy"/>
    <s v="Direct Award"/>
    <d v="2017-10-19T00:00:00"/>
    <m/>
    <d v="2017-11-22T00:00:00"/>
    <n v="34"/>
  </r>
  <r>
    <x v="0"/>
    <s v="Central Coast"/>
    <s v="Inv 13466"/>
    <d v="2018-04-09T00:00:00"/>
    <d v="2018-03-19T00:00:00"/>
    <d v="2018-03-19T00:00:00"/>
    <m/>
    <m/>
    <d v="2018-04-03T00:00:00"/>
    <d v="2018-04-10T00:00:00"/>
    <m/>
    <x v="11"/>
    <s v="Apr-18"/>
    <s v="MW21271 - AYCA-45TAFX  - 2MRS-03-Cooranbong - 1"/>
    <s v="Morriset"/>
    <n v="8383.48"/>
    <m/>
    <n v="8383.48"/>
    <n v="9221.8279999999995"/>
    <n v="4446.68"/>
    <m/>
    <n v="4446.68"/>
    <n v="3936.7999999999993"/>
    <n v="0.46959019404829494"/>
    <m/>
    <d v="2018-04-02T00:00:00"/>
    <m/>
    <s v="Ertan Cicek "/>
    <d v="2017-11-13T00:00:00"/>
    <d v="2018-02-06T00:00:00"/>
    <n v="85"/>
    <d v="2018-03-02T00:00:00"/>
    <n v="24"/>
  </r>
  <r>
    <x v="0"/>
    <s v="Sydney"/>
    <s v="Inv 13150"/>
    <d v="2018-01-30T00:00:00"/>
    <d v="2017-12-18T00:00:00"/>
    <d v="2017-12-18T00:00:00"/>
    <m/>
    <m/>
    <d v="2018-01-02T00:00:00"/>
    <d v="2018-01-16T00:00:00"/>
    <m/>
    <x v="12"/>
    <s v="Jan-18"/>
    <s v="MW21392 - 2MIL-20 - AYCA-4NGNW3 - LOT 421 &amp; 422, 10-12 PROGRESS CIRCUIT"/>
    <s v="Miller"/>
    <n v="2044.5"/>
    <m/>
    <n v="2044.5"/>
    <n v="2248.9500000000003"/>
    <m/>
    <m/>
    <n v="0"/>
    <n v="2044.5"/>
    <n v="1"/>
    <m/>
    <d v="2018-01-01T00:00:00"/>
    <m/>
    <s v="Nabeel Jaimon"/>
    <d v="2017-10-02T00:00:00"/>
    <d v="2017-10-20T00:00:00"/>
    <n v="18"/>
    <d v="2017-10-31T00:00:00"/>
    <n v="11"/>
  </r>
  <r>
    <x v="0"/>
    <s v="Sydney"/>
    <s v="Inv 13201"/>
    <d v="2018-02-07T00:00:00"/>
    <d v="2017-12-21T00:00:00"/>
    <d v="2017-12-22T00:00:00"/>
    <d v="2018-01-12T00:00:00"/>
    <d v="2018-01-25T00:00:00"/>
    <d v="2018-01-12T00:00:00"/>
    <d v="2018-02-08T00:00:00"/>
    <m/>
    <x v="12"/>
    <s v="Feb-18"/>
    <s v="MW21322 - 2SHH-02 - AYCA-4FHB4D - 3 Bellbird Close Barrack Heights"/>
    <s v="Barrack Heights"/>
    <n v="5773.02"/>
    <n v="4353.71"/>
    <n v="10126.73"/>
    <n v="11139.403"/>
    <n v="3289.75"/>
    <m/>
    <n v="3289.75"/>
    <n v="6836.98"/>
    <n v="0.67514192636714909"/>
    <m/>
    <d v="2018-01-05T00:00:00"/>
    <m/>
    <s v="Dave Yoemans"/>
    <d v="2017-09-18T00:00:00"/>
    <d v="2017-10-23T00:00:00"/>
    <n v="35"/>
    <d v="2017-11-30T00:00:00"/>
    <n v="38"/>
  </r>
  <r>
    <x v="0"/>
    <s v="West NSW"/>
    <m/>
    <m/>
    <m/>
    <d v="2018-07-30T00:00:00"/>
    <m/>
    <m/>
    <m/>
    <m/>
    <m/>
    <x v="9"/>
    <s v="Jan-00"/>
    <s v="MW21395 - 2BTH-01 - AYCA-4LYVIU - Arndilly - 2"/>
    <s v="Bathurst"/>
    <n v="4802.37"/>
    <m/>
    <n v="4802.37"/>
    <n v="5282.607"/>
    <m/>
    <m/>
    <n v="0"/>
    <n v="4802.37"/>
    <n v="1"/>
    <m/>
    <d v="2018-08-13T00:00:00"/>
    <m/>
    <s v="Mark Leal"/>
    <d v="2017-09-27T00:00:00"/>
    <d v="2017-10-23T00:00:00"/>
    <n v="26"/>
    <d v="2017-11-01T00:00:00"/>
    <n v="9"/>
  </r>
  <r>
    <x v="0"/>
    <s v="West NSW"/>
    <s v="Inv 13116"/>
    <d v="2018-01-23T00:00:00"/>
    <d v="2017-12-14T00:00:00"/>
    <d v="2017-12-22T00:00:00"/>
    <m/>
    <m/>
    <d v="2018-01-04T00:00:00"/>
    <d v="2018-01-23T00:00:00"/>
    <m/>
    <x v="12"/>
    <s v="Jan-18"/>
    <s v="MW21416 - 2ORG-05 - AYCA-4H25NY - 12 Wakeford – 1"/>
    <s v="Orange"/>
    <n v="8637.2000000000007"/>
    <m/>
    <n v="8637.2000000000007"/>
    <n v="9500.9200000000019"/>
    <m/>
    <m/>
    <n v="0"/>
    <n v="8637.2000000000007"/>
    <n v="1"/>
    <m/>
    <d v="2018-01-05T00:00:00"/>
    <m/>
    <s v="Ertan Cicek "/>
    <d v="2017-10-02T00:00:00"/>
    <d v="2017-10-23T00:00:00"/>
    <n v="21"/>
    <d v="2017-11-01T00:00:00"/>
    <n v="9"/>
  </r>
  <r>
    <x v="2"/>
    <s v="Sydney"/>
    <s v="Inv 13232"/>
    <d v="2018-02-15T00:00:00"/>
    <d v="2018-01-11T00:00:00"/>
    <d v="2018-01-11T00:00:00"/>
    <d v="2018-01-12T00:00:00"/>
    <d v="2018-01-24T00:00:00"/>
    <d v="2018-01-23T00:00:00"/>
    <d v="2018-02-15T00:00:00"/>
    <m/>
    <x v="13"/>
    <s v="Feb-18"/>
    <s v="MW21457 - AYCA-4QLE5J -2NEW-63 -Ara on Park - 1-EXTERNAL"/>
    <s v="Eskineville"/>
    <n v="2012.61"/>
    <n v="6714.56"/>
    <n v="8727.17"/>
    <n v="9599.8870000000006"/>
    <n v="2603.91"/>
    <m/>
    <n v="2603.91"/>
    <n v="6123.26"/>
    <n v="0.70163180045765128"/>
    <m/>
    <d v="2018-01-25T00:00:00"/>
    <m/>
    <s v="Lindy Chan"/>
    <s v="Direct Award"/>
    <d v="2017-10-24T00:00:00"/>
    <m/>
    <d v="2017-11-29T00:00:00"/>
    <n v="36"/>
  </r>
  <r>
    <x v="2"/>
    <s v="Sydney"/>
    <s v="Inv 13019"/>
    <d v="2017-12-22T00:00:00"/>
    <d v="2017-11-03T00:00:00"/>
    <d v="2017-11-07T00:00:00"/>
    <d v="2017-11-08T00:00:00"/>
    <d v="2017-11-16T00:00:00"/>
    <d v="2017-12-11T00:00:00"/>
    <d v="2018-01-09T00:00:00"/>
    <m/>
    <x v="10"/>
    <s v="Jan-18"/>
    <s v="MW21458 - 2LID-07 - AYCA-4DZEDU-2LID-07-Auburn Vista - 1 - EXTERNAL"/>
    <s v="Aubrn"/>
    <n v="1680"/>
    <n v="7008.33"/>
    <n v="8688.33"/>
    <n v="9557.1630000000005"/>
    <n v="127.27272727272728"/>
    <m/>
    <n v="127.27272727272728"/>
    <n v="8561.057272727272"/>
    <n v="0.98535130142700289"/>
    <s v="Invoiced"/>
    <d v="2017-11-21T00:00:00"/>
    <s v="Completed and handover forwarded"/>
    <s v="Ertan Cicek "/>
    <s v="Direct Award"/>
    <d v="2017-10-24T00:00:00"/>
    <m/>
    <d v="2017-11-29T00:00:00"/>
    <n v="36"/>
  </r>
  <r>
    <x v="2"/>
    <s v="Sydney"/>
    <s v="Inv 13120"/>
    <d v="2018-01-23T00:00:00"/>
    <d v="2017-11-29T00:00:00"/>
    <d v="2017-11-30T00:00:00"/>
    <d v="2017-12-01T00:00:00"/>
    <d v="2017-12-20T00:00:00"/>
    <d v="2017-12-12T00:00:00"/>
    <d v="2018-01-23T00:00:00"/>
    <m/>
    <x v="10"/>
    <s v="Jan-18"/>
    <s v="MW21471 - 2KIL-63 - AYCA-2T1HEY -RIDGE CENTRE - 1-E XTERNAL "/>
    <s v="Gordon"/>
    <n v="1686.02"/>
    <n v="3182.07"/>
    <n v="4868.09"/>
    <n v="5354.8990000000003"/>
    <n v="3014.2"/>
    <m/>
    <n v="3014.2"/>
    <n v="1853.8900000000003"/>
    <n v="0.38082492312179939"/>
    <s v="Invoiced"/>
    <d v="2017-12-14T00:00:00"/>
    <s v="Completed and handover forwarded"/>
    <s v="Lindy Chan"/>
    <s v="Direct Award"/>
    <d v="2017-10-24T00:00:00"/>
    <m/>
    <d v="2017-11-30T00:00:00"/>
    <n v="37"/>
  </r>
  <r>
    <x v="2"/>
    <s v="Sydney"/>
    <s v="Inv 13328"/>
    <d v="2018-03-07T00:00:00"/>
    <d v="2017-11-07T00:00:00"/>
    <d v="2017-11-07T00:00:00"/>
    <d v="2017-01-16T00:00:00"/>
    <d v="2018-02-27T00:00:00"/>
    <d v="2017-11-21T00:00:00"/>
    <d v="2018-03-08T00:00:00"/>
    <m/>
    <x v="10"/>
    <s v="Mar-18"/>
    <s v="MW21483 - 2ASH-05  - AYCA-2Y1KQS - Charles Banks  1- EXTERNAL"/>
    <s v="Canterbury"/>
    <n v="2604.61"/>
    <n v="11602.07"/>
    <n v="14206.68"/>
    <n v="15627.348000000002"/>
    <n v="5541.28"/>
    <m/>
    <n v="5541.28"/>
    <n v="8665.4000000000015"/>
    <n v="0.60995250121773714"/>
    <s v="Invoiced"/>
    <d v="2017-11-21T00:00:00"/>
    <s v="Completed and handover forwarded"/>
    <s v="Andrew Partalis"/>
    <s v="Direct Award"/>
    <d v="2017-10-25T00:00:00"/>
    <m/>
    <d v="2017-11-22T00:00:00"/>
    <n v="28"/>
  </r>
  <r>
    <x v="2"/>
    <s v="Nth West "/>
    <s v="Inv 12986"/>
    <d v="2017-12-28T00:00:00"/>
    <d v="2017-11-24T00:00:00"/>
    <d v="2017-11-27T00:00:00"/>
    <d v="2017-11-27T00:00:00"/>
    <d v="2017-12-08T00:00:00"/>
    <d v="2017-12-08T00:00:00"/>
    <d v="2017-12-28T00:00:00"/>
    <m/>
    <x v="10"/>
    <s v="Dec-17"/>
    <s v="MW21484 - AYCA-2CO7SU - 2ARM-04 - Brown - 1"/>
    <s v="Armidale"/>
    <n v="1586.84"/>
    <n v="5543.8700000000017"/>
    <n v="7130.7100000000019"/>
    <n v="7843.7810000000027"/>
    <n v="4794.1000000000004"/>
    <m/>
    <n v="4794.1000000000004"/>
    <n v="2336.6100000000015"/>
    <n v="0.3276826571267098"/>
    <s v="Invoiced"/>
    <d v="2017-12-11T00:00:00"/>
    <s v="Completed and handover forwarded"/>
    <s v="Mark Leal"/>
    <s v="Direct Award"/>
    <d v="2017-10-31T00:00:00"/>
    <m/>
    <d v="2017-11-30T00:00:00"/>
    <n v="30"/>
  </r>
  <r>
    <x v="2"/>
    <s v="ACT"/>
    <s v="Inv 13248"/>
    <d v="2018-02-19T00:00:00"/>
    <d v="2018-01-17T00:00:00"/>
    <d v="2018-01-17T00:00:00"/>
    <d v="2018-01-17T00:00:00"/>
    <d v="2018-01-29T00:00:00"/>
    <d v="2018-01-29T00:00:00"/>
    <d v="2018-02-20T00:00:00"/>
    <m/>
    <x v="13"/>
    <s v="Feb-18"/>
    <s v="MW21467 - 9QBN-03- AYCA-4QEPB9- Ian &amp; Cathy Darman - 1- EXTERNAL"/>
    <s v="Queanbeyan"/>
    <n v="1139.1099999999999"/>
    <n v="2470.5100000000002"/>
    <n v="3609.62"/>
    <n v="3970.5820000000003"/>
    <m/>
    <m/>
    <n v="0"/>
    <n v="3609.62"/>
    <n v="1"/>
    <s v="Invoiced"/>
    <d v="2018-01-31T00:00:00"/>
    <s v="Completed and handover forwarded"/>
    <s v="Nabeel Jaimon"/>
    <s v="Direct Award"/>
    <d v="2017-10-31T00:00:00"/>
    <m/>
    <d v="2017-11-29T00:00:00"/>
    <n v="29"/>
  </r>
  <r>
    <x v="2"/>
    <s v="Newcastle"/>
    <s v="Inv 13030"/>
    <d v="2018-01-12T00:00:00"/>
    <d v="2017-11-17T00:00:00"/>
    <d v="2017-11-17T00:00:00"/>
    <d v="2017-12-06T00:00:00"/>
    <d v="2017-12-08T00:00:00"/>
    <d v="2017-12-12T00:00:00"/>
    <d v="2018-01-16T00:00:00"/>
    <m/>
    <x v="10"/>
    <s v="Jan-18"/>
    <s v="MW21478-AYCA-4PIZ8V  -2MYF-02 - The Furnace - 1 – EXTERNAL    "/>
    <s v="Mayfield"/>
    <n v="750.2"/>
    <n v="4376.74"/>
    <n v="5126.9399999999996"/>
    <n v="5639.634"/>
    <n v="1746.62"/>
    <m/>
    <n v="1746.62"/>
    <n v="3380.3199999999997"/>
    <n v="0.65932505549118969"/>
    <m/>
    <d v="2017-12-01T00:00:00"/>
    <m/>
    <s v="Andrew Partalis"/>
    <s v="Direct Award"/>
    <d v="2017-11-02T00:00:00"/>
    <m/>
    <d v="2017-11-22T00:00:00"/>
    <n v="20"/>
  </r>
  <r>
    <x v="0"/>
    <s v="West NSW"/>
    <s v="Inv 13164"/>
    <d v="2018-01-31T00:00:00"/>
    <d v="2017-12-14T00:00:00"/>
    <d v="2017-12-25T00:00:00"/>
    <m/>
    <m/>
    <d v="2018-01-04T00:00:00"/>
    <d v="2018-01-18T00:00:00"/>
    <m/>
    <x v="12"/>
    <s v="Jan-18"/>
    <s v="MW21438 - 2ORG-01 - AYCA-4J2IIB - Majestic Way - 1"/>
    <s v="Orange"/>
    <n v="5568.32"/>
    <m/>
    <n v="5568.32"/>
    <n v="6125.152"/>
    <m/>
    <m/>
    <n v="0"/>
    <n v="5568.32"/>
    <n v="1"/>
    <m/>
    <d v="2018-01-08T00:00:00"/>
    <m/>
    <s v="Mark Leal"/>
    <d v="2017-10-17T00:00:00"/>
    <d v="2017-11-06T00:00:00"/>
    <n v="20"/>
    <d v="2017-11-14T00:00:00"/>
    <n v="8"/>
  </r>
  <r>
    <x v="0"/>
    <s v="Nth Coast"/>
    <s v="Inv 13152"/>
    <d v="2018-01-30T00:00:00"/>
    <d v="2017-12-14T00:00:00"/>
    <d v="2017-12-14T00:00:00"/>
    <m/>
    <m/>
    <d v="2017-01-04T00:00:00"/>
    <d v="2018-01-29T00:00:00"/>
    <m/>
    <x v="12"/>
    <s v="Jan-18"/>
    <s v="MW21459 -  AYCA-4DWSZZ -2OBA-20 -NSB - 81 Albatross Way"/>
    <s v="Old Bar"/>
    <n v="13975.96"/>
    <m/>
    <n v="13975.96"/>
    <n v="15373.556"/>
    <m/>
    <m/>
    <n v="0"/>
    <n v="13975.96"/>
    <n v="1"/>
    <m/>
    <d v="2017-12-28T00:00:00"/>
    <m/>
    <s v="Mark Leal"/>
    <d v="2017-10-30T00:00:00"/>
    <d v="2017-11-06T00:00:00"/>
    <n v="7"/>
    <d v="2017-11-30T00:00:00"/>
    <n v="24"/>
  </r>
  <r>
    <x v="2"/>
    <s v="Sth Coast"/>
    <s v="Inv 13273"/>
    <d v="2018-02-22T00:00:00"/>
    <d v="2017-12-19T00:00:00"/>
    <d v="2017-12-20T00:00:00"/>
    <d v="2018-01-09T00:00:00"/>
    <d v="2018-01-23T00:00:00"/>
    <d v="2017-01-04T00:00:00"/>
    <d v="2018-02-27T00:00:00"/>
    <m/>
    <x v="12"/>
    <s v="Feb-18"/>
    <s v="MW20076 - 2NWR-03 - AYCA-4SHR9U -2NWR-03 -Sequacious - 1"/>
    <s v="South Nowra"/>
    <n v="1215.49"/>
    <n v="650.54"/>
    <n v="1866.03"/>
    <n v="2052.6330000000003"/>
    <m/>
    <m/>
    <n v="0"/>
    <n v="1866.03"/>
    <n v="1"/>
    <m/>
    <d v="2018-01-03T00:00:00"/>
    <m/>
    <s v="Sogand Mohtat"/>
    <s v="Direct Award"/>
    <d v="2017-11-09T00:00:00"/>
    <m/>
    <d v="2017-12-15T00:00:00"/>
    <n v="36"/>
  </r>
  <r>
    <x v="0"/>
    <s v="Sydney"/>
    <s v="Inv 13277"/>
    <d v="2018-03-02T00:00:00"/>
    <d v="2018-01-23T00:00:00"/>
    <d v="2018-01-24T00:00:00"/>
    <d v="2017-01-25T00:00:00"/>
    <d v="2018-01-31T00:00:00"/>
    <d v="2018-02-06T00:00:00"/>
    <d v="2018-03-06T00:00:00"/>
    <m/>
    <x v="13"/>
    <s v="Mar-18"/>
    <s v="MW21464 - 2NRN-03 - AYCA-4EAKM1-63 SGR - 1- EXTERNAL"/>
    <s v="Smeaton Grange"/>
    <n v="4263.5600000000004"/>
    <n v="4345.3999999999996"/>
    <n v="8608.9599999999991"/>
    <n v="9469.8559999999998"/>
    <n v="2292.46"/>
    <m/>
    <n v="2292.46"/>
    <n v="6316.4999999999991"/>
    <n v="0.7337123183288109"/>
    <m/>
    <d v="2018-02-07T00:00:00"/>
    <m/>
    <s v="Nabeel Jaimon"/>
    <d v="2017-10-30T00:00:00"/>
    <d v="2017-11-09T00:00:00"/>
    <n v="10"/>
    <d v="2017-11-30T00:00:00"/>
    <n v="21"/>
  </r>
  <r>
    <x v="0"/>
    <s v="Sth NSW"/>
    <s v="Inv 13387"/>
    <d v="2018-03-19T00:00:00"/>
    <d v="2018-02-16T00:00:00"/>
    <d v="2018-02-21T00:00:00"/>
    <d v="2018-02-21T00:00:00"/>
    <d v="2018-02-27T00:00:00"/>
    <d v="2018-03-05T00:00:00"/>
    <d v="2018-03-20T00:00:00"/>
    <m/>
    <x v="2"/>
    <s v="Mar-18"/>
    <s v="MW21909 - AYCA-32NN4T -2MSV-05 -Blue Gum Rd Estate – 1"/>
    <s v="Moss Vale"/>
    <n v="22553.22"/>
    <n v="2677.9657142857141"/>
    <n v="25231.185714285715"/>
    <n v="27754.30428571429"/>
    <m/>
    <m/>
    <n v="0"/>
    <n v="25231.185714285715"/>
    <n v="1"/>
    <m/>
    <d v="2018-03-07T00:00:00"/>
    <m/>
    <s v="Mark Leal"/>
    <d v="2017-10-24T00:00:00"/>
    <d v="2017-11-10T00:00:00"/>
    <n v="17"/>
    <d v="2017-11-17T00:00:00"/>
    <n v="7"/>
  </r>
  <r>
    <x v="0"/>
    <s v="Nth Coast"/>
    <s v="Inv 12986"/>
    <d v="2017-12-21T00:00:00"/>
    <d v="2017-11-26T00:00:00"/>
    <d v="2017-11-27T00:00:00"/>
    <m/>
    <m/>
    <d v="2017-12-07T00:00:00"/>
    <d v="2017-12-21T00:00:00"/>
    <m/>
    <x v="10"/>
    <s v="Dec-17"/>
    <s v="MW21311 - 2WAU-21 - AYCA-4N13KQ - 127 Cameron St"/>
    <s v="Wauchope"/>
    <n v="8488.5"/>
    <m/>
    <n v="8488.5"/>
    <n v="9337.35"/>
    <n v="6106.05"/>
    <m/>
    <n v="6106.05"/>
    <n v="2382.4499999999998"/>
    <n v="0.28066796253755077"/>
    <s v="Invoiced"/>
    <d v="2017-12-11T00:00:00"/>
    <s v="Completed and handover forwarded"/>
    <s v="Mark Leal"/>
    <d v="2017-10-23T00:00:00"/>
    <d v="2017-11-10T00:00:00"/>
    <n v="18"/>
    <d v="2017-11-18T00:00:00"/>
    <n v="8"/>
  </r>
  <r>
    <x v="0"/>
    <s v="Sydney"/>
    <s v="Inv 13047"/>
    <d v="2018-01-16T00:00:00"/>
    <d v="2017-12-05T00:00:00"/>
    <d v="2017-12-05T00:00:00"/>
    <m/>
    <m/>
    <d v="2017-12-15T00:00:00"/>
    <d v="2018-01-16T00:00:00"/>
    <m/>
    <x v="12"/>
    <s v="Jan-18"/>
    <s v="MW21488 - 2ROU-03 - AYCA-4877L8 - Non Standard Builds - Windon Avenue"/>
    <s v="Rouse Hill"/>
    <n v="2284.9699999999998"/>
    <m/>
    <n v="2284.9699999999998"/>
    <n v="2513.4670000000001"/>
    <m/>
    <m/>
    <n v="0"/>
    <n v="2284.9699999999998"/>
    <n v="1"/>
    <s v="Invoiced"/>
    <d v="2017-12-19T00:00:00"/>
    <s v="Completed and handover forwarded"/>
    <s v="Andrew Mahassy"/>
    <d v="2017-11-04T00:00:00"/>
    <d v="2017-11-10T00:00:00"/>
    <n v="6"/>
    <d v="2017-11-30T00:00:00"/>
    <n v="20"/>
  </r>
  <r>
    <x v="0"/>
    <s v="Sydney"/>
    <s v="Inv 12068"/>
    <d v="2018-01-16T00:00:00"/>
    <d v="2017-11-30T00:00:00"/>
    <d v="2017-11-30T00:00:00"/>
    <m/>
    <m/>
    <d v="2017-12-12T00:00:00"/>
    <d v="2018-01-18T00:00:00"/>
    <m/>
    <x v="10"/>
    <s v="Jan-18"/>
    <s v="MW21516 - AYCA-4TB2X9 - NSB - Wirrinya Pl Grasmere - SURVEY"/>
    <s v="Narellan"/>
    <n v="800"/>
    <m/>
    <n v="800"/>
    <n v="880.00000000000011"/>
    <m/>
    <m/>
    <n v="0"/>
    <n v="800"/>
    <n v="1"/>
    <s v="Invoiced"/>
    <d v="2017-12-14T00:00:00"/>
    <s v="Completed and handover forwarded"/>
    <s v="Andrew Mahassy"/>
    <d v="2017-10-24T00:00:00"/>
    <d v="2017-11-13T00:00:00"/>
    <n v="20"/>
    <d v="2017-11-20T00:00:00"/>
    <n v="7"/>
  </r>
  <r>
    <x v="0"/>
    <s v="Sth NSW"/>
    <s v="Inv 13098"/>
    <d v="2018-01-23T00:00:00"/>
    <d v="2017-12-07T00:00:00"/>
    <d v="2017-12-11T00:00:00"/>
    <m/>
    <m/>
    <d v="2017-12-19T00:00:00"/>
    <d v="2018-01-21T00:00:00"/>
    <m/>
    <x v="12"/>
    <s v="Jan-18"/>
    <s v="MW21495 -AYCA-4UUWX6 - NSB - 13 Popes Rd Woonona - SURVEY "/>
    <s v="Woonona"/>
    <n v="1350"/>
    <m/>
    <n v="1350"/>
    <n v="1485.0000000000002"/>
    <m/>
    <m/>
    <n v="0"/>
    <n v="1350"/>
    <n v="1"/>
    <m/>
    <d v="2017-12-25T00:00:00"/>
    <m/>
    <s v="Andrew Mahassy"/>
    <d v="2017-11-04T00:00:00"/>
    <d v="2017-11-16T00:00:00"/>
    <n v="12"/>
    <d v="2017-11-30T00:00:00"/>
    <n v="14"/>
  </r>
  <r>
    <x v="0"/>
    <s v="Sth NSW"/>
    <s v="Inv 13400"/>
    <d v="2018-03-22T00:00:00"/>
    <d v="2018-02-21T00:00:00"/>
    <d v="2018-02-21T00:00:00"/>
    <d v="2018-02-21T00:00:00"/>
    <d v="2018-02-27T00:00:00"/>
    <d v="2018-03-05T00:00:00"/>
    <d v="2018-03-22T00:00:00"/>
    <m/>
    <x v="2"/>
    <s v="Mar-18"/>
    <s v="MW21380 - 2YON-01 - AYCA-4MRFUW - 1 Patterson Avenue, Young – 1"/>
    <s v="Young"/>
    <n v="12059.12"/>
    <n v="3133.8257142857137"/>
    <n v="15192.945714285714"/>
    <n v="16712.240285714288"/>
    <m/>
    <m/>
    <n v="0"/>
    <n v="15192.945714285714"/>
    <n v="1"/>
    <m/>
    <d v="2018-03-07T00:00:00"/>
    <m/>
    <s v="Mark Leal"/>
    <d v="2017-09-29T00:00:00"/>
    <d v="2017-11-17T00:00:00"/>
    <n v="49"/>
    <d v="2017-12-03T00:00:00"/>
    <n v="16"/>
  </r>
  <r>
    <x v="0"/>
    <s v="Newcastle"/>
    <s v="Inv 13021"/>
    <d v="2018-01-08T00:00:00"/>
    <d v="2017-11-30T00:00:00"/>
    <d v="2017-11-30T00:00:00"/>
    <m/>
    <m/>
    <d v="2017-12-13T00:00:00"/>
    <d v="2017-12-28T00:00:00"/>
    <m/>
    <x v="10"/>
    <s v="Dec-17"/>
    <s v="MW21123 - 2TAR -02 - AYCA-4LIG38 - Non Standard Builds Survey"/>
    <s v="Thornton"/>
    <n v="1670"/>
    <m/>
    <n v="1670"/>
    <n v="1837.0000000000002"/>
    <m/>
    <m/>
    <n v="0"/>
    <n v="1670"/>
    <n v="1"/>
    <s v="Invoiced"/>
    <d v="2017-12-14T00:00:00"/>
    <s v="Completed and handover forwarded"/>
    <s v="Mark Leal"/>
    <d v="2017-09-15T00:00:00"/>
    <d v="2017-11-17T00:00:00"/>
    <n v="63"/>
    <d v="2017-11-30T00:00:00"/>
    <n v="13"/>
  </r>
  <r>
    <x v="5"/>
    <s v="Sydney"/>
    <s v="Inv 12851"/>
    <d v="2017-11-22T00:00:00"/>
    <d v="2017-09-06T00:00:00"/>
    <d v="2017-11-23T00:00:00"/>
    <m/>
    <m/>
    <m/>
    <m/>
    <m/>
    <x v="10"/>
    <s v="Jan-00"/>
    <s v="2DAL-23-MPS-003 FttB Build"/>
    <s v="Sydney"/>
    <n v="12629.08"/>
    <m/>
    <n v="12629.08"/>
    <n v="13891.988000000001"/>
    <n v="2300"/>
    <m/>
    <n v="2300"/>
    <n v="10329.08"/>
    <n v="0.81788063738609618"/>
    <s v="Invoiced"/>
    <d v="2017-12-07T00:00:00"/>
    <s v="Completed and handover forwarded"/>
    <s v="Sam Harwood"/>
    <s v="N/A"/>
    <s v="N/A"/>
    <s v="N/A"/>
    <s v="N/A"/>
    <s v="N/A"/>
  </r>
  <r>
    <x v="5"/>
    <s v="Sydney"/>
    <s v="Inv 12852"/>
    <d v="2017-11-22T00:00:00"/>
    <d v="2017-09-06T00:00:00"/>
    <d v="2017-11-23T00:00:00"/>
    <m/>
    <m/>
    <m/>
    <m/>
    <m/>
    <x v="10"/>
    <s v="Jan-00"/>
    <s v="2DAL-23-MPS-004 FttB Build"/>
    <s v="Sydney"/>
    <n v="8851.2800000000007"/>
    <m/>
    <n v="8851.2800000000007"/>
    <n v="9736.4080000000013"/>
    <n v="1736.5"/>
    <m/>
    <n v="1736.5"/>
    <n v="7114.7800000000007"/>
    <n v="0.80381368570421452"/>
    <s v="Invoiced"/>
    <d v="2017-12-07T00:00:00"/>
    <s v="Completed and handover forwarded"/>
    <s v="Sam Harwood"/>
    <s v="N/A"/>
    <s v="N/A"/>
    <s v="N/A"/>
    <s v="N/A"/>
    <s v="N/A"/>
  </r>
  <r>
    <x v="5"/>
    <s v="Sydney"/>
    <s v="Inv 12853"/>
    <d v="2017-11-22T00:00:00"/>
    <d v="2017-09-06T00:00:00"/>
    <d v="2017-11-23T00:00:00"/>
    <m/>
    <m/>
    <m/>
    <m/>
    <m/>
    <x v="10"/>
    <s v="Jan-00"/>
    <s v="2DAL-24-MPS-008 FttB Build"/>
    <s v="Sydney"/>
    <n v="11338.68"/>
    <m/>
    <n v="11338.68"/>
    <n v="12472.548000000001"/>
    <n v="1700"/>
    <m/>
    <n v="1700"/>
    <n v="9638.68"/>
    <n v="0.8500707313373338"/>
    <s v="Invoiced"/>
    <d v="2017-12-07T00:00:00"/>
    <s v="Completed and handover forwarded"/>
    <s v="Sam Harwood"/>
    <s v="N/A"/>
    <s v="N/A"/>
    <s v="N/A"/>
    <s v="N/A"/>
    <s v="N/A"/>
  </r>
  <r>
    <x v="0"/>
    <s v="Sydney"/>
    <s v="Inv 13588"/>
    <d v="2018-05-10T00:00:00"/>
    <d v="2018-03-19T00:00:00"/>
    <d v="2018-03-19T00:00:00"/>
    <d v="2018-03-21T00:00:00"/>
    <d v="2018-04-04T00:00:00"/>
    <d v="2018-04-05T00:00:00"/>
    <d v="2018-05-08T00:00:00"/>
    <m/>
    <x v="11"/>
    <s v="May-18"/>
    <s v="MW21821-AYCA-52OMAH-2NRN-10-18 Bluett Dr, Smeaton Grange Externals"/>
    <s v="Smeaton Grange"/>
    <n v="7704.13"/>
    <n v="1721.05"/>
    <n v="9425.18"/>
    <n v="10367.698"/>
    <m/>
    <m/>
    <n v="0"/>
    <n v="9425.18"/>
    <n v="1"/>
    <m/>
    <d v="2018-04-02T00:00:00"/>
    <m/>
    <s v="Ertan Cicek "/>
    <d v="2018-02-12T00:00:00"/>
    <d v="2018-02-19T00:00:00"/>
    <n v="7"/>
    <d v="2018-03-19T00:00:00"/>
    <n v="28"/>
  </r>
  <r>
    <x v="2"/>
    <s v="Sydney"/>
    <m/>
    <m/>
    <d v="2018-06-06T00:00:00"/>
    <d v="2018-06-07T00:00:00"/>
    <d v="2018-06-06T00:00:00"/>
    <m/>
    <d v="2018-06-21T00:00:00"/>
    <d v="2018-07-05T00:00:00"/>
    <m/>
    <x v="14"/>
    <s v="Jul-18"/>
    <s v="MW21524 -  AYCA-47C97W-2BLK-01 -51 Kildare Rd Blacktown"/>
    <s v="Blacktown"/>
    <n v="1711.6"/>
    <n v="1825.26"/>
    <n v="3536.8599999999997"/>
    <n v="3890.5459999999998"/>
    <n v="1221.19"/>
    <m/>
    <n v="1221.19"/>
    <n v="2315.6699999999996"/>
    <n v="0.65472481240422287"/>
    <m/>
    <d v="2018-06-21T00:00:00"/>
    <m/>
    <s v="Ertan Cicek"/>
    <s v="Direct Award"/>
    <d v="2017-12-07T00:00:00"/>
    <m/>
    <d v="2017-12-15T00:00:00"/>
    <n v="8"/>
  </r>
  <r>
    <x v="2"/>
    <s v="Sydney"/>
    <s v="Inv 13519"/>
    <d v="2018-04-20T00:00:00"/>
    <d v="2018-02-14T00:00:00"/>
    <d v="2018-02-15T00:00:00"/>
    <d v="2018-03-22T00:00:00"/>
    <d v="2018-04-13T00:00:00"/>
    <d v="2018-02-28T00:00:00"/>
    <d v="2018-04-24T00:00:00"/>
    <m/>
    <x v="2"/>
    <s v="Apr-18"/>
    <s v="MW21521-AYCA-1OHQX6 -2ROU-02-Lake Promenade - Building C- EXTERNAL"/>
    <s v="Rouse Hill"/>
    <n v="3895.2"/>
    <n v="8849.84"/>
    <n v="12745.04"/>
    <n v="14019.544000000002"/>
    <n v="3361.68"/>
    <m/>
    <n v="3361.68"/>
    <n v="9383.36"/>
    <n v="0.73623621424491414"/>
    <m/>
    <d v="2018-03-01T00:00:00"/>
    <m/>
    <s v="Lindy Chan"/>
    <s v="Direct Award"/>
    <d v="2017-12-08T00:00:00"/>
    <m/>
    <d v="2017-12-15T00:00:00"/>
    <n v="7"/>
  </r>
  <r>
    <x v="2"/>
    <s v="Sydney"/>
    <m/>
    <m/>
    <m/>
    <d v="2018-07-30T00:00:00"/>
    <m/>
    <m/>
    <m/>
    <m/>
    <m/>
    <x v="9"/>
    <s v="Jan-00"/>
    <s v="MW21570-AYCA-1L7010  - 2LID-08 - Mixed Use Development - Tower A and B"/>
    <s v="Auburn"/>
    <n v="2066.42"/>
    <m/>
    <n v="2066.42"/>
    <n v="2273.0620000000004"/>
    <n v="4673.01"/>
    <m/>
    <n v="4673.01"/>
    <n v="-2606.59"/>
    <n v="-1.2614037804512153"/>
    <m/>
    <d v="2018-08-13T00:00:00"/>
    <m/>
    <s v="Ertan Cicek "/>
    <s v="Direct Award"/>
    <d v="2017-12-12T00:00:00"/>
    <m/>
    <d v="2018-01-04T00:00:00"/>
    <n v="23"/>
  </r>
  <r>
    <x v="2"/>
    <s v="Sydney"/>
    <s v="Inv 13274"/>
    <d v="2018-02-22T00:00:00"/>
    <d v="2018-01-12T00:00:00"/>
    <d v="2018-01-12T00:00:00"/>
    <d v="2017-01-15T00:00:00"/>
    <d v="2018-02-07T00:00:00"/>
    <d v="2018-01-29T00:00:00"/>
    <d v="2018-02-27T00:00:00"/>
    <m/>
    <x v="13"/>
    <s v="Feb-18"/>
    <s v="MW21549-2LIV-03-AYCA-48U5AE-Flat Building - 1"/>
    <s v="Liverpool"/>
    <n v="1093.2"/>
    <n v="4076.63"/>
    <n v="5169.83"/>
    <n v="5686.8130000000001"/>
    <m/>
    <m/>
    <n v="0"/>
    <n v="5169.83"/>
    <n v="1"/>
    <m/>
    <d v="2018-01-26T00:00:00"/>
    <m/>
    <s v="Ertan Cicek "/>
    <s v="Direct Award"/>
    <d v="2017-12-12T00:00:00"/>
    <m/>
    <d v="2017-12-15T00:00:00"/>
    <n v="3"/>
  </r>
  <r>
    <x v="2"/>
    <s v="Sth Coast"/>
    <s v="Inv 13276"/>
    <d v="2018-02-22T00:00:00"/>
    <d v="2018-01-12T00:00:00"/>
    <d v="2018-01-12T00:00:00"/>
    <d v="2018-01-12T00:00:00"/>
    <d v="2018-01-29T00:00:00"/>
    <d v="2018-01-31T00:00:00"/>
    <d v="2018-02-27T00:00:00"/>
    <m/>
    <x v="13"/>
    <s v="Feb-18"/>
    <s v="MW21539 - AYCA-4SJ1RQ - 2WLG-05 - 18 Armstrong St West Wollongong NSW 2500 -INTERNAL"/>
    <s v="Wollongong"/>
    <n v="339.17"/>
    <n v="2680.5549999999998"/>
    <n v="3019.7249999999999"/>
    <n v="3321.6975000000002"/>
    <n v="1266"/>
    <m/>
    <n v="1266"/>
    <n v="1753.7249999999999"/>
    <n v="0.58075652584258497"/>
    <m/>
    <d v="2018-01-26T00:00:00"/>
    <m/>
    <s v="Nabeel Jaimon"/>
    <s v="Direct Award"/>
    <d v="2017-12-12T00:00:00"/>
    <m/>
    <d v="2017-12-15T00:00:00"/>
    <n v="3"/>
  </r>
  <r>
    <x v="2"/>
    <s v="Sydney"/>
    <s v="Inv 13329"/>
    <d v="2018-08-07T00:00:00"/>
    <d v="2018-02-02T00:00:00"/>
    <d v="2018-02-02T00:00:00"/>
    <d v="2018-02-06T00:00:00"/>
    <d v="2018-02-27T00:00:00"/>
    <d v="2018-02-15T00:00:00"/>
    <d v="2018-03-08T00:00:00"/>
    <m/>
    <x v="2"/>
    <s v="Mar-18"/>
    <s v="MW21537-AYCA-424B5V- 2LID-05- 9-13 GELIBOLU PARADE, AUBURN"/>
    <s v="Auburn"/>
    <n v="436.29"/>
    <n v="5127.37"/>
    <n v="5563.66"/>
    <n v="6120.0260000000007"/>
    <n v="2088.0500000000002"/>
    <m/>
    <n v="2088.0500000000002"/>
    <n v="3475.6099999999997"/>
    <n v="0.62469848984301701"/>
    <m/>
    <d v="2018-02-16T00:00:00"/>
    <m/>
    <s v="Ertan Cicek "/>
    <s v="Direct Award"/>
    <d v="2017-12-12T00:00:00"/>
    <m/>
    <d v="2017-12-15T00:00:00"/>
    <n v="3"/>
  </r>
  <r>
    <x v="2"/>
    <s v="Sydney"/>
    <s v="Inv 13234"/>
    <d v="2018-02-15T00:00:00"/>
    <d v="2018-01-10T00:00:00"/>
    <d v="2018-01-10T00:00:00"/>
    <d v="2018-01-10T00:00:00"/>
    <d v="2018-01-24T00:00:00"/>
    <d v="2018-01-22T00:00:00"/>
    <d v="2018-02-15T00:00:00"/>
    <m/>
    <x v="13"/>
    <s v="Feb-18"/>
    <s v="MW21540-AYCA-3DOI9R -2LIV-02- 166/176-178 Terminus ST ,Liverpool "/>
    <s v="Liverpool"/>
    <n v="1441.28"/>
    <n v="3767.91"/>
    <n v="5209.1899999999996"/>
    <n v="5730.1090000000004"/>
    <n v="1325"/>
    <m/>
    <n v="1325"/>
    <n v="3884.1899999999996"/>
    <n v="0.74564183683067808"/>
    <m/>
    <d v="2018-01-24T00:00:00"/>
    <m/>
    <s v="Ertan Cicek "/>
    <s v="Direct Award"/>
    <d v="2017-12-12T00:00:00"/>
    <m/>
    <d v="2017-12-15T00:00:00"/>
    <n v="3"/>
  </r>
  <r>
    <x v="0"/>
    <s v="Central Coast"/>
    <s v="Inv 13520"/>
    <d v="2018-04-20T00:00:00"/>
    <d v="2018-03-27T00:00:00"/>
    <d v="2018-03-27T00:00:00"/>
    <d v="2018-04-05T00:00:00"/>
    <d v="2018-04-13T00:00:00"/>
    <d v="2018-04-12T00:00:00"/>
    <d v="2018-04-24T00:00:00"/>
    <m/>
    <x v="11"/>
    <s v="Apr-18"/>
    <s v="MW21473 - AYCA-3TNJ90-64 - 2ERN-03 - James Sea Drive, Green Point"/>
    <s v="Green Point"/>
    <n v="5531.99"/>
    <n v="5861.7517292798038"/>
    <n v="11393.741729279804"/>
    <n v="12533.115902207785"/>
    <n v="5884.29"/>
    <m/>
    <n v="5884.29"/>
    <n v="5509.4517292798037"/>
    <n v="0.48355069477496881"/>
    <m/>
    <d v="2018-04-10T00:00:00"/>
    <m/>
    <s v="Dave Yoemans"/>
    <d v="2017-11-03T00:00:00"/>
    <d v="2018-01-23T00:00:00"/>
    <n v="81"/>
    <d v="2018-01-16T00:00:00"/>
    <n v="-7"/>
  </r>
  <r>
    <x v="2"/>
    <s v="Sydney"/>
    <s v="Inv 13246"/>
    <d v="2018-02-20T00:00:00"/>
    <d v="2017-12-14T00:00:00"/>
    <d v="2018-01-15T00:00:00"/>
    <d v="2018-01-15T00:00:00"/>
    <d v="2018-01-29T00:00:00"/>
    <d v="2018-01-30T00:00:00"/>
    <d v="2018-02-20T00:00:00"/>
    <m/>
    <x v="13"/>
    <s v="Feb-18"/>
    <s v="MW21538-2PAR-63-AYCA-44DU8G 8-10 FRASER ST, WESTMEAD"/>
    <s v="Westmead"/>
    <n v="624.42999999999995"/>
    <n v="1621.32"/>
    <n v="2245.75"/>
    <n v="2470.3250000000003"/>
    <n v="1359.64"/>
    <m/>
    <n v="1359.64"/>
    <n v="886.1099999999999"/>
    <n v="0.39457196927529775"/>
    <m/>
    <d v="2018-01-29T00:00:00"/>
    <m/>
    <s v="Ertan Cicek "/>
    <s v="Direct Award"/>
    <d v="2017-12-13T00:00:00"/>
    <m/>
    <d v="2017-12-15T00:00:00"/>
    <n v="2"/>
  </r>
  <r>
    <x v="2"/>
    <s v="Sydney"/>
    <s v="Inv 13282"/>
    <d v="2018-02-22T00:00:00"/>
    <d v="2018-01-29T00:00:00"/>
    <d v="2018-01-30T00:00:00"/>
    <m/>
    <m/>
    <d v="2018-02-12T00:00:00"/>
    <d v="2018-02-27T00:00:00"/>
    <m/>
    <x v="13"/>
    <s v="Feb-18"/>
    <s v="MW21613-AYCA-4M07QT- 2CBT-06-12 Capertee St Ruse"/>
    <s v="Ruse"/>
    <n v="1120"/>
    <m/>
    <n v="1120"/>
    <n v="1232"/>
    <m/>
    <m/>
    <n v="0"/>
    <n v="1120"/>
    <n v="1"/>
    <m/>
    <d v="2018-02-13T00:00:00"/>
    <m/>
    <s v="Nabeel Jaimon"/>
    <s v="Direct Award"/>
    <d v="2017-12-15T00:00:00"/>
    <m/>
    <d v="2018-01-09T00:00:00"/>
    <n v="25"/>
  </r>
  <r>
    <x v="2"/>
    <s v="Sydney"/>
    <s v="Inv 13371"/>
    <d v="2018-03-13T00:00:00"/>
    <d v="2018-02-01T00:00:00"/>
    <d v="2018-02-01T00:00:00"/>
    <d v="2018-02-08T00:00:00"/>
    <d v="2018-02-27T00:00:00"/>
    <d v="2018-02-14T00:00:00"/>
    <d v="2018-03-13T00:00:00"/>
    <m/>
    <x v="2"/>
    <s v="Mar-18"/>
    <s v="MW21591 - AYCA-3KWVLI - 2ROU-03 - 4 Curtis Road, Kellyville - 1"/>
    <s v="Kellyville"/>
    <n v="2663.97"/>
    <n v="9309.69"/>
    <n v="11973.66"/>
    <n v="13171.026000000002"/>
    <n v="7068"/>
    <m/>
    <n v="7068"/>
    <n v="4905.66"/>
    <n v="0.40970430094056454"/>
    <m/>
    <d v="2018-02-15T00:00:00"/>
    <m/>
    <s v="Sogand Mohtat"/>
    <s v="Direct Award"/>
    <d v="2017-12-16T00:00:00"/>
    <m/>
    <d v="2017-12-15T00:00:00"/>
    <n v="-1"/>
  </r>
  <r>
    <x v="0"/>
    <s v="Sydney"/>
    <s v="Inv 13314"/>
    <d v="2018-03-02T00:00:00"/>
    <d v="2017-12-18T00:00:00"/>
    <d v="2018-02-07T00:00:00"/>
    <m/>
    <m/>
    <d v="2018-02-21T00:00:00"/>
    <d v="2018-03-01T00:00:00"/>
    <m/>
    <x v="2"/>
    <s v="Mar-18"/>
    <s v="MW21506 - AYCA-4TCZPJ-2MIL-20-LOT 421 &amp; 422, PROGRESS CIRCUIT"/>
    <s v="Miller"/>
    <n v="3069.5"/>
    <m/>
    <n v="3069.5"/>
    <n v="3376.4500000000003"/>
    <m/>
    <m/>
    <n v="0"/>
    <n v="3069.5"/>
    <n v="1"/>
    <m/>
    <d v="2018-02-21T00:00:00"/>
    <m/>
    <s v="Nabeel Jaimon"/>
    <d v="2017-11-16T00:00:00"/>
    <d v="2018-02-12T00:00:00"/>
    <n v="88"/>
    <d v="2018-03-02T00:00:00"/>
    <n v="18"/>
  </r>
  <r>
    <x v="0"/>
    <s v="Sydney"/>
    <s v="Inv 13523"/>
    <d v="2018-04-24T00:00:00"/>
    <d v="2018-03-27T00:00:00"/>
    <d v="2018-03-28T00:00:00"/>
    <d v="2018-04-05T00:00:00"/>
    <d v="2018-04-13T00:00:00"/>
    <d v="2018-04-11T00:00:00"/>
    <d v="2018-04-24T00:00:00"/>
    <m/>
    <x v="11"/>
    <s v="Apr-18"/>
    <s v="MW21472 -  AYCA-4G5CSP - 2GRK-01 - 20 Stanley Street Wyongah"/>
    <s v="Wyongah"/>
    <n v="6634.97"/>
    <n v="4736.189029988177"/>
    <n v="11371.159029988177"/>
    <n v="12508.274932986997"/>
    <n v="1651.66"/>
    <m/>
    <n v="1651.66"/>
    <n v="9719.4990299881774"/>
    <n v="0.85475007467187647"/>
    <m/>
    <d v="2018-04-11T00:00:00"/>
    <m/>
    <s v="Dave Yoemans"/>
    <d v="2017-11-04T00:00:00"/>
    <d v="2017-12-18T00:00:00"/>
    <n v="44"/>
    <d v="2017-12-30T00:00:00"/>
    <n v="12"/>
  </r>
  <r>
    <x v="2"/>
    <s v="Sydney"/>
    <s v="Inv 13153"/>
    <d v="2018-01-30T00:00:00"/>
    <d v="2017-12-19T00:00:00"/>
    <d v="2017-12-20T00:00:00"/>
    <d v="2017-12-21T00:00:00"/>
    <d v="2018-01-04T00:00:00"/>
    <d v="2017-01-09T00:00:00"/>
    <d v="2018-01-29T00:00:00"/>
    <m/>
    <x v="12"/>
    <s v="Jan-18"/>
    <s v="MW21505-AYCA-2AS459-2LID-05 -22-26 Ann Street Lidcombe"/>
    <s v="Lidcombe"/>
    <n v="2993.87"/>
    <n v="10583.11"/>
    <n v="13576.98"/>
    <n v="14934.678"/>
    <n v="9312.630000000001"/>
    <m/>
    <n v="9312.630000000001"/>
    <n v="4264.3499999999985"/>
    <n v="0.31408678513189225"/>
    <m/>
    <d v="2018-01-03T00:00:00"/>
    <m/>
    <s v="Andrew Partalis"/>
    <s v="Direct Award"/>
    <d v="2017-11-09T00:00:00"/>
    <m/>
    <d v="2017-12-15T00:00:00"/>
    <n v="36"/>
  </r>
  <r>
    <x v="0"/>
    <s v="Sydney"/>
    <s v="Inv 13522"/>
    <d v="2018-04-20T00:00:00"/>
    <d v="2018-04-04T00:00:00"/>
    <d v="2018-04-04T00:00:00"/>
    <d v="2018-04-09T00:00:00"/>
    <d v="2018-04-17T00:00:00"/>
    <d v="2018-04-16T00:00:00"/>
    <d v="2018-04-24T00:00:00"/>
    <m/>
    <x v="7"/>
    <s v="Apr-18"/>
    <s v="MW21756-AYCA-3K4RCM-2RIV-03-Marsden Park Tonzat Development - 2"/>
    <s v="Riverstone"/>
    <n v="21847.48"/>
    <n v="7995.6857142857134"/>
    <n v="29843.165714285715"/>
    <n v="32827.482285714286"/>
    <n v="9927.23"/>
    <m/>
    <n v="9927.23"/>
    <n v="19915.935714285715"/>
    <n v="0.66735331985078572"/>
    <m/>
    <d v="2018-04-18T00:00:00"/>
    <m/>
    <s v="Andrew Mahassy"/>
    <d v="2018-01-15T00:00:00"/>
    <d v="2018-01-25T00:00:00"/>
    <n v="10"/>
    <d v="2018-01-25T00:00:00"/>
    <n v="0"/>
  </r>
  <r>
    <x v="2"/>
    <s v="Sydney"/>
    <s v="Inv 13320"/>
    <d v="2018-03-20T00:00:00"/>
    <d v="2018-03-02T00:00:00"/>
    <d v="2018-03-02T00:00:00"/>
    <d v="2018-03-05T00:00:00"/>
    <d v="2018-03-14T00:00:00"/>
    <d v="2018-03-15T00:00:00"/>
    <d v="2018-03-20T00:00:00"/>
    <m/>
    <x v="11"/>
    <s v="Mar-18"/>
    <s v="MW21453 - AYCA-2RVC4H - 2LIV-04 - 100 Macquarie Street Liverpool - 1- EXTERNAL"/>
    <s v="Liverpool"/>
    <n v="9149.8799999999992"/>
    <n v="11162.67"/>
    <n v="20312.55"/>
    <n v="22343.805"/>
    <n v="2645.01"/>
    <m/>
    <n v="2645.01"/>
    <n v="17667.54"/>
    <n v="0.86978444360752349"/>
    <m/>
    <d v="2018-03-16T00:00:00"/>
    <m/>
    <s v="Nabeel Jaimon"/>
    <s v="Direct Award"/>
    <d v="2017-10-19T00:00:00"/>
    <m/>
    <d v="2017-11-22T00:00:00"/>
    <n v="34"/>
  </r>
  <r>
    <x v="2"/>
    <s v="Sydney"/>
    <s v="Inv 13532"/>
    <d v="2018-04-26T00:00:00"/>
    <d v="2018-02-13T00:00:00"/>
    <d v="2018-02-13T00:00:00"/>
    <d v="2018-02-13T00:00:00"/>
    <d v="2018-04-20T00:00:00"/>
    <d v="2018-02-23T00:00:00"/>
    <d v="2018-04-26T00:00:00"/>
    <m/>
    <x v="2"/>
    <s v="Apr-18"/>
    <s v="MW21639-AYCA-4SZLC6 -2PTH-02- William Younis - 1"/>
    <s v="Penrith"/>
    <n v="391.14"/>
    <n v="2114.7199999999998"/>
    <n v="2505.8599999999997"/>
    <n v="2756.4459999999999"/>
    <n v="893.6"/>
    <m/>
    <n v="893.6"/>
    <n v="1612.2599999999998"/>
    <n v="0.64339588005714599"/>
    <m/>
    <d v="2018-02-27T00:00:00"/>
    <m/>
    <s v="Ertan Cicek "/>
    <s v="Direct Award"/>
    <d v="2017-12-21T00:00:00"/>
    <m/>
    <d v="2017-12-30T00:00:00"/>
    <n v="9"/>
  </r>
  <r>
    <x v="2"/>
    <s v="Sydney"/>
    <s v="Inv 13505"/>
    <d v="2018-04-19T00:00:00"/>
    <d v="2018-03-04T00:00:00"/>
    <d v="2018-03-07T00:00:00"/>
    <d v="2018-03-07T00:00:00"/>
    <d v="2018-04-13T00:00:00"/>
    <d v="2018-03-20T00:00:00"/>
    <d v="2018-04-03T00:00:00"/>
    <m/>
    <x v="11"/>
    <s v="Apr-18"/>
    <s v="MW20778 - AYCA-40UXV5 - 163 Parker St, South Penrith Ext"/>
    <s v="Penrith"/>
    <n v="1571.26"/>
    <n v="96407.250000021595"/>
    <n v="97978.51000002159"/>
    <n v="107776.36100002375"/>
    <n v="26378.379999999997"/>
    <m/>
    <n v="26378.379999999997"/>
    <n v="71600.1300000216"/>
    <n v="0.73077381968766231"/>
    <m/>
    <d v="2018-03-21T00:00:00"/>
    <m/>
    <s v="Andrew Partalis"/>
    <s v="Direct Award"/>
    <d v="2017-05-25T00:00:00"/>
    <m/>
    <d v="2018-01-17T00:00:00"/>
    <n v="237"/>
  </r>
  <r>
    <x v="2"/>
    <s v="Sydney"/>
    <s v="Inv 13432"/>
    <d v="2018-03-27T00:00:00"/>
    <d v="2018-03-02T00:00:00"/>
    <d v="2018-03-07T00:00:00"/>
    <d v="2018-03-06T00:00:00"/>
    <d v="2018-03-14T00:00:00"/>
    <d v="2018-03-21T00:00:00"/>
    <d v="2018-03-27T00:00:00"/>
    <m/>
    <x v="11"/>
    <s v="Mar-18"/>
    <s v="MW21652-AYCA-2ILOMV - 2ASH-05-INFINTY - 1"/>
    <s v="Ashfield"/>
    <n v="1516.81"/>
    <n v="12893.51"/>
    <n v="14410.32"/>
    <n v="15851.352000000001"/>
    <n v="7676.2"/>
    <m/>
    <n v="7676.2"/>
    <n v="6734.12"/>
    <n v="0.46731231506309368"/>
    <m/>
    <d v="2018-03-21T00:00:00"/>
    <m/>
    <s v="Ertan Cicek "/>
    <s v="Direct Award"/>
    <d v="2018-01-04T00:00:00"/>
    <m/>
    <d v="2018-02-19T00:00:00"/>
    <n v="46"/>
  </r>
  <r>
    <x v="2"/>
    <s v="Sydney"/>
    <s v="Inv 13275"/>
    <d v="2018-02-22T00:00:00"/>
    <d v="2018-01-22T00:00:00"/>
    <d v="2018-01-22T00:00:00"/>
    <d v="2018-01-23T00:00:00"/>
    <d v="2018-02-07T00:00:00"/>
    <d v="2018-02-07T00:00:00"/>
    <d v="2018-02-27T00:00:00"/>
    <m/>
    <x v="13"/>
    <s v="Feb-18"/>
    <s v="MW21611-AYCA-3K2CFZ -2CBT-05-Modco Boarding House 1"/>
    <s v="Campbelltown"/>
    <n v="1863.69"/>
    <n v="1955.78"/>
    <n v="3819.4700000000003"/>
    <n v="4201.4170000000004"/>
    <n v="798.75"/>
    <m/>
    <n v="798.75"/>
    <n v="3020.7200000000003"/>
    <n v="0.79087412651493538"/>
    <m/>
    <d v="2018-02-05T00:00:00"/>
    <m/>
    <s v="Ertan Cicek "/>
    <s v="Direct Award"/>
    <d v="2017-01-04T00:00:00"/>
    <m/>
    <d v="2017-01-29T00:00:00"/>
    <n v="25"/>
  </r>
  <r>
    <x v="2"/>
    <s v="Sydney"/>
    <s v="Inv 13447"/>
    <d v="2018-04-04T00:00:00"/>
    <d v="2018-03-08T00:00:00"/>
    <d v="2018-03-07T00:00:00"/>
    <d v="2018-03-09T00:00:00"/>
    <d v="2018-03-26T00:00:00"/>
    <d v="2018-03-22T00:00:00"/>
    <d v="2018-04-03T00:00:00"/>
    <m/>
    <x v="11"/>
    <s v="Apr-18"/>
    <s v="MW21718-AYCA-4TB2X9- 2NRL-22-NSB - Wirrinya Pl Grasme"/>
    <s v="Grasmere"/>
    <n v="4429.6000000000004"/>
    <n v="6859.5199999999986"/>
    <n v="11289.119999999999"/>
    <n v="12418.031999999999"/>
    <m/>
    <m/>
    <n v="0"/>
    <n v="11289.119999999999"/>
    <n v="1"/>
    <m/>
    <d v="2018-03-21T00:00:00"/>
    <m/>
    <s v="Ertan Cicek "/>
    <s v="Direct Award"/>
    <d v="2018-01-09T00:00:00"/>
    <m/>
    <d v="2018-02-27T00:00:00"/>
    <n v="49"/>
  </r>
  <r>
    <x v="2"/>
    <s v="Sydney"/>
    <s v="Inv 13280"/>
    <d v="2018-02-22T00:00:00"/>
    <d v="2018-01-22T00:00:00"/>
    <d v="2018-01-22T00:00:00"/>
    <d v="2018-01-23T00:00:00"/>
    <d v="2018-02-06T00:00:00"/>
    <d v="2018-02-01T00:00:00"/>
    <d v="2018-02-22T00:00:00"/>
    <m/>
    <x v="13"/>
    <s v="Feb-18"/>
    <s v="MW21706 - AYCA-4IYJ4J -2PTH-02 - CRONIN EQUITY PTY LTD - 1"/>
    <s v="Penrith"/>
    <n v="616.64"/>
    <n v="-131.31"/>
    <n v="485.33"/>
    <n v="533.86300000000006"/>
    <m/>
    <m/>
    <n v="0"/>
    <n v="485.33"/>
    <n v="1"/>
    <m/>
    <d v="2018-02-05T00:00:00"/>
    <m/>
    <s v="Ertan Cicek "/>
    <s v="Direct Award"/>
    <d v="2018-01-04T00:00:00"/>
    <m/>
    <d v="2018-01-30T00:00:00"/>
    <n v="26"/>
  </r>
  <r>
    <x v="2"/>
    <s v="Sydney"/>
    <s v="Inv 13446"/>
    <d v="2018-04-04T00:00:00"/>
    <d v="2018-03-13T00:00:00"/>
    <d v="2018-03-13T00:00:00"/>
    <d v="2018-03-14T00:00:00"/>
    <m/>
    <d v="2018-03-23T00:00:00"/>
    <d v="2018-04-04T00:00:00"/>
    <m/>
    <x v="11"/>
    <s v="Apr-18"/>
    <s v="MW21947-AYCA-54T32P-2MIL-01-Ryan &amp; Burrows Avenue"/>
    <s v="Miller"/>
    <n v="3241.78"/>
    <n v="220.64"/>
    <n v="3462.42"/>
    <n v="3808.6620000000003"/>
    <n v="1560.1"/>
    <m/>
    <n v="1560.1"/>
    <n v="1902.3200000000002"/>
    <n v="0.54941919235679093"/>
    <m/>
    <d v="2018-03-27T00:00:00"/>
    <m/>
    <s v="Andrew Mahassy"/>
    <s v="Direct Award"/>
    <d v="2018-02-22T00:00:00"/>
    <m/>
    <d v="2018-04-30T00:00:00"/>
    <n v="67"/>
  </r>
  <r>
    <x v="2"/>
    <s v="Sydney"/>
    <m/>
    <m/>
    <m/>
    <d v="2018-08-30T00:00:00"/>
    <m/>
    <m/>
    <m/>
    <m/>
    <m/>
    <x v="15"/>
    <s v="Jan-00"/>
    <s v="MW21705-AYCA-468RZY-2LID-04-23 RAILWAY PARADE - externals"/>
    <s v="Lidcombe"/>
    <n v="671.72"/>
    <m/>
    <n v="671.72"/>
    <n v="738.89200000000005"/>
    <m/>
    <m/>
    <n v="0"/>
    <n v="671.72"/>
    <n v="1"/>
    <m/>
    <d v="2018-09-13T00:00:00"/>
    <m/>
    <s v="Nabeel Jaimon"/>
    <s v="Direct Award"/>
    <d v="2018-01-04T00:00:00"/>
    <m/>
    <d v="2018-02-15T00:00:00"/>
    <n v="42"/>
  </r>
  <r>
    <x v="2"/>
    <s v="Sydney"/>
    <m/>
    <m/>
    <m/>
    <d v="2018-08-30T00:00:00"/>
    <m/>
    <m/>
    <m/>
    <m/>
    <m/>
    <x v="15"/>
    <s v="Jan-00"/>
    <s v="MW21699-AYCA-3E5O97-2ROU-03-Hancy - 1"/>
    <s v="Kellyville"/>
    <n v="3447.12"/>
    <m/>
    <n v="3447.12"/>
    <n v="3791.8320000000003"/>
    <m/>
    <m/>
    <n v="0"/>
    <n v="3447.12"/>
    <n v="1"/>
    <m/>
    <d v="2018-09-13T00:00:00"/>
    <m/>
    <s v="Ertan Cicek "/>
    <s v="Direct Award"/>
    <d v="2018-01-04T00:00:00"/>
    <m/>
    <d v="2018-02-15T00:00:00"/>
    <n v="42"/>
  </r>
  <r>
    <x v="2"/>
    <s v="Sydney"/>
    <s v="Inv 13448"/>
    <d v="2018-04-05T00:00:00"/>
    <d v="2018-03-19T00:00:00"/>
    <d v="2018-03-19T00:00:00"/>
    <d v="2018-03-20T00:00:00"/>
    <d v="2018-03-22T00:00:00"/>
    <d v="2018-03-29T00:00:00"/>
    <d v="2018-04-05T00:00:00"/>
    <m/>
    <x v="11"/>
    <s v="Apr-18"/>
    <s v="MW21924-AYCA-41E0L5-2ROU-33-33 FOXALL RD, KELLYVILLE"/>
    <s v="Kellyville"/>
    <n v="2397.62"/>
    <n v="717.29"/>
    <n v="3114.91"/>
    <n v="3426.4010000000003"/>
    <m/>
    <m/>
    <n v="0"/>
    <n v="3114.91"/>
    <n v="1"/>
    <m/>
    <d v="2018-04-02T00:00:00"/>
    <m/>
    <s v="Sogand Mohtat"/>
    <s v="Direct Award"/>
    <d v="2018-03-05T00:00:00"/>
    <m/>
    <d v="2018-03-28T00:00:00"/>
    <n v="23"/>
  </r>
  <r>
    <x v="2"/>
    <s v="Sydney"/>
    <s v="Inv 13464"/>
    <d v="2018-04-09T00:00:00"/>
    <d v="2018-03-19T00:00:00"/>
    <d v="2018-03-19T00:00:00"/>
    <d v="2018-03-21T00:00:00"/>
    <d v="2018-04-04T00:00:00"/>
    <d v="2018-03-29T00:00:00"/>
    <d v="2018-04-10T00:00:00"/>
    <m/>
    <x v="11"/>
    <s v="Apr-18"/>
    <s v="MW21959-AYCA-52OMAH-2NRN-10-18 Bluett Dr Smeaton Grang Int"/>
    <s v="Smeaton Grange"/>
    <n v="1400"/>
    <n v="1500.7"/>
    <n v="2900.7"/>
    <n v="3190.77"/>
    <m/>
    <m/>
    <n v="0"/>
    <n v="2900.7"/>
    <n v="1"/>
    <m/>
    <d v="2018-04-02T00:00:00"/>
    <m/>
    <s v="Ertan Cicek"/>
    <s v="Direct Award"/>
    <d v="2018-02-27T00:00:00"/>
    <m/>
    <d v="2018-03-02T00:00:00"/>
    <n v="3"/>
  </r>
  <r>
    <x v="2"/>
    <s v="Sydney"/>
    <s v="inv 13612"/>
    <d v="2018-05-17T00:00:00"/>
    <d v="2018-04-21T00:00:00"/>
    <d v="2018-04-23T00:00:00"/>
    <d v="2018-05-01T00:00:00"/>
    <d v="2018-05-10T00:00:00"/>
    <d v="2018-05-04T00:00:00"/>
    <d v="2018-05-17T00:00:00"/>
    <m/>
    <x v="7"/>
    <s v="May-18"/>
    <s v="MW21724-AYCA-3TP6RP-2SIL-04-Majors Bay Mortlake Residential "/>
    <s v="Mortlake"/>
    <n v="5248.59"/>
    <n v="7137.58"/>
    <n v="12386.17"/>
    <n v="13624.787000000002"/>
    <n v="3269.94"/>
    <m/>
    <n v="3269.94"/>
    <n v="9116.23"/>
    <n v="0.73600071692863889"/>
    <m/>
    <d v="2018-05-07T00:00:00"/>
    <m/>
    <s v="Ertan Cicek "/>
    <s v="Direct Award"/>
    <d v="2018-01-09T00:00:00"/>
    <m/>
    <d v="2018-02-15T00:00:00"/>
    <n v="37"/>
  </r>
  <r>
    <x v="2"/>
    <s v="Sydney"/>
    <m/>
    <m/>
    <m/>
    <d v="2018-08-30T00:00:00"/>
    <m/>
    <m/>
    <m/>
    <m/>
    <m/>
    <x v="15"/>
    <s v="Jan-00"/>
    <s v="MW21728-AYCA-4HTS7R-2RIV-03-875 RICHMOND RD, MARSDEN PARK"/>
    <s v="Marsden Park"/>
    <n v="731.99"/>
    <m/>
    <n v="731.99"/>
    <n v="805.18900000000008"/>
    <m/>
    <m/>
    <n v="0"/>
    <n v="731.99"/>
    <n v="1"/>
    <m/>
    <d v="2018-09-13T00:00:00"/>
    <m/>
    <s v="Ertan Cicek "/>
    <s v="Direct Award"/>
    <d v="2018-01-09T00:00:00"/>
    <m/>
    <d v="2018-02-27T00:00:00"/>
    <n v="49"/>
  </r>
  <r>
    <x v="0"/>
    <s v="Sydney"/>
    <m/>
    <m/>
    <d v="2018-01-10T00:00:00"/>
    <d v="2018-02-13T00:00:00"/>
    <d v="2018-02-13T00:00:00"/>
    <d v="2018-03-06T00:00:00"/>
    <d v="2018-02-23T00:00:00"/>
    <d v="2018-03-15T00:00:00"/>
    <m/>
    <x v="2"/>
    <s v="Mar-18"/>
    <s v="MW21408 - AYCA-4GCT7O - 2ROC-04 - Baxter International Hotel - 1 "/>
    <s v="Mascot"/>
    <n v="5871.23"/>
    <n v="3879.7714285714283"/>
    <n v="9751.0014285714278"/>
    <n v="10726.101571428571"/>
    <m/>
    <m/>
    <n v="0"/>
    <n v="9751.0014285714278"/>
    <n v="1"/>
    <m/>
    <d v="2018-02-27T00:00:00"/>
    <m/>
    <s v="Ertan Cicek "/>
    <d v="2017-11-16T00:00:00"/>
    <d v="2018-02-12T00:00:00"/>
    <n v="88"/>
    <d v="2018-03-02T00:00:00"/>
    <n v="18"/>
  </r>
  <r>
    <x v="0"/>
    <s v="Newcastle"/>
    <s v="Inv 13327"/>
    <d v="2018-02-07T00:00:00"/>
    <d v="2018-01-12T00:00:00"/>
    <d v="2018-02-07T00:00:00"/>
    <d v="2018-02-07T00:00:00"/>
    <d v="2018-02-27T00:00:00"/>
    <d v="2018-02-20T00:00:00"/>
    <d v="2018-03-08T00:00:00"/>
    <m/>
    <x v="2"/>
    <s v="Mar-18"/>
    <s v="MW21512 - AYCA-4IUR86 -2NLT-09 - Clarendene - 1"/>
    <s v="Wallsend"/>
    <n v="6924.34"/>
    <n v="3879.77"/>
    <n v="10804.11"/>
    <n v="11884.521000000002"/>
    <n v="3626.8"/>
    <m/>
    <n v="3626.8"/>
    <n v="7177.31"/>
    <n v="0.66431293276355019"/>
    <m/>
    <d v="2018-02-21T00:00:00"/>
    <m/>
    <s v="Andrew Partalis"/>
    <d v="2017-11-14T00:00:00"/>
    <d v="2018-02-06T00:00:00"/>
    <n v="84"/>
    <d v="2018-03-02T00:00:00"/>
    <n v="24"/>
  </r>
  <r>
    <x v="2"/>
    <s v="Sth Coast"/>
    <s v="Inv 13247"/>
    <d v="2018-02-19T00:00:00"/>
    <d v="2018-01-12T00:00:00"/>
    <d v="2018-01-12T00:00:00"/>
    <d v="2018-01-30T00:00:00"/>
    <d v="2018-02-07T00:00:00"/>
    <d v="2018-01-31T00:00:00"/>
    <d v="2018-02-20T00:00:00"/>
    <s v="Jan-18"/>
    <x v="13"/>
    <s v="Feb-18"/>
    <s v="MW21552 - AYCA-4SJ1RQ - 2KNS-21 - 18 Armstrong St West Wollongong, Externals"/>
    <s v="Wollongong"/>
    <n v="339.17"/>
    <n v="1627.9699999999998"/>
    <n v="1967.1399999999999"/>
    <n v="2163.8539999999998"/>
    <n v="1075.44"/>
    <m/>
    <n v="1075.44"/>
    <n v="891.69999999999982"/>
    <n v="0.45329768089713995"/>
    <m/>
    <d v="2018-01-26T00:00:00"/>
    <m/>
    <s v="Nabeel Jaimon"/>
    <s v="Direct Award"/>
    <d v="2017-12-12T00:00:00"/>
    <m/>
    <d v="2017-12-15T00:00:00"/>
    <n v="3"/>
  </r>
  <r>
    <x v="2"/>
    <s v="Sydney"/>
    <s v="Inv 13315"/>
    <d v="2018-03-01T00:00:00"/>
    <d v="2018-01-25T00:00:00"/>
    <d v="2018-01-25T00:00:00"/>
    <m/>
    <m/>
    <d v="2018-02-07T00:00:00"/>
    <d v="2018-03-01T00:00:00"/>
    <m/>
    <x v="13"/>
    <s v="Mar-18"/>
    <s v="MW21328 - AYCA-40UXV5 - 2PTH-02 - 163 Parker St - South Penrith - 1-  INTERNAL"/>
    <s v="Penrith"/>
    <n v="2880"/>
    <m/>
    <n v="2880"/>
    <n v="3168.0000000000005"/>
    <m/>
    <m/>
    <n v="0"/>
    <n v="2880"/>
    <n v="1"/>
    <m/>
    <d v="2018-02-08T00:00:00"/>
    <m/>
    <s v="Andrew Partalis"/>
    <s v="Direct Award"/>
    <d v="2017-09-22T00:00:00"/>
    <m/>
    <d v="2018-01-17T00:00:00"/>
    <n v="117"/>
  </r>
  <r>
    <x v="2"/>
    <s v="Sydney"/>
    <s v="Inv 13534"/>
    <d v="2018-04-26T00:00:00"/>
    <d v="2018-03-18T00:00:00"/>
    <d v="2018-03-20T00:00:00"/>
    <d v="2018-03-22T00:00:00"/>
    <d v="2018-04-20T00:00:00"/>
    <d v="2018-04-03T00:00:00"/>
    <d v="2018-04-26T00:00:00"/>
    <m/>
    <x v="11"/>
    <s v="Apr-18"/>
    <s v="MW21620- AYCA-4SM2C7 - 2LIV-03-60-62 Passefield Street, Liverpool"/>
    <s v="Liverpool"/>
    <n v="582.23"/>
    <n v="6807.3099999999995"/>
    <n v="7389.5399999999991"/>
    <n v="8128.4939999999997"/>
    <n v="459.6"/>
    <m/>
    <n v="459.6"/>
    <n v="6929.9399999999987"/>
    <n v="0.93780397697285622"/>
    <m/>
    <d v="2018-04-03T00:00:00"/>
    <m/>
    <s v="Andrew Mahassy"/>
    <s v="Direct Award"/>
    <d v="2017-12-21T00:00:00"/>
    <m/>
    <d v="2018-01-30T00:00:00"/>
    <n v="40"/>
  </r>
  <r>
    <x v="2"/>
    <s v="Sydney"/>
    <m/>
    <m/>
    <m/>
    <d v="2018-08-30T00:00:00"/>
    <m/>
    <m/>
    <m/>
    <m/>
    <m/>
    <x v="15"/>
    <s v="Jan-00"/>
    <s v="MW21638- AYCA-3NFID7-2PTH-04 - Tench Ave Jamisontown 1 "/>
    <s v="Penrith"/>
    <n v="2209.46"/>
    <m/>
    <n v="2209.46"/>
    <n v="2430.4060000000004"/>
    <m/>
    <m/>
    <n v="0"/>
    <n v="2209.46"/>
    <n v="1"/>
    <m/>
    <d v="2018-09-13T00:00:00"/>
    <m/>
    <s v="Ertan Cicek "/>
    <s v="Direct Award"/>
    <d v="2017-12-19T00:00:00"/>
    <m/>
    <d v="2018-01-30T00:00:00"/>
    <n v="42"/>
  </r>
  <r>
    <x v="2"/>
    <s v="Sydney"/>
    <s v="Inv 13319"/>
    <d v="2017-06-06T00:00:00"/>
    <d v="2018-02-01T00:00:00"/>
    <d v="2018-02-01T00:00:00"/>
    <d v="2018-02-01T00:00:00"/>
    <d v="2018-02-07T00:00:00"/>
    <d v="2018-02-23T00:00:00"/>
    <d v="2018-03-06T00:00:00"/>
    <m/>
    <x v="2"/>
    <s v="Mar-18"/>
    <s v="MW21551 -AYCA-4EN7KA -  2KNS-04 - Lewis &amp; Co - 1"/>
    <s v="Alexandria"/>
    <n v="1838.95"/>
    <n v="13797.3"/>
    <n v="15636.25"/>
    <n v="17199.875"/>
    <n v="10452.950000000001"/>
    <m/>
    <n v="10452.950000000001"/>
    <n v="5183.2999999999993"/>
    <n v="0.33149252538172513"/>
    <m/>
    <d v="2018-02-15T00:00:00"/>
    <m/>
    <s v="Lindy Chan"/>
    <s v="Direct Award"/>
    <d v="2017-12-15T00:00:00"/>
    <m/>
    <d v="2017-12-15T00:00:00"/>
    <n v="0"/>
  </r>
  <r>
    <x v="2"/>
    <s v="Sydney"/>
    <m/>
    <m/>
    <m/>
    <d v="2018-08-30T00:00:00"/>
    <m/>
    <m/>
    <m/>
    <m/>
    <m/>
    <x v="15"/>
    <s v="Jan-00"/>
    <s v="MW21791-AYCA-468RZY-2LID-04-23 Railway Parade - Internals"/>
    <s v="Lidcombe"/>
    <n v="1400"/>
    <m/>
    <n v="1400"/>
    <n v="1540.0000000000002"/>
    <m/>
    <m/>
    <n v="0"/>
    <n v="1400"/>
    <n v="1"/>
    <m/>
    <d v="2018-09-13T00:00:00"/>
    <m/>
    <s v="Nabeel Jaimon"/>
    <s v="Direct Award"/>
    <d v="2018-02-01T00:00:00"/>
    <m/>
    <d v="2018-03-01T00:00:00"/>
    <n v="28"/>
  </r>
  <r>
    <x v="2"/>
    <s v="Sydney"/>
    <s v="Inv 13465"/>
    <d v="2018-04-09T00:00:00"/>
    <d v="2018-03-21T00:00:00"/>
    <d v="2018-03-21T00:00:00"/>
    <d v="2018-03-22T00:00:00"/>
    <d v="2018-04-03T00:00:00"/>
    <d v="2018-04-04T00:00:00"/>
    <d v="2018-04-10T00:00:00"/>
    <m/>
    <x v="11"/>
    <s v="Apr-18"/>
    <s v="MW21178 - 2LID-06 - AYCA-32WJ4A - John St - 2 - INTERNAL"/>
    <s v="Lidcombe"/>
    <n v="2240"/>
    <n v="2401.12"/>
    <n v="4641.12"/>
    <n v="5105.232"/>
    <n v="3248.8"/>
    <m/>
    <n v="3248.8"/>
    <n v="1392.3199999999997"/>
    <n v="0.29999655255627944"/>
    <m/>
    <d v="2018-04-04T00:00:00"/>
    <m/>
    <s v="Lindy Chan"/>
    <s v="Direct Award"/>
    <d v="2017-08-23T00:00:00"/>
    <m/>
    <d v="2017-11-03T00:00:00"/>
    <n v="72"/>
  </r>
  <r>
    <x v="0"/>
    <s v="Sydney"/>
    <s v="Inv 13367"/>
    <d v="2018-03-13T00:00:00"/>
    <d v="2018-02-13T00:00:00"/>
    <d v="2018-02-13T00:00:00"/>
    <m/>
    <m/>
    <d v="2018-02-23T00:00:00"/>
    <d v="2018-02-27T00:00:00"/>
    <m/>
    <x v="2"/>
    <s v="Feb-18"/>
    <s v="MW21703 - AYCA-41SAXG - 2MIL-04 - Stage 2 Lagana"/>
    <s v="Miller"/>
    <n v="1404.18"/>
    <m/>
    <n v="1404.18"/>
    <n v="1544.5980000000002"/>
    <m/>
    <m/>
    <n v="0"/>
    <n v="1404.18"/>
    <n v="1"/>
    <m/>
    <d v="2018-02-27T00:00:00"/>
    <m/>
    <s v="Andrew Mahassy"/>
    <d v="2018-01-18T00:00:00"/>
    <d v="2018-02-06T00:00:00"/>
    <n v="19"/>
    <d v="2018-01-30T00:00:00"/>
    <n v="-7"/>
  </r>
  <r>
    <x v="2"/>
    <s v="ACT"/>
    <s v="Inv 13388"/>
    <d v="2018-03-19T00:00:00"/>
    <d v="2018-02-09T00:00:00"/>
    <d v="2018-02-09T00:00:00"/>
    <d v="2018-02-13T00:00:00"/>
    <d v="2018-03-07T00:00:00"/>
    <d v="2018-02-21T00:00:00"/>
    <d v="2018-03-20T00:00:00"/>
    <m/>
    <x v="2"/>
    <s v="Mar-18"/>
    <s v="MW21583 - AYCA-497W67- 9BLC-04- Hillside Villas Block"/>
    <s v="Lawson"/>
    <n v="1800.84"/>
    <n v="4436.93"/>
    <n v="6237.77"/>
    <n v="6861.5470000000014"/>
    <m/>
    <m/>
    <n v="0"/>
    <n v="6237.77"/>
    <n v="1"/>
    <m/>
    <d v="2018-02-23T00:00:00"/>
    <m/>
    <s v="Ertan Cicek "/>
    <s v="Direct Award"/>
    <d v="2018-12-13T00:00:00"/>
    <m/>
    <d v="2018-01-15T00:00:00"/>
    <n v="-332"/>
  </r>
  <r>
    <x v="0"/>
    <s v="Sth NSW"/>
    <s v="Inv 13370"/>
    <d v="2018-03-15T00:00:00"/>
    <d v="2018-02-21T00:00:00"/>
    <d v="2018-02-23T00:00:00"/>
    <d v="2018-02-21T00:00:00"/>
    <d v="2018-02-27T00:00:00"/>
    <d v="2018-03-07T00:00:00"/>
    <d v="2018-03-15T00:00:00"/>
    <m/>
    <x v="2"/>
    <s v="Mar-18"/>
    <s v="MW21507 - AYCA-4Q1LKQ - 2WAG-05 - The Mill Commercial Development - 1"/>
    <s v="Wagga Wagga"/>
    <n v="3800.34"/>
    <n v="6538.04"/>
    <n v="10338.380000000001"/>
    <n v="11372.218000000003"/>
    <m/>
    <m/>
    <n v="0"/>
    <n v="10338.380000000001"/>
    <n v="1"/>
    <m/>
    <d v="2018-03-09T00:00:00"/>
    <m/>
    <s v="Mark Leal"/>
    <d v="2017-11-15T00:00:00"/>
    <d v="2018-02-13T00:00:00"/>
    <n v="90"/>
    <d v="2018-01-09T00:00:00"/>
    <n v="-35"/>
  </r>
  <r>
    <x v="2"/>
    <s v="Sydney"/>
    <s v="Inv 13477"/>
    <d v="2018-02-11T00:00:00"/>
    <d v="2018-03-21T00:00:00"/>
    <d v="2018-03-21T00:00:00"/>
    <d v="2018-03-22T00:00:00"/>
    <d v="2018-04-03T00:00:00"/>
    <d v="2018-04-05T00:00:00"/>
    <d v="2018-04-10T00:00:00"/>
    <m/>
    <x v="11"/>
    <s v="Apr-18"/>
    <s v="MW21397 - AYCA-32WJ4A - 2LID-06 -  John St - 2- EXTERNAL"/>
    <s v="Lidcombe"/>
    <n v="847"/>
    <n v="5043.7950000000001"/>
    <n v="5890.7950000000001"/>
    <n v="6479.8745000000008"/>
    <n v="3585.33"/>
    <m/>
    <n v="3585.33"/>
    <n v="2305.4650000000001"/>
    <n v="0.39136737910587621"/>
    <m/>
    <d v="2018-04-04T00:00:00"/>
    <m/>
    <s v="Lindy Chan"/>
    <s v="Direct Award"/>
    <d v="2017-09-26T00:00:00"/>
    <m/>
    <d v="2017-11-01T00:00:00"/>
    <n v="36"/>
  </r>
  <r>
    <x v="2"/>
    <s v="Sydney"/>
    <m/>
    <m/>
    <d v="2018-06-27T00:00:00"/>
    <d v="2018-06-27T00:00:00"/>
    <d v="2018-06-27T00:00:00"/>
    <m/>
    <d v="2018-07-11T00:00:00"/>
    <d v="2018-07-25T00:00:00"/>
    <m/>
    <x v="14"/>
    <s v="Jul-18"/>
    <s v="MW21819-AYCA-4KXY8F-2BTH-02-1 Wark Parade, Windradyne"/>
    <s v="Camden"/>
    <n v="1240.76"/>
    <n v="10448.27"/>
    <n v="11689.03"/>
    <n v="12857.933000000001"/>
    <m/>
    <m/>
    <n v="0"/>
    <n v="11689.03"/>
    <n v="1"/>
    <m/>
    <d v="2018-07-11T00:00:00"/>
    <m/>
    <s v="Ertan Cicek "/>
    <s v="Direct Award"/>
    <d v="2018-02-20T00:00:00"/>
    <m/>
    <d v="2018-03-22T00:00:00"/>
    <n v="30"/>
  </r>
  <r>
    <x v="2"/>
    <s v="Sydney"/>
    <s v="Inv 13504"/>
    <d v="2018-04-20T00:00:00"/>
    <d v="2018-03-22T00:00:00"/>
    <d v="2018-03-22T00:00:00"/>
    <d v="2018-03-27T00:00:00"/>
    <d v="2018-04-03T00:00:00"/>
    <d v="2018-04-10T00:00:00"/>
    <d v="2018-04-24T00:00:00"/>
    <m/>
    <x v="11"/>
    <s v="Apr-18"/>
    <s v="MW21637-AYCA-4OHMS3 - 2BLK-07 -35 Holbeche road, Arndell Park - EXT"/>
    <s v="Arndell Park"/>
    <n v="1586.44"/>
    <n v="127.89"/>
    <n v="1714.3300000000002"/>
    <n v="1885.7630000000004"/>
    <n v="703.2"/>
    <m/>
    <n v="703.2"/>
    <n v="1011.1300000000001"/>
    <n v="0.5898105965595889"/>
    <m/>
    <d v="2018-04-05T00:00:00"/>
    <m/>
    <s v="Ertan Cicek "/>
    <s v="Direct Award"/>
    <d v="2017-12-20T00:00:00"/>
    <m/>
    <d v="2018-01-30T00:00:00"/>
    <n v="41"/>
  </r>
  <r>
    <x v="2"/>
    <s v="Sydney"/>
    <m/>
    <m/>
    <m/>
    <d v="2018-07-30T00:00:00"/>
    <m/>
    <m/>
    <m/>
    <m/>
    <m/>
    <x v="9"/>
    <s v="Jan-00"/>
    <s v="MW21884-AYCA-47OO3O- 2LIV-03- 188-190 Moore st, Liverpool"/>
    <s v="Liverpool"/>
    <n v="857.61"/>
    <m/>
    <n v="857.61"/>
    <n v="943.37100000000009"/>
    <m/>
    <m/>
    <n v="0"/>
    <n v="857.61"/>
    <n v="1"/>
    <m/>
    <d v="2018-08-13T00:00:00"/>
    <m/>
    <s v="Ertan Cicek "/>
    <s v="Direct Award"/>
    <d v="2018-02-20T00:00:00"/>
    <m/>
    <d v="2018-03-22T00:00:00"/>
    <n v="30"/>
  </r>
  <r>
    <x v="2"/>
    <s v="Sydney"/>
    <m/>
    <m/>
    <m/>
    <d v="2018-07-30T00:00:00"/>
    <m/>
    <m/>
    <m/>
    <m/>
    <m/>
    <x v="9"/>
    <s v="Jan-00"/>
    <s v="MW21876-AYCA-21PVTM - 2BLK-03 - 5 Second Avenue, Blacktown"/>
    <s v="Blacktown"/>
    <n v="592.62"/>
    <m/>
    <n v="592.62"/>
    <n v="651.88200000000006"/>
    <m/>
    <m/>
    <n v="0"/>
    <n v="592.62"/>
    <n v="1"/>
    <m/>
    <d v="2018-08-13T00:00:00"/>
    <m/>
    <s v="Ertan Cicek "/>
    <s v="Direct Award"/>
    <d v="2018-02-20T00:00:00"/>
    <m/>
    <d v="2018-03-22T00:00:00"/>
    <n v="30"/>
  </r>
  <r>
    <x v="1"/>
    <s v="Sydney"/>
    <s v="Inv 13433"/>
    <d v="2018-03-27T00:00:00"/>
    <d v="2018-03-06T00:00:00"/>
    <d v="2018-03-08T00:00:00"/>
    <m/>
    <m/>
    <d v="2018-03-21T00:00:00"/>
    <d v="2017-03-27T00:00:00"/>
    <m/>
    <x v="11"/>
    <s v="Mar-17"/>
    <s v="MW21979-2RIV-03 - Schofield Rd, Schofield, NSW - Held Orders x 2"/>
    <s v="Schofields"/>
    <n v="15585.13"/>
    <m/>
    <n v="15585.13"/>
    <n v="17143.643"/>
    <m/>
    <m/>
    <n v="0"/>
    <n v="15585.13"/>
    <n v="1"/>
    <m/>
    <d v="2018-03-22T00:00:00"/>
    <m/>
    <s v="Erwin Kurniawan"/>
    <d v="2018-02-20T00:00:00"/>
    <d v="2018-03-07T00:00:00"/>
    <n v="15"/>
    <d v="2018-03-23T00:00:00"/>
    <n v="16"/>
  </r>
  <r>
    <x v="1"/>
    <s v="Sydney"/>
    <s v="Inv 13463"/>
    <d v="2018-04-09T00:00:00"/>
    <d v="2018-03-06T00:00:00"/>
    <d v="2018-03-16T00:00:00"/>
    <d v="2018-03-22T00:00:00"/>
    <d v="2018-03-29T00:00:00"/>
    <d v="2018-03-28T00:00:00"/>
    <d v="2018-04-10T00:00:00"/>
    <m/>
    <x v="11"/>
    <s v="Apr-18"/>
    <s v="MW21977-2RIV-03 - South St, Schofield NSW - Held Orders x 4"/>
    <s v="Schofields"/>
    <n v="36173.660000000003"/>
    <n v="12357.71"/>
    <n v="48531.37"/>
    <n v="53384.507000000005"/>
    <m/>
    <m/>
    <n v="0"/>
    <n v="48531.37"/>
    <n v="1"/>
    <m/>
    <d v="2018-03-30T00:00:00"/>
    <m/>
    <s v="Erwin Kurniawan"/>
    <d v="2018-02-22T00:00:00"/>
    <d v="2018-03-07T00:00:00"/>
    <n v="13"/>
    <d v="2018-03-23T00:00:00"/>
    <n v="16"/>
  </r>
  <r>
    <x v="2"/>
    <s v="Sydney"/>
    <s v="Inv 13521"/>
    <d v="2018-05-20T00:00:00"/>
    <d v="2018-03-27T00:00:00"/>
    <d v="2018-03-27T00:00:00"/>
    <d v="2018-03-27T00:00:00"/>
    <d v="2018-04-13T00:00:00"/>
    <d v="2018-04-11T00:00:00"/>
    <d v="2018-04-24T00:00:00"/>
    <m/>
    <x v="11"/>
    <s v="Apr-18"/>
    <s v="MW21523 - 2EPP-62 - AYCA-20PHAM-20-28 CAMBRIDGE ST EPPING"/>
    <s v="Epping"/>
    <n v="1252.5899999999999"/>
    <n v="11986.45"/>
    <n v="13239.04"/>
    <n v="14562.944000000001"/>
    <n v="4395.1400000000003"/>
    <m/>
    <n v="4395.1400000000003"/>
    <n v="8843.9000000000015"/>
    <n v="0.66801671420284259"/>
    <m/>
    <d v="2018-04-10T00:00:00"/>
    <m/>
    <s v="Ertan Cicek"/>
    <s v="Direct Award"/>
    <d v="2017-12-06T00:00:00"/>
    <m/>
    <d v="2017-12-15T00:00:00"/>
    <n v="9"/>
  </r>
  <r>
    <x v="2"/>
    <s v="Sydney"/>
    <m/>
    <m/>
    <d v="2018-06-22T00:00:00"/>
    <d v="2018-06-22T00:00:00"/>
    <d v="2018-02-26T00:00:00"/>
    <m/>
    <d v="2018-07-06T00:00:00"/>
    <d v="2018-07-20T00:00:00"/>
    <m/>
    <x v="14"/>
    <s v="Jul-18"/>
    <s v="MW21820-AYCA-4W4BKH-2HOM-02-38 Weeroona Rd, Strathfield Ext"/>
    <s v="Strathfield"/>
    <n v="5741.5"/>
    <n v="5141.04"/>
    <n v="10882.54"/>
    <n v="11970.794000000002"/>
    <n v="3623.46"/>
    <m/>
    <n v="3623.46"/>
    <n v="7259.0800000000008"/>
    <n v="0.66703912873281423"/>
    <m/>
    <d v="2018-07-06T00:00:00"/>
    <m/>
    <s v="Nabeel Jaimon"/>
    <s v="Direct Award"/>
    <d v="2018-02-20T00:00:00"/>
    <m/>
    <d v="2018-03-22T00:00:00"/>
    <n v="30"/>
  </r>
  <r>
    <x v="2"/>
    <s v="Sydney"/>
    <m/>
    <m/>
    <d v="2018-06-22T00:00:00"/>
    <d v="2018-06-22T00:00:00"/>
    <d v="2018-06-22T00:00:00"/>
    <m/>
    <d v="2018-07-06T00:00:00"/>
    <d v="2018-07-20T00:00:00"/>
    <m/>
    <x v="14"/>
    <s v="Jul-18"/>
    <s v="MW21857-AYCA-442ZEA- 2PAR-63-2 Good st, Westmead"/>
    <s v="Westmead"/>
    <n v="1825.19"/>
    <n v="11374.176475000002"/>
    <n v="13199.366475000003"/>
    <n v="14519.303122500003"/>
    <n v="7231.46"/>
    <n v="903.19549999999992"/>
    <n v="8134.6554999999998"/>
    <n v="5064.7109750000027"/>
    <n v="0.38370864121340353"/>
    <m/>
    <d v="2018-07-06T00:00:00"/>
    <m/>
    <s v="Ertan Cicek "/>
    <s v="Direct Award"/>
    <d v="2018-02-22T00:00:00"/>
    <m/>
    <d v="2018-03-22T00:00:00"/>
    <n v="28"/>
  </r>
  <r>
    <x v="2"/>
    <s v="Sydney"/>
    <s v="Inv 13518"/>
    <d v="2018-04-20T00:00:00"/>
    <d v="2018-03-27T00:00:00"/>
    <d v="2018-03-27T00:00:00"/>
    <d v="2018-04-04T00:00:00"/>
    <d v="2018-04-13T00:00:00"/>
    <d v="2018-04-12T00:00:00"/>
    <d v="2018-04-24T00:00:00"/>
    <m/>
    <x v="11"/>
    <s v="Apr-18"/>
    <s v="MW21651-AYCA-21BAAK-2BAN-64-Stacey Apartments - 1"/>
    <s v="Bankstown"/>
    <n v="2761.16"/>
    <n v="17495.46"/>
    <n v="20256.62"/>
    <n v="22282.281999999999"/>
    <n v="12308.759999999998"/>
    <m/>
    <n v="12308.759999999998"/>
    <n v="7947.8600000000006"/>
    <n v="0.39235864621047345"/>
    <m/>
    <d v="2018-04-10T00:00:00"/>
    <m/>
    <s v="Ertan Cicek "/>
    <s v="Direct Award"/>
    <d v="2018-01-04T00:00:00"/>
    <m/>
    <d v="2018-02-13T00:00:00"/>
    <n v="40"/>
  </r>
  <r>
    <x v="6"/>
    <s v="NSW"/>
    <s v="Inv 13285"/>
    <d v="2018-02-23T00:00:00"/>
    <d v="2018-02-23T00:00:00"/>
    <d v="2018-02-23T00:00:00"/>
    <m/>
    <m/>
    <m/>
    <d v="2018-05-01T00:00:00"/>
    <m/>
    <x v="2"/>
    <s v="May-18"/>
    <s v="MW22112 - INC000006813370 – UNIT 1 15 DALGETTY ST, NARRANDERA "/>
    <s v="Narrandera"/>
    <n v="1197.6428571428571"/>
    <m/>
    <n v="1197.6428571428571"/>
    <n v="1317.4071428571428"/>
    <m/>
    <n v="450"/>
    <n v="450"/>
    <n v="747.64285714285711"/>
    <n v="0.62426194310252281"/>
    <m/>
    <d v="2018-03-09T00:00:00"/>
    <m/>
    <s v="Tony Gabriel"/>
    <m/>
    <m/>
    <m/>
    <m/>
    <m/>
  </r>
  <r>
    <x v="6"/>
    <s v="NSW"/>
    <s v="Inv 13284"/>
    <d v="2018-02-23T00:00:00"/>
    <d v="2018-02-23T00:00:00"/>
    <d v="2018-02-23T00:00:00"/>
    <m/>
    <m/>
    <m/>
    <d v="2018-05-01T00:00:00"/>
    <m/>
    <x v="2"/>
    <s v="May-18"/>
    <s v="MW22109 - INC000007052036 – 29 Grosvenor St, Narrandera"/>
    <s v="Narrandera"/>
    <n v="512.57000000000005"/>
    <m/>
    <n v="512.57000000000005"/>
    <n v="563.82700000000011"/>
    <m/>
    <n v="150"/>
    <n v="150"/>
    <n v="362.57000000000005"/>
    <n v="0.707357043915953"/>
    <m/>
    <d v="2018-03-09T00:00:00"/>
    <m/>
    <s v="Tony Gabriel"/>
    <m/>
    <m/>
    <m/>
    <m/>
    <m/>
  </r>
  <r>
    <x v="6"/>
    <s v="NSW"/>
    <s v="Inv 13264"/>
    <d v="2018-02-22T00:00:00"/>
    <d v="2018-02-22T00:00:00"/>
    <d v="2018-02-22T00:00:00"/>
    <m/>
    <m/>
    <m/>
    <d v="2018-05-24T00:00:00"/>
    <m/>
    <x v="2"/>
    <s v="May-18"/>
    <s v="MW22270 - INC000007238836 - Lot 4, 100 Beach Rd, Batemans Bay, NSW"/>
    <s v="Batemans Bay"/>
    <n v="128.14285714285717"/>
    <m/>
    <n v="128.14285714285717"/>
    <n v="140.95714285714288"/>
    <m/>
    <n v="50"/>
    <n v="50"/>
    <n v="78.142857142857167"/>
    <n v="0.60981047937569688"/>
    <m/>
    <d v="2018-03-08T00:00:00"/>
    <m/>
    <s v="Tony Gabriel"/>
    <m/>
    <m/>
    <m/>
    <m/>
    <m/>
  </r>
  <r>
    <x v="6"/>
    <s v="NSW"/>
    <s v="Inv 13286"/>
    <d v="2018-02-23T00:00:00"/>
    <d v="2018-02-23T00:00:00"/>
    <d v="2018-02-23T00:00:00"/>
    <m/>
    <m/>
    <m/>
    <d v="2018-05-01T00:00:00"/>
    <m/>
    <x v="2"/>
    <s v="May-18"/>
    <s v="MW22118 - INC000007003327 – UNIT 4 14 WEWAK ST, ASHMONT "/>
    <s v="Ashmont"/>
    <n v="256.29000000000002"/>
    <m/>
    <n v="256.29000000000002"/>
    <n v="281.91900000000004"/>
    <m/>
    <n v="100"/>
    <n v="100"/>
    <n v="156.29000000000002"/>
    <n v="0.6098170041749581"/>
    <m/>
    <d v="2018-03-09T00:00:00"/>
    <m/>
    <s v="Tony Gabriel"/>
    <m/>
    <m/>
    <m/>
    <m/>
    <m/>
  </r>
  <r>
    <x v="7"/>
    <s v="NSW"/>
    <s v="Inv 13292"/>
    <d v="2018-02-26T00:00:00"/>
    <d v="2018-02-26T00:00:00"/>
    <d v="2018-02-26T00:00:00"/>
    <m/>
    <m/>
    <m/>
    <d v="2018-05-24T00:00:00"/>
    <m/>
    <x v="2"/>
    <s v="May-18"/>
    <s v="MW22127 - INC000007272347 – 21 APEX AV, MOUNT VICTORIA"/>
    <s v="Mount Victoria"/>
    <n v="768.86"/>
    <m/>
    <n v="768.86"/>
    <n v="845.74600000000009"/>
    <m/>
    <n v="264.84000000000003"/>
    <n v="264.84000000000003"/>
    <n v="504.02"/>
    <n v="0.65554197123013291"/>
    <m/>
    <d v="2018-03-12T00:00:00"/>
    <m/>
    <s v="Tony Gabriel"/>
    <m/>
    <m/>
    <m/>
    <m/>
    <m/>
  </r>
  <r>
    <x v="6"/>
    <s v="ACT"/>
    <s v="Inv 13287"/>
    <d v="2018-02-23T00:00:00"/>
    <d v="2018-02-23T00:00:00"/>
    <d v="2018-02-23T00:00:00"/>
    <m/>
    <m/>
    <m/>
    <d v="2018-05-01T00:00:00"/>
    <m/>
    <x v="2"/>
    <s v="May-18"/>
    <s v="MW22124 - INC000007034536 - Unit 129, 2 Windjana Street, Harrison, ACT 2914"/>
    <s v="Harrison"/>
    <n v="1153.29"/>
    <m/>
    <n v="1153.29"/>
    <n v="1268.6190000000001"/>
    <m/>
    <n v="495"/>
    <n v="495"/>
    <n v="658.29"/>
    <n v="0.57079312228494128"/>
    <m/>
    <d v="2018-03-09T00:00:00"/>
    <m/>
    <s v="Tony Gabriel"/>
    <m/>
    <m/>
    <m/>
    <m/>
    <m/>
  </r>
  <r>
    <x v="7"/>
    <s v="NSW"/>
    <s v="Inv 13288"/>
    <d v="2018-02-23T00:00:00"/>
    <d v="2018-02-23T00:00:00"/>
    <d v="2018-02-23T00:00:00"/>
    <m/>
    <m/>
    <m/>
    <d v="2018-05-01T00:00:00"/>
    <m/>
    <x v="2"/>
    <s v="May-18"/>
    <s v="MW22125 - INC000007203040 – 6 EDWARDS ST, KATOOMBA "/>
    <s v="Katoomba"/>
    <n v="1473.64"/>
    <m/>
    <n v="1473.64"/>
    <n v="1621.0040000000001"/>
    <m/>
    <n v="132.42000000000002"/>
    <n v="132.42000000000002"/>
    <n v="1341.22"/>
    <n v="0.91014087565484103"/>
    <m/>
    <d v="2018-03-09T00:00:00"/>
    <m/>
    <s v="Tony Gabriel"/>
    <m/>
    <m/>
    <m/>
    <m/>
    <m/>
  </r>
  <r>
    <x v="7"/>
    <s v="NSW"/>
    <s v="Inv 13289"/>
    <d v="2018-02-23T00:00:00"/>
    <d v="2018-02-23T00:00:00"/>
    <d v="2018-02-23T00:00:00"/>
    <m/>
    <m/>
    <m/>
    <d v="2018-05-01T00:00:00"/>
    <m/>
    <x v="2"/>
    <s v="May-18"/>
    <s v="MW22168 - INC000007130519 – 17 APEX AV, MOUNT VICTORIA"/>
    <s v="Mount Victoria"/>
    <n v="320.36"/>
    <m/>
    <n v="320.36"/>
    <n v="352.39600000000007"/>
    <m/>
    <n v="110.35"/>
    <n v="110.35"/>
    <n v="210.01000000000002"/>
    <n v="0.65554376326632546"/>
    <m/>
    <d v="2018-03-09T00:00:00"/>
    <m/>
    <s v="Tony Gabriel"/>
    <m/>
    <m/>
    <m/>
    <m/>
    <m/>
  </r>
  <r>
    <x v="7"/>
    <s v="NSW"/>
    <s v="Inv 13290"/>
    <d v="2018-02-23T00:00:00"/>
    <d v="2018-02-23T00:00:00"/>
    <d v="2018-02-23T00:00:00"/>
    <m/>
    <m/>
    <m/>
    <d v="2018-05-01T00:00:00"/>
    <m/>
    <x v="2"/>
    <s v="May-18"/>
    <s v="MW22129 - INC000007193370 – 2-4 GORDON RD, LEURA"/>
    <s v="Leura"/>
    <n v="320.36"/>
    <m/>
    <n v="320.36"/>
    <n v="352.39600000000007"/>
    <m/>
    <n v="110.35"/>
    <n v="110.35"/>
    <n v="210.01000000000002"/>
    <n v="0.65554376326632546"/>
    <m/>
    <d v="2018-03-09T00:00:00"/>
    <m/>
    <s v="Tony Gabriel"/>
    <m/>
    <m/>
    <m/>
    <m/>
    <m/>
  </r>
  <r>
    <x v="7"/>
    <s v="NSW"/>
    <s v="Inv 13312"/>
    <d v="2018-03-02T00:00:00"/>
    <d v="2018-03-02T00:00:00"/>
    <d v="2018-03-02T00:00:00"/>
    <m/>
    <m/>
    <m/>
    <d v="2018-05-01T00:00:00"/>
    <m/>
    <x v="11"/>
    <s v="May-18"/>
    <s v="MW22130 - INC000007103438 – 8 EASTVIEW AV, LEURA"/>
    <s v="Leura"/>
    <n v="640.71"/>
    <m/>
    <n v="640.71"/>
    <n v="704.78100000000006"/>
    <m/>
    <n v="220.7"/>
    <n v="220.7"/>
    <n v="420.01000000000005"/>
    <n v="0.65553838710180901"/>
    <m/>
    <d v="2018-03-16T00:00:00"/>
    <m/>
    <s v="Tony Gabriel"/>
    <m/>
    <m/>
    <m/>
    <m/>
    <m/>
  </r>
  <r>
    <x v="1"/>
    <s v="Sth Coast"/>
    <s v="Inv 13829"/>
    <d v="2018-07-06T00:00:00"/>
    <d v="2018-06-14T00:00:00"/>
    <d v="2018-06-15T00:00:00"/>
    <d v="2018-06-15T00:00:00"/>
    <d v="2018-06-27T00:00:00"/>
    <d v="2018-07-02T00:00:00"/>
    <d v="2018-07-05T00:00:00"/>
    <m/>
    <x v="14"/>
    <s v="Jul-18"/>
    <s v="MW21390 - AYCA-4QG9AV - NSB - 33 Shoalhaven St Kiama Surevy &amp; Build"/>
    <s v="Kiama"/>
    <n v="1919"/>
    <n v="5178.72"/>
    <n v="7097.72"/>
    <n v="7807.4920000000011"/>
    <n v="1120"/>
    <n v="2043.8035299999997"/>
    <n v="3163.8035299999997"/>
    <n v="3933.9164700000006"/>
    <n v="0.55425072699402067"/>
    <m/>
    <d v="2018-06-29T00:00:00"/>
    <m/>
    <s v="Andrew Mahassy"/>
    <d v="2017-12-10T00:00:00"/>
    <d v="2018-02-23T00:00:00"/>
    <n v="75"/>
    <d v="2018-02-16T00:00:00"/>
    <n v="-7"/>
  </r>
  <r>
    <x v="2"/>
    <s v="Newcastle"/>
    <s v="Inv 13616"/>
    <d v="2018-05-15T00:00:00"/>
    <d v="2018-04-19T00:00:00"/>
    <d v="2018-04-19T00:00:00"/>
    <d v="2018-04-18T00:00:00"/>
    <d v="2018-05-03T00:00:00"/>
    <d v="2018-05-03T00:00:00"/>
    <d v="2018-05-17T00:00:00"/>
    <m/>
    <x v="7"/>
    <s v="May-18"/>
    <s v="MW21921-AYCA-4MOKVP-2TAR-01-22 Elwell CL, Beresfield &amp; MW21053 - AYCA-38QQO3- 2MAI-04 - Walka Grange - 8 Internals"/>
    <s v="Beresfield"/>
    <n v="2010.27"/>
    <n v="14142.210000000001"/>
    <n v="16152.480000000001"/>
    <n v="17767.728000000003"/>
    <n v="11377.92"/>
    <m/>
    <n v="11377.92"/>
    <n v="4774.5600000000013"/>
    <n v="0.2955929987221777"/>
    <m/>
    <d v="2018-05-03T00:00:00"/>
    <m/>
    <s v="Mark Leal"/>
    <s v="Direct Award"/>
    <d v="2018-02-23T00:00:00"/>
    <m/>
    <d v="2018-03-28T00:00:00"/>
    <n v="33"/>
  </r>
  <r>
    <x v="2"/>
    <s v="Sydney"/>
    <m/>
    <m/>
    <m/>
    <d v="2018-07-30T00:00:00"/>
    <m/>
    <m/>
    <m/>
    <m/>
    <m/>
    <x v="9"/>
    <s v="Jan-00"/>
    <s v="MW21875 - AYCA-42N8QF-  2PEN-67- Macklin 38 "/>
    <s v="Pendle Hill"/>
    <n v="515.58000000000004"/>
    <m/>
    <n v="515.58000000000004"/>
    <n v="567.13800000000015"/>
    <m/>
    <m/>
    <n v="0"/>
    <n v="515.58000000000004"/>
    <n v="1"/>
    <m/>
    <d v="2018-08-13T00:00:00"/>
    <m/>
    <s v="Ertan Cicek"/>
    <s v="Direct Award"/>
    <d v="2018-02-23T00:00:00"/>
    <m/>
    <d v="2018-03-22T00:00:00"/>
    <n v="27"/>
  </r>
  <r>
    <x v="1"/>
    <s v="Sth Coast"/>
    <s v="Inv 13543"/>
    <d v="2018-04-27T00:00:00"/>
    <d v="2018-04-09T00:00:00"/>
    <d v="2018-04-10T00:00:00"/>
    <m/>
    <m/>
    <d v="2018-04-23T00:00:00"/>
    <d v="2018-05-01T00:00:00"/>
    <m/>
    <x v="7"/>
    <s v="May-18"/>
    <s v="MW21946-2COR-04-AYCA-4XKUSR-13 Popes Rd, Woonona"/>
    <s v="Woonona"/>
    <n v="9706.1"/>
    <m/>
    <n v="9706.1"/>
    <n v="10676.710000000001"/>
    <m/>
    <m/>
    <n v="0"/>
    <n v="9706.1"/>
    <n v="1"/>
    <m/>
    <d v="2018-04-24T00:00:00"/>
    <m/>
    <s v="Andrew Mahassy"/>
    <d v="2018-02-20T00:00:00"/>
    <m/>
    <m/>
    <d v="2018-03-30T00:00:00"/>
    <m/>
  </r>
  <r>
    <x v="7"/>
    <s v="NSW"/>
    <s v="Inv 13291"/>
    <d v="2018-02-26T00:00:00"/>
    <d v="2018-02-26T00:00:00"/>
    <d v="2018-02-28T00:00:00"/>
    <m/>
    <m/>
    <m/>
    <d v="2018-05-01T00:00:00"/>
    <m/>
    <x v="2"/>
    <s v="May-18"/>
    <s v="MW22126 - 02470125 - Lot 1, 42 Oxley Drive, Bowral, NSW 2576 (ROBINWOOD COTTAGE)"/>
    <s v="Bowral"/>
    <n v="3625.46"/>
    <m/>
    <n v="3625.46"/>
    <n v="3988.0060000000003"/>
    <n v="2952.6"/>
    <n v="132.42000000000002"/>
    <n v="3085.02"/>
    <n v="540.44000000000005"/>
    <n v="0.14906798033904664"/>
    <m/>
    <d v="2018-03-14T00:00:00"/>
    <m/>
    <s v="Tony Gabriel"/>
    <s v="Direct Award"/>
    <d v="2018-02-26T00:00:00"/>
    <m/>
    <d v="2018-03-20T00:00:00"/>
    <n v="22"/>
  </r>
  <r>
    <x v="2"/>
    <s v="Sth Coast"/>
    <m/>
    <m/>
    <m/>
    <d v="2018-07-30T00:00:00"/>
    <m/>
    <m/>
    <m/>
    <m/>
    <m/>
    <x v="9"/>
    <s v="Jan-00"/>
    <s v="MW21827-AYCA-4O03IQ-2COR-09-17 Ryan Street, Balgownie"/>
    <s v="Balgownie"/>
    <n v="1924.61"/>
    <m/>
    <n v="1924.61"/>
    <n v="2117.0709999999999"/>
    <m/>
    <m/>
    <n v="0"/>
    <n v="1924.61"/>
    <n v="1"/>
    <m/>
    <d v="2018-08-13T00:00:00"/>
    <m/>
    <s v="Nabeel Jaimon"/>
    <s v="Direct Award"/>
    <d v="2018-02-26T00:00:00"/>
    <m/>
    <d v="2018-03-20T00:00:00"/>
    <n v="22"/>
  </r>
  <r>
    <x v="2"/>
    <s v="Sydney"/>
    <s v="Inv 13618"/>
    <d v="2018-05-17T00:00:00"/>
    <d v="2018-04-28T00:00:00"/>
    <d v="2018-04-30T00:00:00"/>
    <d v="2018-05-01T00:00:00"/>
    <d v="2018-05-10T00:00:00"/>
    <d v="2018-05-10T00:00:00"/>
    <d v="2018-05-17T00:00:00"/>
    <m/>
    <x v="7"/>
    <s v="May-18"/>
    <s v="MW21861-AYCA-4GPKZN-2RED-03-713-717 Elizabeth St, Waterloo"/>
    <s v="Waterloo"/>
    <n v="1568.02"/>
    <n v="18711.260000000002"/>
    <n v="20279.280000000002"/>
    <n v="22307.208000000006"/>
    <n v="13649.17"/>
    <m/>
    <n v="13649.17"/>
    <n v="6630.1100000000024"/>
    <n v="0.3269401083273174"/>
    <m/>
    <d v="2018-05-14T00:00:00"/>
    <m/>
    <s v="Ertan Cicek"/>
    <s v="Direct Award"/>
    <d v="2018-02-27T00:00:00"/>
    <m/>
    <d v="2018-02-28T00:00:00"/>
    <n v="1"/>
  </r>
  <r>
    <x v="7"/>
    <s v="NSW"/>
    <s v="Inv 13293"/>
    <d v="2018-02-27T00:00:00"/>
    <d v="2018-03-01T00:00:00"/>
    <d v="2018-03-01T00:00:00"/>
    <m/>
    <m/>
    <m/>
    <d v="2018-05-01T00:00:00"/>
    <m/>
    <x v="11"/>
    <s v="May-18"/>
    <s v="MW22128 - INC000006963999 – LOT 24, 69 VICTORIA ST, KATOOMBA NSW 2780"/>
    <s v="Katoomba"/>
    <n v="2498.79"/>
    <m/>
    <n v="2498.79"/>
    <n v="2748.6690000000003"/>
    <m/>
    <n v="732.93000000000006"/>
    <n v="732.93000000000006"/>
    <n v="1765.86"/>
    <n v="0.70668603604144398"/>
    <m/>
    <d v="2018-03-15T00:00:00"/>
    <m/>
    <s v="Tony Gabriel"/>
    <m/>
    <m/>
    <m/>
    <m/>
    <m/>
  </r>
  <r>
    <x v="2"/>
    <s v="Sydney"/>
    <s v="Inv 13617"/>
    <d v="2018-05-17T00:00:00"/>
    <d v="2018-04-28T00:00:00"/>
    <d v="2018-04-30T00:00:00"/>
    <d v="2018-05-03T00:00:00"/>
    <d v="2018-05-10T00:00:00"/>
    <d v="2018-05-09T00:00:00"/>
    <d v="2018-05-17T00:00:00"/>
    <m/>
    <x v="7"/>
    <s v="May-18"/>
    <s v="MW21967-AYCA-4UKN6A-2WET-65-727 The Horsley Dr, Smithfield"/>
    <s v="Smithfield"/>
    <n v="674.33"/>
    <n v="2407.5039999999999"/>
    <n v="3081.8339999999998"/>
    <n v="3390.0174000000002"/>
    <n v="613.94000000000005"/>
    <m/>
    <n v="613.94000000000005"/>
    <n v="2467.8939999999998"/>
    <n v="0.8007874531853435"/>
    <m/>
    <d v="2018-05-14T00:00:00"/>
    <m/>
    <s v="Ertan Cicek"/>
    <s v="Direct Award"/>
    <d v="2018-02-28T00:00:00"/>
    <m/>
    <d v="2018-04-05T00:00:00"/>
    <n v="36"/>
  </r>
  <r>
    <x v="7"/>
    <s v="NSW"/>
    <s v="Inv 13311"/>
    <d v="2018-03-02T00:00:00"/>
    <d v="2018-03-02T00:00:00"/>
    <d v="2018-03-02T00:00:00"/>
    <m/>
    <m/>
    <m/>
    <d v="2018-05-22T00:00:00"/>
    <m/>
    <x v="11"/>
    <s v="May-18"/>
    <s v="MW22061 - INC000007044511 - Lot 857, 93 Leumeah Street, Sanctuary Point, NSW 2540"/>
    <s v="Sanctuary Point"/>
    <n v="3281.35"/>
    <m/>
    <n v="3281.35"/>
    <n v="3609.4850000000001"/>
    <n v="2590"/>
    <n v="375.19"/>
    <n v="2965.19"/>
    <n v="316.15999999999985"/>
    <n v="9.6350587410669347E-2"/>
    <m/>
    <d v="2018-03-16T00:00:00"/>
    <m/>
    <s v="Tony Gabriel"/>
    <m/>
    <m/>
    <m/>
    <m/>
    <m/>
  </r>
  <r>
    <x v="7"/>
    <s v="NSW"/>
    <s v="Inv 13313"/>
    <d v="2018-03-02T00:00:00"/>
    <d v="2018-03-02T00:00:00"/>
    <d v="2018-03-02T00:00:00"/>
    <m/>
    <m/>
    <m/>
    <d v="2018-05-01T00:00:00"/>
    <m/>
    <x v="11"/>
    <s v="May-18"/>
    <s v="MW22131 - INC000007112970 – 201 KATOOMBA ST, KATOOMBA"/>
    <s v="Katoomba"/>
    <n v="256.27999999999997"/>
    <m/>
    <n v="256.27999999999997"/>
    <n v="281.90800000000002"/>
    <m/>
    <n v="88.28"/>
    <n v="88.28"/>
    <n v="167.99999999999997"/>
    <n v="0.6555330107694709"/>
    <m/>
    <d v="2018-03-16T00:00:00"/>
    <m/>
    <s v="Tony Gabriel"/>
    <m/>
    <m/>
    <m/>
    <m/>
    <m/>
  </r>
  <r>
    <x v="7"/>
    <s v="NSW"/>
    <s v="Inv 13586"/>
    <d v="2018-03-06T00:00:00"/>
    <d v="2018-03-06T00:00:00"/>
    <d v="2018-03-06T00:00:00"/>
    <m/>
    <m/>
    <m/>
    <d v="2018-05-10T00:00:00"/>
    <m/>
    <x v="11"/>
    <s v="May-18"/>
    <s v="MW22234 - INC000007115529 – UNIT 1 95 LURLINE ST, KATOOMBA"/>
    <s v="Katoomba"/>
    <n v="512.55999999999995"/>
    <m/>
    <n v="512.55999999999995"/>
    <n v="563.81600000000003"/>
    <m/>
    <n v="176.56"/>
    <n v="176.56"/>
    <n v="335.99999999999994"/>
    <n v="0.6555330107694709"/>
    <m/>
    <d v="2018-03-20T00:00:00"/>
    <m/>
    <s v="Tony Gabriel"/>
    <m/>
    <m/>
    <m/>
    <m/>
    <m/>
  </r>
  <r>
    <x v="7"/>
    <s v="NSW"/>
    <s v="Inv 13322"/>
    <d v="2018-03-06T00:00:00"/>
    <d v="2018-03-06T00:00:00"/>
    <d v="2018-02-16T00:00:00"/>
    <m/>
    <m/>
    <m/>
    <d v="2018-05-15T00:00:00"/>
    <m/>
    <x v="2"/>
    <s v="May-18"/>
    <s v="MW22233 - INC000007194856 – 31 SUNBEAM AV, BLACKHEATH "/>
    <s v="Blackheath"/>
    <n v="128.13999999999999"/>
    <m/>
    <n v="128.13999999999999"/>
    <n v="140.95400000000001"/>
    <m/>
    <n v="44.14"/>
    <n v="44.14"/>
    <n v="83.999999999999986"/>
    <n v="0.6555330107694709"/>
    <m/>
    <d v="2018-03-02T00:00:00"/>
    <m/>
    <s v="Tony Gabriel"/>
    <m/>
    <m/>
    <m/>
    <m/>
    <m/>
  </r>
  <r>
    <x v="2"/>
    <s v="Sydney"/>
    <s v="Inv 113752"/>
    <d v="2018-06-20T00:00:00"/>
    <d v="2018-05-28T00:00:00"/>
    <d v="2018-05-29T00:00:00"/>
    <d v="2018-05-31T00:00:00"/>
    <d v="2018-06-05T00:00:00"/>
    <d v="2018-06-08T00:00:00"/>
    <d v="2018-06-19T00:00:00"/>
    <m/>
    <x v="8"/>
    <s v="Jun-18"/>
    <s v="MW21970-AYCA-4YZGFK-2PEN-66-51 Boronia St, South Wentworthville"/>
    <s v="Wentworthville"/>
    <n v="1021.38"/>
    <n v="3224.76"/>
    <n v="4246.1400000000003"/>
    <n v="4670.7540000000008"/>
    <n v="2111.52"/>
    <m/>
    <n v="2111.52"/>
    <n v="2134.6200000000003"/>
    <n v="0.50272011756560075"/>
    <m/>
    <d v="2018-06-12T00:00:00"/>
    <m/>
    <s v="Ertan Cicek"/>
    <s v="Direct Award"/>
    <d v="2018-03-02T00:00:00"/>
    <m/>
    <d v="2018-04-06T00:00:00"/>
    <n v="35"/>
  </r>
  <r>
    <x v="2"/>
    <s v="Sydney"/>
    <s v="Inv 13503"/>
    <d v="2018-04-19T00:00:00"/>
    <d v="2018-03-26T00:00:00"/>
    <d v="2018-03-27T00:00:00"/>
    <d v="2018-04-04T00:00:00"/>
    <d v="2018-04-06T00:00:00"/>
    <d v="2018-04-12T00:00:00"/>
    <d v="2018-04-26T00:00:00"/>
    <m/>
    <x v="11"/>
    <s v="Apr-18"/>
    <s v="MW21704 - AYCA-4RDSRL - 2BLK-12-bedford gardens - 1"/>
    <s v="Blacktown"/>
    <n v="1195.8499999999999"/>
    <n v="3999.57"/>
    <n v="5195.42"/>
    <n v="5714.9620000000004"/>
    <n v="1294.92"/>
    <m/>
    <n v="1294.92"/>
    <n v="3900.5"/>
    <n v="0.75075739786196305"/>
    <m/>
    <d v="2018-04-10T00:00:00"/>
    <m/>
    <s v="Ertan Cicek "/>
    <s v="Direct Award"/>
    <d v="2018-01-05T00:00:00"/>
    <m/>
    <d v="2018-01-30T00:00:00"/>
    <n v="25"/>
  </r>
  <r>
    <x v="1"/>
    <s v="Sydney"/>
    <m/>
    <m/>
    <m/>
    <d v="2018-07-30T00:00:00"/>
    <m/>
    <m/>
    <m/>
    <m/>
    <m/>
    <x v="9"/>
    <s v="Jan-00"/>
    <s v="MW21456 - 2BLK-07-16 - 51 Huntingwood Drive"/>
    <s v="Huntingwood"/>
    <n v="30428.35"/>
    <m/>
    <n v="30428.35"/>
    <n v="33471.184999999998"/>
    <n v="9404.68"/>
    <m/>
    <n v="9404.68"/>
    <n v="21023.67"/>
    <n v="0.69092376024332569"/>
    <m/>
    <d v="2018-08-13T00:00:00"/>
    <m/>
    <s v="Greg Moeller"/>
    <d v="2017-11-27T00:00:00"/>
    <d v="2018-03-28T00:00:00"/>
    <m/>
    <d v="2018-04-30T00:00:00"/>
    <n v="33"/>
  </r>
  <r>
    <x v="6"/>
    <s v="NSW"/>
    <s v="Inv 13323"/>
    <d v="2018-03-06T00:00:00"/>
    <d v="2018-03-06T00:00:00"/>
    <d v="2018-03-06T00:00:00"/>
    <m/>
    <m/>
    <m/>
    <d v="2018-05-01T00:00:00"/>
    <m/>
    <x v="11"/>
    <s v="May-18"/>
    <s v="MW22132 - INC000007252034 - Lot 166, 11 Poulton St, Ashmont, NSW"/>
    <s v="Ashmont"/>
    <n v="640.70000000000005"/>
    <m/>
    <n v="640.70000000000005"/>
    <n v="704.7700000000001"/>
    <m/>
    <n v="250"/>
    <n v="250"/>
    <n v="390.70000000000005"/>
    <n v="0.60980177930388635"/>
    <m/>
    <d v="2018-03-20T00:00:00"/>
    <m/>
    <s v="Tony Gabriel"/>
    <m/>
    <m/>
    <m/>
    <m/>
    <m/>
  </r>
  <r>
    <x v="7"/>
    <s v="NSW"/>
    <s v="Inv 13325"/>
    <d v="2018-03-06T00:00:00"/>
    <d v="2018-03-06T00:00:00"/>
    <d v="2018-03-06T00:00:00"/>
    <m/>
    <m/>
    <m/>
    <d v="2018-05-01T00:00:00"/>
    <m/>
    <x v="11"/>
    <s v="May-18"/>
    <s v="MW22123 - INC000007062621 – 195 LURLINE ST, KATOOMBA"/>
    <s v="Katoomba"/>
    <n v="704.77"/>
    <m/>
    <n v="704.77"/>
    <n v="775.24700000000007"/>
    <m/>
    <n v="242.77"/>
    <n v="242.77"/>
    <n v="462"/>
    <n v="0.6555330107694709"/>
    <m/>
    <d v="2018-03-20T00:00:00"/>
    <m/>
    <s v="Tony Gabriel"/>
    <m/>
    <m/>
    <m/>
    <m/>
    <m/>
  </r>
  <r>
    <x v="7"/>
    <s v="NSW"/>
    <s v="Inv 13324"/>
    <d v="2018-03-06T00:00:00"/>
    <d v="2018-03-06T00:00:00"/>
    <d v="2018-03-06T00:00:00"/>
    <m/>
    <m/>
    <m/>
    <d v="2018-05-01T00:00:00"/>
    <m/>
    <x v="11"/>
    <s v="May-18"/>
    <s v="MW22122 - INC000007203801 – 22 SUNBEAM AV, BLACKHEATH"/>
    <s v="Blackheath"/>
    <n v="256.27999999999997"/>
    <m/>
    <n v="256.27999999999997"/>
    <n v="281.90800000000002"/>
    <m/>
    <n v="88.28"/>
    <n v="88.28"/>
    <n v="167.99999999999997"/>
    <n v="0.6555330107694709"/>
    <m/>
    <d v="2018-03-20T00:00:00"/>
    <m/>
    <s v="Tony Gabriel"/>
    <m/>
    <m/>
    <m/>
    <m/>
    <m/>
  </r>
  <r>
    <x v="7"/>
    <s v="NSW"/>
    <s v="Inv 13331"/>
    <d v="2018-03-07T00:00:00"/>
    <d v="2018-03-07T00:00:00"/>
    <d v="2018-03-07T00:00:00"/>
    <m/>
    <m/>
    <m/>
    <d v="2018-05-01T00:00:00"/>
    <m/>
    <x v="11"/>
    <s v="May-18"/>
    <s v="MW22120 - INC000007212301 – 73 RIDGE ST, LAWSON"/>
    <s v="Lawson"/>
    <n v="128.13999999999999"/>
    <m/>
    <n v="128.13999999999999"/>
    <n v="140.95400000000001"/>
    <m/>
    <n v="44.14"/>
    <n v="44.14"/>
    <n v="83.999999999999986"/>
    <n v="0.6555330107694709"/>
    <m/>
    <d v="2018-03-21T00:00:00"/>
    <m/>
    <s v="Tony Gabriel"/>
    <m/>
    <m/>
    <m/>
    <m/>
    <m/>
  </r>
  <r>
    <x v="7"/>
    <s v="NSW"/>
    <s v="Inv 13330"/>
    <d v="2018-03-07T00:00:00"/>
    <d v="2018-03-07T00:00:00"/>
    <d v="2018-03-07T00:00:00"/>
    <m/>
    <m/>
    <m/>
    <d v="2018-05-01T00:00:00"/>
    <m/>
    <x v="11"/>
    <s v="May-18"/>
    <s v="MW22110 - INC000007232295 – 13 KUNDIBAR ST, KATOOMBA"/>
    <s v="Katoomba"/>
    <n v="256.27999999999997"/>
    <m/>
    <n v="256.27999999999997"/>
    <n v="281.90800000000002"/>
    <m/>
    <n v="88.28"/>
    <n v="88.28"/>
    <n v="167.99999999999997"/>
    <n v="0.6555330107694709"/>
    <m/>
    <d v="2018-03-21T00:00:00"/>
    <m/>
    <s v="Tony Gabriel"/>
    <m/>
    <m/>
    <m/>
    <m/>
    <m/>
  </r>
  <r>
    <x v="7"/>
    <s v="NSW"/>
    <s v="Inv 13332"/>
    <d v="2018-03-07T00:00:00"/>
    <d v="2018-03-07T00:00:00"/>
    <d v="2018-03-07T00:00:00"/>
    <m/>
    <m/>
    <m/>
    <d v="2018-05-01T00:00:00"/>
    <m/>
    <x v="11"/>
    <s v="May-18"/>
    <s v="MW22111 - INC000007080982 – 10 LORNA CL, BUNDANOON"/>
    <s v="Bundanoon"/>
    <n v="320.34999999999997"/>
    <m/>
    <n v="320.34999999999997"/>
    <n v="352.38499999999999"/>
    <m/>
    <n v="110.35"/>
    <n v="110.35"/>
    <n v="209.99999999999997"/>
    <n v="0.6555330107694709"/>
    <m/>
    <d v="2018-03-21T00:00:00"/>
    <m/>
    <s v="Tony Gabriel"/>
    <m/>
    <m/>
    <m/>
    <m/>
    <m/>
  </r>
  <r>
    <x v="8"/>
    <s v="NSW"/>
    <s v="Inv 13409"/>
    <d v="2018-03-23T00:00:00"/>
    <d v="2018-03-30T00:00:00"/>
    <d v="2018-03-30T00:00:00"/>
    <m/>
    <m/>
    <m/>
    <d v="2018-04-30T00:00:00"/>
    <m/>
    <x v="11"/>
    <s v="Apr-18"/>
    <s v="23 Narabang Way Road crossing"/>
    <s v="Belrose"/>
    <n v="8225.7000000000007"/>
    <n v="1515.82"/>
    <n v="9741.52"/>
    <n v="10715.672"/>
    <m/>
    <m/>
    <n v="0"/>
    <n v="9741.52"/>
    <n v="1"/>
    <m/>
    <d v="2018-04-13T00:00:00"/>
    <m/>
    <s v="Brian Ahern"/>
    <m/>
    <m/>
    <m/>
    <m/>
    <m/>
  </r>
  <r>
    <x v="7"/>
    <s v="NSW"/>
    <s v="Inv 13333"/>
    <d v="2018-03-07T00:00:00"/>
    <d v="2018-03-07T00:00:00"/>
    <d v="2018-03-07T00:00:00"/>
    <m/>
    <m/>
    <m/>
    <d v="2018-05-01T00:00:00"/>
    <m/>
    <x v="11"/>
    <s v="May-18"/>
    <s v="MW22117 - INC000007115099 - 64 CHURCH ST, MILTON"/>
    <s v="Milton"/>
    <n v="825.69999999999993"/>
    <m/>
    <n v="825.69999999999993"/>
    <n v="908.27"/>
    <m/>
    <n v="220.7"/>
    <n v="220.7"/>
    <n v="605"/>
    <n v="0.7327116386096646"/>
    <m/>
    <d v="2018-03-21T00:00:00"/>
    <m/>
    <s v="Tony Gabriel"/>
    <m/>
    <m/>
    <m/>
    <m/>
    <m/>
  </r>
  <r>
    <x v="7"/>
    <s v="NSW"/>
    <s v="Inv 13334"/>
    <d v="2018-03-07T00:00:00"/>
    <d v="2018-03-07T00:00:00"/>
    <d v="2018-03-07T00:00:00"/>
    <m/>
    <m/>
    <m/>
    <d v="2018-05-01T00:00:00"/>
    <m/>
    <x v="11"/>
    <s v="May-18"/>
    <s v="MW22113 - INC000007099865 - Lot 241, 75 Barton Street, Oak Flats, NSW "/>
    <s v="Oak Flats"/>
    <n v="2229.3000000000002"/>
    <m/>
    <n v="2229.3000000000002"/>
    <n v="2452.2300000000005"/>
    <m/>
    <n v="176.56"/>
    <n v="176.56"/>
    <n v="2052.7400000000002"/>
    <n v="0.92080025119992825"/>
    <m/>
    <d v="2018-03-21T00:00:00"/>
    <m/>
    <s v="Tony Gabriel"/>
    <m/>
    <m/>
    <m/>
    <m/>
    <m/>
  </r>
  <r>
    <x v="7"/>
    <s v="NSW"/>
    <s v="Inv 13337"/>
    <d v="2018-03-07T00:00:00"/>
    <d v="2018-03-07T00:00:00"/>
    <d v="2018-03-07T00:00:00"/>
    <m/>
    <m/>
    <m/>
    <d v="2018-05-01T00:00:00"/>
    <m/>
    <x v="11"/>
    <s v="May-18"/>
    <s v="MW22119 - INC000007204274 - LOT 192, 47 ELM ST, ALBION PARK RAIL NSW "/>
    <s v="Albion Park"/>
    <n v="3511.9700000000003"/>
    <m/>
    <n v="3511.9700000000003"/>
    <n v="3863.1670000000004"/>
    <m/>
    <n v="154.49"/>
    <n v="154.49"/>
    <n v="3357.4800000000005"/>
    <n v="0.95601044428056059"/>
    <m/>
    <d v="2018-03-21T00:00:00"/>
    <m/>
    <s v="Tony Gabriel"/>
    <m/>
    <m/>
    <m/>
    <m/>
    <m/>
  </r>
  <r>
    <x v="7"/>
    <s v="NSW"/>
    <s v="Inv 13338"/>
    <d v="2018-03-07T00:00:00"/>
    <d v="2018-03-07T00:00:00"/>
    <d v="2018-03-07T00:00:00"/>
    <m/>
    <m/>
    <m/>
    <d v="2018-05-01T00:00:00"/>
    <m/>
    <x v="11"/>
    <s v="May-18"/>
    <s v="MW22121 - INC000007123502 - 55 PEPPERMINT DR, WORRIGEE NSW"/>
    <s v="Worrigee"/>
    <n v="1402.33"/>
    <m/>
    <n v="1402.33"/>
    <n v="1542.5630000000001"/>
    <m/>
    <n v="604.32999999999993"/>
    <n v="604.32999999999993"/>
    <n v="798"/>
    <n v="0.5690529333323826"/>
    <m/>
    <d v="2018-03-21T00:00:00"/>
    <m/>
    <s v="Tony Gabriel"/>
    <m/>
    <m/>
    <m/>
    <m/>
    <m/>
  </r>
  <r>
    <x v="7"/>
    <s v="NSW"/>
    <s v="Inv 13340"/>
    <d v="2018-03-07T00:00:00"/>
    <d v="2018-03-07T00:00:00"/>
    <d v="2018-03-07T00:00:00"/>
    <m/>
    <m/>
    <m/>
    <d v="2018-05-01T00:00:00"/>
    <m/>
    <x v="11"/>
    <s v="May-18"/>
    <s v="MW22108 - INC000007113365 – Lot 2464, 1 Emu Av, Sanctuary Point, NSW "/>
    <s v="Sanctuary Point"/>
    <n v="512.55999999999995"/>
    <m/>
    <n v="512.55999999999995"/>
    <n v="563.81600000000003"/>
    <m/>
    <n v="176.56"/>
    <n v="176.56"/>
    <n v="335.99999999999994"/>
    <n v="0.6555330107694709"/>
    <m/>
    <d v="2018-03-21T00:00:00"/>
    <m/>
    <s v="Tony Gabriel"/>
    <m/>
    <m/>
    <m/>
    <m/>
    <m/>
  </r>
  <r>
    <x v="6"/>
    <s v="NSW"/>
    <s v="Inv 13353"/>
    <d v="2018-03-08T00:00:00"/>
    <d v="2018-03-08T00:00:00"/>
    <d v="2018-03-08T00:00:00"/>
    <m/>
    <m/>
    <m/>
    <d v="2018-05-01T00:00:00"/>
    <m/>
    <x v="11"/>
    <s v="May-18"/>
    <s v="MW22133 - INC000007104657 - Lot 232, 30 Crisp Drive, Ashmont"/>
    <s v="Ashmont"/>
    <n v="1153.26"/>
    <m/>
    <n v="1153.26"/>
    <n v="1268.586"/>
    <m/>
    <n v="350"/>
    <n v="350"/>
    <n v="803.26"/>
    <n v="1.5671531137818013"/>
    <m/>
    <d v="2018-03-21T00:00:00"/>
    <m/>
    <s v="Tony Gabriel"/>
    <m/>
    <m/>
    <m/>
    <m/>
    <m/>
  </r>
  <r>
    <x v="6"/>
    <s v="NSW"/>
    <s v="Inv 13354"/>
    <d v="2018-03-08T00:00:00"/>
    <d v="2018-03-08T00:00:00"/>
    <d v="2018-03-08T00:00:00"/>
    <m/>
    <m/>
    <m/>
    <d v="2018-05-01T00:00:00"/>
    <m/>
    <x v="11"/>
    <s v="May-18"/>
    <s v="MW22138 - INC000007230232 - Lot 257, 14 Toy Pl, Tolland, NSW"/>
    <s v="Tolland"/>
    <n v="1217.33"/>
    <m/>
    <n v="1217.33"/>
    <n v="1339.0630000000001"/>
    <m/>
    <n v="475"/>
    <n v="475"/>
    <n v="742.32999999999993"/>
    <n v="0.64367965593188003"/>
    <m/>
    <d v="2018-03-22T00:00:00"/>
    <m/>
    <s v="Tony Gabriel"/>
    <m/>
    <m/>
    <m/>
    <m/>
    <m/>
  </r>
  <r>
    <x v="6"/>
    <s v="NSW"/>
    <s v="Inv 13355"/>
    <d v="2018-03-08T00:00:00"/>
    <d v="2018-03-08T00:00:00"/>
    <d v="2018-03-08T00:00:00"/>
    <m/>
    <m/>
    <m/>
    <d v="2018-05-01T00:00:00"/>
    <m/>
    <x v="11"/>
    <s v="May-18"/>
    <s v="MW22141 - INC000007222465 - Lot 30, 4 Banksia Avenue, Leeton"/>
    <s v="Leeton"/>
    <n v="320.35000000000002"/>
    <m/>
    <n v="320.35000000000002"/>
    <n v="352.38500000000005"/>
    <m/>
    <n v="150"/>
    <n v="150"/>
    <n v="170.35000000000002"/>
    <n v="0.13993740399070098"/>
    <m/>
    <d v="2018-03-22T00:00:00"/>
    <m/>
    <s v="Tony Gabriel"/>
    <m/>
    <m/>
    <m/>
    <m/>
    <m/>
  </r>
  <r>
    <x v="6"/>
    <s v="NSW"/>
    <s v="Inv 13356"/>
    <d v="2018-03-08T00:00:00"/>
    <d v="2018-03-08T00:00:00"/>
    <d v="2018-03-08T00:00:00"/>
    <m/>
    <m/>
    <m/>
    <d v="2018-05-01T00:00:00"/>
    <m/>
    <x v="11"/>
    <s v="May-18"/>
    <s v="MW22142 - INC000007223690 - 150 Gurwood St, Wagga Wagga, NSW"/>
    <s v="Wagga Wagga"/>
    <n v="512.55999999999995"/>
    <m/>
    <n v="512.55999999999995"/>
    <n v="563.81600000000003"/>
    <m/>
    <n v="175"/>
    <n v="175"/>
    <n v="337.55999999999995"/>
    <n v="1.0537224910254406"/>
    <m/>
    <d v="2018-03-22T00:00:00"/>
    <m/>
    <s v="Tony Gabriel"/>
    <m/>
    <m/>
    <m/>
    <m/>
    <m/>
  </r>
  <r>
    <x v="6"/>
    <s v="NSW"/>
    <s v="Inv 13357"/>
    <d v="2018-03-08T00:00:00"/>
    <d v="2018-03-08T00:00:00"/>
    <d v="2018-03-08T00:00:00"/>
    <m/>
    <m/>
    <m/>
    <d v="2018-05-22T00:00:00"/>
    <m/>
    <x v="11"/>
    <s v="May-18"/>
    <s v="MW22139 - INC000007221664 - 92 East Street, Narrandera"/>
    <s v="Narrandera"/>
    <n v="256.27999999999997"/>
    <m/>
    <n v="256.27999999999997"/>
    <n v="281.90800000000002"/>
    <m/>
    <n v="100"/>
    <n v="100"/>
    <n v="156.27999999999997"/>
    <n v="0.30490088965194317"/>
    <m/>
    <d v="2018-03-22T00:00:00"/>
    <m/>
    <s v="Tony Gabriel"/>
    <m/>
    <m/>
    <m/>
    <m/>
    <m/>
  </r>
  <r>
    <x v="6"/>
    <s v="NSW"/>
    <s v="Inv 13358"/>
    <d v="2018-03-08T00:00:00"/>
    <d v="2018-03-08T00:00:00"/>
    <d v="2018-03-08T00:00:00"/>
    <m/>
    <m/>
    <m/>
    <m/>
    <m/>
    <x v="11"/>
    <s v="Jan-00"/>
    <s v="MW22235 - INC000007210193 - 36 Blakemore Av, Ashmont, NSW"/>
    <s v="Ashmont"/>
    <n v="1153.2599999999998"/>
    <m/>
    <n v="1153.2599999999998"/>
    <n v="1268.5859999999998"/>
    <m/>
    <n v="450"/>
    <n v="450"/>
    <n v="703.25999999999976"/>
    <n v="2.7441080068674881"/>
    <m/>
    <d v="2018-03-22T00:00:00"/>
    <m/>
    <s v="Tony Gabriel"/>
    <m/>
    <m/>
    <m/>
    <m/>
    <m/>
  </r>
  <r>
    <x v="2"/>
    <s v="Sydney"/>
    <s v="Inv 13672"/>
    <d v="2018-05-28T00:00:00"/>
    <d v="2018-05-09T00:00:00"/>
    <d v="2018-05-09T00:00:00"/>
    <d v="2018-05-15T00:00:00"/>
    <d v="2018-05-02T00:00:00"/>
    <d v="2018-05-23T00:00:00"/>
    <d v="2018-06-12T00:00:00"/>
    <m/>
    <x v="8"/>
    <s v="Jun-18"/>
    <s v="MW21835-AYCA-4MJ7W3-2WRO-63-8-10 Park Ave, Waitara"/>
    <s v="Waitara"/>
    <n v="704.71"/>
    <n v="4996.3599999999997"/>
    <n v="5701.07"/>
    <n v="6271.1770000000006"/>
    <n v="1885.45"/>
    <m/>
    <n v="1885.45"/>
    <n v="3815.62"/>
    <n v="0.66928138051278097"/>
    <m/>
    <d v="2018-05-23T00:00:00"/>
    <m/>
    <s v="Ertan Cicek"/>
    <s v="Direct Award"/>
    <d v="2018-03-07T00:00:00"/>
    <m/>
    <d v="2018-03-20T00:00:00"/>
    <n v="13"/>
  </r>
  <r>
    <x v="0"/>
    <s v="West NSW"/>
    <s v="Inv 13597"/>
    <d v="2018-05-17T00:00:00"/>
    <d v="2018-04-27T00:00:00"/>
    <d v="2018-04-30T00:00:00"/>
    <m/>
    <m/>
    <d v="2018-05-09T00:00:00"/>
    <d v="2018-05-15T00:00:00"/>
    <m/>
    <x v="7"/>
    <s v="May-18"/>
    <s v="MW22032-AYCA-4C48KZ-2MDG-01-4 Lewis Street Mudgee"/>
    <s v="Mudgee"/>
    <n v="6077.33"/>
    <m/>
    <n v="6077.33"/>
    <n v="6685.0630000000001"/>
    <n v="3773.27"/>
    <m/>
    <n v="3773.27"/>
    <n v="2304.06"/>
    <n v="0.37912372703144309"/>
    <m/>
    <d v="2018-05-14T00:00:00"/>
    <m/>
    <s v="Dave Yoemans"/>
    <d v="2018-03-05T00:00:00"/>
    <d v="2018-03-18T00:00:00"/>
    <m/>
    <d v="2018-04-01T00:00:00"/>
    <n v="14"/>
  </r>
  <r>
    <x v="0"/>
    <s v="West NSW"/>
    <s v="Inv 13718"/>
    <d v="2018-06-14T00:00:00"/>
    <d v="2018-06-04T00:00:00"/>
    <d v="2018-06-04T00:00:00"/>
    <m/>
    <m/>
    <d v="2018-06-15T00:00:00"/>
    <d v="2018-06-22T00:00:00"/>
    <m/>
    <x v="14"/>
    <s v="Jun-18"/>
    <s v="MW22035-AYCA-4C4E63-2CWR-01-11 Liverpool Street Cowra"/>
    <s v="Cowra"/>
    <n v="8506.73"/>
    <m/>
    <n v="8506.73"/>
    <n v="9357.4030000000002"/>
    <m/>
    <m/>
    <n v="0"/>
    <n v="8506.73"/>
    <n v="1"/>
    <m/>
    <d v="2018-06-18T00:00:00"/>
    <m/>
    <s v="Dave Yoemans"/>
    <d v="2018-03-05T00:00:00"/>
    <d v="2018-03-16T00:00:00"/>
    <m/>
    <d v="2018-04-01T00:00:00"/>
    <n v="16"/>
  </r>
  <r>
    <x v="0"/>
    <s v="Newcastle"/>
    <m/>
    <m/>
    <d v="2018-04-10T00:00:00"/>
    <d v="2018-04-10T00:00:00"/>
    <m/>
    <m/>
    <d v="2018-04-23T00:00:00"/>
    <d v="2018-05-01T00:00:00"/>
    <m/>
    <x v="7"/>
    <s v="May-18"/>
    <s v="MW22034-AYCA-4DZ83F-2NLT-01-6 Callan Avenue Maryland "/>
    <s v="Maryland"/>
    <n v="4859.5"/>
    <m/>
    <n v="4859.5"/>
    <n v="5345.4500000000007"/>
    <n v="3013.08"/>
    <m/>
    <n v="3013.08"/>
    <n v="1846.42"/>
    <n v="0.37996090132729704"/>
    <m/>
    <d v="2018-04-24T00:00:00"/>
    <m/>
    <s v="Dave Yoemans"/>
    <d v="2018-03-05T00:00:00"/>
    <d v="2018-03-19T00:00:00"/>
    <m/>
    <d v="2018-04-01T00:00:00"/>
    <n v="13"/>
  </r>
  <r>
    <x v="0"/>
    <s v="Sth NSW"/>
    <s v="Inv 13776"/>
    <d v="2018-06-29T00:00:00"/>
    <d v="2018-06-05T00:00:00"/>
    <d v="2018-06-05T00:00:00"/>
    <m/>
    <m/>
    <d v="2018-06-20T00:00:00"/>
    <d v="2018-06-26T00:00:00"/>
    <m/>
    <x v="14"/>
    <s v="Jun-18"/>
    <s v="MW22033 -AYCA-4PX9WA- 2YAS-01 - 23 Browne Street Yass"/>
    <s v="Yass"/>
    <n v="2191.88"/>
    <m/>
    <n v="2191.88"/>
    <n v="2411.0680000000002"/>
    <m/>
    <m/>
    <n v="0"/>
    <n v="2191.88"/>
    <n v="1"/>
    <m/>
    <d v="2018-06-19T00:00:00"/>
    <m/>
    <s v="Dave Yoemans"/>
    <d v="2018-03-05T00:00:00"/>
    <d v="2018-03-16T00:00:00"/>
    <m/>
    <d v="2018-04-01T00:00:00"/>
    <n v="16"/>
  </r>
  <r>
    <x v="2"/>
    <s v="Sydney"/>
    <m/>
    <m/>
    <m/>
    <d v="2018-11-30T00:00:00"/>
    <m/>
    <m/>
    <m/>
    <m/>
    <m/>
    <x v="16"/>
    <s v="Jan-00"/>
    <s v="MW21971-AYCA-4X6TWU-2LID-08-43 - 47 Harrow Rd, Auburn, EXT"/>
    <s v="Auburn"/>
    <n v="279.01"/>
    <m/>
    <n v="279.01"/>
    <n v="306.911"/>
    <m/>
    <m/>
    <n v="0"/>
    <n v="279.01"/>
    <n v="1"/>
    <m/>
    <d v="2018-12-14T00:00:00"/>
    <m/>
    <s v="Nabeel Jaimon"/>
    <s v="Direct Award"/>
    <d v="2018-02-28T00:00:00"/>
    <m/>
    <d v="2018-04-06T00:00:00"/>
    <n v="37"/>
  </r>
  <r>
    <x v="2"/>
    <s v="Sydney"/>
    <m/>
    <m/>
    <d v="2018-06-25T00:00:00"/>
    <d v="2018-06-25T00:00:00"/>
    <m/>
    <m/>
    <d v="2018-07-09T00:00:00"/>
    <d v="2018-07-23T00:00:00"/>
    <m/>
    <x v="14"/>
    <s v="Jul-18"/>
    <s v="MW21994-AYCA-4W4BKH-2HOM-02-38 Weeroona Rd Strathfield INT"/>
    <s v="Strathfield"/>
    <n v="840"/>
    <m/>
    <n v="840"/>
    <n v="924.00000000000011"/>
    <m/>
    <m/>
    <n v="0"/>
    <n v="840"/>
    <n v="1"/>
    <m/>
    <d v="2018-07-09T00:00:00"/>
    <m/>
    <s v="Nabeel Jaimon"/>
    <s v="Direct Award"/>
    <d v="2018-03-06T00:00:00"/>
    <m/>
    <d v="2018-03-28T00:00:00"/>
    <n v="22"/>
  </r>
  <r>
    <x v="2"/>
    <s v="Sydney"/>
    <m/>
    <m/>
    <m/>
    <d v="2018-11-30T00:00:00"/>
    <m/>
    <m/>
    <m/>
    <m/>
    <m/>
    <x v="16"/>
    <s v="Jan-00"/>
    <s v="MW22002-AYCA-4X6TWU-2LID-08-43-47 Harrow Rd Auburn,  INT"/>
    <s v="Auburn"/>
    <n v="560"/>
    <m/>
    <n v="560"/>
    <n v="616"/>
    <m/>
    <m/>
    <n v="0"/>
    <n v="560"/>
    <n v="1"/>
    <m/>
    <d v="2018-12-14T00:00:00"/>
    <m/>
    <s v="Nabeel Jaimon"/>
    <s v="Direct Award"/>
    <d v="2018-03-06T00:00:00"/>
    <m/>
    <d v="2018-04-03T00:00:00"/>
    <n v="28"/>
  </r>
  <r>
    <x v="2"/>
    <s v="Sydney"/>
    <m/>
    <m/>
    <m/>
    <d v="2018-07-30T00:00:00"/>
    <s v=" "/>
    <m/>
    <m/>
    <m/>
    <m/>
    <x v="9"/>
    <s v="Jan-00"/>
    <s v="MW22007-AYCA-4VJFPP-2NEW-22-19-21 Eve St, Erskineville"/>
    <s v="Erskinville"/>
    <n v="1201.18"/>
    <m/>
    <n v="1201.18"/>
    <n v="1321.2980000000002"/>
    <m/>
    <m/>
    <n v="0"/>
    <n v="1201.18"/>
    <n v="1"/>
    <m/>
    <d v="2018-08-13T00:00:00"/>
    <m/>
    <s v="Ertan Cicek"/>
    <s v="Direct Award"/>
    <d v="2018-03-07T00:00:00"/>
    <m/>
    <d v="2018-04-05T00:00:00"/>
    <n v="29"/>
  </r>
  <r>
    <x v="2"/>
    <s v="Sydney"/>
    <s v="Inv 13517"/>
    <d v="2018-04-20T00:00:00"/>
    <d v="2018-03-26T00:00:00"/>
    <d v="2018-03-27T00:00:00"/>
    <d v="2018-04-04T00:00:00"/>
    <d v="2018-04-13T00:00:00"/>
    <d v="2018-04-11T00:00:00"/>
    <d v="2018-04-24T00:00:00"/>
    <m/>
    <x v="11"/>
    <s v="Apr-18"/>
    <s v="MW21881-AYCA-2YGB4Y-2BLK-01-EXTERNAL"/>
    <s v="Blacktown"/>
    <n v="561.20000000000005"/>
    <n v="3014.58"/>
    <n v="3575.7799999999997"/>
    <n v="3933.3580000000002"/>
    <n v="2156.54"/>
    <m/>
    <n v="2156.54"/>
    <n v="1419.2399999999998"/>
    <n v="0.39690361263836138"/>
    <m/>
    <d v="2018-04-10T00:00:00"/>
    <m/>
    <s v="Ertan Cicek"/>
    <s v="Direct Award"/>
    <d v="2018-02-26T00:00:00"/>
    <m/>
    <d v="2018-03-22T00:00:00"/>
    <n v="24"/>
  </r>
  <r>
    <x v="0"/>
    <s v="Sydney"/>
    <s v="Inv 13516"/>
    <d v="2018-04-20T00:00:00"/>
    <d v="2018-04-05T00:00:00"/>
    <d v="2018-04-06T00:00:00"/>
    <d v="2018-04-06T00:00:00"/>
    <d v="2018-04-17T00:00:00"/>
    <d v="2018-04-18T00:00:00"/>
    <d v="2018-04-24T00:00:00"/>
    <m/>
    <x v="7"/>
    <s v="Apr-18"/>
    <s v="MW21401 - AYCA-4RYUIS - 2PTH-11 -NSB- Assisi Close Cranebrook"/>
    <s v="Cranebrook"/>
    <n v="900"/>
    <n v="3694.31"/>
    <n v="4594.3099999999995"/>
    <n v="5053.741"/>
    <m/>
    <m/>
    <n v="0"/>
    <n v="4594.3099999999995"/>
    <n v="1"/>
    <m/>
    <d v="2018-04-20T00:00:00"/>
    <m/>
    <s v="Andrew Mahassy"/>
    <d v="2017-10-02T00:00:00"/>
    <d v="2018-02-13T00:00:00"/>
    <n v="134"/>
    <d v="2018-03-02T00:00:00"/>
    <n v="17"/>
  </r>
  <r>
    <x v="2"/>
    <s v="Sydney"/>
    <s v="Inv 13514"/>
    <d v="2018-04-24T00:00:00"/>
    <d v="2018-03-23T00:00:00"/>
    <d v="2018-03-27T00:00:00"/>
    <d v="2018-03-27T00:00:00"/>
    <d v="2018-04-04T00:00:00"/>
    <d v="2018-04-11T00:00:00"/>
    <d v="2018-04-24T00:00:00"/>
    <m/>
    <x v="11"/>
    <s v="Apr-18"/>
    <s v="MW22072-AYCA-4YFIWK-2HOM-03-4 EXTER RD, HOMEBUSH WEST"/>
    <s v="Homebush West"/>
    <n v="1234.18"/>
    <n v="1744.1900000000003"/>
    <n v="2978.3700000000003"/>
    <n v="3276.2070000000008"/>
    <n v="1639.63"/>
    <m/>
    <n v="1639.63"/>
    <n v="1338.7400000000002"/>
    <n v="0.44948747133499201"/>
    <m/>
    <d v="2018-04-10T00:00:00"/>
    <m/>
    <s v="Ertan Cicek"/>
    <s v="Direct Award"/>
    <d v="2018-03-26T00:00:00"/>
    <m/>
    <d v="2018-04-30T00:00:00"/>
    <n v="35"/>
  </r>
  <r>
    <x v="2"/>
    <s v="Sydney"/>
    <s v="Inv 13637"/>
    <d v="2018-05-22T00:00:00"/>
    <d v="2018-05-03T00:00:00"/>
    <d v="2018-05-03T00:00:00"/>
    <d v="2018-05-08T00:00:00"/>
    <d v="2018-05-10T00:00:00"/>
    <d v="2018-05-16T00:00:00"/>
    <d v="2018-05-22T00:00:00"/>
    <m/>
    <x v="8"/>
    <s v="May-18"/>
    <s v="MW22022--AYCA-3TBATE-2PAR-6111 Hassall St, Paramatta"/>
    <s v="Parramatta"/>
    <n v="1400.62"/>
    <n v="7702.47"/>
    <n v="9103.09"/>
    <n v="10013.399000000001"/>
    <n v="4761.7299999999996"/>
    <m/>
    <n v="4761.7299999999996"/>
    <n v="4341.3600000000006"/>
    <n v="0.47691058750380372"/>
    <m/>
    <d v="2018-05-17T00:00:00"/>
    <m/>
    <s v="Ertan Cicek"/>
    <s v="Direct Award"/>
    <d v="2018-03-08T00:00:00"/>
    <m/>
    <d v="2018-04-10T00:00:00"/>
    <n v="33"/>
  </r>
  <r>
    <x v="0"/>
    <s v="Sydney"/>
    <m/>
    <m/>
    <m/>
    <d v="2018-07-30T00:00:00"/>
    <m/>
    <m/>
    <m/>
    <m/>
    <m/>
    <x v="9"/>
    <s v="Jan-00"/>
    <s v="MW22024-AYCA-35DF0W-2KEL-07-1, 1A &amp; 1B President Rd, Kellyville"/>
    <s v="Kellyville"/>
    <n v="2197.21"/>
    <m/>
    <n v="2197.21"/>
    <n v="2416.931"/>
    <m/>
    <m/>
    <n v="0"/>
    <n v="2197.21"/>
    <n v="1"/>
    <m/>
    <d v="2018-08-13T00:00:00"/>
    <m/>
    <s v="Ertan Cicek"/>
    <s v="Direct Award"/>
    <d v="2018-03-08T00:00:00"/>
    <m/>
    <d v="2018-04-10T00:00:00"/>
    <n v="33"/>
  </r>
  <r>
    <x v="2"/>
    <s v="Sydney"/>
    <s v="Inv 13513"/>
    <d v="2018-04-26T00:00:00"/>
    <d v="2018-03-27T00:00:00"/>
    <d v="2018-03-28T00:00:00"/>
    <d v="2018-04-04T00:00:00"/>
    <d v="2018-04-13T00:00:00"/>
    <d v="2018-04-11T00:00:00"/>
    <d v="2018-04-26T00:00:00"/>
    <m/>
    <x v="11"/>
    <s v="Apr-18"/>
    <s v="MW21649- AYCA-1Y6XJM-2KIL-61-GORDON 2 – 1"/>
    <s v="Gordon"/>
    <n v="2026.01"/>
    <n v="4233.07"/>
    <n v="6259.08"/>
    <n v="6884.9880000000003"/>
    <n v="2015.96"/>
    <m/>
    <n v="2015.96"/>
    <n v="4243.12"/>
    <n v="0.67791432606708968"/>
    <m/>
    <d v="2018-04-11T00:00:00"/>
    <m/>
    <s v="Lindy Chan"/>
    <s v="Direct Award"/>
    <d v="2017-12-21T00:00:00"/>
    <m/>
    <d v="2018-02-10T00:00:00"/>
    <n v="51"/>
  </r>
  <r>
    <x v="0"/>
    <s v="Nth Coast"/>
    <s v="Inv 13541"/>
    <d v="2018-04-27T00:00:00"/>
    <d v="2018-04-11T00:00:00"/>
    <d v="2018-04-13T00:00:00"/>
    <m/>
    <m/>
    <d v="2018-04-24T00:00:00"/>
    <d v="2018-05-01T00:00:00"/>
    <m/>
    <x v="7"/>
    <s v="May-18"/>
    <s v="MW22009-AYCA-4L6PEC-2OBA-20-Brooks close, Old Bar"/>
    <s v="Old Bar"/>
    <n v="3519"/>
    <m/>
    <n v="3519"/>
    <n v="3870.9"/>
    <n v="2323.3000000000002"/>
    <m/>
    <n v="2323.3000000000002"/>
    <n v="1195.6999999999998"/>
    <n v="0.33978402955385045"/>
    <m/>
    <d v="2018-04-27T00:00:00"/>
    <m/>
    <s v="Mark Leal"/>
    <d v="2018-02-28T00:00:00"/>
    <d v="2018-03-13T00:00:00"/>
    <n v="13"/>
    <d v="2018-04-01T00:00:00"/>
    <n v="19"/>
  </r>
  <r>
    <x v="0"/>
    <s v="Newcastle"/>
    <m/>
    <m/>
    <d v="2018-04-26T00:00:00"/>
    <d v="2018-04-26T00:00:00"/>
    <d v="2018-05-08T00:00:00"/>
    <d v="2018-05-16T00:00:00"/>
    <d v="2018-05-07T00:00:00"/>
    <d v="2018-05-29T00:00:00"/>
    <m/>
    <x v="7"/>
    <s v="May-18"/>
    <s v="MW22011-AYCA-4GRO21-2RTC-20-55 Kingston Parade, Heatherbae"/>
    <s v="Heatherbae"/>
    <n v="2191.88"/>
    <n v="6277.4249999999993"/>
    <n v="8469.3050000000003"/>
    <n v="9316.2355000000007"/>
    <n v="5405.07"/>
    <m/>
    <n v="5405.07"/>
    <n v="3064.2350000000006"/>
    <n v="0.36180477618883727"/>
    <m/>
    <d v="2018-05-10T00:00:00"/>
    <m/>
    <s v="Mark Leal"/>
    <d v="2018-02-28T00:00:00"/>
    <d v="2018-03-13T00:00:00"/>
    <n v="13"/>
    <d v="2018-04-01T00:00:00"/>
    <n v="19"/>
  </r>
  <r>
    <x v="2"/>
    <s v="Sydney"/>
    <m/>
    <m/>
    <m/>
    <d v="2018-07-30T00:00:00"/>
    <m/>
    <m/>
    <m/>
    <m/>
    <m/>
    <x v="9"/>
    <s v="Jan-00"/>
    <s v="MW22023-AYCA-48280D - 2RED-03 -  906 Bourke St, Zetland"/>
    <s v="Zetland"/>
    <n v="3858.83"/>
    <m/>
    <n v="3858.83"/>
    <n v="4244.7130000000006"/>
    <n v="1285"/>
    <m/>
    <n v="1285"/>
    <n v="2573.83"/>
    <n v="0.66699750960783444"/>
    <m/>
    <d v="2018-08-13T00:00:00"/>
    <m/>
    <s v="Ertan Cicek"/>
    <s v="Direct Award"/>
    <d v="2018-03-13T00:00:00"/>
    <m/>
    <d v="2018-04-09T00:00:00"/>
    <n v="27"/>
  </r>
  <r>
    <x v="2"/>
    <s v="Sydney"/>
    <m/>
    <m/>
    <m/>
    <d v="2017-06-30T00:00:00"/>
    <m/>
    <m/>
    <m/>
    <m/>
    <m/>
    <x v="1"/>
    <s v="Jan-00"/>
    <s v="MW21914 - AYCA-4SRFAN-2BAL-62 - 22/26 Roseberry St Balgowlah NSW "/>
    <s v="Balgowlah"/>
    <n v="560"/>
    <m/>
    <n v="560"/>
    <n v="616"/>
    <m/>
    <m/>
    <n v="0"/>
    <n v="560"/>
    <n v="1"/>
    <m/>
    <d v="2017-07-14T00:00:00"/>
    <m/>
    <s v="Ertan Cicek"/>
    <s v="Direct Award"/>
    <d v="2018-03-14T00:00:00"/>
    <m/>
    <d v="2018-05-15T00:00:00"/>
    <n v="62"/>
  </r>
  <r>
    <x v="2"/>
    <s v="Sydney"/>
    <m/>
    <m/>
    <m/>
    <d v="2018-07-30T00:00:00"/>
    <m/>
    <m/>
    <m/>
    <m/>
    <m/>
    <x v="9"/>
    <s v="Jan-00"/>
    <s v="MW22048-AYCA-52ZO0L-2LID-04-32 Norval St, Auburn EXT"/>
    <s v="Aurburn"/>
    <n v="1156.52"/>
    <m/>
    <n v="1156.52"/>
    <n v="1272.172"/>
    <m/>
    <m/>
    <n v="0"/>
    <n v="1156.52"/>
    <n v="1"/>
    <m/>
    <d v="2018-08-13T00:00:00"/>
    <m/>
    <s v="Ertan Cicek"/>
    <s v="Direct Award"/>
    <d v="2018-03-15T00:00:00"/>
    <m/>
    <d v="2018-04-30T00:00:00"/>
    <n v="46"/>
  </r>
  <r>
    <x v="2"/>
    <s v="Sydney"/>
    <m/>
    <m/>
    <m/>
    <d v="2018-07-30T00:00:00"/>
    <m/>
    <m/>
    <m/>
    <m/>
    <m/>
    <x v="9"/>
    <s v="Jan-00"/>
    <s v="MW22053-AYCA-4O03IQ-2COR-09-17 Ryan Street Balgownie Int"/>
    <s v="Balgowie"/>
    <n v="2731.54"/>
    <m/>
    <n v="2731.54"/>
    <n v="3004.6940000000004"/>
    <m/>
    <m/>
    <n v="0"/>
    <n v="2731.54"/>
    <n v="1"/>
    <m/>
    <d v="2018-08-13T00:00:00"/>
    <m/>
    <s v="Nabeel Jaimon"/>
    <s v="Direct Award"/>
    <d v="2018-03-15T00:00:00"/>
    <m/>
    <d v="2018-05-11T00:00:00"/>
    <n v="57"/>
  </r>
  <r>
    <x v="2"/>
    <s v="Sydney"/>
    <m/>
    <m/>
    <m/>
    <d v="2018-07-30T00:00:00"/>
    <m/>
    <m/>
    <m/>
    <m/>
    <m/>
    <x v="9"/>
    <s v="Jan-00"/>
    <s v="MW22042-AYCA-4SV0JO2ING-65-41-47 Stennett Rd Ingleburn, Int HMDU"/>
    <s v="Ingelburn"/>
    <n v="560"/>
    <m/>
    <n v="560"/>
    <n v="616"/>
    <m/>
    <m/>
    <n v="0"/>
    <n v="560"/>
    <n v="1"/>
    <m/>
    <d v="2018-08-13T00:00:00"/>
    <m/>
    <s v="Nabeel Jaimon"/>
    <s v="Direct Award"/>
    <d v="2018-03-15T00:00:00"/>
    <m/>
    <d v="2018-05-31T00:00:00"/>
    <n v="77"/>
  </r>
  <r>
    <x v="2"/>
    <s v="Sydney"/>
    <m/>
    <m/>
    <m/>
    <d v="2018-07-30T00:00:00"/>
    <m/>
    <m/>
    <m/>
    <m/>
    <m/>
    <x v="9"/>
    <s v="Jan-00"/>
    <s v="MW21898-AYCA-26KP9Q-2ROU-02-Caddies Boulevard &amp; White Hart Drive, Rouse Hill"/>
    <s v="Rouse Hill"/>
    <n v="2930.88"/>
    <m/>
    <n v="2930.88"/>
    <n v="3223.9680000000003"/>
    <m/>
    <m/>
    <n v="0"/>
    <n v="2930.88"/>
    <n v="1"/>
    <m/>
    <d v="2018-08-13T00:00:00"/>
    <m/>
    <s v="Ertan Cicek"/>
    <s v="Direct Award"/>
    <d v="2018-03-15T00:00:00"/>
    <m/>
    <d v="2018-03-26T00:00:00"/>
    <n v="11"/>
  </r>
  <r>
    <x v="2"/>
    <s v="Sydney"/>
    <s v="Inv 13695"/>
    <d v="2018-06-06T00:00:00"/>
    <d v="2018-05-14T00:00:00"/>
    <d v="2018-05-15T00:00:00"/>
    <d v="2018-05-18T00:00:00"/>
    <d v="2018-05-30T00:00:00"/>
    <d v="2018-05-29T00:00:00"/>
    <d v="2018-06-05T00:00:00"/>
    <m/>
    <x v="8"/>
    <s v="Jun-18"/>
    <s v="MW22047-AYCA-53E534-2LIV-12-25 Glenfield Rd, Glenfield  Ext"/>
    <s v="Glenfield"/>
    <n v="5800.45"/>
    <n v="-1002.48"/>
    <n v="4797.9699999999993"/>
    <n v="5277.7669999999998"/>
    <m/>
    <m/>
    <n v="0"/>
    <n v="4797.9699999999993"/>
    <n v="1"/>
    <m/>
    <d v="2018-05-29T00:00:00"/>
    <m/>
    <s v="Richard Huffadine"/>
    <s v="Direct Award"/>
    <d v="2018-03-15T00:00:00"/>
    <m/>
    <d v="2018-04-16T00:00:00"/>
    <n v="32"/>
  </r>
  <r>
    <x v="2"/>
    <s v="Sydney"/>
    <m/>
    <m/>
    <m/>
    <d v="2018-07-30T00:00:00"/>
    <m/>
    <m/>
    <m/>
    <m/>
    <m/>
    <x v="9"/>
    <s v="Jan-00"/>
    <s v="MW22055-AYCA-52ZO0L-2LID-04-32 Norval St Auburn   INT"/>
    <s v="Auburn"/>
    <n v="2800"/>
    <m/>
    <n v="2800"/>
    <n v="3080.0000000000005"/>
    <n v="1434.4"/>
    <m/>
    <n v="1434.4"/>
    <n v="1365.6"/>
    <n v="0.48771428571428566"/>
    <m/>
    <d v="2018-08-13T00:00:00"/>
    <m/>
    <s v="Ertan Cicek"/>
    <s v="Direct Award"/>
    <d v="2018-03-15T00:00:00"/>
    <m/>
    <d v="2018-04-30T00:00:00"/>
    <n v="46"/>
  </r>
  <r>
    <x v="2"/>
    <s v="Sydney"/>
    <s v="Inv 13613"/>
    <d v="2018-05-17T00:00:00"/>
    <d v="2018-04-09T00:00:00"/>
    <d v="2018-04-10T00:00:00"/>
    <d v="2018-04-12T00:00:00"/>
    <d v="2018-05-10T00:00:00"/>
    <d v="2018-04-23T00:00:00"/>
    <d v="2018-05-17T00:00:00"/>
    <m/>
    <x v="7"/>
    <s v="May-18"/>
    <s v="MW22017-AYCA-413V2N-2HOM-03-16 - 20 Smallwood Ave, Homebush"/>
    <s v="Homebush"/>
    <n v="1747.6"/>
    <n v="5475.6200000000008"/>
    <n v="7223.2200000000012"/>
    <n v="7945.5420000000022"/>
    <n v="4066.58"/>
    <m/>
    <n v="4066.58"/>
    <n v="3156.6400000000012"/>
    <n v="0.43701285576238863"/>
    <m/>
    <d v="2018-04-24T00:00:00"/>
    <m/>
    <s v="Ertan Cicek"/>
    <s v="Direct Award"/>
    <d v="2018-03-16T00:00:00"/>
    <m/>
    <d v="2018-04-09T00:00:00"/>
    <n v="24"/>
  </r>
  <r>
    <x v="2"/>
    <s v="Sydney"/>
    <s v="Inv 13614"/>
    <d v="2018-05-17T00:00:00"/>
    <d v="2018-04-17T00:00:00"/>
    <d v="2018-04-17T00:00:00"/>
    <d v="2018-04-26T00:00:00"/>
    <d v="2018-05-10T00:00:00"/>
    <d v="2018-04-30T00:00:00"/>
    <d v="2018-05-17T00:00:00"/>
    <m/>
    <x v="7"/>
    <s v="May-18"/>
    <s v="MW21966-AYCA-52950S-2BUR-65-147 - 153 Liverpool Rd, Burwood"/>
    <s v="Burwood"/>
    <n v="3770.14"/>
    <n v="8711"/>
    <n v="12481.14"/>
    <n v="13729.254000000001"/>
    <n v="9477.91"/>
    <m/>
    <n v="9477.91"/>
    <n v="3003.2299999999996"/>
    <n v="0.24062144964322166"/>
    <m/>
    <d v="2018-05-01T00:00:00"/>
    <m/>
    <s v="Ertan Cicek"/>
    <s v="Direct Award"/>
    <d v="2018-03-16T00:00:00"/>
    <m/>
    <d v="2018-04-05T00:00:00"/>
    <n v="20"/>
  </r>
  <r>
    <x v="2"/>
    <s v="Sydney"/>
    <s v="Inv 13684"/>
    <d v="2018-05-30T00:00:00"/>
    <d v="2018-04-09T00:00:00"/>
    <d v="2018-04-10T00:00:00"/>
    <d v="2018-04-12T00:00:00"/>
    <d v="2018-04-10T00:00:00"/>
    <d v="2018-05-24T00:00:00"/>
    <d v="2018-05-31T00:00:00"/>
    <m/>
    <x v="7"/>
    <s v="May-18"/>
    <s v="MW22037-AYCA-53063P-2LIV-03-23 Mayberry Cres, Liverpool"/>
    <s v="Liverpool"/>
    <n v="1129.8399999999999"/>
    <n v="2377.36"/>
    <n v="3507.2"/>
    <n v="3857.92"/>
    <m/>
    <m/>
    <n v="0"/>
    <n v="3507.2"/>
    <n v="1"/>
    <m/>
    <d v="2018-04-24T00:00:00"/>
    <m/>
    <s v="Ertan Cicek"/>
    <s v="Direct Award"/>
    <d v="2018-03-20T00:00:00"/>
    <m/>
    <d v="2018-04-16T00:00:00"/>
    <n v="27"/>
  </r>
  <r>
    <x v="2"/>
    <s v="Sydney"/>
    <s v="Inv 13683"/>
    <d v="2018-05-30T00:00:00"/>
    <d v="2018-05-03T00:00:00"/>
    <d v="2018-05-03T00:00:00"/>
    <d v="2018-05-10T00:00:00"/>
    <d v="2018-05-23T00:00:00"/>
    <d v="2018-05-16T00:00:00"/>
    <d v="2018-05-31T00:00:00"/>
    <m/>
    <x v="8"/>
    <s v="May-18"/>
    <s v="MW22057 - AYCA-4EOA07-2MIR-24 - 298-300 Taren Point Rd, Caringbah"/>
    <s v="Caringbah"/>
    <n v="1692.36"/>
    <n v="8088.39"/>
    <n v="9780.75"/>
    <n v="10758.825000000001"/>
    <n v="5968.17"/>
    <m/>
    <n v="5968.17"/>
    <n v="3812.58"/>
    <n v="0.38980446284794112"/>
    <m/>
    <d v="2018-05-17T00:00:00"/>
    <m/>
    <s v="Ertan Cicek"/>
    <s v="Direct Award"/>
    <d v="2018-03-19T00:00:00"/>
    <m/>
    <d v="2018-04-18T00:00:00"/>
    <n v="30"/>
  </r>
  <r>
    <x v="2"/>
    <s v="Sydney"/>
    <s v="Inv 13667"/>
    <d v="2018-06-12T00:00:00"/>
    <d v="2018-06-07T00:00:00"/>
    <d v="2018-06-07T00:00:00"/>
    <d v="2018-06-07T00:00:00"/>
    <d v="2018-06-21T00:00:00"/>
    <d v="2018-06-21T00:00:00"/>
    <d v="2018-06-28T00:00:00"/>
    <m/>
    <x v="14"/>
    <s v="Jun-18"/>
    <s v="MW22050-AYCA-53E534-2LIV-12-25 Glenfield Rd Glenfield Int"/>
    <s v="Glenfield"/>
    <n v="2640"/>
    <n v="512.55999999999995"/>
    <n v="3152.56"/>
    <n v="3467.8160000000003"/>
    <m/>
    <m/>
    <n v="0"/>
    <n v="3152.56"/>
    <n v="1"/>
    <m/>
    <d v="2018-06-21T00:00:00"/>
    <m/>
    <s v="Richard Huffadine"/>
    <s v="Direct Award"/>
    <d v="2018-03-21T00:00:00"/>
    <m/>
    <d v="2018-04-10T00:00:00"/>
    <n v="20"/>
  </r>
  <r>
    <x v="2"/>
    <s v="Sydney"/>
    <m/>
    <m/>
    <m/>
    <d v="2018-11-30T00:00:00"/>
    <m/>
    <m/>
    <m/>
    <m/>
    <m/>
    <x v="16"/>
    <s v="Jan-00"/>
    <s v="MW22071- AYCA-4M02LB -2UND-62-401-405 Illawarra Road, Marrickville "/>
    <s v="Marrickville"/>
    <n v="857.61"/>
    <m/>
    <n v="857.61"/>
    <n v="943.37100000000009"/>
    <m/>
    <m/>
    <n v="0"/>
    <n v="857.61"/>
    <n v="1"/>
    <m/>
    <d v="2018-12-14T00:00:00"/>
    <m/>
    <s v="Ertan Cicek"/>
    <s v="Direct Award"/>
    <d v="2018-03-21T00:00:00"/>
    <m/>
    <d v="2018-04-23T00:00:00"/>
    <n v="33"/>
  </r>
  <r>
    <x v="2"/>
    <s v="Sydney"/>
    <s v="Inv 13524"/>
    <d v="2018-04-19T00:00:00"/>
    <d v="2018-03-29T00:00:00"/>
    <d v="2018-03-29T00:00:00"/>
    <d v="2018-04-04T00:00:00"/>
    <d v="2018-04-13T00:00:00"/>
    <d v="2018-04-13T00:00:00"/>
    <d v="2018-04-27T00:00:00"/>
    <m/>
    <x v="11"/>
    <s v="Apr-18"/>
    <s v="MW21556  - AYCA-1XCONO -2NEW-22 - Ablin Erskineville Pty Ltd "/>
    <s v="Erskinville"/>
    <n v="1338.12"/>
    <n v="16376.49"/>
    <n v="17714.61"/>
    <n v="19486.071000000004"/>
    <n v="9951.76"/>
    <m/>
    <n v="9951.76"/>
    <n v="7762.85"/>
    <n v="0.43821738102052488"/>
    <m/>
    <d v="2018-04-12T00:00:00"/>
    <m/>
    <s v="Ertan Cicek"/>
    <s v="Direct Award"/>
    <d v="2017-12-21T00:00:00"/>
    <m/>
    <d v="2018-01-02T00:00:00"/>
    <n v="12"/>
  </r>
  <r>
    <x v="7"/>
    <s v="NSW"/>
    <s v="Inv 13410"/>
    <d v="2018-03-23T00:00:00"/>
    <d v="2018-03-16T00:00:00"/>
    <d v="2018-03-16T00:00:00"/>
    <m/>
    <m/>
    <m/>
    <d v="2018-05-01T00:00:00"/>
    <m/>
    <x v="11"/>
    <s v="May-18"/>
    <s v="MW22143 - INC000007228306 - 2 Lovelle St, Moss Vale, NSW"/>
    <s v="Moss Vale"/>
    <n v="6897.78"/>
    <m/>
    <n v="6897.78"/>
    <n v="7587.558"/>
    <n v="2849"/>
    <n v="441.4"/>
    <n v="3290.4"/>
    <n v="3607.3799999999997"/>
    <n v="0.52297695780381515"/>
    <m/>
    <d v="2018-03-30T00:00:00"/>
    <m/>
    <s v="Tony Gabriel"/>
    <m/>
    <m/>
    <m/>
    <m/>
    <m/>
  </r>
  <r>
    <x v="7"/>
    <s v="NSW"/>
    <s v="Inv 13415"/>
    <d v="2018-03-23T00:00:00"/>
    <d v="2018-03-07T00:00:00"/>
    <d v="2018-03-07T00:00:00"/>
    <m/>
    <m/>
    <m/>
    <d v="2018-05-01T00:00:00"/>
    <m/>
    <x v="11"/>
    <s v="May-18"/>
    <s v="MW22147 - INC000007076078 - Lot 10, 15 Moles Street, Albion Park,"/>
    <s v="Albion Park"/>
    <n v="3001.39"/>
    <m/>
    <n v="3001.39"/>
    <n v="3301.529"/>
    <n v="1295"/>
    <n v="154.49"/>
    <n v="1449.49"/>
    <n v="1551.8999999999999"/>
    <n v="0.51706042866805046"/>
    <m/>
    <d v="2018-03-21T00:00:00"/>
    <m/>
    <s v="Tony Gabriel"/>
    <m/>
    <m/>
    <m/>
    <m/>
    <m/>
  </r>
  <r>
    <x v="7"/>
    <s v="NSW"/>
    <s v="Inv 13411"/>
    <d v="2018-03-23T00:00:00"/>
    <d v="2018-03-19T00:00:00"/>
    <d v="2018-03-19T00:00:00"/>
    <m/>
    <m/>
    <m/>
    <d v="2018-05-01T00:00:00"/>
    <m/>
    <x v="11"/>
    <s v="May-18"/>
    <s v="MW22144 - INC000007333304 - Lot 16, 21 Foy Av, Medlow Bath"/>
    <s v="Medlow Bath"/>
    <n v="3575.87"/>
    <m/>
    <n v="3575.87"/>
    <n v="3933.4570000000003"/>
    <n v="140"/>
    <n v="1104.8699999999999"/>
    <n v="1244.8699999999999"/>
    <n v="2331"/>
    <n v="0.65186933529462765"/>
    <m/>
    <d v="2018-04-02T00:00:00"/>
    <m/>
    <s v="Tony Gabriel"/>
    <m/>
    <m/>
    <m/>
    <m/>
    <m/>
  </r>
  <r>
    <x v="7"/>
    <s v="NSW"/>
    <s v="Inv 13412"/>
    <d v="2018-03-23T00:00:00"/>
    <d v="2018-03-19T00:00:00"/>
    <d v="2018-03-19T00:00:00"/>
    <m/>
    <m/>
    <m/>
    <d v="2018-05-01T00:00:00"/>
    <m/>
    <x v="11"/>
    <s v="May-18"/>
    <s v="MW22146 - INC000007461059 - 27 Foy Av, Medlow Bath"/>
    <s v="Medlow Bath"/>
    <n v="1281.4000000000001"/>
    <m/>
    <n v="1281.4000000000001"/>
    <n v="1409.5400000000002"/>
    <m/>
    <n v="441.4"/>
    <n v="441.4"/>
    <n v="840.00000000000011"/>
    <n v="0.6555330107694709"/>
    <m/>
    <d v="2018-04-02T00:00:00"/>
    <m/>
    <s v="Tony Gabriel"/>
    <m/>
    <m/>
    <m/>
    <m/>
    <m/>
  </r>
  <r>
    <x v="7"/>
    <s v="NSW"/>
    <s v="Inv 13413"/>
    <d v="2018-03-23T00:00:00"/>
    <d v="2018-03-19T00:00:00"/>
    <d v="2018-03-19T00:00:00"/>
    <m/>
    <m/>
    <m/>
    <d v="2018-05-01T00:00:00"/>
    <m/>
    <x v="11"/>
    <s v="May-18"/>
    <s v="MW22145 - INC000007293986 - Lot 22, 33 Foy Av, Medlow Bath"/>
    <s v="Medlow Bath"/>
    <n v="1025.1199999999999"/>
    <m/>
    <n v="1025.1199999999999"/>
    <n v="1127.6320000000001"/>
    <m/>
    <n v="353.12"/>
    <n v="353.12"/>
    <n v="671.99999999999989"/>
    <n v="0.6555330107694709"/>
    <s v="Invoiced"/>
    <d v="2018-04-02T00:00:00"/>
    <s v="Completed and handover forwarded"/>
    <s v="Tony Gabriel"/>
    <m/>
    <m/>
    <m/>
    <m/>
    <m/>
  </r>
  <r>
    <x v="7"/>
    <s v="NSW"/>
    <s v="Inv 13419"/>
    <d v="2018-03-23T00:00:00"/>
    <d v="2018-03-19T00:00:00"/>
    <d v="2018-03-19T00:00:00"/>
    <m/>
    <m/>
    <m/>
    <d v="2018-05-01T00:00:00"/>
    <m/>
    <x v="11"/>
    <s v="May-18"/>
    <s v="MW22154 - INC000007271428 – Lot 12, 21 Sharwood Pl, Gerringong"/>
    <s v="Gerringong"/>
    <n v="6768.65"/>
    <m/>
    <n v="6768.65"/>
    <n v="7445.5150000000003"/>
    <n v="2849"/>
    <n v="308.98"/>
    <n v="3157.98"/>
    <n v="3610.6699999999996"/>
    <n v="0.53344019856249025"/>
    <m/>
    <d v="2018-04-02T00:00:00"/>
    <m/>
    <s v="Tony Gabriel"/>
    <m/>
    <m/>
    <m/>
    <m/>
    <m/>
  </r>
  <r>
    <x v="2"/>
    <s v="Sydney"/>
    <s v="Inv 13631"/>
    <d v="2018-05-22T00:00:00"/>
    <d v="2018-05-03T00:00:00"/>
    <d v="2018-05-03T00:00:00"/>
    <d v="2018-05-08T00:00:00"/>
    <d v="2018-05-14T00:00:00"/>
    <d v="2018-05-16T00:00:00"/>
    <d v="2018-05-22T00:00:00"/>
    <m/>
    <x v="8"/>
    <s v="May-18"/>
    <s v="MW22080-2QUA-02-AYCA-3I5VJ6-67 Dongola Circuit Schofields"/>
    <s v="Schofields"/>
    <n v="355.84"/>
    <n v="668.3599999999999"/>
    <n v="1024.1999999999998"/>
    <n v="1126.6199999999999"/>
    <m/>
    <m/>
    <n v="0"/>
    <n v="1024.1999999999998"/>
    <n v="1"/>
    <m/>
    <d v="2018-05-17T00:00:00"/>
    <m/>
    <s v="Ertan Cicek"/>
    <s v="Direct Award"/>
    <d v="2018-03-23T00:00:00"/>
    <m/>
    <d v="2018-05-01T00:00:00"/>
    <n v="39"/>
  </r>
  <r>
    <x v="7"/>
    <s v="NSW"/>
    <s v="Inv 13420"/>
    <d v="2018-03-26T00:00:00"/>
    <d v="2018-03-08T00:00:00"/>
    <d v="2018-03-08T00:00:00"/>
    <m/>
    <m/>
    <m/>
    <d v="2018-05-01T00:00:00"/>
    <m/>
    <x v="11"/>
    <s v="May-18"/>
    <s v="MW22152 - INC000007065260 - 33 Tumut St, Adelong, NSW"/>
    <s v="Adelong"/>
    <n v="3441.9114285714286"/>
    <m/>
    <n v="3441.9114285714286"/>
    <n v="3786.1025714285715"/>
    <n v="1559"/>
    <n v="925"/>
    <n v="2484"/>
    <n v="957.91142857142859"/>
    <n v="0.27830798335476387"/>
    <m/>
    <d v="2018-03-22T00:00:00"/>
    <m/>
    <s v="Tony Gabriel"/>
    <m/>
    <m/>
    <m/>
    <m/>
    <m/>
  </r>
  <r>
    <x v="7"/>
    <s v="NSW"/>
    <s v="Inv 13421"/>
    <d v="2018-03-26T00:00:00"/>
    <d v="2018-03-06T00:00:00"/>
    <d v="2018-03-06T00:00:00"/>
    <m/>
    <m/>
    <m/>
    <d v="2018-05-01T00:00:00"/>
    <m/>
    <x v="11"/>
    <s v="May-18"/>
    <s v="MW22153 - INC000007236006 - LOT 5, 19 RESTON GRA, BELLA VISTA"/>
    <s v="Bella Vista"/>
    <n v="512.55999999999995"/>
    <m/>
    <n v="512.55999999999995"/>
    <n v="563.81600000000003"/>
    <m/>
    <n v="176.56"/>
    <n v="176.56"/>
    <n v="335.99999999999994"/>
    <n v="0.6555330107694709"/>
    <m/>
    <d v="2018-03-20T00:00:00"/>
    <m/>
    <s v="Tony Gabriel"/>
    <m/>
    <m/>
    <m/>
    <m/>
    <m/>
  </r>
  <r>
    <x v="7"/>
    <s v="NSW"/>
    <s v="Inv 13435"/>
    <d v="2018-03-28T00:00:00"/>
    <d v="2018-03-08T00:00:00"/>
    <d v="2018-03-08T00:00:00"/>
    <m/>
    <m/>
    <m/>
    <d v="2018-05-15T00:00:00"/>
    <m/>
    <x v="11"/>
    <s v="May-18"/>
    <s v="MW22172 - INC000007232111 - Lot 224, 20 Elm St, Albion Park Rail, NSW"/>
    <s v="Albion Park"/>
    <n v="1151.28"/>
    <m/>
    <n v="1151.28"/>
    <n v="1266.4080000000001"/>
    <m/>
    <n v="205.7"/>
    <n v="205.7"/>
    <n v="945.57999999999993"/>
    <n v="0.82132930303662011"/>
    <m/>
    <d v="2018-03-22T00:00:00"/>
    <m/>
    <s v="Tony Gabriel"/>
    <m/>
    <m/>
    <m/>
    <m/>
    <m/>
  </r>
  <r>
    <x v="7"/>
    <s v="NSW"/>
    <s v="Inv 13422"/>
    <d v="2018-03-27T00:00:00"/>
    <d v="2018-03-15T00:00:00"/>
    <d v="2018-03-15T00:00:00"/>
    <m/>
    <m/>
    <m/>
    <d v="2018-05-17T00:00:00"/>
    <m/>
    <x v="11"/>
    <s v="May-18"/>
    <s v="MW22150 - INC000007302762- Lot 81, 70 Point St, Bulli"/>
    <s v="Bulli"/>
    <n v="2619.94"/>
    <m/>
    <n v="2619.94"/>
    <n v="2881.9340000000002"/>
    <n v="1036"/>
    <n v="126.18"/>
    <n v="1162.18"/>
    <n v="1457.76"/>
    <n v="0.55640968877149855"/>
    <m/>
    <d v="2018-03-29T00:00:00"/>
    <m/>
    <s v="Tony Gabriel"/>
    <m/>
    <m/>
    <m/>
    <m/>
    <m/>
  </r>
  <r>
    <x v="6"/>
    <s v="NSW"/>
    <s v="Inv 13423"/>
    <d v="2018-03-27T00:00:00"/>
    <d v="2018-03-22T00:00:00"/>
    <d v="2018-03-22T00:00:00"/>
    <m/>
    <m/>
    <m/>
    <d v="2018-05-01T00:00:00"/>
    <m/>
    <x v="11"/>
    <s v="May-18"/>
    <s v="MW22160 - INC000007219881 - Lot 165, 13 Poulton St, Ashmont, NSW"/>
    <s v="Ashmont"/>
    <n v="2501.66"/>
    <m/>
    <n v="2501.66"/>
    <n v="2751.826"/>
    <m/>
    <m/>
    <n v="0"/>
    <n v="2501.66"/>
    <n v="1"/>
    <m/>
    <d v="2018-04-05T00:00:00"/>
    <m/>
    <s v="Tony Gabriel"/>
    <m/>
    <m/>
    <m/>
    <m/>
    <m/>
  </r>
  <r>
    <x v="7"/>
    <s v="NSW"/>
    <s v="Inv 13424"/>
    <d v="2018-03-27T00:00:00"/>
    <d v="2018-03-02T00:00:00"/>
    <d v="2018-03-02T00:00:00"/>
    <m/>
    <m/>
    <m/>
    <d v="2018-05-01T00:00:00"/>
    <m/>
    <x v="11"/>
    <s v="May-18"/>
    <s v="MW22161 - INC000007088104 - Lot 1823, 4 Englorie Park Drive, Glen Alpine"/>
    <s v="Glen Alpine"/>
    <n v="512.55999999999995"/>
    <m/>
    <n v="512.55999999999995"/>
    <n v="563.81600000000003"/>
    <m/>
    <n v="176.56"/>
    <n v="176.56"/>
    <n v="335.99999999999994"/>
    <n v="0.6555330107694709"/>
    <m/>
    <d v="2018-03-16T00:00:00"/>
    <m/>
    <s v="Tony Gabriel"/>
    <m/>
    <m/>
    <m/>
    <m/>
    <m/>
  </r>
  <r>
    <x v="7"/>
    <s v="NSW"/>
    <s v="Inv 13425"/>
    <d v="2018-03-27T00:00:00"/>
    <d v="2018-03-09T00:00:00"/>
    <d v="2018-03-09T00:00:00"/>
    <m/>
    <m/>
    <m/>
    <d v="2018-05-01T00:00:00"/>
    <m/>
    <x v="11"/>
    <s v="May-18"/>
    <s v="MW22162 - INC000007200382 - UNIT 2, 33 VILLAWOOD PL, VILLAWOOD"/>
    <s v="Villawood"/>
    <n v="384.42"/>
    <m/>
    <n v="384.42"/>
    <n v="422.86200000000008"/>
    <m/>
    <n v="132.42000000000002"/>
    <n v="132.42000000000002"/>
    <n v="252"/>
    <n v="0.6555330107694709"/>
    <m/>
    <d v="2018-03-23T00:00:00"/>
    <m/>
    <s v="Tony Gabriel"/>
    <m/>
    <m/>
    <m/>
    <m/>
    <m/>
  </r>
  <r>
    <x v="7"/>
    <s v="NSW"/>
    <s v="Inv 13426"/>
    <d v="2018-03-27T00:00:00"/>
    <d v="2018-03-16T00:00:00"/>
    <d v="2018-03-16T00:00:00"/>
    <m/>
    <m/>
    <m/>
    <d v="2018-03-01T00:00:00"/>
    <m/>
    <x v="11"/>
    <s v="Mar-18"/>
    <s v="MW22173 - INC000007474012 –  LOT 122, 44 BALMORAL RD, LEURA"/>
    <s v="Leura"/>
    <n v="256.27999999999997"/>
    <m/>
    <n v="256.27999999999997"/>
    <n v="281.90800000000002"/>
    <m/>
    <n v="88.28"/>
    <n v="88.28"/>
    <n v="167.99999999999997"/>
    <n v="0.6555330107694709"/>
    <m/>
    <d v="2018-03-30T00:00:00"/>
    <m/>
    <s v="Tony Gabriel"/>
    <m/>
    <m/>
    <m/>
    <m/>
    <m/>
  </r>
  <r>
    <x v="2"/>
    <s v="Sydney"/>
    <s v="Inv 13511"/>
    <d v="2018-04-19T00:00:00"/>
    <d v="2018-03-29T00:00:00"/>
    <d v="2018-03-29T00:00:00"/>
    <d v="2018-03-29T00:00:00"/>
    <m/>
    <d v="2018-04-13T00:00:00"/>
    <d v="2018-04-27T00:00:00"/>
    <m/>
    <x v="11"/>
    <s v="Apr-18"/>
    <s v="MW21919 - AYCA-35Q2VE-2KEL-07-9 Fairway Drive, Kellyville"/>
    <s v="Kellyville"/>
    <n v="8288.41"/>
    <n v="-772.02"/>
    <n v="7516.3899999999994"/>
    <n v="8268.0290000000005"/>
    <n v="4736.21"/>
    <m/>
    <n v="4736.21"/>
    <n v="2780.1799999999994"/>
    <n v="0.36988235043684531"/>
    <m/>
    <d v="2018-04-12T00:00:00"/>
    <m/>
    <s v="Sogand Mohtat"/>
    <s v="Direct Award"/>
    <d v="2018-02-20T00:00:00"/>
    <m/>
    <d v="2018-03-22T00:00:00"/>
    <n v="30"/>
  </r>
  <r>
    <x v="7"/>
    <s v="NSW"/>
    <s v="Inv 13427"/>
    <d v="2018-03-27T00:00:00"/>
    <d v="2018-03-13T00:00:00"/>
    <d v="2018-03-13T00:00:00"/>
    <m/>
    <m/>
    <m/>
    <d v="2018-05-01T00:00:00"/>
    <m/>
    <x v="11"/>
    <s v="May-18"/>
    <s v="MW22163 - INC000007246715- LOT 2020, 1106 WINDSOR RD, RIVERSTONE"/>
    <s v="Riverstone"/>
    <n v="961.05"/>
    <m/>
    <n v="961.05"/>
    <n v="1057.155"/>
    <m/>
    <n v="315.45000000000005"/>
    <n v="315.45000000000005"/>
    <n v="645.59999999999991"/>
    <n v="0.6717652567504292"/>
    <m/>
    <d v="2018-03-27T00:00:00"/>
    <m/>
    <s v="Tony Gabriel"/>
    <m/>
    <m/>
    <m/>
    <m/>
    <m/>
  </r>
  <r>
    <x v="2"/>
    <s v="West NSW"/>
    <s v="Inv 13630"/>
    <d v="2018-05-22T00:00:00"/>
    <d v="2018-04-27T00:00:00"/>
    <d v="2018-04-30T00:00:00"/>
    <d v="2018-05-03T00:00:00"/>
    <d v="2018-05-15T00:00:00"/>
    <d v="2018-05-09T00:00:00"/>
    <d v="2018-05-22T00:00:00"/>
    <m/>
    <x v="7"/>
    <s v="May-18"/>
    <s v="MW22065-AYCA-4FM8T4-2DBB-01-1L Hennessy Dr Drive Dubbo"/>
    <s v="Dubbo"/>
    <n v="1316.17"/>
    <n v="2965.92"/>
    <n v="4282.09"/>
    <n v="4710.2990000000009"/>
    <m/>
    <m/>
    <n v="0"/>
    <n v="4282.09"/>
    <n v="1"/>
    <m/>
    <d v="2018-05-14T00:00:00"/>
    <m/>
    <s v="Ertan Cicek"/>
    <s v="Direct Award"/>
    <d v="2018-03-27T00:00:00"/>
    <m/>
    <d v="2018-04-30T00:00:00"/>
    <n v="34"/>
  </r>
  <r>
    <x v="6"/>
    <s v="NSW"/>
    <s v="Inv 13430"/>
    <d v="2018-03-27T00:00:00"/>
    <d v="2018-02-27T00:00:00"/>
    <d v="2018-02-27T00:00:00"/>
    <m/>
    <m/>
    <m/>
    <d v="2018-05-01T00:00:00"/>
    <m/>
    <x v="2"/>
    <s v="May-18"/>
    <s v="MW22159 - INC000007129251 - 169 Palm Avenue, Leeton"/>
    <s v="Leeton"/>
    <n v="512.55999999999995"/>
    <m/>
    <n v="512.55999999999995"/>
    <n v="563.81600000000003"/>
    <m/>
    <n v="200"/>
    <n v="200"/>
    <n v="312.55999999999995"/>
    <n v="0.60980177930388635"/>
    <m/>
    <d v="2018-03-13T00:00:00"/>
    <m/>
    <s v="Tony Gabriel"/>
    <m/>
    <m/>
    <m/>
    <m/>
    <m/>
  </r>
  <r>
    <x v="6"/>
    <s v="NSW"/>
    <s v="Inv 13428"/>
    <d v="2018-03-27T00:00:00"/>
    <d v="2018-03-19T00:00:00"/>
    <d v="2018-03-19T00:00:00"/>
    <m/>
    <m/>
    <m/>
    <d v="2018-05-01T00:00:00"/>
    <m/>
    <x v="11"/>
    <s v="May-18"/>
    <s v="MW22164 - INC000007300655 - Lot 331, 23 Adams St, Ashmont"/>
    <s v="Ashmont"/>
    <n v="128.13999999999999"/>
    <m/>
    <n v="128.13999999999999"/>
    <n v="140.95400000000001"/>
    <m/>
    <n v="50"/>
    <n v="50"/>
    <n v="78.139999999999986"/>
    <n v="0.60980177930388635"/>
    <m/>
    <d v="2018-04-02T00:00:00"/>
    <m/>
    <s v="Tony Gabriel"/>
    <m/>
    <m/>
    <m/>
    <m/>
    <m/>
  </r>
  <r>
    <x v="6"/>
    <s v="NSW"/>
    <s v="Inv 13429"/>
    <d v="2018-03-27T00:00:00"/>
    <d v="2018-03-21T00:00:00"/>
    <d v="2018-03-21T00:00:00"/>
    <m/>
    <m/>
    <m/>
    <d v="2018-06-07T00:00:00"/>
    <m/>
    <x v="11"/>
    <s v="Jun-18"/>
    <s v="MW22116 - INC000007403862 –  49 RACECOURSE RD, ORANGE"/>
    <s v="Orange"/>
    <n v="5297.0749999999998"/>
    <m/>
    <n v="5297.0749999999998"/>
    <n v="5826.7825000000003"/>
    <n v="1496"/>
    <n v="580.82999999999993"/>
    <n v="2076.83"/>
    <n v="3220.2449999999999"/>
    <n v="0.60792890415937095"/>
    <m/>
    <d v="2018-04-04T00:00:00"/>
    <m/>
    <s v="Tony Gabriel"/>
    <m/>
    <m/>
    <m/>
    <m/>
    <m/>
  </r>
  <r>
    <x v="2"/>
    <s v="Sydney"/>
    <m/>
    <m/>
    <m/>
    <d v="2018-11-30T00:00:00"/>
    <m/>
    <m/>
    <m/>
    <m/>
    <m/>
    <x v="16"/>
    <s v="Jan-00"/>
    <s v="MW22094-AYCA-4LM7HH-2UND-61-590-602 New Canterbury Rd, Hurlstone Park"/>
    <s v="Hurlestone Park"/>
    <n v="2574.5100000000002"/>
    <m/>
    <n v="2574.5100000000002"/>
    <n v="2831.9610000000007"/>
    <m/>
    <m/>
    <n v="0"/>
    <n v="2574.5100000000002"/>
    <n v="1"/>
    <m/>
    <d v="2018-12-14T00:00:00"/>
    <m/>
    <s v="Ertan Cicek"/>
    <s v="Direct Award"/>
    <d v="2018-03-28T00:00:00"/>
    <m/>
    <d v="2018-04-24T00:00:00"/>
    <n v="27"/>
  </r>
  <r>
    <x v="2"/>
    <s v="Sydney"/>
    <s v="Inv 13462"/>
    <d v="2018-04-05T00:00:00"/>
    <d v="2018-03-13T00:00:00"/>
    <d v="2018-03-13T00:00:00"/>
    <d v="2018-03-14T00:00:00"/>
    <d v="2018-03-26T00:00:00"/>
    <d v="2018-03-28T00:00:00"/>
    <d v="2018-04-05T00:00:00"/>
    <s v="Jun-18"/>
    <x v="11"/>
    <s v="Apr-18"/>
    <s v="MW21923 - AYCA-4AOOM9 - 2NRN-01 - 12-13 SPRINGS RD, SPRING FARM"/>
    <s v="Spring Farm"/>
    <n v="1516.19"/>
    <n v="1033.57"/>
    <n v="2549.7600000000002"/>
    <n v="2804.7360000000003"/>
    <m/>
    <m/>
    <n v="0"/>
    <n v="2549.7600000000002"/>
    <n v="1"/>
    <m/>
    <d v="2018-03-27T00:00:00"/>
    <m/>
    <s v="Andrew Mahassy"/>
    <s v="Direct Award"/>
    <d v="2018-02-20T00:00:00"/>
    <m/>
    <d v="2018-03-28T00:00:00"/>
    <n v="36"/>
  </r>
  <r>
    <x v="2"/>
    <s v="Sydney"/>
    <m/>
    <m/>
    <m/>
    <d v="2018-07-30T00:00:00"/>
    <m/>
    <m/>
    <m/>
    <m/>
    <m/>
    <x v="9"/>
    <s v="Jan-00"/>
    <s v="MW22096-AYCA-3W384B-2HOR-62-433-437 Pacific Highway, Asquith "/>
    <s v="Asquith"/>
    <n v="1358.92"/>
    <m/>
    <n v="1358.92"/>
    <n v="1494.8120000000001"/>
    <m/>
    <m/>
    <n v="0"/>
    <n v="1358.92"/>
    <n v="1"/>
    <m/>
    <d v="2018-08-13T00:00:00"/>
    <m/>
    <s v="Ertan Cicek"/>
    <s v="Direct Award"/>
    <d v="2018-03-28T00:00:00"/>
    <m/>
    <d v="2018-04-24T00:00:00"/>
    <n v="27"/>
  </r>
  <r>
    <x v="2"/>
    <s v="Sydney"/>
    <m/>
    <m/>
    <m/>
    <d v="2018-07-30T00:00:00"/>
    <m/>
    <m/>
    <m/>
    <m/>
    <m/>
    <x v="9"/>
    <s v="Jan-00"/>
    <s v="MW22095-AYCA-4H8EZO- 2HUH-22-117-123 Victoria Rd, Gladesville"/>
    <s v="Gladesville"/>
    <n v="1828.86"/>
    <m/>
    <n v="1828.86"/>
    <n v="2011.7460000000001"/>
    <m/>
    <m/>
    <n v="0"/>
    <n v="1828.86"/>
    <n v="1"/>
    <m/>
    <d v="2018-08-13T00:00:00"/>
    <m/>
    <s v="Ertan Cicek"/>
    <s v="Direct Award"/>
    <d v="2018-03-29T00:00:00"/>
    <m/>
    <d v="2018-04-24T00:00:00"/>
    <n v="26"/>
  </r>
  <r>
    <x v="0"/>
    <s v="Newcastle"/>
    <s v="Inv 13671"/>
    <d v="2018-05-28T00:00:00"/>
    <d v="2018-04-30T00:00:00"/>
    <d v="2018-04-30T00:00:00"/>
    <d v="2018-05-01T00:00:00"/>
    <d v="2018-05-07T00:00:00"/>
    <d v="2018-05-10T00:00:00"/>
    <d v="2018-05-29T00:00:00"/>
    <m/>
    <x v="7"/>
    <s v="May-18"/>
    <s v="MW22098-AYCA-4RWURH-2CES-02-147 Mathieson Street Bellbird Heights "/>
    <s v="Bellbird Heights"/>
    <n v="5003.75"/>
    <n v="10131.1"/>
    <n v="15134.85"/>
    <n v="16648.335000000003"/>
    <m/>
    <m/>
    <n v="0"/>
    <n v="15134.85"/>
    <n v="1"/>
    <m/>
    <d v="2018-05-14T00:00:00"/>
    <m/>
    <s v="Dave Yoemans"/>
    <d v="2018-03-28T00:00:00"/>
    <d v="2018-03-29T00:00:00"/>
    <n v="1"/>
    <d v="2018-05-08T00:00:00"/>
    <n v="40"/>
  </r>
  <r>
    <x v="2"/>
    <s v="Sydney"/>
    <m/>
    <s v=" "/>
    <m/>
    <d v="2018-07-30T00:00:00"/>
    <m/>
    <m/>
    <m/>
    <m/>
    <m/>
    <x v="9"/>
    <s v="Jan-00"/>
    <s v="MW22093-AYCA-4RGB2W-2EAS-62-111-139 Darlinghurst Rd, Potts Point"/>
    <s v="Potts Point"/>
    <n v="1428.48"/>
    <m/>
    <n v="1428.48"/>
    <n v="1571.3280000000002"/>
    <n v="6326.5"/>
    <n v="451.59774999999996"/>
    <n v="6778.0977499999999"/>
    <n v="-5349.6177499999994"/>
    <n v="-3.7449721032146055"/>
    <m/>
    <d v="2018-08-13T00:00:00"/>
    <m/>
    <s v="Ertan Cicek"/>
    <s v="Direct Award"/>
    <d v="2018-03-29T00:00:00"/>
    <m/>
    <d v="2018-04-24T00:00:00"/>
    <n v="26"/>
  </r>
  <r>
    <x v="2"/>
    <s v="Sydney"/>
    <s v="Inv 13696"/>
    <d v="2018-06-06T00:00:00"/>
    <d v="2018-05-14T00:00:00"/>
    <d v="2018-05-15T00:00:00"/>
    <d v="2018-05-18T00:00:00"/>
    <d v="2018-05-25T00:00:00"/>
    <d v="2018-05-29T00:00:00"/>
    <d v="2018-06-05T00:00:00"/>
    <m/>
    <x v="8"/>
    <s v="Jun-18"/>
    <s v="MW22104-AYCA-4DRN0U-2BRG-03-182 Raby Road Gledswood Hills"/>
    <s v="Gledswood Hills"/>
    <n v="69.16"/>
    <n v="524.41999999999996"/>
    <n v="593.57999999999993"/>
    <n v="652.93799999999999"/>
    <m/>
    <m/>
    <n v="0"/>
    <n v="593.57999999999993"/>
    <n v="1"/>
    <m/>
    <d v="2018-05-29T00:00:00"/>
    <m/>
    <s v="Ertan Cicek"/>
    <s v="Direct Award"/>
    <d v="2018-04-04T00:00:00"/>
    <m/>
    <d v="2018-05-16T00:00:00"/>
    <n v="42"/>
  </r>
  <r>
    <x v="2"/>
    <s v="Sydney"/>
    <s v="Inv 13585"/>
    <d v="2018-05-10T00:00:00"/>
    <d v="2018-04-13T00:00:00"/>
    <d v="2018-04-13T00:00:00"/>
    <m/>
    <m/>
    <d v="2018-04-27T00:00:00"/>
    <d v="2018-05-03T00:00:00"/>
    <m/>
    <x v="7"/>
    <s v="May-18"/>
    <s v="MW22106-AYCA-4QKWZ8-2RIV-02-Queensbury Street - 2 Schofields"/>
    <s v="Schofields"/>
    <n v="1088.03"/>
    <m/>
    <n v="1088.03"/>
    <n v="1196.8330000000001"/>
    <m/>
    <m/>
    <n v="0"/>
    <n v="1088.03"/>
    <n v="1"/>
    <m/>
    <d v="2018-04-27T00:00:00"/>
    <m/>
    <s v="Ertan Cicek"/>
    <s v="Direct Award"/>
    <d v="2018-04-04T00:00:00"/>
    <m/>
    <d v="2018-05-11T00:00:00"/>
    <n v="37"/>
  </r>
  <r>
    <x v="2"/>
    <s v="Sydney"/>
    <s v="Inv 13686"/>
    <d v="2018-05-30T00:00:00"/>
    <d v="2018-04-23T00:00:00"/>
    <d v="2018-04-24T00:00:00"/>
    <d v="2018-05-18T00:00:00"/>
    <d v="2028-05-24T00:00:00"/>
    <d v="2018-05-04T00:00:00"/>
    <d v="2018-05-31T00:00:00"/>
    <m/>
    <x v="7"/>
    <s v="May-18"/>
    <s v="MW22105-AYCA-48L8EZ-2MIL-01-27 Tugela Rise Edmondson Park"/>
    <s v="Edmondson Park"/>
    <n v="4554.4399999999996"/>
    <n v="3756.7400000000002"/>
    <n v="8311.18"/>
    <n v="9142.2980000000007"/>
    <m/>
    <m/>
    <n v="0"/>
    <n v="8311.18"/>
    <n v="1"/>
    <m/>
    <d v="2018-05-08T00:00:00"/>
    <m/>
    <s v="Andrew Mahassy"/>
    <s v="Direct Award"/>
    <d v="2018-04-04T00:00:00"/>
    <m/>
    <d v="2018-05-11T00:00:00"/>
    <n v="37"/>
  </r>
  <r>
    <x v="2"/>
    <s v="Sydney"/>
    <s v="Inv 13592"/>
    <d v="2018-06-21T00:00:00"/>
    <d v="2018-06-01T00:00:00"/>
    <d v="2018-06-01T00:00:00"/>
    <d v="2018-06-01T00:00:00"/>
    <d v="2018-06-05T00:00:00"/>
    <d v="2018-06-14T00:00:00"/>
    <d v="2018-06-22T00:00:00"/>
    <m/>
    <x v="14"/>
    <s v="Jun-18"/>
    <s v="MW22200-AYCA-213H8O-2DAP-01-1 Wongawilli Road Wongawilli The Grove- Stage 4"/>
    <s v="Wongawilli"/>
    <n v="110.88"/>
    <n v="544.41999999999996"/>
    <n v="655.29999999999995"/>
    <n v="720.83"/>
    <m/>
    <m/>
    <n v="0"/>
    <n v="655.29999999999995"/>
    <n v="1"/>
    <m/>
    <d v="2018-06-15T00:00:00"/>
    <m/>
    <s v="Ertan Cicek"/>
    <s v="Direct Award"/>
    <d v="2018-04-10T00:00:00"/>
    <m/>
    <d v="2018-05-18T00:00:00"/>
    <n v="38"/>
  </r>
  <r>
    <x v="0"/>
    <s v="West NSW"/>
    <s v="Inv 13742"/>
    <d v="2018-06-13T00:00:00"/>
    <d v="2018-05-23T00:00:00"/>
    <d v="2018-05-23T00:00:00"/>
    <d v="2018-05-23T00:00:00"/>
    <d v="2018-05-31T00:00:00"/>
    <d v="2018-06-06T00:00:00"/>
    <d v="2018-06-20T00:00:00"/>
    <m/>
    <x v="8"/>
    <s v="Jun-18"/>
    <s v="MW22196 - AYCA-4VVND3 - 2ORG-01 - 258 CLERGATE RD, ORANGE"/>
    <s v="Orange"/>
    <n v="6657.74"/>
    <n v="4284.1550857142856"/>
    <n v="10941.895085714285"/>
    <n v="12036.084594285714"/>
    <n v="8266.83"/>
    <m/>
    <n v="8266.83"/>
    <n v="2675.0650857142846"/>
    <n v="0.24447913864636153"/>
    <m/>
    <d v="2018-06-06T00:00:00"/>
    <m/>
    <s v="Dave Yoemans"/>
    <d v="2018-04-11T00:00:00"/>
    <d v="2018-04-16T00:00:00"/>
    <n v="5"/>
    <d v="2018-06-08T00:00:00"/>
    <n v="53"/>
  </r>
  <r>
    <x v="2"/>
    <s v="Sydney"/>
    <s v="Inv 13848"/>
    <d v="2018-07-06T00:00:00"/>
    <d v="2018-06-19T00:00:00"/>
    <d v="2018-06-19T00:00:00"/>
    <d v="2018-06-19T00:00:00"/>
    <d v="2018-06-25T00:00:00"/>
    <d v="2018-07-03T00:00:00"/>
    <d v="2018-07-10T00:00:00"/>
    <m/>
    <x v="14"/>
    <s v="Jul-18"/>
    <s v="MW22177-AYCA-54QSHT-2MIL-20-42A Kurrajong Rd Prestons "/>
    <s v="Prestons"/>
    <n v="285.60000000000002"/>
    <n v="512.55999999999995"/>
    <n v="798.16"/>
    <n v="877.976"/>
    <m/>
    <m/>
    <n v="0"/>
    <n v="798.16"/>
    <n v="1"/>
    <m/>
    <d v="2018-07-03T00:00:00"/>
    <m/>
    <s v="Nabeel Jaimon"/>
    <s v="Direct Award"/>
    <d v="2018-04-11T00:00:00"/>
    <m/>
    <d v="2018-05-20T00:00:00"/>
    <n v="39"/>
  </r>
  <r>
    <x v="2"/>
    <s v="Sydney"/>
    <s v="Inv 13638"/>
    <d v="2018-05-22T00:00:00"/>
    <d v="2018-05-07T00:00:00"/>
    <d v="2018-05-07T00:00:00"/>
    <m/>
    <m/>
    <d v="2018-05-17T00:00:00"/>
    <d v="2018-05-22T00:00:00"/>
    <m/>
    <x v="8"/>
    <s v="May-18"/>
    <s v="MW22203-AYCA-2LIFV6-2ROU-02-4 Stringer Rd Kellyville"/>
    <s v="Kellyville"/>
    <n v="1784.38"/>
    <m/>
    <n v="1784.38"/>
    <n v="1962.8180000000002"/>
    <m/>
    <m/>
    <n v="0"/>
    <n v="1784.38"/>
    <n v="1"/>
    <m/>
    <d v="2018-05-21T00:00:00"/>
    <m/>
    <s v="Ertan Cicek"/>
    <s v="Direct Award"/>
    <d v="2018-04-12T00:00:00"/>
    <m/>
    <d v="2018-05-30T00:00:00"/>
    <n v="48"/>
  </r>
  <r>
    <x v="0"/>
    <s v="Sydney"/>
    <s v="Inv 13634"/>
    <d v="2018-05-22T00:00:00"/>
    <d v="2018-05-03T00:00:00"/>
    <d v="2018-05-03T00:00:00"/>
    <m/>
    <m/>
    <d v="2018-05-17T00:00:00"/>
    <d v="2018-05-22T00:00:00"/>
    <m/>
    <x v="8"/>
    <s v="May-18"/>
    <s v="MW22183-AYCA-55F4KR-2REV-20-15 Fitzpatrick St, Revesby"/>
    <s v="Revesby"/>
    <n v="3090.06"/>
    <m/>
    <n v="3090.06"/>
    <n v="3399.0660000000003"/>
    <m/>
    <n v="380.18274999999994"/>
    <n v="380.18274999999994"/>
    <n v="2709.87725"/>
    <n v="0.87696590033850474"/>
    <m/>
    <d v="2018-05-17T00:00:00"/>
    <m/>
    <s v="Ertan Cicek"/>
    <d v="2018-04-10T00:00:00"/>
    <d v="2018-04-13T00:00:00"/>
    <n v="3"/>
    <d v="2018-06-08T00:00:00"/>
    <n v="56"/>
  </r>
  <r>
    <x v="0"/>
    <s v="Sth Coast"/>
    <s v="Inv 13664"/>
    <d v="2018-05-24T00:00:00"/>
    <d v="2018-05-07T00:00:00"/>
    <d v="2018-05-07T00:00:00"/>
    <d v="2018-05-08T00:00:00"/>
    <d v="2018-05-14T00:00:00"/>
    <d v="2018-05-17T00:00:00"/>
    <d v="2018-05-24T00:00:00"/>
    <m/>
    <x v="8"/>
    <s v="May-18"/>
    <s v="MW22171-AYCA-54VFA3-2COR-02- 50 Squires Cres Coledale"/>
    <s v="Coledale"/>
    <n v="6788.96"/>
    <n v="3392.1154285714283"/>
    <n v="10181.075428571428"/>
    <n v="11199.182971428572"/>
    <n v="2366.54"/>
    <m/>
    <n v="2366.54"/>
    <n v="7814.5354285714284"/>
    <n v="0.76755500766071194"/>
    <m/>
    <d v="2018-05-21T00:00:00"/>
    <m/>
    <s v="Sogand Mohtat"/>
    <d v="2018-04-10T00:00:00"/>
    <d v="2018-04-13T00:00:00"/>
    <n v="3"/>
    <d v="2018-05-11T00:00:00"/>
    <n v="28"/>
  </r>
  <r>
    <x v="0"/>
    <s v="Sydney"/>
    <s v="Inv 13714"/>
    <d v="2018-06-14T00:00:00"/>
    <d v="2018-05-21T00:00:00"/>
    <d v="2018-05-21T00:00:00"/>
    <d v="2018-05-22T00:00:00"/>
    <d v="2018-05-30T00:00:00"/>
    <d v="2018-05-31T00:00:00"/>
    <d v="2018-06-07T00:00:00"/>
    <m/>
    <x v="8"/>
    <s v="Jun-18"/>
    <s v="MW22186 - AYCA-3L48XJ - 2CAS-23 - 2 Anella Avenue Castle Hill "/>
    <s v="Castle Hill"/>
    <n v="4057.47"/>
    <n v="3402.18"/>
    <n v="7459.65"/>
    <n v="8205.6149999999998"/>
    <m/>
    <n v="1200.0607499999999"/>
    <n v="1200.0607499999999"/>
    <n v="6259.58925"/>
    <n v="0.83912640003217309"/>
    <m/>
    <d v="2018-06-04T00:00:00"/>
    <m/>
    <s v="Ertan Cicek"/>
    <d v="2018-04-10T00:00:00"/>
    <d v="2018-04-13T00:00:00"/>
    <n v="3"/>
    <d v="2018-05-11T00:00:00"/>
    <n v="28"/>
  </r>
  <r>
    <x v="2"/>
    <s v="Sydney"/>
    <s v="Inv 13849"/>
    <d v="2018-07-06T00:00:00"/>
    <d v="2018-06-18T00:00:00"/>
    <d v="2018-06-18T00:00:00"/>
    <d v="2018-06-18T00:00:00"/>
    <d v="2018-07-02T00:00:00"/>
    <d v="2018-07-02T00:00:00"/>
    <d v="2018-07-10T00:00:00"/>
    <m/>
    <x v="14"/>
    <s v="Jul-18"/>
    <s v="MW22195 - AYCA-4SOX62-2LIV-03- 186 Moore St Liverpool"/>
    <s v="Liverpool"/>
    <n v="1382.92"/>
    <n v="5222.21"/>
    <n v="6605.13"/>
    <n v="7265.6430000000009"/>
    <n v="3074"/>
    <m/>
    <n v="3074"/>
    <n v="3531.13"/>
    <n v="0.53460416373334063"/>
    <m/>
    <d v="2018-07-02T00:00:00"/>
    <m/>
    <s v="Ertan Cicek"/>
    <s v="Direct Award"/>
    <d v="2018-04-16T00:00:00"/>
    <m/>
    <d v="2018-06-16T00:00:00"/>
    <n v="61"/>
  </r>
  <r>
    <x v="2"/>
    <s v="Sydney"/>
    <m/>
    <m/>
    <m/>
    <d v="2018-07-30T00:00:00"/>
    <m/>
    <m/>
    <m/>
    <m/>
    <m/>
    <x v="9"/>
    <s v="Jan-00"/>
    <s v="MW21878-AYCA-2Q0B3G-2PAR-63-148-150 Great Western Hwy, Westmead"/>
    <s v="Westmead"/>
    <n v="1061.6500000000001"/>
    <m/>
    <n v="1061.6500000000001"/>
    <n v="1167.8150000000003"/>
    <m/>
    <m/>
    <n v="0"/>
    <n v="1061.6500000000001"/>
    <n v="1"/>
    <m/>
    <d v="2018-08-13T00:00:00"/>
    <m/>
    <s v="Ertan Cicek"/>
    <s v="Direct Award"/>
    <d v="2018-04-16T00:00:00"/>
    <m/>
    <d v="2018-05-30T00:00:00"/>
    <n v="44"/>
  </r>
  <r>
    <x v="2"/>
    <s v="Sydney"/>
    <s v="Inv 13715"/>
    <d v="2018-06-14T00:00:00"/>
    <d v="2018-05-04T00:00:00"/>
    <d v="2018-05-07T00:00:00"/>
    <d v="2018-05-08T00:00:00"/>
    <d v="2018-05-09T00:00:00"/>
    <d v="2018-05-17T00:00:00"/>
    <d v="2018-06-07T00:00:00"/>
    <m/>
    <x v="8"/>
    <s v="Jun-18"/>
    <s v="MW22223-AYCA-4S0RD5-2RIV-03-14 Argowan Rd Schofields"/>
    <s v="Schofields"/>
    <n v="13978.73"/>
    <n v="-6944.3819999999796"/>
    <n v="7034.34800000002"/>
    <n v="7737.7828000000227"/>
    <n v="3157.04"/>
    <m/>
    <n v="3157.04"/>
    <n v="3877.30800000002"/>
    <n v="0.55119650037217505"/>
    <m/>
    <d v="2018-05-21T00:00:00"/>
    <m/>
    <s v="Ertan Cicek"/>
    <s v="Direct Award"/>
    <d v="2018-04-16T00:00:00"/>
    <m/>
    <d v="2018-05-17T00:00:00"/>
    <n v="31"/>
  </r>
  <r>
    <x v="0"/>
    <s v="Sydney"/>
    <s v="Inv 13738"/>
    <d v="2018-06-20T00:00:00"/>
    <d v="2018-05-18T00:00:00"/>
    <d v="2018-05-21T00:00:00"/>
    <d v="2018-05-22T00:00:00"/>
    <d v="2018-06-14T00:00:00"/>
    <d v="2018-05-31T00:00:00"/>
    <d v="2018-06-19T00:00:00"/>
    <m/>
    <x v="8"/>
    <s v="Jun-18"/>
    <s v="MW22100 - AYCA-4QBUIV - 2KTB-02 -  NSB - Letitia St Katoomb"/>
    <s v="Katoomba"/>
    <n v="2772.4"/>
    <n v="16972.475000000002"/>
    <n v="19744.875000000004"/>
    <n v="21719.362500000007"/>
    <n v="13346.45"/>
    <m/>
    <n v="13346.45"/>
    <n v="6398.4250000000029"/>
    <n v="0.32405497629131619"/>
    <m/>
    <d v="2018-06-04T00:00:00"/>
    <m/>
    <s v="Ertan Cicek"/>
    <s v="Direct Award"/>
    <d v="2018-04-16T00:00:00"/>
    <m/>
    <d v="2018-05-09T00:00:00"/>
    <n v="23"/>
  </r>
  <r>
    <x v="0"/>
    <s v="Sydney"/>
    <s v="Inv 13636"/>
    <d v="2018-05-22T00:00:00"/>
    <d v="2018-05-07T00:00:00"/>
    <d v="2018-05-07T00:00:00"/>
    <m/>
    <m/>
    <d v="2018-05-17T00:00:00"/>
    <d v="2018-05-22T00:00:00"/>
    <m/>
    <x v="8"/>
    <s v="May-18"/>
    <s v="MW22188-AYCA-4YPJJH-2BAN-60-62 Hume Hwy Chullora "/>
    <s v="Chullora"/>
    <n v="789.43"/>
    <m/>
    <n v="789.43"/>
    <n v="868.37300000000005"/>
    <m/>
    <n v="380.18274999999994"/>
    <n v="380.18274999999994"/>
    <n v="409.24725000000001"/>
    <n v="0.51840853527228514"/>
    <m/>
    <d v="2018-05-21T00:00:00"/>
    <m/>
    <s v="Ertan Cicek"/>
    <d v="2018-04-11T00:00:00"/>
    <d v="2018-04-18T00:00:00"/>
    <n v="7"/>
    <d v="2018-05-11T00:00:00"/>
    <n v="23"/>
  </r>
  <r>
    <x v="0"/>
    <s v="Sydney"/>
    <s v="Inv 13632"/>
    <d v="2018-05-22T00:00:00"/>
    <d v="2018-05-03T00:00:00"/>
    <d v="2018-05-03T00:00:00"/>
    <m/>
    <m/>
    <d v="2018-05-16T00:00:00"/>
    <d v="2018-05-22T00:00:00"/>
    <m/>
    <x v="8"/>
    <s v="May-18"/>
    <s v="MW22208-AYCA-4PWSOZ- 2KEL-07-1B Fairway Dr Kellyville"/>
    <s v="Kellyville"/>
    <n v="7979.71"/>
    <m/>
    <n v="7979.71"/>
    <n v="8777.6810000000005"/>
    <n v="1203.8"/>
    <m/>
    <n v="1203.8"/>
    <n v="6775.91"/>
    <n v="0.84914238737999248"/>
    <m/>
    <d v="2018-05-17T00:00:00"/>
    <m/>
    <s v="Ertan Cicek"/>
    <d v="2018-04-11T00:00:00"/>
    <d v="2018-04-18T00:00:00"/>
    <n v="7"/>
    <d v="2018-05-15T00:00:00"/>
    <n v="27"/>
  </r>
  <r>
    <x v="2"/>
    <s v="Sydney"/>
    <s v="Inv 13846"/>
    <d v="2018-07-06T00:00:00"/>
    <d v="2018-06-20T00:00:00"/>
    <d v="2018-06-20T00:00:00"/>
    <d v="2018-06-22T00:00:00"/>
    <d v="2018-06-16T00:00:00"/>
    <d v="2018-07-04T00:00:00"/>
    <d v="2018-07-10T00:00:00"/>
    <m/>
    <x v="14"/>
    <s v="Jul-18"/>
    <s v="MW22258-AYCA-4BT0OX-2RIV-02-66 Schofields Road Schofields"/>
    <s v="Schofields"/>
    <n v="1747.53"/>
    <n v="1318.32"/>
    <n v="3065.85"/>
    <n v="3372.4349999999999"/>
    <n v="490.78"/>
    <m/>
    <n v="490.78"/>
    <n v="2575.0699999999997"/>
    <n v="0.83992041358840119"/>
    <m/>
    <d v="2018-07-04T00:00:00"/>
    <m/>
    <s v="Ertan Cicek"/>
    <s v="Direct Award"/>
    <d v="2018-04-18T00:00:00"/>
    <m/>
    <d v="2018-06-08T00:00:00"/>
    <n v="51"/>
  </r>
  <r>
    <x v="0"/>
    <s v="Sydney"/>
    <m/>
    <m/>
    <m/>
    <d v="2018-08-30T00:00:00"/>
    <m/>
    <m/>
    <m/>
    <m/>
    <m/>
    <x v="15"/>
    <s v="Jan-00"/>
    <s v="MW22191-AYCA-4Z4FSB - 2MIL-20 -  Mainfreight Logistics - 1"/>
    <s v="Prestons"/>
    <n v="41413.659642857143"/>
    <m/>
    <n v="41413.659642857143"/>
    <n v="45555.025607142859"/>
    <m/>
    <m/>
    <n v="0"/>
    <n v="41413.659642857143"/>
    <n v="1"/>
    <m/>
    <d v="2018-09-13T00:00:00"/>
    <m/>
    <s v="Ertan Cicek"/>
    <d v="2018-04-10T00:00:00"/>
    <d v="2018-04-19T00:00:00"/>
    <n v="9"/>
    <d v="2018-05-11T00:00:00"/>
    <n v="22"/>
  </r>
  <r>
    <x v="2"/>
    <s v="Sydney"/>
    <m/>
    <m/>
    <m/>
    <d v="2018-07-30T00:00:00"/>
    <m/>
    <m/>
    <m/>
    <m/>
    <m/>
    <x v="9"/>
    <s v="Jan-00"/>
    <s v="MW22218 - AYCA-4JMOL9 - 2DRU-60 - 50-52 East St, Five Dock"/>
    <s v="Five Dock"/>
    <n v="585.25"/>
    <m/>
    <n v="585.25"/>
    <n v="643.77500000000009"/>
    <n v="3140.46"/>
    <m/>
    <n v="3140.46"/>
    <n v="-2555.21"/>
    <n v="-4.3660145237078174"/>
    <m/>
    <d v="2018-08-13T00:00:00"/>
    <m/>
    <s v="Ertan Cicek"/>
    <s v="Direct Award"/>
    <d v="2018-04-19T00:00:00"/>
    <m/>
    <d v="2018-06-30T00:00:00"/>
    <n v="72"/>
  </r>
  <r>
    <x v="2"/>
    <s v="Sydney"/>
    <s v="inv 13629"/>
    <d v="2018-05-22T00:00:00"/>
    <d v="2018-05-04T00:00:00"/>
    <d v="2018-05-04T00:00:00"/>
    <d v="2018-05-10T00:00:00"/>
    <d v="2018-05-14T00:00:00"/>
    <d v="2018-05-18T00:00:00"/>
    <d v="2018-05-22T00:00:00"/>
    <m/>
    <x v="8"/>
    <s v="May-18"/>
    <s v="MW22243 - AYCA-4EUBZX - 2PTH-06 - 82 Cox Avenue, Penrith "/>
    <s v="Penrith"/>
    <n v="410.89"/>
    <n v="4035.277"/>
    <n v="4446.1670000000004"/>
    <n v="4890.7837000000009"/>
    <m/>
    <m/>
    <n v="0"/>
    <n v="4446.1670000000004"/>
    <n v="1"/>
    <m/>
    <d v="2018-05-18T00:00:00"/>
    <m/>
    <s v="Ertan Cicek"/>
    <s v="Direct Award"/>
    <d v="2018-04-19T00:00:00"/>
    <m/>
    <d v="2018-06-07T00:00:00"/>
    <n v="49"/>
  </r>
  <r>
    <x v="2"/>
    <s v="Sydney"/>
    <s v="Inv 13694"/>
    <d v="2018-06-06T00:00:00"/>
    <d v="2018-05-14T00:00:00"/>
    <d v="2018-05-14T00:00:00"/>
    <d v="2018-05-18T00:00:00"/>
    <d v="2018-05-30T00:00:00"/>
    <d v="2018-05-25T00:00:00"/>
    <d v="2018-06-05T00:00:00"/>
    <m/>
    <x v="8"/>
    <s v="Jun-18"/>
    <s v="MW22260-AYCA-56YKSC-2CAM-02-38 Wonga St, Canterbury"/>
    <s v="Canterbury"/>
    <n v="1202.46"/>
    <n v="3353.9829999999997"/>
    <n v="4556.4429999999993"/>
    <n v="5012.0872999999992"/>
    <n v="1225.45"/>
    <m/>
    <n v="1225.45"/>
    <n v="3330.9929999999995"/>
    <n v="0.73105117303124389"/>
    <m/>
    <d v="2018-05-28T00:00:00"/>
    <m/>
    <s v="Ertan Cicek"/>
    <s v="Direct Award"/>
    <d v="2018-04-20T00:00:00"/>
    <m/>
    <d v="2018-06-29T00:00:00"/>
    <n v="70"/>
  </r>
  <r>
    <x v="2"/>
    <s v="Sydney"/>
    <m/>
    <m/>
    <m/>
    <d v="2017-08-30T00:00:00"/>
    <m/>
    <m/>
    <m/>
    <m/>
    <m/>
    <x v="4"/>
    <s v="Jan-00"/>
    <s v="MW22279-AYCA-45Q6J5-2EPP-62-35 Oxford St Epping"/>
    <s v="Epping"/>
    <n v="973.82"/>
    <m/>
    <n v="973.82"/>
    <n v="1071.2020000000002"/>
    <n v="4453.75"/>
    <m/>
    <n v="4453.75"/>
    <n v="-3479.93"/>
    <n v="-3.5734838060421841"/>
    <m/>
    <d v="2017-09-13T00:00:00"/>
    <m/>
    <s v="Ertan Cicek"/>
    <s v="Direct Award"/>
    <d v="2018-04-20T00:00:00"/>
    <m/>
    <d v="2018-07-13T00:00:00"/>
    <n v="84"/>
  </r>
  <r>
    <x v="2"/>
    <s v="Sydney"/>
    <m/>
    <m/>
    <m/>
    <d v="2017-08-30T00:00:00"/>
    <m/>
    <m/>
    <m/>
    <m/>
    <m/>
    <x v="4"/>
    <s v="Jan-00"/>
    <s v="MW22284-AYCA-4KZ476-2PTH-02-38-40 Doonmore St Penrith"/>
    <s v="Penrith"/>
    <n v="5790.01"/>
    <m/>
    <n v="5790.01"/>
    <n v="6369.0110000000004"/>
    <m/>
    <m/>
    <n v="0"/>
    <n v="5790.01"/>
    <n v="1"/>
    <m/>
    <d v="2017-09-13T00:00:00"/>
    <m/>
    <s v="Ertan Cicek"/>
    <s v="Direct Award"/>
    <d v="2018-04-23T00:00:00"/>
    <m/>
    <d v="2018-07-13T00:00:00"/>
    <n v="81"/>
  </r>
  <r>
    <x v="2"/>
    <s v="Sydney"/>
    <m/>
    <m/>
    <m/>
    <d v="2017-08-31T00:00:00"/>
    <m/>
    <m/>
    <m/>
    <m/>
    <m/>
    <x v="4"/>
    <s v="Jan-00"/>
    <s v="MW22293 - AYCA-4NNOGX - 2PTH-02 - 240-250 Great Western Hwy Kingswood"/>
    <s v="Kingswood"/>
    <n v="1801.74"/>
    <m/>
    <n v="1801.74"/>
    <n v="1981.9140000000002"/>
    <m/>
    <m/>
    <n v="0"/>
    <n v="1801.74"/>
    <n v="1"/>
    <m/>
    <d v="2017-09-14T00:00:00"/>
    <m/>
    <s v="Ertan Cicek"/>
    <s v="Direct Award"/>
    <d v="2018-04-23T00:00:00"/>
    <m/>
    <d v="2018-07-23T00:00:00"/>
    <n v="91"/>
  </r>
  <r>
    <x v="2"/>
    <s v="Sydney"/>
    <s v="Inv 13832"/>
    <d v="2018-07-06T00:00:00"/>
    <d v="2018-06-14T00:00:00"/>
    <d v="2018-06-14T00:00:00"/>
    <d v="2018-06-15T00:00:00"/>
    <d v="2018-06-27T00:00:00"/>
    <d v="2018-06-28T00:00:00"/>
    <d v="2018-07-05T00:00:00"/>
    <m/>
    <x v="14"/>
    <s v="Jul-18"/>
    <s v="MW22209-AYCA-48LNJ7-2ORG-02-Cedar St Orange"/>
    <s v="Orange"/>
    <n v="7615.85"/>
    <n v="1488.4099999999999"/>
    <n v="9104.26"/>
    <n v="10014.686000000002"/>
    <m/>
    <m/>
    <n v="0"/>
    <n v="9104.26"/>
    <n v="1"/>
    <m/>
    <d v="2018-06-28T00:00:00"/>
    <m/>
    <s v="Mark Leal"/>
    <d v="2018-04-16T00:00:00"/>
    <d v="2018-04-23T00:00:00"/>
    <n v="7"/>
    <d v="2018-05-15T00:00:00"/>
    <n v="22"/>
  </r>
  <r>
    <x v="7"/>
    <s v="NSW"/>
    <s v="Inv 13525"/>
    <d v="2018-04-24T00:00:00"/>
    <d v="2018-04-23T00:00:00"/>
    <d v="2018-04-23T00:00:00"/>
    <m/>
    <m/>
    <m/>
    <d v="2018-05-22T00:00:00"/>
    <m/>
    <x v="7"/>
    <s v="May-18"/>
    <s v="MW22341 - INC000007700062 –  20F SYDNEY RD, MUDGEE "/>
    <s v="Mudgee"/>
    <n v="1530.4699999999998"/>
    <m/>
    <n v="1530.4699999999998"/>
    <n v="1683.5169999999998"/>
    <m/>
    <n v="431.97"/>
    <n v="431.97"/>
    <n v="1098.4999999999998"/>
    <n v="0.71775336987984073"/>
    <m/>
    <d v="2018-05-07T00:00:00"/>
    <m/>
    <s v="Tony Gabriel"/>
    <m/>
    <m/>
    <m/>
    <m/>
    <m/>
  </r>
  <r>
    <x v="7"/>
    <s v="NSW"/>
    <s v="Inv 13526"/>
    <d v="2018-04-24T00:00:00"/>
    <d v="2018-04-23T00:00:00"/>
    <d v="2018-04-23T00:00:00"/>
    <m/>
    <m/>
    <m/>
    <m/>
    <m/>
    <x v="7"/>
    <s v="Jan-00"/>
    <s v="INC000007724800 - Lot 1, 1 Asquith Av, Wentworth Falls"/>
    <s v="Wentworth Falls"/>
    <n v="1153.2599999999998"/>
    <m/>
    <n v="1153.2599999999998"/>
    <n v="1268.5859999999998"/>
    <m/>
    <n v="329.12"/>
    <n v="329.12"/>
    <n v="824.13999999999976"/>
    <n v="0.71461769245443341"/>
    <m/>
    <d v="2018-05-07T00:00:00"/>
    <m/>
    <s v="Tony Gabriel"/>
    <m/>
    <m/>
    <m/>
    <m/>
    <m/>
  </r>
  <r>
    <x v="6"/>
    <s v="NSW"/>
    <s v="Inv 13529"/>
    <d v="2018-04-24T00:00:00"/>
    <d v="2018-04-05T00:00:00"/>
    <d v="2018-04-05T00:00:00"/>
    <m/>
    <m/>
    <m/>
    <d v="2018-06-07T00:00:00"/>
    <m/>
    <x v="7"/>
    <s v="Jun-18"/>
    <s v="INC000007317444 - Lot 1, 40 Grenfell St, West Wyalong"/>
    <s v="West Wyalong"/>
    <n v="4275.79"/>
    <m/>
    <n v="4275.79"/>
    <n v="4703.3690000000006"/>
    <n v="1736"/>
    <n v="875"/>
    <n v="2611"/>
    <n v="1664.79"/>
    <n v="0.38935261086255407"/>
    <m/>
    <d v="2018-04-19T00:00:00"/>
    <m/>
    <s v="Tony Gabriel"/>
    <m/>
    <m/>
    <m/>
    <m/>
    <m/>
  </r>
  <r>
    <x v="6"/>
    <s v="NSW"/>
    <s v="Inv 13530"/>
    <d v="2018-04-24T00:00:00"/>
    <d v="2018-03-29T00:00:00"/>
    <d v="2018-03-29T00:00:00"/>
    <m/>
    <m/>
    <m/>
    <d v="2018-05-22T00:00:00"/>
    <m/>
    <x v="11"/>
    <s v="May-18"/>
    <s v="MW22343 - INC000007442181 - Lot 105, 21 Yeo Cr, Yass"/>
    <s v="Yass"/>
    <n v="1576.87"/>
    <m/>
    <n v="1576.87"/>
    <n v="1734.557"/>
    <m/>
    <n v="475"/>
    <n v="475"/>
    <n v="1101.8699999999999"/>
    <n v="0.69877034885564437"/>
    <m/>
    <d v="2018-04-12T00:00:00"/>
    <m/>
    <s v="Tony Gabriel"/>
    <m/>
    <m/>
    <m/>
    <m/>
    <m/>
  </r>
  <r>
    <x v="6"/>
    <s v="NSW"/>
    <s v="Inv 13531"/>
    <d v="2018-04-24T00:00:00"/>
    <d v="2018-03-26T00:00:00"/>
    <d v="2018-03-26T00:00:00"/>
    <m/>
    <m/>
    <m/>
    <m/>
    <m/>
    <x v="11"/>
    <s v="Jan-00"/>
    <s v="INC000007476665 - Lot 5, 23 Kookora Street, Griffith"/>
    <s v="Griffth"/>
    <n v="896.9799999999999"/>
    <m/>
    <n v="896.9799999999999"/>
    <n v="986.678"/>
    <m/>
    <n v="300"/>
    <n v="300"/>
    <n v="596.9799999999999"/>
    <n v="0.66554438226047397"/>
    <m/>
    <d v="2018-04-09T00:00:00"/>
    <m/>
    <s v="Tony Gabriel"/>
    <m/>
    <m/>
    <m/>
    <m/>
    <m/>
  </r>
  <r>
    <x v="2"/>
    <s v="Sydney"/>
    <s v="Inv 13741"/>
    <d v="2018-06-27T00:00:00"/>
    <d v="2018-06-07T00:00:00"/>
    <d v="2018-06-07T00:00:00"/>
    <d v="2018-06-14T00:00:00"/>
    <d v="2018-06-21T00:00:00"/>
    <d v="2018-06-21T00:00:00"/>
    <d v="2018-06-28T00:00:00"/>
    <m/>
    <x v="14"/>
    <s v="Jun-18"/>
    <s v="MW22297-AYCA-58QIXQ-2LIV-02-29 SCOTT ST, LIVERPOOL"/>
    <s v="Liverpool"/>
    <n v="874.86"/>
    <n v="4861.0450000000001"/>
    <n v="5735.9049999999997"/>
    <n v="6309.4955"/>
    <m/>
    <n v="1211.9632499999998"/>
    <n v="1211.9632499999998"/>
    <n v="4523.94175"/>
    <n v="0.78870583630656366"/>
    <m/>
    <d v="2018-06-21T00:00:00"/>
    <m/>
    <s v="Ertan Cicek"/>
    <s v="Direct Award"/>
    <d v="2018-04-24T00:00:00"/>
    <m/>
    <d v="2018-06-29T00:00:00"/>
    <n v="66"/>
  </r>
  <r>
    <x v="9"/>
    <s v="Sydney"/>
    <m/>
    <m/>
    <d v="2018-06-07T00:00:00"/>
    <d v="2018-06-07T00:00:00"/>
    <m/>
    <m/>
    <d v="2018-06-21T00:00:00"/>
    <d v="2018-07-05T00:00:00"/>
    <m/>
    <x v="14"/>
    <s v="Jul-18"/>
    <s v="2BRX-01-AYCA-41AL6Q"/>
    <s v="Branxton"/>
    <n v="139911.24315249996"/>
    <m/>
    <n v="139911.24315249996"/>
    <n v="153902.36746774995"/>
    <n v="101277.7"/>
    <m/>
    <n v="101277.7"/>
    <n v="38633.543152499959"/>
    <n v="0.27612893919032871"/>
    <m/>
    <d v="2018-06-21T00:00:00"/>
    <m/>
    <s v="Adnan Khabbaz"/>
    <s v="Direct Award"/>
    <d v="2018-04-20T00:00:00"/>
    <m/>
    <d v="2018-06-06T00:00:00"/>
    <n v="47"/>
  </r>
  <r>
    <x v="9"/>
    <s v="Sydney"/>
    <s v="Inv 13589"/>
    <d v="2018-05-10T00:00:00"/>
    <d v="2018-04-27T00:00:00"/>
    <d v="2018-04-27T00:00:00"/>
    <d v="2018-05-03T00:00:00"/>
    <d v="2018-05-07T00:00:00"/>
    <d v="2018-05-11T00:00:00"/>
    <d v="2018-06-08T00:00:00"/>
    <m/>
    <x v="7"/>
    <s v="Jun-18"/>
    <s v="2BUR-03-AYCA-2EBL4P"/>
    <s v="Burwood"/>
    <n v="34899.440000000002"/>
    <m/>
    <n v="34899.440000000002"/>
    <n v="38389.384000000005"/>
    <n v="25151.94"/>
    <m/>
    <n v="25151.94"/>
    <n v="9747.5000000000036"/>
    <n v="0.2793024759136537"/>
    <m/>
    <d v="2018-05-11T00:00:00"/>
    <m/>
    <s v="Adnan Khabbaz"/>
    <s v="Direct Award"/>
    <d v="2018-04-05T00:00:00"/>
    <m/>
    <d v="2018-04-27T00:00:00"/>
    <n v="22"/>
  </r>
  <r>
    <x v="9"/>
    <s v="Sydney"/>
    <s v="Inv 13590"/>
    <d v="2018-05-10T00:00:00"/>
    <d v="2018-04-27T00:00:00"/>
    <d v="2018-04-27T00:00:00"/>
    <d v="2018-05-03T00:00:00"/>
    <d v="2018-05-08T00:00:00"/>
    <d v="2018-05-11T00:00:00"/>
    <d v="2018-06-08T00:00:00"/>
    <m/>
    <x v="7"/>
    <s v="Jun-18"/>
    <s v="2CAM-60-AYCA-4VCIKM"/>
    <s v="Campsie"/>
    <n v="30368.89"/>
    <m/>
    <n v="30368.89"/>
    <n v="33405.779000000002"/>
    <n v="15394.18"/>
    <m/>
    <n v="15394.18"/>
    <n v="14974.71"/>
    <n v="0.49309375482607365"/>
    <m/>
    <d v="2018-05-11T00:00:00"/>
    <m/>
    <s v="Adnan Khabbaz"/>
    <s v="Direct Award"/>
    <d v="2018-04-05T00:00:00"/>
    <m/>
    <d v="2018-04-20T00:00:00"/>
    <n v="15"/>
  </r>
  <r>
    <x v="9"/>
    <s v="Sydney"/>
    <s v="Inv 13724"/>
    <d v="2018-06-18T00:00:00"/>
    <d v="2018-06-01T00:00:00"/>
    <d v="2018-06-01T00:00:00"/>
    <d v="2018-06-06T00:00:00"/>
    <d v="2018-06-13T00:00:00"/>
    <d v="2018-06-15T00:00:00"/>
    <d v="2018-06-29T00:00:00"/>
    <m/>
    <x v="14"/>
    <s v="Jun-18"/>
    <s v="2KRG-03-AYCA-2Z4T2N "/>
    <s v="Kooringal"/>
    <n v="40799.910000000003"/>
    <m/>
    <n v="40799.910000000003"/>
    <n v="44879.901000000005"/>
    <n v="21000"/>
    <m/>
    <n v="21000"/>
    <n v="19799.910000000003"/>
    <n v="0.48529298226393153"/>
    <m/>
    <d v="2018-06-15T00:00:00"/>
    <m/>
    <s v="Adnan Khabbaz"/>
    <s v="Direct Award"/>
    <d v="2018-04-18T00:00:00"/>
    <m/>
    <d v="2018-05-22T00:00:00"/>
    <n v="34"/>
  </r>
  <r>
    <x v="9"/>
    <s v="Sydney"/>
    <s v="Inv 13656"/>
    <d v="2018-05-23T00:00:00"/>
    <d v="2018-05-14T00:00:00"/>
    <d v="2018-05-14T00:00:00"/>
    <d v="2018-05-18T00:00:00"/>
    <d v="2018-05-21T00:00:00"/>
    <d v="2018-05-21T00:00:00"/>
    <d v="2018-06-08T00:00:00"/>
    <m/>
    <x v="8"/>
    <s v="Jun-18"/>
    <s v="2NRN-05-AYCA-4B5K39"/>
    <s v="Narrellen"/>
    <n v="1897.3506749999997"/>
    <m/>
    <n v="1897.3506749999997"/>
    <n v="2087.0857424999999"/>
    <n v="443.04"/>
    <n v="208"/>
    <n v="651.04"/>
    <n v="1246.3106749999997"/>
    <n v="0.6568689127538323"/>
    <m/>
    <d v="2018-05-28T00:00:00"/>
    <m/>
    <s v="Adnan Khabbaz"/>
    <s v="Direct Award"/>
    <d v="2018-04-20T00:00:00"/>
    <m/>
    <d v="2018-06-04T00:00:00"/>
    <n v="45"/>
  </r>
  <r>
    <x v="9"/>
    <s v="Sydney"/>
    <m/>
    <m/>
    <d v="2018-05-22T00:00:00"/>
    <d v="2018-05-22T00:00:00"/>
    <m/>
    <m/>
    <d v="2018-06-05T00:00:00"/>
    <d v="2018-06-19T00:00:00"/>
    <m/>
    <x v="8"/>
    <s v="Jun-18"/>
    <s v="2PET-67-AYCA-4W7GEZ,"/>
    <s v="Petersham"/>
    <n v="46564.38"/>
    <m/>
    <n v="46564.38"/>
    <n v="51220.817999999999"/>
    <n v="27635.11"/>
    <m/>
    <n v="27635.11"/>
    <n v="18929.269999999997"/>
    <n v="0.40651824420297228"/>
    <m/>
    <d v="2018-06-05T00:00:00"/>
    <m/>
    <s v="Adnan Khabbaz"/>
    <s v="Direct Award"/>
    <d v="2018-04-05T00:00:00"/>
    <m/>
    <d v="2018-04-12T00:00:00"/>
    <n v="7"/>
  </r>
  <r>
    <x v="9"/>
    <s v="Sydney"/>
    <m/>
    <m/>
    <d v="2018-06-25T00:00:00"/>
    <d v="2018-06-25T00:00:00"/>
    <m/>
    <m/>
    <d v="2018-07-09T00:00:00"/>
    <d v="2018-07-23T00:00:00"/>
    <m/>
    <x v="14"/>
    <s v="Jul-18"/>
    <s v="2PET-69-AYCA-3G34XT"/>
    <s v="Petersham"/>
    <n v="30911.409282500004"/>
    <m/>
    <n v="30911.409282500004"/>
    <n v="34002.550210750007"/>
    <n v="22810.11"/>
    <m/>
    <n v="22810.11"/>
    <n v="8101.2992825000038"/>
    <n v="0.26208120142508107"/>
    <m/>
    <d v="2018-07-09T00:00:00"/>
    <m/>
    <s v="Adnan Khabbaz"/>
    <s v="Direct Award"/>
    <d v="2018-04-05T00:00:00"/>
    <m/>
    <d v="2018-04-30T00:00:00"/>
    <n v="25"/>
  </r>
  <r>
    <x v="9"/>
    <s v="Sydney"/>
    <s v="Inv 13591"/>
    <d v="2018-05-10T00:00:00"/>
    <d v="2018-04-26T00:00:00"/>
    <d v="2018-04-26T00:00:00"/>
    <d v="2018-05-08T00:00:00"/>
    <d v="2018-05-10T00:00:00"/>
    <d v="2018-05-10T00:00:00"/>
    <d v="2018-06-08T00:00:00"/>
    <m/>
    <x v="7"/>
    <s v="Jun-18"/>
    <s v="2ROU-04-AYCA-39XZGZ"/>
    <s v="Rouse Hill"/>
    <n v="5918.97"/>
    <m/>
    <n v="5918.97"/>
    <n v="6510.8670000000011"/>
    <m/>
    <n v="1000"/>
    <n v="1000"/>
    <n v="4918.97"/>
    <n v="0.83105168635759263"/>
    <m/>
    <d v="2018-05-10T00:00:00"/>
    <m/>
    <s v="Adnan Khabbaz"/>
    <s v="Direct Award"/>
    <d v="2018-04-11T00:00:00"/>
    <m/>
    <d v="2018-05-08T00:00:00"/>
    <m/>
  </r>
  <r>
    <x v="2"/>
    <s v="Sydney"/>
    <s v="Inv 13751"/>
    <d v="2018-06-20T00:00:00"/>
    <d v="2018-05-29T00:00:00"/>
    <d v="2018-05-29T00:00:00"/>
    <d v="2018-05-31T00:00:00"/>
    <d v="2018-06-05T00:00:00"/>
    <d v="2018-06-08T00:00:00"/>
    <d v="2018-06-19T00:00:00"/>
    <m/>
    <x v="8"/>
    <s v="Jun-18"/>
    <s v="MW22091-AYCA-4MNF1P-2NRN-10-11 &amp; 15 Holborn Circuit, Gregory Hills "/>
    <s v="Gregory Hills"/>
    <n v="4140.32"/>
    <n v="7286.54"/>
    <n v="11426.86"/>
    <n v="12569.546000000002"/>
    <n v="6489.4400000000005"/>
    <m/>
    <n v="6489.4400000000005"/>
    <n v="4937.42"/>
    <n v="0.43208895532105929"/>
    <m/>
    <d v="2018-06-12T00:00:00"/>
    <m/>
    <s v="Nabeel Jaimon"/>
    <s v="Direct Award"/>
    <d v="2018-04-24T00:00:00"/>
    <m/>
    <d v="2018-05-31T00:00:00"/>
    <n v="37"/>
  </r>
  <r>
    <x v="0"/>
    <s v="Sydney"/>
    <s v="Inv 13691"/>
    <d v="2018-06-06T00:00:00"/>
    <d v="2018-05-16T00:00:00"/>
    <d v="2018-05-16T00:00:00"/>
    <d v="2018-05-18T00:00:00"/>
    <d v="2018-05-23T00:00:00"/>
    <d v="2018-06-05T00:00:00"/>
    <d v="2018-06-05T00:00:00"/>
    <m/>
    <x v="8"/>
    <s v="Jun-18"/>
    <s v="MW22288-AYCA-4R7UP6-2MIL-04-40 Government Rd, Hinchinbrook"/>
    <s v="Hinchinbrook"/>
    <n v="8639.27"/>
    <n v="-2352.5499999999997"/>
    <n v="6286.7200000000012"/>
    <n v="6915.3920000000016"/>
    <n v="1143.6099999999999"/>
    <n v="704"/>
    <n v="1847.61"/>
    <n v="4439.1100000000015"/>
    <n v="0.70610906800366502"/>
    <m/>
    <d v="2018-05-30T00:00:00"/>
    <m/>
    <s v="Andrwe Mahassy"/>
    <d v="2018-04-19T00:00:00"/>
    <d v="2018-04-24T00:00:00"/>
    <n v="5"/>
    <d v="2018-05-23T00:00:00"/>
    <n v="29"/>
  </r>
  <r>
    <x v="2"/>
    <s v="Sydney"/>
    <m/>
    <m/>
    <d v="2018-06-27T00:00:00"/>
    <d v="2018-06-27T00:00:00"/>
    <d v="2018-07-02T00:00:00"/>
    <m/>
    <d v="2018-07-11T00:00:00"/>
    <d v="2018-07-25T00:00:00"/>
    <m/>
    <x v="14"/>
    <s v="Jul-18"/>
    <s v="MW22309-AYCA-3V5BM6-2DRU-61-197-199 Lyons Rd Drummoyne "/>
    <s v="Drummoyne "/>
    <n v="1734.4"/>
    <n v="13956.892000000005"/>
    <n v="15691.292000000005"/>
    <n v="17260.421200000008"/>
    <n v="9740.19"/>
    <m/>
    <n v="9740.19"/>
    <n v="5951.1020000000044"/>
    <n v="0.37926144003948192"/>
    <m/>
    <d v="2018-07-11T00:00:00"/>
    <m/>
    <s v="Ertan Cicek"/>
    <s v="Direct Award"/>
    <d v="2018-04-24T00:00:00"/>
    <m/>
    <d v="2018-05-23T00:00:00"/>
    <n v="29"/>
  </r>
  <r>
    <x v="2"/>
    <s v="Sydney"/>
    <m/>
    <m/>
    <m/>
    <d v="2018-07-30T00:00:00"/>
    <m/>
    <m/>
    <m/>
    <m/>
    <m/>
    <x v="9"/>
    <s v="Jan-00"/>
    <s v="MW22296-AYCA-4RB8MD-2LID-03-2 Clarke St, Berala"/>
    <s v="Berala"/>
    <n v="742.8"/>
    <m/>
    <n v="742.8"/>
    <n v="817.08"/>
    <m/>
    <m/>
    <n v="0"/>
    <n v="742.8"/>
    <n v="1"/>
    <m/>
    <d v="2018-08-13T00:00:00"/>
    <m/>
    <s v="Ertan Cicek"/>
    <s v="Direct Award"/>
    <d v="2018-04-24T00:00:00"/>
    <m/>
    <d v="2018-06-29T00:00:00"/>
    <n v="66"/>
  </r>
  <r>
    <x v="0"/>
    <s v="Sydney"/>
    <s v="Inv 13690"/>
    <d v="2018-05-30T00:00:00"/>
    <d v="2018-04-30T00:00:00"/>
    <d v="2018-04-30T00:00:00"/>
    <m/>
    <m/>
    <d v="2018-05-10T00:00:00"/>
    <d v="2018-05-31T00:00:00"/>
    <m/>
    <x v="7"/>
    <s v="May-18"/>
    <s v="MW22239 - AYCA-552R88 - 2KTB-01 - Lot33-36 The Escarpments - 1"/>
    <s v="Katoomba"/>
    <n v="4434.76"/>
    <m/>
    <n v="4434.76"/>
    <n v="4878.2360000000008"/>
    <m/>
    <m/>
    <n v="0"/>
    <n v="4434.76"/>
    <n v="1"/>
    <m/>
    <d v="2018-05-14T00:00:00"/>
    <m/>
    <s v="Sogand Mohtat"/>
    <d v="2018-04-16T00:00:00"/>
    <d v="2018-04-26T00:00:00"/>
    <n v="10"/>
    <d v="2018-05-18T00:00:00"/>
    <n v="22"/>
  </r>
  <r>
    <x v="2"/>
    <s v="Sydney"/>
    <s v="inv 13773"/>
    <d v="2018-06-29T00:00:00"/>
    <d v="2018-06-06T00:00:00"/>
    <d v="2018-06-07T00:00:00"/>
    <d v="2018-06-07T00:00:00"/>
    <d v="2018-06-08T00:00:00"/>
    <d v="2018-06-21T00:00:00"/>
    <d v="2018-06-22T00:00:00"/>
    <m/>
    <x v="14"/>
    <s v="Jun-18"/>
    <s v="MW22287-AYCA-4LQOVR-2KEL-08-25 Water Creek Boulevard Kellyville"/>
    <s v="Kellyville"/>
    <n v="363.7"/>
    <n v="599.79"/>
    <n v="963.49"/>
    <n v="1059.8390000000002"/>
    <m/>
    <m/>
    <n v="0"/>
    <n v="963.49"/>
    <n v="1"/>
    <m/>
    <d v="2018-06-21T00:00:00"/>
    <m/>
    <s v="Ertan Cicek"/>
    <s v="Direct Award"/>
    <d v="2018-04-27T00:00:00"/>
    <m/>
    <d v="2018-06-15T00:00:00"/>
    <n v="49"/>
  </r>
  <r>
    <x v="2"/>
    <s v="Nth Coast"/>
    <m/>
    <m/>
    <d v="2018-06-29T00:00:00"/>
    <d v="2018-06-29T00:00:00"/>
    <m/>
    <m/>
    <d v="2018-07-13T00:00:00"/>
    <d v="2018-07-27T00:00:00"/>
    <m/>
    <x v="14"/>
    <s v="Jul-18"/>
    <s v="MW22301-AYCA-541Y7O-2WAU-20-728-730 Beechwood"/>
    <s v="Wauchope"/>
    <n v="1370.1"/>
    <n v="5576.54"/>
    <n v="6946.6399999999994"/>
    <n v="7641.3040000000001"/>
    <n v="4422.17"/>
    <m/>
    <n v="4422.17"/>
    <n v="2524.4699999999993"/>
    <n v="0.36340878467863597"/>
    <m/>
    <d v="2018-07-13T00:00:00"/>
    <m/>
    <s v="Ertan Cicek"/>
    <s v="Direct Award"/>
    <d v="2018-04-27T00:00:00"/>
    <m/>
    <d v="2018-07-16T00:00:00"/>
    <n v="80"/>
  </r>
  <r>
    <x v="2"/>
    <s v="Sydney"/>
    <m/>
    <m/>
    <m/>
    <d v="2018-07-30T00:00:00"/>
    <m/>
    <m/>
    <m/>
    <m/>
    <m/>
    <x v="9"/>
    <s v="Jan-00"/>
    <s v="MW22319-AYCA-33L9HP-2BAN-64-Restwell &amp; Leonard St Bankstown "/>
    <s v="Bankstown"/>
    <n v="2255.04"/>
    <m/>
    <n v="2255.04"/>
    <n v="2480.5440000000003"/>
    <m/>
    <m/>
    <n v="0"/>
    <n v="2255.04"/>
    <n v="1"/>
    <m/>
    <d v="2018-08-13T00:00:00"/>
    <m/>
    <s v="Ertan Cicek"/>
    <s v="Direct Award"/>
    <d v="2018-04-27T00:00:00"/>
    <m/>
    <d v="2018-06-29T00:00:00"/>
    <n v="63"/>
  </r>
  <r>
    <x v="2"/>
    <s v="Sth NSW"/>
    <m/>
    <m/>
    <m/>
    <d v="2018-07-30T00:00:00"/>
    <m/>
    <m/>
    <m/>
    <m/>
    <m/>
    <x v="9"/>
    <s v="Jan-00"/>
    <s v="MW22334-AYCA-3V2064-2WAG-01-29 Gibson St, Boorooma"/>
    <s v="Boorooma"/>
    <n v="4344.17"/>
    <m/>
    <n v="4344.17"/>
    <n v="4778.5870000000004"/>
    <m/>
    <m/>
    <n v="0"/>
    <n v="4344.17"/>
    <n v="1"/>
    <m/>
    <d v="2018-08-13T00:00:00"/>
    <m/>
    <s v="Ertan Cicek"/>
    <s v="Direct Award"/>
    <d v="2018-04-27T00:00:00"/>
    <m/>
    <d v="2018-07-10T00:00:00"/>
    <n v="74"/>
  </r>
  <r>
    <x v="7"/>
    <s v="NSW"/>
    <s v="Inv 13544"/>
    <d v="2018-04-30T00:00:00"/>
    <d v="2018-03-26T00:00:00"/>
    <d v="2018-03-26T00:00:00"/>
    <m/>
    <m/>
    <m/>
    <d v="2018-07-05T00:00:00"/>
    <m/>
    <x v="11"/>
    <s v="Jul-18"/>
    <s v="INC000007540081 - Lot 4, 126 Aberford Street, Coonamble"/>
    <s v="Coonamble"/>
    <n v="1550.47"/>
    <m/>
    <n v="1550.47"/>
    <n v="1705.5170000000003"/>
    <m/>
    <n v="419.33"/>
    <n v="419.33"/>
    <n v="1131.1400000000001"/>
    <n v="0.72954652460221747"/>
    <m/>
    <d v="2018-04-09T00:00:00"/>
    <m/>
    <s v="Tony Gabriel"/>
    <m/>
    <m/>
    <m/>
    <m/>
    <m/>
  </r>
  <r>
    <x v="7"/>
    <s v="NSW"/>
    <s v="Inv 13545"/>
    <d v="2018-04-30T00:00:00"/>
    <d v="2018-03-26T00:00:00"/>
    <d v="2018-03-26T00:00:00"/>
    <m/>
    <m/>
    <m/>
    <d v="2018-05-22T00:00:00"/>
    <m/>
    <x v="11"/>
    <s v="May-18"/>
    <s v="MW22424 - INC000007552115 - 13 NETTLETON DR LIGHTNING RIDGE"/>
    <s v="Lighting Ridge"/>
    <n v="256.27999999999997"/>
    <m/>
    <n v="256.27999999999997"/>
    <n v="281.90800000000002"/>
    <m/>
    <n v="41.14"/>
    <n v="41.14"/>
    <n v="215.14"/>
    <n v="0.83947245200561893"/>
    <m/>
    <d v="2018-04-09T00:00:00"/>
    <m/>
    <s v="Tony Gabriel"/>
    <m/>
    <m/>
    <m/>
    <m/>
    <m/>
  </r>
  <r>
    <x v="7"/>
    <s v="NSW"/>
    <s v="Inv 13546"/>
    <d v="2018-04-30T00:00:00"/>
    <d v="2018-03-26T00:00:00"/>
    <d v="2018-03-26T00:00:00"/>
    <m/>
    <m/>
    <m/>
    <d v="2018-05-22T00:00:00"/>
    <m/>
    <x v="11"/>
    <s v="May-18"/>
    <s v="MW22423 - INC000007549981 - LOT 24, 11 GREENE AV, COONAMBLE "/>
    <s v="Villawood"/>
    <n v="256.27999999999997"/>
    <m/>
    <n v="256.27999999999997"/>
    <n v="281.90800000000002"/>
    <m/>
    <n v="44.14"/>
    <n v="44.14"/>
    <n v="212.14"/>
    <n v="0.82776650538473551"/>
    <m/>
    <d v="2018-04-09T00:00:00"/>
    <m/>
    <s v="Tony Gabriel"/>
    <m/>
    <m/>
    <m/>
    <m/>
    <m/>
  </r>
  <r>
    <x v="7"/>
    <s v="NSW"/>
    <s v="Inv 13547"/>
    <d v="2018-04-30T00:00:00"/>
    <d v="2018-03-26T00:00:00"/>
    <d v="2018-03-26T00:00:00"/>
    <m/>
    <m/>
    <m/>
    <d v="2018-07-05T00:00:00"/>
    <m/>
    <x v="11"/>
    <s v="Jul-18"/>
    <s v="INC000007494309 - LOT 4, 9 DUBBO ST, COONAMBLE"/>
    <s v="Coonamble"/>
    <n v="640.69999999999993"/>
    <m/>
    <n v="640.69999999999993"/>
    <n v="704.77"/>
    <m/>
    <n v="176.56"/>
    <n v="176.56"/>
    <n v="464.13999999999993"/>
    <n v="0.72442640861557672"/>
    <m/>
    <d v="2018-04-09T00:00:00"/>
    <m/>
    <s v="Tony Gabriel"/>
    <m/>
    <m/>
    <m/>
    <m/>
    <m/>
  </r>
  <r>
    <x v="7"/>
    <s v="NSW"/>
    <s v="Inv 13548"/>
    <d v="2018-04-30T00:00:00"/>
    <d v="2018-03-27T00:00:00"/>
    <d v="2018-03-27T00:00:00"/>
    <m/>
    <m/>
    <m/>
    <d v="2018-05-22T00:00:00"/>
    <m/>
    <x v="11"/>
    <s v="May-18"/>
    <s v="MW22422 - INC000007550501- 170 EDWARD ST, ORANGE"/>
    <s v="Orange"/>
    <n v="640.69999999999993"/>
    <m/>
    <n v="640.69999999999993"/>
    <n v="704.77"/>
    <m/>
    <n v="154.49"/>
    <n v="154.49"/>
    <n v="486.20999999999992"/>
    <n v="0.75887310753862958"/>
    <m/>
    <d v="2018-04-10T00:00:00"/>
    <m/>
    <s v="Tony Gabriel"/>
    <m/>
    <m/>
    <m/>
    <m/>
    <m/>
  </r>
  <r>
    <x v="6"/>
    <s v="NSW"/>
    <s v="Inv 13549"/>
    <d v="2018-04-30T00:00:00"/>
    <d v="2018-03-28T00:00:00"/>
    <d v="2018-03-28T00:00:00"/>
    <m/>
    <m/>
    <m/>
    <d v="2018-06-19T00:00:00"/>
    <m/>
    <x v="11"/>
    <s v="Jun-18"/>
    <s v="INC000007482861 - 52-58 WARATAH ST COWRA"/>
    <s v="Cowra"/>
    <n v="640.69999999999993"/>
    <m/>
    <n v="640.69999999999993"/>
    <n v="704.77"/>
    <m/>
    <n v="175"/>
    <n v="175"/>
    <n v="465.69999999999993"/>
    <n v="0.72686124551272047"/>
    <m/>
    <d v="2018-04-11T00:00:00"/>
    <m/>
    <s v="Tony Gabriel"/>
    <m/>
    <m/>
    <m/>
    <m/>
    <m/>
  </r>
  <r>
    <x v="7"/>
    <s v="NSW"/>
    <s v="Inv 13550"/>
    <d v="2018-04-30T00:00:00"/>
    <d v="2018-03-27T00:00:00"/>
    <d v="2018-03-27T00:00:00"/>
    <m/>
    <m/>
    <m/>
    <d v="2018-07-05T00:00:00"/>
    <m/>
    <x v="11"/>
    <s v="Jul-18"/>
    <s v="INC000007555389- 183 SUMMER ST, ORANGE"/>
    <s v="Orange"/>
    <n v="256.27999999999997"/>
    <m/>
    <n v="256.27999999999997"/>
    <n v="281.90800000000002"/>
    <m/>
    <n v="50"/>
    <n v="50"/>
    <n v="206.27999999999997"/>
    <n v="0.80490088965194317"/>
    <m/>
    <d v="2018-04-10T00:00:00"/>
    <m/>
    <s v="Tony Gabriel"/>
    <m/>
    <m/>
    <m/>
    <m/>
    <m/>
  </r>
  <r>
    <x v="2"/>
    <s v="Sydney"/>
    <s v="Inv 13752"/>
    <d v="2018-06-20T00:00:00"/>
    <d v="2018-05-30T00:00:00"/>
    <d v="2018-05-30T00:00:00"/>
    <d v="2018-06-14T00:00:00"/>
    <d v="2018-06-21T00:00:00"/>
    <d v="2018-06-13T00:00:00"/>
    <d v="2018-06-28T00:00:00"/>
    <m/>
    <x v="8"/>
    <s v="Jun-18"/>
    <s v="MW22314-AYCA-4A5XPU-2BLK-11-29 Norfolk Street, Blacktown"/>
    <s v="Blacktown"/>
    <n v="685.25"/>
    <n v="2551.7600000000002"/>
    <n v="3237.01"/>
    <n v="3560.7110000000007"/>
    <n v="306.39999999999998"/>
    <m/>
    <n v="306.39999999999998"/>
    <n v="2930.61"/>
    <n v="0.90534474715864333"/>
    <m/>
    <d v="2018-06-13T00:00:00"/>
    <m/>
    <s v="Ertan Cicek"/>
    <s v="Direct Award"/>
    <d v="2018-04-27T00:00:00"/>
    <m/>
    <d v="2018-07-11T00:00:00"/>
    <n v="75"/>
  </r>
  <r>
    <x v="0"/>
    <s v="Sth Coast"/>
    <m/>
    <m/>
    <m/>
    <d v="2018-07-30T00:00:00"/>
    <m/>
    <m/>
    <m/>
    <m/>
    <m/>
    <x v="9"/>
    <s v="Jan-00"/>
    <s v="MW21532-AYCA-4TBHNX - 2SHH-05 - NSB - 125 LAKE ENTRANCE - SURVEY"/>
    <s v="Barrack Heights"/>
    <n v="1698"/>
    <m/>
    <n v="1698"/>
    <n v="1867.8000000000002"/>
    <m/>
    <m/>
    <n v="0"/>
    <n v="1698"/>
    <n v="1"/>
    <m/>
    <d v="2018-08-13T00:00:00"/>
    <m/>
    <s v="Andrew Mahssy"/>
    <d v="2017-10-23T00:00:00"/>
    <d v="2018-02-15T00:00:00"/>
    <n v="115"/>
    <d v="2018-03-23T00:00:00"/>
    <n v="36"/>
  </r>
  <r>
    <x v="2"/>
    <s v="Sydney"/>
    <m/>
    <m/>
    <m/>
    <d v="2018-08-30T00:00:00"/>
    <m/>
    <m/>
    <m/>
    <m/>
    <m/>
    <x v="15"/>
    <s v="Jan-00"/>
    <s v="MW22263-AYCA-31DCKF-2EAS-62-18-20 Neild Ave Darlinghurst"/>
    <s v="Darlinghurst"/>
    <n v="2099.66"/>
    <m/>
    <n v="2099.66"/>
    <n v="2309.6260000000002"/>
    <m/>
    <m/>
    <n v="0"/>
    <n v="2099.66"/>
    <n v="1"/>
    <m/>
    <d v="2018-09-13T00:00:00"/>
    <m/>
    <s v="Lindy Chan"/>
    <s v="Direct Award"/>
    <d v="2018-04-30T00:00:00"/>
    <m/>
    <d v="2018-07-16T00:00:00"/>
    <n v="77"/>
  </r>
  <r>
    <x v="2"/>
    <s v="Sydney"/>
    <s v="Inv 13772"/>
    <d v="2018-06-29T00:00:00"/>
    <d v="2018-06-01T00:00:00"/>
    <d v="2018-06-04T00:00:00"/>
    <d v="2018-06-06T00:00:00"/>
    <d v="2018-06-18T00:00:00"/>
    <d v="2018-06-18T00:00:00"/>
    <d v="2018-06-26T00:00:00"/>
    <m/>
    <x v="14"/>
    <s v="Jun-18"/>
    <s v="MW22265-AYCA-4R1HNT-2MIL-62-6-8 Facey Cres Lurnea "/>
    <s v="Lumea"/>
    <n v="1554.24"/>
    <n v="13339.46"/>
    <n v="14893.699999999999"/>
    <n v="16383.07"/>
    <n v="6425.2"/>
    <m/>
    <n v="6425.2"/>
    <n v="8468.5"/>
    <n v="0.56859611782162933"/>
    <m/>
    <d v="2018-06-18T00:00:00"/>
    <m/>
    <s v="Ertan Cicek"/>
    <s v="Direct Award"/>
    <d v="2018-05-01T00:00:00"/>
    <m/>
    <d v="2018-06-29T00:00:00"/>
    <n v="59"/>
  </r>
  <r>
    <x v="2"/>
    <s v="Sydney"/>
    <s v="Inv 13774"/>
    <d v="2018-06-29T00:00:00"/>
    <d v="2018-05-25T00:00:00"/>
    <d v="2018-05-29T00:00:00"/>
    <d v="2018-05-31T00:00:00"/>
    <d v="2018-06-19T00:00:00"/>
    <d v="2018-06-08T00:00:00"/>
    <d v="2018-06-22T00:00:00"/>
    <m/>
    <x v="8"/>
    <s v="Jun-18"/>
    <s v="MW22347-AYCA-4XTH50-2HOM-03-31-35 Smallwood Ave Homebush "/>
    <s v="Homebush"/>
    <n v="2743.96"/>
    <n v="6734.32"/>
    <n v="9478.2799999999988"/>
    <n v="10426.108"/>
    <n v="6152.49"/>
    <m/>
    <n v="6152.49"/>
    <n v="3325.7899999999991"/>
    <n v="0.35088539270838165"/>
    <m/>
    <d v="2018-06-12T00:00:00"/>
    <m/>
    <s v="Ertan Cicek"/>
    <s v="Direct Award"/>
    <d v="2018-05-01T00:00:00"/>
    <m/>
    <d v="2018-06-08T00:00:00"/>
    <n v="38"/>
  </r>
  <r>
    <x v="2"/>
    <s v="Sydney"/>
    <m/>
    <m/>
    <m/>
    <d v="2018-07-30T00:00:00"/>
    <m/>
    <m/>
    <m/>
    <m/>
    <m/>
    <x v="9"/>
    <s v="Jan-00"/>
    <s v="MW22346-AYCA-50FP2M-2ROU-03-Oxlade Street Kellyville"/>
    <s v="Kellyville"/>
    <n v="9295.6200000000008"/>
    <m/>
    <n v="9295.6200000000008"/>
    <n v="10225.182000000003"/>
    <m/>
    <m/>
    <n v="0"/>
    <n v="9295.6200000000008"/>
    <n v="1"/>
    <m/>
    <d v="2018-08-13T00:00:00"/>
    <m/>
    <s v="Ertan Cicek"/>
    <s v="Direct Award"/>
    <d v="2018-05-01T00:00:00"/>
    <m/>
    <d v="2018-06-27T00:00:00"/>
    <n v="57"/>
  </r>
  <r>
    <x v="0"/>
    <s v="Sth Coast"/>
    <m/>
    <m/>
    <d v="2018-07-05T00:00:00"/>
    <d v="2018-07-05T00:00:00"/>
    <d v="2018-07-09T00:00:00"/>
    <m/>
    <d v="2018-07-19T00:00:00"/>
    <d v="2018-08-02T00:00:00"/>
    <m/>
    <x v="9"/>
    <s v="Aug-18"/>
    <s v="MW22333 - AYCA-54SUCD - 2PKE-06 - Warehouse Pl Berkeley"/>
    <s v="Berkeley"/>
    <n v="3573.39"/>
    <n v="1133.5999999999999"/>
    <n v="4706.99"/>
    <n v="5177.6890000000003"/>
    <n v="1960"/>
    <m/>
    <n v="1960"/>
    <n v="2746.99"/>
    <n v="0.58359801061825067"/>
    <m/>
    <d v="2018-07-19T00:00:00"/>
    <m/>
    <s v="Mark Leal"/>
    <s v="Direct Award"/>
    <d v="2018-05-01T00:00:00"/>
    <m/>
    <d v="2018-06-22T00:00:00"/>
    <n v="52"/>
  </r>
  <r>
    <x v="0"/>
    <s v="Nth Coast"/>
    <m/>
    <m/>
    <d v="2018-06-21T00:00:00"/>
    <d v="2018-06-21T00:00:00"/>
    <d v="2018-06-29T00:00:00"/>
    <m/>
    <d v="2018-07-05T00:00:00"/>
    <d v="2018-07-19T00:00:00"/>
    <m/>
    <x v="14"/>
    <s v="Jul-18"/>
    <s v="MW22336-AYCA-4MJKV1-2KMS-21-Lot 37 Springfields Drive, Greenhill"/>
    <s v="Greenhill"/>
    <n v="7769.35"/>
    <n v="-120"/>
    <n v="7649.35"/>
    <n v="8414.2850000000017"/>
    <n v="3003.86"/>
    <m/>
    <n v="3003.86"/>
    <n v="4645.49"/>
    <n v="0.60730519586631537"/>
    <m/>
    <d v="2018-07-05T00:00:00"/>
    <m/>
    <s v="Mark Leal"/>
    <d v="2018-04-27T00:00:00"/>
    <d v="2018-05-01T00:00:00"/>
    <n v="4"/>
    <d v="2018-05-30T00:00:00"/>
    <n v="29"/>
  </r>
  <r>
    <x v="0"/>
    <s v="Central Coast"/>
    <s v="Inv 13831"/>
    <d v="2018-07-06T00:00:00"/>
    <d v="2018-06-15T00:00:00"/>
    <d v="2018-06-15T00:00:00"/>
    <d v="2018-06-15T00:00:00"/>
    <d v="2018-06-27T00:00:00"/>
    <d v="2018-06-29T00:00:00"/>
    <d v="2018-07-05T00:00:00"/>
    <m/>
    <x v="14"/>
    <s v="Jul-18"/>
    <s v="MW22335 - AYCA-55S741 - 2WOY-03 -Broken Bay – 1"/>
    <s v="Ettalong Beach"/>
    <n v="5278.06"/>
    <n v="535.66"/>
    <n v="5813.72"/>
    <n v="6395.0920000000006"/>
    <m/>
    <m/>
    <n v="0"/>
    <n v="5813.72"/>
    <n v="1"/>
    <m/>
    <m/>
    <m/>
    <s v="Mark Leal"/>
    <d v="2018-04-27T00:00:00"/>
    <d v="2018-05-02T00:00:00"/>
    <n v="5"/>
    <d v="2018-05-30T00:00:00"/>
    <n v="28"/>
  </r>
  <r>
    <x v="2"/>
    <s v="Sydney"/>
    <m/>
    <m/>
    <m/>
    <d v="2018-08-30T00:00:00"/>
    <m/>
    <m/>
    <m/>
    <m/>
    <m/>
    <x v="15"/>
    <s v="Jan-00"/>
    <s v="MW22331-AYCA-3CFI3W-2EPP-05-120 Herring Road Marsfield"/>
    <s v="Marsfield"/>
    <n v="1102.48"/>
    <m/>
    <n v="1102.48"/>
    <n v="1212.7280000000001"/>
    <m/>
    <m/>
    <n v="0"/>
    <n v="1102.48"/>
    <n v="1"/>
    <m/>
    <m/>
    <m/>
    <s v="Ertan Cicek"/>
    <s v="Direct Award"/>
    <d v="2018-05-02T00:00:00"/>
    <m/>
    <d v="2018-06-06T00:00:00"/>
    <n v="35"/>
  </r>
  <r>
    <x v="2"/>
    <s v="Sydney"/>
    <m/>
    <m/>
    <m/>
    <d v="2018-07-30T00:00:00"/>
    <m/>
    <m/>
    <m/>
    <m/>
    <m/>
    <x v="9"/>
    <s v="Jan-00"/>
    <s v="MW22313 - AYCA-48S696 - 2BLK-03 -  3-7 Wallace St Blacktown "/>
    <s v="Blacktown"/>
    <n v="1763.74"/>
    <m/>
    <n v="1763.74"/>
    <n v="1940.1140000000003"/>
    <m/>
    <m/>
    <n v="0"/>
    <n v="1763.74"/>
    <n v="1"/>
    <m/>
    <m/>
    <m/>
    <s v="Ertan Cicek"/>
    <s v="Direct Award"/>
    <d v="2018-05-02T00:00:00"/>
    <m/>
    <d v="2018-06-29T00:00:00"/>
    <n v="58"/>
  </r>
  <r>
    <x v="0"/>
    <s v="Central Coast"/>
    <s v="Inv 13743"/>
    <d v="2018-06-18T00:00:00"/>
    <d v="2018-05-03T00:00:00"/>
    <d v="2018-05-30T00:00:00"/>
    <m/>
    <m/>
    <d v="2018-06-14T00:00:00"/>
    <d v="2018-06-19T00:00:00"/>
    <m/>
    <x v="8"/>
    <s v="Jun-18"/>
    <s v="MW22477 - AYCA-4XVGZ8 -  2WYO-03 -140 Pacific Highway Tuggerah"/>
    <s v="Tuggerah"/>
    <n v="3243.26"/>
    <m/>
    <n v="3243.26"/>
    <n v="3567.5860000000007"/>
    <n v="2358.27"/>
    <m/>
    <n v="2358.27"/>
    <n v="884.99000000000024"/>
    <n v="0.27287050683571473"/>
    <m/>
    <m/>
    <m/>
    <s v="Dave Yeomans"/>
    <m/>
    <m/>
    <m/>
    <m/>
    <n v="0"/>
  </r>
  <r>
    <x v="0"/>
    <s v="Nth Coast"/>
    <s v="Inv 13844"/>
    <d v="2018-07-06T00:00:00"/>
    <d v="2018-06-06T00:00:00"/>
    <d v="2018-06-15T00:00:00"/>
    <d v="2018-06-18T00:00:00"/>
    <d v="2018-06-20T00:00:00"/>
    <d v="2018-06-29T00:00:00"/>
    <d v="2018-07-10T00:00:00"/>
    <m/>
    <x v="14"/>
    <s v="Jul-18"/>
    <s v="MW22472 - 2PTM-23 - AYCA-4Q0G0C-20 Scarborough Close Port Macquarie"/>
    <s v="Port Macquarie"/>
    <n v="8260.7999999999993"/>
    <n v="8719.58"/>
    <n v="16980.379999999997"/>
    <n v="18678.417999999998"/>
    <m/>
    <m/>
    <n v="0"/>
    <n v="16980.379999999997"/>
    <n v="1"/>
    <m/>
    <m/>
    <m/>
    <s v="Dave Yeomans"/>
    <m/>
    <m/>
    <m/>
    <m/>
    <n v="0"/>
  </r>
  <r>
    <x v="2"/>
    <s v="Sydney"/>
    <s v="Inv 13692"/>
    <d v="2018-06-06T00:00:00"/>
    <d v="2018-05-18T00:00:00"/>
    <d v="2018-05-18T00:00:00"/>
    <m/>
    <m/>
    <d v="2018-05-31T00:00:00"/>
    <d v="2018-06-05T00:00:00"/>
    <m/>
    <x v="8"/>
    <s v="Jun-18"/>
    <s v="MW22351-AYCA-49Z80V-2PIT-01-44 Wells Street Pitt Town"/>
    <s v="Pitt Town"/>
    <n v="2366"/>
    <m/>
    <n v="2366"/>
    <n v="2602.6000000000004"/>
    <n v="1129.72"/>
    <m/>
    <n v="1129.72"/>
    <n v="1236.28"/>
    <n v="0.52251901944209633"/>
    <m/>
    <m/>
    <m/>
    <s v="Ertan Cicek"/>
    <s v="Direct Award"/>
    <d v="2018-05-03T00:00:00"/>
    <m/>
    <d v="2018-06-27T00:00:00"/>
    <n v="55"/>
  </r>
  <r>
    <x v="2"/>
    <s v="Sydney"/>
    <s v="Inv 13775"/>
    <d v="2018-06-29T00:00:00"/>
    <d v="2018-05-14T00:00:00"/>
    <d v="2018-05-15T00:00:00"/>
    <d v="2018-05-30T00:00:00"/>
    <d v="2018-06-08T00:00:00"/>
    <d v="2018-05-29T00:00:00"/>
    <d v="2018-06-22T00:00:00"/>
    <m/>
    <x v="8"/>
    <s v="Jun-18"/>
    <s v="MW22358-AYCA-4OHMS3-2BLK-07-35 Holbeche Road Arndell Park-INT HMDU"/>
    <s v="Arndell park"/>
    <n v="285.60000000000002"/>
    <n v="294.53999999999996"/>
    <n v="580.14"/>
    <n v="638.154"/>
    <m/>
    <m/>
    <n v="0"/>
    <n v="580.14"/>
    <n v="1"/>
    <m/>
    <m/>
    <m/>
    <s v="Nabeel Jaimon"/>
    <s v="Direct Award"/>
    <d v="2018-05-03T00:00:00"/>
    <m/>
    <d v="2018-05-30T00:00:00"/>
    <n v="27"/>
  </r>
  <r>
    <x v="0"/>
    <s v="ACT"/>
    <m/>
    <m/>
    <m/>
    <d v="2018-07-30T00:00:00"/>
    <m/>
    <m/>
    <m/>
    <m/>
    <m/>
    <x v="9"/>
    <s v="Jan-00"/>
    <s v="MW22350-AYCA-4VAQ8P-9SCU-07-11 Prevost Pl MacGregor, ACT "/>
    <s v="MacGregor"/>
    <n v="10564.933999999999"/>
    <m/>
    <n v="10564.933999999999"/>
    <n v="11621.4274"/>
    <n v="7339.16"/>
    <m/>
    <n v="7339.16"/>
    <n v="3225.7739999999994"/>
    <n v="0.30532836267599966"/>
    <m/>
    <m/>
    <m/>
    <s v="Andrew Mahassy"/>
    <d v="2018-05-01T00:00:00"/>
    <d v="2018-05-07T00:00:00"/>
    <n v="6"/>
    <d v="2018-06-11T00:00:00"/>
    <n v="35"/>
  </r>
  <r>
    <x v="2"/>
    <s v="Sydney"/>
    <m/>
    <m/>
    <m/>
    <d v="2018-07-30T00:00:00"/>
    <m/>
    <m/>
    <m/>
    <m/>
    <m/>
    <x v="9"/>
    <s v="Jan-00"/>
    <s v="MW22378-AYCA-4YJULB-2REV-22-479 Henry Lawson Drive Milperra "/>
    <s v="Milperra"/>
    <n v="2570.4"/>
    <m/>
    <n v="2570.4"/>
    <n v="2827.4400000000005"/>
    <m/>
    <m/>
    <n v="0"/>
    <n v="2570.4"/>
    <n v="1"/>
    <m/>
    <m/>
    <m/>
    <s v="Nabeel Jaimon"/>
    <s v="Direct Award"/>
    <d v="2018-05-07T00:00:00"/>
    <m/>
    <d v="2018-06-26T00:00:00"/>
    <n v="50"/>
  </r>
  <r>
    <x v="2"/>
    <s v="Sydney"/>
    <m/>
    <m/>
    <d v="2018-07-04T00:00:00"/>
    <d v="2018-07-04T00:00:00"/>
    <d v="2018-07-09T00:00:00"/>
    <m/>
    <d v="2018-07-18T00:00:00"/>
    <d v="2018-08-01T00:00:00"/>
    <m/>
    <x v="9"/>
    <s v="Aug-18"/>
    <s v="MW22405-AYCA-3BBGCI-2RIV-04-737 Windsor Rd Box Hill"/>
    <s v="Box Hill"/>
    <n v="611.63"/>
    <n v="530.88"/>
    <n v="1142.51"/>
    <n v="1256.7610000000002"/>
    <m/>
    <m/>
    <n v="0"/>
    <n v="1142.51"/>
    <n v="1"/>
    <m/>
    <m/>
    <m/>
    <s v="Andrew Mahassy"/>
    <s v="Direct Award"/>
    <d v="2018-05-07T00:00:00"/>
    <m/>
    <d v="2018-08-02T00:00:00"/>
    <n v="87"/>
  </r>
  <r>
    <x v="10"/>
    <s v="Sydney"/>
    <m/>
    <m/>
    <m/>
    <d v="2018-07-30T00:00:00"/>
    <m/>
    <m/>
    <m/>
    <m/>
    <m/>
    <x v="9"/>
    <s v="Jan-00"/>
    <s v="MW417R000169-2MIR-29-STELLAR NPDL_MWR (A417)-Miranda"/>
    <s v="Miranda"/>
    <n v="19955.095999999998"/>
    <m/>
    <n v="19955.095999999998"/>
    <n v="21950.605599999999"/>
    <n v="3000"/>
    <n v="3861.3399999999997"/>
    <n v="6861.34"/>
    <n v="13093.755999999998"/>
    <n v="0.6561610127057268"/>
    <m/>
    <m/>
    <m/>
    <s v="Kirsty Doyle"/>
    <s v="Direct Award"/>
    <m/>
    <m/>
    <m/>
    <m/>
  </r>
  <r>
    <x v="10"/>
    <s v="Sydney"/>
    <s v="Inv 13747"/>
    <d v="2018-06-14T00:00:00"/>
    <m/>
    <d v="2018-07-30T00:00:00"/>
    <m/>
    <m/>
    <m/>
    <d v="2018-06-14T00:00:00"/>
    <m/>
    <x v="9"/>
    <s v="Jun-18"/>
    <s v="MW417R000169-2MIR-29-STELLAR NPDL_MWR (A417)-Miranda, Mob Payment"/>
    <s v="Miranda"/>
    <n v="8552.1839999999993"/>
    <m/>
    <n v="8552.1839999999993"/>
    <n v="9407.4024000000009"/>
    <m/>
    <m/>
    <n v="0"/>
    <n v="8552.1839999999993"/>
    <n v="1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MW417R000172-2MON-25-STELLAR NPDL_MWR (A417)-Mona Vale"/>
    <s v="Mona Vale"/>
    <n v="12680.080000000002"/>
    <m/>
    <n v="12680.080000000002"/>
    <n v="13948.088000000003"/>
    <n v="9760"/>
    <m/>
    <n v="9760"/>
    <n v="2920.0800000000017"/>
    <n v="0.23028876789420896"/>
    <m/>
    <m/>
    <m/>
    <s v="Kirsty Doyle"/>
    <s v="Direct Award"/>
    <m/>
    <m/>
    <m/>
    <m/>
  </r>
  <r>
    <x v="10"/>
    <s v="Sydney"/>
    <s v="Inv 13750"/>
    <d v="2018-06-14T00:00:00"/>
    <m/>
    <d v="2018-07-30T00:00:00"/>
    <m/>
    <m/>
    <m/>
    <d v="2018-06-14T00:00:00"/>
    <m/>
    <x v="9"/>
    <s v="Jun-18"/>
    <s v="MW417R000172-2MON-25-STELLAR NPDL_MWR (A417)-Mona Vale, Mob Payment"/>
    <s v="Mona Vale"/>
    <n v="5434.3200000000006"/>
    <m/>
    <n v="5434.3200000000006"/>
    <n v="5977.7520000000013"/>
    <n v="9760"/>
    <m/>
    <n v="9760"/>
    <n v="-4325.6799999999994"/>
    <n v="-0.79599287491351245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MW417R000170-2MIR-22-STELLAR NPDL_MWR (A417)-Miranda"/>
    <s v="Miranda"/>
    <n v="14019.039999999997"/>
    <m/>
    <n v="14019.039999999997"/>
    <n v="15420.943999999998"/>
    <n v="11080"/>
    <m/>
    <n v="11080"/>
    <n v="2939.0399999999972"/>
    <n v="0.20964630959038549"/>
    <m/>
    <m/>
    <m/>
    <s v="Kirsty Doyle"/>
    <s v="Direct Award"/>
    <m/>
    <m/>
    <m/>
    <m/>
  </r>
  <r>
    <x v="10"/>
    <s v="Sydney"/>
    <s v="Inv 13745"/>
    <d v="2018-06-14T00:00:00"/>
    <m/>
    <d v="2018-07-30T00:00:00"/>
    <m/>
    <m/>
    <m/>
    <d v="2018-06-14T00:00:00"/>
    <m/>
    <x v="9"/>
    <s v="Jun-18"/>
    <s v="MW417R000170-2MIR-22-STELLAR NPDL_MWR (A417)-Miranda, Mob Payment"/>
    <s v="Miranda"/>
    <n v="6008.1599999999989"/>
    <m/>
    <n v="6008.1599999999989"/>
    <n v="6608.9759999999997"/>
    <n v="11080"/>
    <m/>
    <n v="11080"/>
    <n v="-5071.8400000000011"/>
    <n v="-0.84415861095576716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MW417R000174-2MIR-26-STELLAR NPDL_MWR (A417)-Miranda"/>
    <s v="Miranda"/>
    <n v="18303.712"/>
    <m/>
    <n v="18303.712"/>
    <n v="20134.083200000001"/>
    <n v="15304"/>
    <m/>
    <n v="15304"/>
    <n v="2999.7119999999995"/>
    <n v="0.16388544575002051"/>
    <m/>
    <m/>
    <m/>
    <s v="Kirsty Doyle"/>
    <s v="Direct Award"/>
    <m/>
    <m/>
    <m/>
    <m/>
  </r>
  <r>
    <x v="10"/>
    <s v="Sydney"/>
    <s v="Inv 13748"/>
    <d v="2018-06-14T00:00:00"/>
    <m/>
    <d v="2018-07-30T00:00:00"/>
    <m/>
    <m/>
    <m/>
    <d v="2018-06-14T00:00:00"/>
    <m/>
    <x v="9"/>
    <s v="Jun-18"/>
    <s v="MW417R000174-2MIR-26-STELLAR NPDL_MWR (A417)-Miranda, Mob Payment"/>
    <s v="Miranda"/>
    <n v="7844.4479999999994"/>
    <m/>
    <n v="7844.4479999999994"/>
    <n v="8628.8927999999996"/>
    <n v="15304"/>
    <m/>
    <n v="15304"/>
    <n v="-7459.5520000000006"/>
    <n v="-0.95093395991661889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MW417R000166-2MIR-31-STELLAR NPDL_MWR (A417)-Miranda"/>
    <s v="Miranda"/>
    <n v="16157.624"/>
    <m/>
    <n v="16157.624"/>
    <n v="17773.386399999999"/>
    <n v="12840"/>
    <m/>
    <n v="12840"/>
    <n v="3317.6239999999998"/>
    <n v="0.20532870426988523"/>
    <m/>
    <m/>
    <m/>
    <s v="Kirsty Doyle"/>
    <s v="Direct Award"/>
    <m/>
    <m/>
    <m/>
    <m/>
  </r>
  <r>
    <x v="10"/>
    <s v="Sydney"/>
    <s v="Inv 13746"/>
    <d v="2018-06-14T00:00:00"/>
    <m/>
    <d v="2018-07-30T00:00:00"/>
    <m/>
    <m/>
    <m/>
    <d v="2018-06-14T00:00:00"/>
    <m/>
    <x v="9"/>
    <s v="Jun-18"/>
    <s v="MW417R000166-2MIR-31-STELLAR NPDL_MWR (A417)-Miranda, Mob Payment"/>
    <s v="Miranda"/>
    <n v="6924.6959999999999"/>
    <m/>
    <n v="6924.6959999999999"/>
    <n v="7617.1656000000003"/>
    <n v="12840"/>
    <m/>
    <n v="12840"/>
    <n v="-5915.3040000000001"/>
    <n v="-0.85423302337026785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MW417R000180-2MIR-25-STELLAR NPDL_MWR (A417)-Miranda"/>
    <s v="Miranda"/>
    <n v="37618.881999999998"/>
    <m/>
    <n v="37618.881999999998"/>
    <n v="41380.770199999999"/>
    <n v="34356"/>
    <m/>
    <n v="34356"/>
    <n v="3262.8819999999978"/>
    <n v="8.6735219829233573E-2"/>
    <m/>
    <m/>
    <m/>
    <s v="Kirsty Doyle"/>
    <s v="Direct Award"/>
    <m/>
    <m/>
    <m/>
    <m/>
  </r>
  <r>
    <x v="10"/>
    <s v="Sydney"/>
    <s v="Inv 13749"/>
    <d v="2018-06-14T00:00:00"/>
    <m/>
    <d v="2018-07-30T00:00:00"/>
    <m/>
    <m/>
    <m/>
    <d v="2018-06-14T00:00:00"/>
    <m/>
    <x v="9"/>
    <s v="Jun-18"/>
    <s v="MW417R000180-2MIR-25-STELLAR NPDL_MWR (A417)-Miranda, Mob Payment"/>
    <s v="Miranda"/>
    <n v="16122.378000000001"/>
    <m/>
    <n v="16122.378000000001"/>
    <n v="17734.615800000003"/>
    <n v="34356"/>
    <m/>
    <n v="34356"/>
    <n v="-18233.621999999999"/>
    <n v="-1.1309511537317882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CTH-20, Cresent Heads, Validation"/>
    <s v="Cresent Heads"/>
    <n v="15343.82"/>
    <m/>
    <n v="15343.82"/>
    <n v="16878.202000000001"/>
    <n v="9325.25"/>
    <m/>
    <n v="9325.25"/>
    <n v="6018.57"/>
    <n v="0.39224717182552976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DRG-20, Dorrigo Validation"/>
    <s v="Dorrigo "/>
    <n v="17958"/>
    <m/>
    <n v="17958"/>
    <n v="19753.800000000003"/>
    <n v="10256.5"/>
    <m/>
    <n v="10256.5"/>
    <n v="7701.5"/>
    <n v="0.42886178861788615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NDS-01, Nords Wharf, Validation"/>
    <s v="Nords Wharf"/>
    <n v="12067.14"/>
    <m/>
    <n v="12067.14"/>
    <n v="13273.854000000001"/>
    <n v="5136.5"/>
    <m/>
    <n v="5136.5"/>
    <n v="6930.6399999999994"/>
    <n v="0.57433990158397097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LCT-01, Lake Cathie, Validation"/>
    <s v="Lake Cathie"/>
    <n v="2694.7"/>
    <m/>
    <n v="2694.7"/>
    <n v="2964.17"/>
    <n v="1151"/>
    <m/>
    <n v="1151"/>
    <n v="1543.6999999999998"/>
    <n v="0.57286525401714472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ERP-20, Eastern Creek Validation"/>
    <s v="Eastern Creek"/>
    <n v="19905.239999999998"/>
    <m/>
    <n v="19905.239999999998"/>
    <n v="21895.763999999999"/>
    <n v="9452"/>
    <m/>
    <n v="9452"/>
    <n v="10453.239999999998"/>
    <n v="0.52515016146502125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BGI-20, Boggabri Validations"/>
    <s v="Boggabri"/>
    <n v="3067.05"/>
    <m/>
    <n v="3067.05"/>
    <n v="3373.7550000000006"/>
    <n v="1782.5"/>
    <m/>
    <n v="1782.5"/>
    <n v="1284.5500000000002"/>
    <n v="0.41882264716910389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WWA-20, Wee Waa Validation"/>
    <s v="Wee Waa"/>
    <n v="10375.619999999999"/>
    <m/>
    <n v="10375.619999999999"/>
    <n v="11413.182000000001"/>
    <n v="2088.5"/>
    <m/>
    <n v="2088.5"/>
    <n v="8287.119999999999"/>
    <n v="0.79871082402786531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MAN-20, Manilla Validation"/>
    <s v="Manilla"/>
    <n v="10375.619999999999"/>
    <m/>
    <n v="10375.619999999999"/>
    <n v="11413.182000000001"/>
    <n v="4926.5"/>
    <m/>
    <n v="4926.5"/>
    <n v="5449.119999999999"/>
    <n v="0.5251850009927117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WLH-20, Walcha Validation"/>
    <s v="Walcha"/>
    <n v="9022"/>
    <m/>
    <n v="9022"/>
    <n v="9924.2000000000007"/>
    <n v="2547.5"/>
    <m/>
    <n v="2547.5"/>
    <n v="6474.5"/>
    <n v="0.71763467080469967"/>
    <m/>
    <m/>
    <m/>
    <s v="Kirsty Doyle"/>
    <s v="Direct Award"/>
    <m/>
    <m/>
    <m/>
    <m/>
  </r>
  <r>
    <x v="10"/>
    <s v="Sydney"/>
    <m/>
    <m/>
    <m/>
    <d v="2018-07-30T00:00:00"/>
    <m/>
    <m/>
    <m/>
    <m/>
    <m/>
    <x v="9"/>
    <s v="Jan-00"/>
    <s v="2MIR-21, Miranda Valiadation"/>
    <s v="Miranda"/>
    <n v="6456.1"/>
    <m/>
    <n v="6456.1"/>
    <n v="7101.7100000000009"/>
    <m/>
    <m/>
    <n v="0"/>
    <n v="6456.1"/>
    <n v="1"/>
    <m/>
    <m/>
    <m/>
    <s v="Kirsty Doyle"/>
    <s v="Direct Award"/>
    <m/>
    <m/>
    <m/>
    <m/>
  </r>
  <r>
    <x v="2"/>
    <s v="Central West"/>
    <s v="Inv 13845"/>
    <d v="2018-07-06T00:00:00"/>
    <d v="2018-06-07T00:00:00"/>
    <d v="2018-06-07T00:00:00"/>
    <d v="2018-06-08T00:00:00"/>
    <d v="2018-07-02T00:00:00"/>
    <d v="2018-06-21T00:00:00"/>
    <d v="2018-07-10T00:00:00"/>
    <m/>
    <x v="14"/>
    <s v="Jul-18"/>
    <s v="MW22372-AYCA-4WVTLQ-2DBB-01-48 Southlakes Parade Dubbo"/>
    <s v="Dubbo"/>
    <n v="93.73"/>
    <n v="2506.9499999999998"/>
    <n v="2600.6799999999998"/>
    <n v="2860.748"/>
    <m/>
    <m/>
    <n v="0"/>
    <n v="2600.6799999999998"/>
    <n v="1"/>
    <m/>
    <m/>
    <m/>
    <s v="Mark Leal"/>
    <s v="Direct Award"/>
    <d v="2018-05-08T00:00:00"/>
    <m/>
    <d v="2018-08-01T00:00:00"/>
    <n v="85"/>
  </r>
  <r>
    <x v="2"/>
    <s v="Sydney"/>
    <s v="Inv 13635"/>
    <d v="2018-05-22T00:00:00"/>
    <d v="2018-05-23T00:00:00"/>
    <d v="2018-05-23T00:00:00"/>
    <d v="2018-05-31T00:00:00"/>
    <d v="2018-06-05T00:00:00"/>
    <d v="2018-06-05T00:00:00"/>
    <d v="2018-06-12T00:00:00"/>
    <m/>
    <x v="8"/>
    <s v="Jun-18"/>
    <s v="MW22345-AYCA-4R1HAL-2RIV-07-Crown, Edmund, William St-7 Riverstone"/>
    <s v="Riverstone"/>
    <n v="651.87"/>
    <n v="755.60000000000059"/>
    <n v="1407.4700000000007"/>
    <n v="1548.217000000001"/>
    <n v="384.84274999999991"/>
    <m/>
    <n v="384.84274999999991"/>
    <n v="1022.6272500000008"/>
    <n v="0.72657125906768905"/>
    <m/>
    <m/>
    <m/>
    <s v="Ertan Cicek"/>
    <s v="Direct Award"/>
    <d v="2018-05-09T00:00:00"/>
    <m/>
    <d v="2018-07-13T00:00:00"/>
    <n v="65"/>
  </r>
  <r>
    <x v="2"/>
    <s v="Sydney"/>
    <m/>
    <m/>
    <m/>
    <d v="2018-08-30T00:00:00"/>
    <m/>
    <m/>
    <m/>
    <m/>
    <m/>
    <x v="15"/>
    <s v="Jan-00"/>
    <s v="MW 22436 - AYCA-4SRFAN-2226 Roseberry St Balgowlah NSW EXT"/>
    <s v="Balgowlah"/>
    <n v="1928.04"/>
    <m/>
    <n v="1928.04"/>
    <n v="2120.8440000000001"/>
    <m/>
    <m/>
    <n v="0"/>
    <n v="1928.04"/>
    <n v="1"/>
    <m/>
    <m/>
    <m/>
    <s v="Ertan Cicek"/>
    <s v="Direct Award"/>
    <d v="2018-05-11T00:00:00"/>
    <m/>
    <d v="2018-07-25T00:00:00"/>
    <n v="75"/>
  </r>
  <r>
    <x v="2"/>
    <s v="Sydney"/>
    <m/>
    <m/>
    <m/>
    <d v="2018-07-30T00:00:00"/>
    <m/>
    <m/>
    <m/>
    <m/>
    <m/>
    <x v="9"/>
    <s v="Jan-00"/>
    <s v="MW22437-AYCA-4PIIN5-2RYD-66-101 Church St Ryde "/>
    <s v="Ryde"/>
    <n v="646.20000000000005"/>
    <m/>
    <n v="646.20000000000005"/>
    <n v="710.82000000000016"/>
    <m/>
    <m/>
    <n v="0"/>
    <n v="646.20000000000005"/>
    <n v="1"/>
    <m/>
    <m/>
    <m/>
    <s v="Ertan Cicek"/>
    <s v="Direct Award"/>
    <d v="2018-05-11T00:00:00"/>
    <m/>
    <d v="2018-06-26T00:00:00"/>
    <n v="46"/>
  </r>
  <r>
    <x v="2"/>
    <s v="Sydney"/>
    <s v="Inv 13717"/>
    <d v="2018-06-14T00:00:00"/>
    <d v="2018-05-24T00:00:00"/>
    <d v="2018-05-25T00:00:00"/>
    <d v="2018-05-24T00:00:00"/>
    <d v="2018-05-30T00:00:00"/>
    <d v="2018-06-05T00:00:00"/>
    <d v="2018-06-12T00:00:00"/>
    <m/>
    <x v="8"/>
    <s v="Jun-18"/>
    <s v="MW22366-AYCA-117I3H-2RIV-01-34 Station Street Schofields"/>
    <s v="Schofields"/>
    <n v="1073.74"/>
    <n v="14716.48"/>
    <n v="15790.22"/>
    <n v="17369.242000000002"/>
    <n v="11326.55"/>
    <m/>
    <n v="11326.55"/>
    <n v="4463.67"/>
    <n v="0.28268573838743222"/>
    <m/>
    <m/>
    <m/>
    <s v="Ertan Cicek"/>
    <s v="Direct Award"/>
    <d v="2018-05-14T00:00:00"/>
    <m/>
    <d v="2018-08-01T00:00:00"/>
    <n v="79"/>
  </r>
  <r>
    <x v="0"/>
    <s v="Central West"/>
    <m/>
    <m/>
    <m/>
    <d v="2018-07-30T00:00:00"/>
    <m/>
    <m/>
    <m/>
    <m/>
    <m/>
    <x v="9"/>
    <s v="Jan-00"/>
    <s v="MW22392-AYCA-53Y8BE-2WEL-01-2WEL-01-17 Nicholii St, Montefiores"/>
    <s v="Montefiores"/>
    <n v="7630.73"/>
    <m/>
    <n v="7630.73"/>
    <n v="8393.8029999999999"/>
    <m/>
    <m/>
    <n v="0"/>
    <n v="7630.73"/>
    <n v="1"/>
    <m/>
    <m/>
    <m/>
    <s v="Mark Leal"/>
    <s v="Direct Award"/>
    <d v="2018-05-14T00:00:00"/>
    <m/>
    <d v="2018-06-15T00:00:00"/>
    <n v="32"/>
  </r>
  <r>
    <x v="2"/>
    <s v="Central Coast"/>
    <m/>
    <m/>
    <m/>
    <d v="2018-07-30T00:00:00"/>
    <m/>
    <m/>
    <m/>
    <m/>
    <m/>
    <x v="9"/>
    <s v="Jan-00"/>
    <s v="MW22435-AYCA-5576QH-2TGL-02-3 Ghersi Ave Wambera"/>
    <s v="Wamberal"/>
    <n v="1596.49"/>
    <m/>
    <n v="1596.49"/>
    <n v="1756.1390000000001"/>
    <m/>
    <m/>
    <n v="0"/>
    <n v="1596.49"/>
    <n v="1"/>
    <m/>
    <m/>
    <m/>
    <s v="Ertan Cicek"/>
    <s v="Direct Award"/>
    <d v="2018-05-14T00:00:00"/>
    <m/>
    <d v="2018-05-26T00:00:00"/>
    <n v="12"/>
  </r>
  <r>
    <x v="2"/>
    <s v="Sydney"/>
    <s v="Inv 13716"/>
    <d v="2018-06-20T00:00:00"/>
    <d v="2018-05-31T00:00:00"/>
    <d v="2018-05-31T00:00:00"/>
    <d v="2018-05-31T00:00:00"/>
    <d v="2018-06-05T00:00:00"/>
    <d v="2018-06-14T00:00:00"/>
    <d v="2018-06-22T00:00:00"/>
    <m/>
    <x v="8"/>
    <s v="Jun-18"/>
    <s v="MW22454-AYCA-2CVKCU-2ROT-60-60 Wallgrove Rd Easter Creek "/>
    <s v="Eastern Creek"/>
    <n v="1556.8"/>
    <n v="1927.12"/>
    <n v="3483.92"/>
    <n v="3832.3120000000004"/>
    <n v="2361.42"/>
    <m/>
    <n v="2361.42"/>
    <n v="1122.5"/>
    <n v="0.32219453948425908"/>
    <m/>
    <m/>
    <m/>
    <s v="Ertan Cicek"/>
    <s v="Direct Award"/>
    <d v="2018-05-17T00:00:00"/>
    <m/>
    <d v="2018-07-31T00:00:00"/>
    <n v="75"/>
  </r>
  <r>
    <x v="0"/>
    <s v="Sth NSW"/>
    <m/>
    <m/>
    <m/>
    <d v="2018-07-30T00:00:00"/>
    <m/>
    <m/>
    <m/>
    <m/>
    <m/>
    <x v="9"/>
    <s v="Jan-00"/>
    <s v="MW22433-AYCA-4OJUJI-2GLB-04-20 Cathcart St Goulburn "/>
    <s v="Goulburn"/>
    <n v="4404.1400000000003"/>
    <m/>
    <n v="4404.1400000000003"/>
    <n v="4844.554000000001"/>
    <m/>
    <m/>
    <n v="0"/>
    <n v="4404.1400000000003"/>
    <n v="1"/>
    <m/>
    <m/>
    <m/>
    <s v="Sogand Mohtat"/>
    <d v="2018-05-15T00:00:00"/>
    <d v="2018-05-18T00:00:00"/>
    <n v="3"/>
    <d v="2018-06-20T00:00:00"/>
    <n v="33"/>
  </r>
  <r>
    <x v="2"/>
    <s v="Sydney"/>
    <m/>
    <m/>
    <m/>
    <d v="2018-08-30T00:00:00"/>
    <m/>
    <m/>
    <m/>
    <m/>
    <m/>
    <x v="15"/>
    <s v="Jan-00"/>
    <s v="MW417R000034-AYCA-44MH0G-2RYD-63-133-137 Bowden Street Meadowbank "/>
    <s v="Meadowbank"/>
    <n v="3333.98"/>
    <m/>
    <n v="3333.98"/>
    <n v="3667.3780000000002"/>
    <m/>
    <m/>
    <n v="0"/>
    <n v="3333.98"/>
    <n v="1"/>
    <m/>
    <m/>
    <m/>
    <s v="Ertan Cicek"/>
    <s v="Direct Award"/>
    <d v="2018-05-18T00:00:00"/>
    <m/>
    <d v="2018-08-01T00:00:00"/>
    <n v="75"/>
  </r>
  <r>
    <x v="2"/>
    <s v="Sydney"/>
    <s v="Inv 13506"/>
    <d v="2018-05-01T00:00:00"/>
    <d v="2018-05-21T00:00:00"/>
    <d v="2018-05-22T00:00:00"/>
    <d v="2018-05-22T00:00:00"/>
    <d v="2018-05-24T00:00:00"/>
    <d v="2018-05-31T00:00:00"/>
    <d v="2018-06-07T00:00:00"/>
    <m/>
    <x v="8"/>
    <s v="Jun-18"/>
    <s v="MW22390-AYCA-4EE89M-2RIV-04-15 Boundary Rd Box Hill"/>
    <s v="Box Hill"/>
    <n v="1635.31"/>
    <n v="845.60000000000559"/>
    <n v="2480.9100000000053"/>
    <n v="2729.0010000000061"/>
    <n v="976.93"/>
    <m/>
    <n v="976.93"/>
    <n v="1503.9800000000055"/>
    <n v="0.60622110435283916"/>
    <m/>
    <m/>
    <m/>
    <s v="Andrew Mahssy"/>
    <s v="Direct Award"/>
    <d v="2018-05-08T00:00:00"/>
    <m/>
    <d v="2018-08-02T00:00:00"/>
    <n v="86"/>
  </r>
  <r>
    <x v="2"/>
    <s v="Sydney"/>
    <m/>
    <m/>
    <m/>
    <d v="2018-08-30T00:00:00"/>
    <m/>
    <m/>
    <m/>
    <m/>
    <m/>
    <x v="15"/>
    <s v="Jan-00"/>
    <s v="MW417R000052-AYCA-44H3AU-2STL-65-13 Marshall Avenue St Leonards "/>
    <s v="St Leonards"/>
    <n v="1998.69"/>
    <m/>
    <n v="1998.69"/>
    <n v="2198.5590000000002"/>
    <m/>
    <m/>
    <n v="0"/>
    <n v="1998.69"/>
    <n v="1"/>
    <m/>
    <m/>
    <m/>
    <s v="Ertan Cicek"/>
    <s v="Direct Award"/>
    <d v="2018-05-21T00:00:00"/>
    <m/>
    <d v="2018-08-05T00:00:00"/>
    <n v="76"/>
  </r>
  <r>
    <x v="2"/>
    <s v="Sydney"/>
    <m/>
    <m/>
    <m/>
    <d v="2018-08-30T00:00:00"/>
    <m/>
    <m/>
    <m/>
    <m/>
    <m/>
    <x v="15"/>
    <s v="Jan-00"/>
    <s v="MW22474-AYCA-4UE5JN-2LID-03-46-48 Beaumont St "/>
    <s v="Lidcombe"/>
    <n v="1347.33"/>
    <m/>
    <n v="1347.33"/>
    <n v="1482.0630000000001"/>
    <m/>
    <m/>
    <n v="0"/>
    <n v="1347.33"/>
    <n v="1"/>
    <m/>
    <m/>
    <m/>
    <s v="Ertan Cicek"/>
    <s v="Direct Award"/>
    <d v="2018-05-21T00:00:00"/>
    <m/>
    <d v="2018-08-06T00:00:00"/>
    <n v="77"/>
  </r>
  <r>
    <x v="2"/>
    <s v="Sth Coast"/>
    <m/>
    <m/>
    <m/>
    <d v="2018-08-30T00:00:00"/>
    <m/>
    <m/>
    <m/>
    <m/>
    <m/>
    <x v="15"/>
    <s v="Jan-00"/>
    <s v="MW22501-AYCA-4W183C-2WLG-02-71 Auburn St Wollongong "/>
    <s v="Wollongong"/>
    <n v="1592.08"/>
    <m/>
    <n v="1592.08"/>
    <n v="1751.288"/>
    <m/>
    <m/>
    <n v="0"/>
    <n v="1592.08"/>
    <n v="1"/>
    <m/>
    <m/>
    <m/>
    <s v="Nabeel Jaimon"/>
    <s v="Direct Award"/>
    <d v="2018-05-22T00:00:00"/>
    <m/>
    <d v="2018-08-06T00:00:00"/>
    <n v="76"/>
  </r>
  <r>
    <x v="2"/>
    <s v="Sydney"/>
    <m/>
    <m/>
    <m/>
    <d v="2018-08-30T00:00:00"/>
    <m/>
    <m/>
    <m/>
    <m/>
    <m/>
    <x v="15"/>
    <s v="Jan-00"/>
    <s v="MW417R000049-AYCA-24QAXK-2ROC-03-10 Martin Avenue Arncliffe"/>
    <s v="Arncliffe"/>
    <n v="2655.28"/>
    <m/>
    <n v="2655.28"/>
    <n v="2920.8080000000004"/>
    <m/>
    <m/>
    <n v="0"/>
    <n v="2655.28"/>
    <n v="1"/>
    <m/>
    <m/>
    <m/>
    <s v="Ertan Cicek"/>
    <s v="Direct Award"/>
    <d v="2018-05-22T00:00:00"/>
    <m/>
    <d v="2018-08-06T00:00:00"/>
    <n v="76"/>
  </r>
  <r>
    <x v="2"/>
    <s v="Sydney"/>
    <m/>
    <m/>
    <m/>
    <d v="2018-08-30T00:00:00"/>
    <m/>
    <m/>
    <m/>
    <m/>
    <m/>
    <x v="15"/>
    <s v="Jan-00"/>
    <s v="MW417R000051-AYCA-55JW1J-2BOT-01-180 – 188 Maroubra Rd, Maroubra "/>
    <s v="Maroubra"/>
    <n v="1343.18"/>
    <m/>
    <n v="1343.18"/>
    <n v="1477.4980000000003"/>
    <n v="3524.25"/>
    <m/>
    <n v="3524.25"/>
    <n v="-2181.0699999999997"/>
    <n v="-1.6238106582885388"/>
    <m/>
    <m/>
    <m/>
    <s v="Ertan Cicek"/>
    <s v="Direct Award"/>
    <d v="2018-05-22T00:00:00"/>
    <m/>
    <d v="2018-08-01T00:00:00"/>
    <n v="71"/>
  </r>
  <r>
    <x v="2"/>
    <s v="Sydney"/>
    <m/>
    <m/>
    <d v="2018-06-29T00:00:00"/>
    <d v="2018-06-29T00:00:00"/>
    <d v="2018-07-02T00:00:00"/>
    <m/>
    <d v="2018-07-13T00:00:00"/>
    <d v="2018-07-27T00:00:00"/>
    <m/>
    <x v="14"/>
    <s v="Jul-18"/>
    <s v="MW22526-AYCA-4T7JU2-2MIR-25-13 Dudley Avenue Caringbah South "/>
    <s v="Carringbah"/>
    <n v="1804.33"/>
    <n v="12670.33"/>
    <n v="14474.66"/>
    <n v="15922.126000000002"/>
    <n v="3866.63"/>
    <m/>
    <n v="3866.63"/>
    <n v="10608.029999999999"/>
    <n v="0.73286902766628015"/>
    <m/>
    <m/>
    <m/>
    <s v="Ertan Cicek"/>
    <s v="Direct Award"/>
    <d v="2018-05-24T00:00:00"/>
    <m/>
    <d v="2018-05-30T00:00:00"/>
    <n v="6"/>
  </r>
  <r>
    <x v="2"/>
    <s v="Sydney"/>
    <m/>
    <m/>
    <m/>
    <d v="2018-07-30T00:00:00"/>
    <m/>
    <m/>
    <m/>
    <m/>
    <m/>
    <x v="9"/>
    <s v="Jan-00"/>
    <s v="MW22531-AYCA-413Z64-2PAR-64-2B Darcy Rd Westmead "/>
    <s v="Westmead"/>
    <n v="1987.42"/>
    <m/>
    <n v="1987.42"/>
    <n v="2186.1620000000003"/>
    <m/>
    <m/>
    <n v="0"/>
    <n v="1987.42"/>
    <n v="1"/>
    <m/>
    <m/>
    <m/>
    <s v="Ertan Cicek"/>
    <s v="Direct Award"/>
    <d v="2018-05-25T00:00:00"/>
    <m/>
    <d v="2018-06-15T00:00:00"/>
    <n v="21"/>
  </r>
  <r>
    <x v="2"/>
    <s v="Sth Coast"/>
    <m/>
    <m/>
    <d v="2018-06-19T00:00:00"/>
    <d v="2018-06-19T00:00:00"/>
    <d v="2018-07-02T00:00:00"/>
    <d v="2018-07-04T00:00:00"/>
    <d v="2018-07-03T00:00:00"/>
    <d v="2018-07-17T00:00:00"/>
    <m/>
    <x v="14"/>
    <s v="Jul-18"/>
    <s v="MW22420 - AYCA-4RFDRV - 2KIA-03 - 58 Old Saddleback Road Kiama"/>
    <s v="Kiama"/>
    <n v="11050.52"/>
    <n v="9243.7120000000159"/>
    <n v="20294.232000000018"/>
    <n v="22323.655200000023"/>
    <n v="5530.26"/>
    <n v="3905.8592500000004"/>
    <n v="9436.1192499999997"/>
    <n v="10858.112750000018"/>
    <n v="0.53503442505239951"/>
    <m/>
    <m/>
    <m/>
    <s v="Andrew Mahassy"/>
    <s v="Direct Award"/>
    <d v="2018-05-11T00:00:00"/>
    <m/>
    <d v="2018-05-23T00:00:00"/>
    <n v="12"/>
  </r>
  <r>
    <x v="2"/>
    <s v="Sydney"/>
    <m/>
    <m/>
    <m/>
    <d v="2018-08-30T00:00:00"/>
    <m/>
    <m/>
    <m/>
    <m/>
    <m/>
    <x v="15"/>
    <s v="Jan-00"/>
    <s v="MW22470-AYCA-2XJBL7-2SIL-02-3 Olympic Blvd Sydney Olympic Park"/>
    <s v="Olympic Park"/>
    <n v="5102.55"/>
    <m/>
    <n v="5102.55"/>
    <n v="5612.8050000000003"/>
    <m/>
    <m/>
    <n v="0"/>
    <n v="5102.55"/>
    <n v="1"/>
    <m/>
    <m/>
    <m/>
    <s v="Ertan Cicek"/>
    <s v="Direct Award"/>
    <d v="2018-05-28T00:00:00"/>
    <m/>
    <d v="2018-08-05T00:00:00"/>
    <n v="69"/>
  </r>
  <r>
    <x v="0"/>
    <s v="Sydney"/>
    <s v="Inv 13751"/>
    <d v="2018-06-20T00:00:00"/>
    <d v="2018-05-29T00:00:00"/>
    <d v="2018-05-29T00:00:00"/>
    <d v="2018-05-31T00:00:00"/>
    <d v="2018-06-05T00:00:00"/>
    <d v="2018-06-14T00:00:00"/>
    <d v="2018-06-28T00:00:00"/>
    <m/>
    <x v="8"/>
    <s v="Jun-18"/>
    <s v="MW22478 - AYCA-501QN5 - 2CAS-23 - 30 Pentonville Parade, Castle Hill "/>
    <s v="Castle Hill"/>
    <n v="2549.4500000000003"/>
    <n v="1147.33"/>
    <n v="3696.78"/>
    <n v="4066.4580000000005"/>
    <n v="1826.69"/>
    <m/>
    <n v="1826.69"/>
    <n v="1870.0900000000001"/>
    <n v="0.50586997332813965"/>
    <m/>
    <m/>
    <m/>
    <s v="Dave Yoemans"/>
    <d v="2018-05-22T00:00:00"/>
    <d v="2018-05-30T00:00:00"/>
    <m/>
    <d v="2018-07-30T00:00:00"/>
    <n v="61"/>
  </r>
  <r>
    <x v="2"/>
    <s v="Newcastle"/>
    <m/>
    <m/>
    <m/>
    <m/>
    <m/>
    <m/>
    <m/>
    <m/>
    <m/>
    <x v="17"/>
    <m/>
    <s v="AYCA-54QQ6Y_48 KALAROO RD REDHEAD"/>
    <s v="Redhead"/>
    <m/>
    <m/>
    <m/>
    <m/>
    <m/>
    <m/>
    <m/>
    <m/>
    <m/>
    <m/>
    <m/>
    <m/>
    <m/>
    <m/>
    <m/>
    <m/>
    <m/>
    <m/>
  </r>
  <r>
    <x v="2"/>
    <s v="Sydney"/>
    <m/>
    <m/>
    <m/>
    <d v="2018-10-30T00:00:00"/>
    <m/>
    <m/>
    <m/>
    <m/>
    <m/>
    <x v="18"/>
    <s v="Jan-00"/>
    <s v="MW22548-AYCA-48V6NM-2PTH-05-Lord Sheffield Circuit Penrith"/>
    <s v="Penrith"/>
    <n v="6541.61"/>
    <m/>
    <n v="6541.61"/>
    <n v="7195.7710000000006"/>
    <m/>
    <m/>
    <n v="0"/>
    <n v="6541.61"/>
    <n v="1"/>
    <m/>
    <m/>
    <m/>
    <s v="Ertan Cicek"/>
    <s v="Direct Award"/>
    <d v="2018-05-30T00:00:00"/>
    <m/>
    <d v="2018-09-13T00:00:00"/>
    <n v="106"/>
  </r>
  <r>
    <x v="2"/>
    <s v="Sydney"/>
    <m/>
    <m/>
    <m/>
    <d v="2018-09-30T00:00:00"/>
    <m/>
    <m/>
    <m/>
    <m/>
    <m/>
    <x v="19"/>
    <s v="Jan-00"/>
    <s v="MW22505-2KNS-03-AYCA-4KBL5R-14-18 Primrose Ave &amp; 27-29 Roseberry Ave Rosberry "/>
    <s v="Rosberry"/>
    <n v="1091.81"/>
    <m/>
    <n v="1091.81"/>
    <n v="1200.991"/>
    <m/>
    <m/>
    <n v="0"/>
    <n v="1091.81"/>
    <n v="1"/>
    <m/>
    <m/>
    <m/>
    <s v="Ertan Cicek"/>
    <s v="Direct Award"/>
    <d v="2018-05-30T00:00:00"/>
    <m/>
    <d v="2018-08-18T00:00:00"/>
    <n v="80"/>
  </r>
  <r>
    <x v="2"/>
    <s v="Sydney"/>
    <m/>
    <m/>
    <m/>
    <d v="2018-10-30T00:00:00"/>
    <m/>
    <m/>
    <m/>
    <m/>
    <m/>
    <x v="18"/>
    <s v="Jan-00"/>
    <s v="MW417R000243-AYCA-56I886-2ASH-64-47 Cecil St, Ashfield"/>
    <s v="Ashfield"/>
    <n v="2864.22"/>
    <m/>
    <n v="2864.22"/>
    <n v="3150.6419999999998"/>
    <m/>
    <m/>
    <n v="0"/>
    <n v="2864.22"/>
    <n v="1"/>
    <m/>
    <m/>
    <m/>
    <s v="Ertan Cicek"/>
    <s v="Direct Award"/>
    <d v="2018-06-13T00:00:00"/>
    <m/>
    <d v="2018-09-28T00:00:00"/>
    <n v="107"/>
  </r>
  <r>
    <x v="2"/>
    <s v="Sydney"/>
    <m/>
    <m/>
    <m/>
    <d v="2018-08-30T00:00:00"/>
    <m/>
    <m/>
    <m/>
    <m/>
    <m/>
    <x v="15"/>
    <s v="Jan-00"/>
    <s v="MW22513 - AYCA-4JW63S - 2CRO-21 - 25-29 Tonkin St Cronulla"/>
    <s v="Cronulla"/>
    <n v="4221.51"/>
    <m/>
    <n v="4221.51"/>
    <n v="4643.661000000001"/>
    <m/>
    <m/>
    <n v="0"/>
    <n v="4221.51"/>
    <n v="1"/>
    <m/>
    <m/>
    <m/>
    <s v="Ertan Cicek"/>
    <s v="Direct Award"/>
    <d v="2018-05-29T00:00:00"/>
    <m/>
    <d v="2018-07-29T00:00:00"/>
    <n v="61"/>
  </r>
  <r>
    <x v="0"/>
    <s v="Nth Coast"/>
    <m/>
    <m/>
    <m/>
    <d v="2018-07-30T00:00:00"/>
    <m/>
    <m/>
    <m/>
    <m/>
    <m/>
    <x v="9"/>
    <s v="Jan-00"/>
    <s v="MW22483-AYCA-4IEHVB-2CAH-21-Bottlebrush Place, Lakewood"/>
    <s v="Lakewood"/>
    <n v="3000"/>
    <m/>
    <n v="3000"/>
    <n v="3300.0000000000005"/>
    <m/>
    <m/>
    <n v="0"/>
    <n v="3000"/>
    <n v="1"/>
    <m/>
    <m/>
    <m/>
    <s v="Mark Leal"/>
    <d v="2018-05-21T00:00:00"/>
    <d v="2018-05-29T00:00:00"/>
    <n v="8"/>
    <d v="2018-06-29T00:00:00"/>
    <n v="31"/>
  </r>
  <r>
    <x v="2"/>
    <s v="Sydney"/>
    <m/>
    <m/>
    <m/>
    <d v="2018-09-30T00:00:00"/>
    <m/>
    <m/>
    <m/>
    <m/>
    <m/>
    <x v="19"/>
    <s v="Jan-00"/>
    <s v="MW22520-AYCA-48OYT0-2EDG-65-240 New South Head Road Edgecliff "/>
    <s v="Edgecliffe"/>
    <n v="1411.72"/>
    <m/>
    <n v="1411.72"/>
    <n v="1552.8920000000001"/>
    <m/>
    <m/>
    <n v="0"/>
    <n v="1411.72"/>
    <n v="1"/>
    <m/>
    <m/>
    <m/>
    <s v="Ertan Cicek"/>
    <s v="Direct Award"/>
    <d v="2018-05-30T00:00:00"/>
    <m/>
    <d v="2018-09-05T00:00:00"/>
    <n v="98"/>
  </r>
  <r>
    <x v="2"/>
    <s v="Central West"/>
    <m/>
    <m/>
    <m/>
    <d v="2018-09-30T00:00:00"/>
    <m/>
    <m/>
    <m/>
    <m/>
    <m/>
    <x v="19"/>
    <s v="Jan-00"/>
    <s v="MW22575-AYCA-4LHC6F-2DBB-01-30 Ritz Pl Dubbo"/>
    <s v="Dubbo"/>
    <n v="4042.34"/>
    <m/>
    <n v="4042.34"/>
    <n v="4446.5740000000005"/>
    <m/>
    <m/>
    <n v="0"/>
    <n v="4042.34"/>
    <n v="1"/>
    <m/>
    <m/>
    <m/>
    <s v="Ertan Cicek"/>
    <s v="Direct Award"/>
    <d v="2018-05-30T00:00:00"/>
    <m/>
    <d v="2018-08-23T00:00:00"/>
    <n v="85"/>
  </r>
  <r>
    <x v="2"/>
    <s v="Sydney"/>
    <m/>
    <m/>
    <m/>
    <d v="2018-09-30T00:00:00"/>
    <m/>
    <m/>
    <m/>
    <m/>
    <m/>
    <x v="19"/>
    <s v="Jan-00"/>
    <s v="MW22532-AYCA-55KUFO-2MIR-22-31 Bay Road Taren Point "/>
    <s v="Taren Point"/>
    <n v="2382.0700000000002"/>
    <m/>
    <n v="2382.0700000000002"/>
    <n v="2620.2770000000005"/>
    <m/>
    <m/>
    <n v="0"/>
    <n v="2382.0700000000002"/>
    <n v="1"/>
    <m/>
    <m/>
    <m/>
    <s v="Ertan Cicek"/>
    <s v="Direct Award"/>
    <d v="2018-05-30T00:00:00"/>
    <m/>
    <d v="2018-08-29T00:00:00"/>
    <n v="91"/>
  </r>
  <r>
    <x v="2"/>
    <s v="Sydney"/>
    <m/>
    <m/>
    <m/>
    <d v="2018-09-30T00:00:00"/>
    <m/>
    <m/>
    <m/>
    <m/>
    <m/>
    <x v="19"/>
    <s v="Jan-00"/>
    <s v="MW22574 - AYCA-4BBYMK - 2ROU-01 - 184 &amp; 186 Old Pitt Town Rd Box Hill"/>
    <s v="Box Hill"/>
    <n v="3453.15"/>
    <m/>
    <n v="3453.15"/>
    <n v="3798.4650000000006"/>
    <m/>
    <m/>
    <n v="0"/>
    <n v="3453.15"/>
    <n v="1"/>
    <m/>
    <m/>
    <m/>
    <s v="Ertan Cicek"/>
    <s v="Direct Award"/>
    <d v="2018-05-30T00:00:00"/>
    <m/>
    <d v="2018-08-23T00:00:00"/>
    <n v="85"/>
  </r>
  <r>
    <x v="2"/>
    <s v="Central West"/>
    <m/>
    <m/>
    <m/>
    <d v="2018-09-30T00:00:00"/>
    <m/>
    <m/>
    <m/>
    <m/>
    <m/>
    <x v="19"/>
    <s v="Jan-00"/>
    <s v="MW22547-AYCA-547JTQ-2DBB-04-1D Rawson St Dubbo "/>
    <s v="Dubbo"/>
    <n v="1056.4000000000001"/>
    <m/>
    <n v="1056.4000000000001"/>
    <n v="1162.0400000000002"/>
    <m/>
    <m/>
    <n v="0"/>
    <n v="1056.4000000000001"/>
    <n v="1"/>
    <m/>
    <m/>
    <m/>
    <s v="Ertan Cicek"/>
    <s v="Direct Award"/>
    <d v="2018-05-31T00:00:00"/>
    <m/>
    <d v="2018-08-22T00:00:00"/>
    <n v="83"/>
  </r>
  <r>
    <x v="2"/>
    <s v="Sydney"/>
    <m/>
    <m/>
    <m/>
    <d v="2018-09-30T00:00:00"/>
    <m/>
    <m/>
    <m/>
    <m/>
    <m/>
    <x v="19"/>
    <s v="Jan-00"/>
    <s v="MW22579-AYCA-4R1C1M-2RIV-07-William St Riverstone"/>
    <s v="Riverstone"/>
    <n v="923.71"/>
    <m/>
    <n v="923.71"/>
    <n v="1016.0810000000001"/>
    <m/>
    <m/>
    <n v="0"/>
    <n v="923.71"/>
    <n v="1"/>
    <m/>
    <m/>
    <m/>
    <s v="Ertan Cicek"/>
    <s v="Direct Award"/>
    <d v="2018-06-01T00:00:00"/>
    <m/>
    <d v="2018-08-23T00:00:00"/>
    <n v="83"/>
  </r>
  <r>
    <x v="2"/>
    <s v="Central West"/>
    <m/>
    <m/>
    <m/>
    <d v="2018-09-30T00:00:00"/>
    <m/>
    <m/>
    <m/>
    <m/>
    <m/>
    <x v="19"/>
    <s v="Jan-00"/>
    <s v="MW22580-AYCA-52S52D-2BTH-01-18 Hobson Cl Eglinton"/>
    <s v="Eglinton"/>
    <n v="2924.92"/>
    <m/>
    <n v="2924.92"/>
    <n v="3217.4120000000003"/>
    <m/>
    <m/>
    <n v="0"/>
    <n v="2924.92"/>
    <n v="1"/>
    <m/>
    <m/>
    <m/>
    <s v="Ertan Cicek"/>
    <s v="Direct Award"/>
    <d v="2018-06-01T00:00:00"/>
    <m/>
    <d v="2018-08-24T00:00:00"/>
    <n v="84"/>
  </r>
  <r>
    <x v="2"/>
    <s v="Sydney"/>
    <m/>
    <m/>
    <m/>
    <d v="2018-08-30T00:00:00"/>
    <m/>
    <m/>
    <m/>
    <m/>
    <m/>
    <x v="15"/>
    <s v="Jan-00"/>
    <s v="MW417R000099-AYCA-577BDS-2BLK-07-36 Huntingwood Drive Huntingwood"/>
    <s v="Huntingwood"/>
    <n v="856.8"/>
    <m/>
    <n v="856.8"/>
    <n v="942.48"/>
    <m/>
    <m/>
    <n v="0"/>
    <n v="856.8"/>
    <n v="1"/>
    <m/>
    <m/>
    <m/>
    <s v="Nabeel Jaimon"/>
    <s v="Direct Award"/>
    <d v="2018-06-01T00:00:00"/>
    <m/>
    <d v="2018-08-08T00:00:00"/>
    <n v="68"/>
  </r>
  <r>
    <x v="0"/>
    <s v="Sth NSW"/>
    <m/>
    <m/>
    <d v="2018-06-18T00:00:00"/>
    <d v="2018-06-30T00:00:00"/>
    <m/>
    <m/>
    <d v="2018-07-02T00:00:00"/>
    <m/>
    <m/>
    <x v="14"/>
    <s v="Jan-00"/>
    <s v="MW22493 - AYCA-4VG4KY - 2LTO-20 -  23-25 Chelmsford Place Leeton"/>
    <s v="Leeton"/>
    <n v="4293.8739999999998"/>
    <m/>
    <n v="4293.8739999999998"/>
    <n v="4723.2614000000003"/>
    <m/>
    <m/>
    <n v="0"/>
    <n v="4293.8739999999998"/>
    <n v="1"/>
    <m/>
    <m/>
    <m/>
    <s v="Dave Yoemans"/>
    <m/>
    <m/>
    <m/>
    <m/>
    <n v="0"/>
  </r>
  <r>
    <x v="2"/>
    <s v="Sydney"/>
    <m/>
    <m/>
    <m/>
    <d v="2018-07-30T00:00:00"/>
    <m/>
    <m/>
    <m/>
    <m/>
    <m/>
    <x v="9"/>
    <s v="Jan-00"/>
    <s v="MW417R000065- AYCA-59DV6W-2CRR-72-Nelson St, Fairfield"/>
    <s v="Fairfield"/>
    <n v="1156.75"/>
    <m/>
    <n v="1156.75"/>
    <n v="1272.4250000000002"/>
    <n v="1502.68"/>
    <m/>
    <n v="1502.68"/>
    <n v="-345.93000000000006"/>
    <n v="-0.29905338232115847"/>
    <m/>
    <m/>
    <m/>
    <s v="Ertan Cicek"/>
    <s v="Direct Award"/>
    <d v="2018-06-05T00:00:00"/>
    <m/>
    <d v="2018-06-28T00:00:00"/>
    <n v="23"/>
  </r>
  <r>
    <x v="2"/>
    <s v="Newcastle"/>
    <m/>
    <m/>
    <m/>
    <d v="2018-09-30T00:00:00"/>
    <m/>
    <m/>
    <m/>
    <m/>
    <m/>
    <x v="19"/>
    <s v="Jan-00"/>
    <s v="MW417R000077-AYCA-5A2Y34-2MAI-03-100 George St East Maitland "/>
    <s v="East Maitland"/>
    <n v="926.02"/>
    <m/>
    <n v="926.02"/>
    <n v="1018.6220000000001"/>
    <m/>
    <m/>
    <n v="0"/>
    <n v="926.02"/>
    <n v="1"/>
    <m/>
    <m/>
    <m/>
    <s v="Ertan Cicek"/>
    <s v="Direct Award"/>
    <d v="2018-06-05T00:00:00"/>
    <m/>
    <d v="2018-08-29T00:00:00"/>
    <n v="85"/>
  </r>
  <r>
    <x v="0"/>
    <s v="ACT"/>
    <m/>
    <m/>
    <d v="2018-07-03T00:00:00"/>
    <d v="2018-07-30T00:00:00"/>
    <m/>
    <m/>
    <m/>
    <m/>
    <m/>
    <x v="9"/>
    <s v="Jan-00"/>
    <s v="AYCA‐52JYBU NBN Tech Choice 7 Buggy Crescent McKellar"/>
    <s v="Mckellar"/>
    <n v="20864.64"/>
    <m/>
    <n v="20864.64"/>
    <n v="22951.104000000003"/>
    <n v="5714.37"/>
    <m/>
    <n v="5714.37"/>
    <n v="15150.27"/>
    <n v="0.72612180224532996"/>
    <m/>
    <m/>
    <m/>
    <s v="Dave Yoemans"/>
    <m/>
    <m/>
    <m/>
    <m/>
    <m/>
  </r>
  <r>
    <x v="2"/>
    <s v="Sydney"/>
    <m/>
    <m/>
    <d v="2018-07-05T00:00:00"/>
    <d v="2018-07-05T00:00:00"/>
    <m/>
    <m/>
    <d v="2018-07-19T00:00:00"/>
    <d v="2018-11-10T00:00:00"/>
    <m/>
    <x v="9"/>
    <s v="Nov-18"/>
    <s v="MW417R000070-AYCA-52UC2N-2WRO-63-Beech Rd Casula "/>
    <s v="Casula"/>
    <n v="19385.47"/>
    <m/>
    <n v="19385.47"/>
    <n v="21324.017000000003"/>
    <n v="7183.72"/>
    <m/>
    <n v="7183.72"/>
    <n v="12201.75"/>
    <n v="0.62942760737810322"/>
    <m/>
    <m/>
    <m/>
    <s v="Ertan Cicek"/>
    <s v="Direct Award"/>
    <d v="2018-06-07T00:00:00"/>
    <m/>
    <d v="2018-08-29T00:00:00"/>
    <n v="83"/>
  </r>
  <r>
    <x v="2"/>
    <s v="Sydney"/>
    <m/>
    <m/>
    <d v="2018-06-22T00:00:00"/>
    <d v="2018-06-22T00:00:00"/>
    <d v="2018-06-25T00:00:00"/>
    <m/>
    <d v="2018-07-06T00:00:00"/>
    <d v="2018-07-20T00:00:00"/>
    <m/>
    <x v="14"/>
    <s v="Jul-18"/>
    <s v="MW417R000124-AYCA-58BKNK-2RYD-66-2-6 Junction St Ryde"/>
    <s v="Ryde"/>
    <n v="1064.32"/>
    <n v="5366.5890000000036"/>
    <n v="6430.9090000000033"/>
    <n v="7073.9999000000043"/>
    <n v="1932.82"/>
    <m/>
    <n v="1932.82"/>
    <n v="4498.0890000000036"/>
    <n v="0.69944839835239481"/>
    <m/>
    <m/>
    <m/>
    <s v="Ertan Cicek"/>
    <s v="Direct Award"/>
    <d v="2018-06-06T00:00:00"/>
    <m/>
    <d v="2018-08-30T00:00:00"/>
    <n v="85"/>
  </r>
  <r>
    <x v="2"/>
    <s v="Sydney"/>
    <m/>
    <m/>
    <d v="2018-06-18T00:00:00"/>
    <d v="2018-06-19T00:00:00"/>
    <d v="2018-06-27T00:00:00"/>
    <m/>
    <d v="2018-07-03T00:00:00"/>
    <d v="2018-07-17T00:00:00"/>
    <m/>
    <x v="14"/>
    <s v="Jul-18"/>
    <s v="MW417R000098-AYCA-4TC0MT-2QUA-65-50 Farnham Rd, Quakers Hill"/>
    <s v="Quakers Hill"/>
    <n v="8779.84"/>
    <n v="16441.630000000008"/>
    <n v="25221.470000000008"/>
    <n v="27743.617000000013"/>
    <n v="17562.260000000002"/>
    <m/>
    <n v="17562.260000000002"/>
    <n v="7659.2100000000064"/>
    <n v="0.30367817577643191"/>
    <m/>
    <m/>
    <m/>
    <s v="Ertan Cicek"/>
    <s v="Direct Award"/>
    <d v="2018-06-08T00:00:00"/>
    <m/>
    <d v="2018-08-30T00:00:00"/>
    <n v="83"/>
  </r>
  <r>
    <x v="2"/>
    <s v="Sydney"/>
    <m/>
    <m/>
    <m/>
    <d v="2018-09-30T00:00:00"/>
    <m/>
    <m/>
    <m/>
    <m/>
    <m/>
    <x v="19"/>
    <s v="Jan-00"/>
    <s v="MW417R000132-AYCA-4L3R6E-2MIR-26-4-6 Ventura Ave Miranda"/>
    <s v="Miranda"/>
    <n v="5800.56"/>
    <m/>
    <n v="5800.56"/>
    <n v="6380.6160000000009"/>
    <m/>
    <m/>
    <n v="0"/>
    <n v="5800.56"/>
    <n v="1"/>
    <m/>
    <m/>
    <m/>
    <s v="Ertan Cicek"/>
    <s v="Direct Award"/>
    <d v="2018-06-07T00:00:00"/>
    <m/>
    <d v="2018-08-31T00:00:00"/>
    <n v="85"/>
  </r>
  <r>
    <x v="2"/>
    <s v="Sydney"/>
    <m/>
    <m/>
    <m/>
    <d v="2018-09-30T00:00:00"/>
    <m/>
    <m/>
    <m/>
    <m/>
    <m/>
    <x v="19"/>
    <s v="Jan-00"/>
    <s v="MW417R000139-AYCA-4IIZWC-2STL-60-22-28 Albany St St Leonards "/>
    <s v="St.Leonards"/>
    <n v="781.39"/>
    <m/>
    <n v="781.39"/>
    <n v="859.52900000000011"/>
    <m/>
    <m/>
    <n v="0"/>
    <n v="781.39"/>
    <n v="1"/>
    <m/>
    <m/>
    <m/>
    <s v="Ertan Cicek"/>
    <s v="Direct Award"/>
    <d v="2018-06-07T00:00:00"/>
    <m/>
    <m/>
    <m/>
  </r>
  <r>
    <x v="2"/>
    <s v="ACT"/>
    <m/>
    <m/>
    <m/>
    <d v="2018-09-30T00:00:00"/>
    <m/>
    <m/>
    <m/>
    <m/>
    <m/>
    <x v="19"/>
    <s v="Jan-00"/>
    <s v="MW417R000123-AYCA-523PM8-9MNK-01-8 Beaconsfield St Fyshwick ACT "/>
    <s v="Fyshwick"/>
    <n v="6863.96"/>
    <m/>
    <n v="6863.96"/>
    <n v="7550.3560000000007"/>
    <m/>
    <m/>
    <n v="0"/>
    <n v="6863.96"/>
    <n v="1"/>
    <m/>
    <m/>
    <m/>
    <s v="Ertan Cicek"/>
    <s v="Direct Award"/>
    <d v="2018-06-07T00:00:00"/>
    <m/>
    <d v="2018-08-30T00:00:00"/>
    <n v="84"/>
  </r>
  <r>
    <x v="2"/>
    <s v="Sydney"/>
    <m/>
    <m/>
    <m/>
    <d v="2018-09-30T00:00:00"/>
    <m/>
    <m/>
    <m/>
    <m/>
    <m/>
    <x v="19"/>
    <s v="Jan-00"/>
    <s v="MW417R000161-AYCA-3D0J11-2ROC-02-15-21 Willis St Wolli Creek "/>
    <s v="Wolli Creek"/>
    <n v="1641.98"/>
    <m/>
    <n v="1641.98"/>
    <n v="1806.1780000000001"/>
    <m/>
    <m/>
    <n v="0"/>
    <n v="1641.98"/>
    <n v="1"/>
    <m/>
    <m/>
    <m/>
    <s v="Ertan Cicek"/>
    <s v="Direct Award"/>
    <d v="2018-06-08T00:00:00"/>
    <m/>
    <d v="2018-08-31T00:00:00"/>
    <n v="84"/>
  </r>
  <r>
    <x v="2"/>
    <s v="Sydney"/>
    <m/>
    <m/>
    <d v="2018-07-06T00:00:00"/>
    <d v="2018-07-06T00:00:00"/>
    <d v="2018-07-09T00:00:00"/>
    <m/>
    <d v="2018-07-20T00:00:00"/>
    <d v="2018-08-03T00:00:00"/>
    <m/>
    <x v="9"/>
    <s v="Aug-18"/>
    <s v="MW417R000222-AYCA-4VFYJV-2BAN-64-27-37 Percy St, Bankstown"/>
    <s v="Bankstown"/>
    <n v="4388.9399999999996"/>
    <n v="14761.990000000002"/>
    <n v="19150.93"/>
    <n v="21066.023000000001"/>
    <n v="9921.16"/>
    <m/>
    <n v="9921.16"/>
    <n v="9229.77"/>
    <n v="0.48194891840761783"/>
    <m/>
    <m/>
    <m/>
    <s v="Ertan Cicek"/>
    <s v="Direct Award"/>
    <d v="2018-06-08T00:00:00"/>
    <m/>
    <d v="2018-09-29T00:00:00"/>
    <n v="113"/>
  </r>
  <r>
    <x v="2"/>
    <s v="Sydney"/>
    <m/>
    <m/>
    <m/>
    <d v="2018-09-30T00:00:00"/>
    <m/>
    <m/>
    <m/>
    <m/>
    <m/>
    <x v="19"/>
    <s v="Jan-00"/>
    <s v="MW417R000129-AYCA-4CG9U4-2KNS-04-29-31 Dunning Avenue Rosebery "/>
    <s v="Roseberry"/>
    <n v="1263"/>
    <m/>
    <n v="1263"/>
    <n v="1389.3000000000002"/>
    <m/>
    <m/>
    <n v="0"/>
    <n v="1263"/>
    <n v="1"/>
    <m/>
    <m/>
    <m/>
    <s v="Ertan Cicek"/>
    <s v="Direct Award"/>
    <d v="2018-06-11T00:00:00"/>
    <m/>
    <d v="2018-08-30T00:00:00"/>
    <n v="80"/>
  </r>
  <r>
    <x v="2"/>
    <s v="Sydney"/>
    <m/>
    <m/>
    <m/>
    <d v="2018-09-30T00:00:00"/>
    <m/>
    <m/>
    <m/>
    <m/>
    <m/>
    <x v="19"/>
    <s v="Jan-00"/>
    <s v="MW417R000091-AYCA-57S6JD-2REV-20-50/42 Violet St Revesby "/>
    <s v="Revesby"/>
    <n v="2570.5300000000002"/>
    <m/>
    <n v="2570.5300000000002"/>
    <n v="2827.5830000000005"/>
    <m/>
    <n v="380.18274999999994"/>
    <n v="380.18274999999994"/>
    <n v="2190.3472500000003"/>
    <n v="0.85209946975915474"/>
    <m/>
    <m/>
    <m/>
    <s v="Ertan Cicek"/>
    <s v="Direct Award"/>
    <d v="2018-06-08T00:00:00"/>
    <m/>
    <d v="2018-08-29T00:00:00"/>
    <n v="82"/>
  </r>
  <r>
    <x v="2"/>
    <s v="Sydney"/>
    <m/>
    <m/>
    <d v="2018-06-15T00:00:00"/>
    <d v="2018-06-15T00:00:00"/>
    <d v="2018-06-15T00:00:00"/>
    <d v="2018-06-20T00:00:00"/>
    <d v="2018-06-29T00:00:00"/>
    <d v="2018-07-13T00:00:00"/>
    <m/>
    <x v="14"/>
    <s v="Jul-18"/>
    <s v="MW417R000217-AYCA-5ENHJH-2MIL-01-Browning and Colenso Cct Edmondson Park"/>
    <s v="Edmondson Park"/>
    <n v="2924.92"/>
    <n v="-2087.42"/>
    <n v="837.5"/>
    <n v="921.25000000000011"/>
    <m/>
    <m/>
    <n v="0"/>
    <n v="837.5"/>
    <n v="1"/>
    <m/>
    <m/>
    <m/>
    <s v="Ertan Cicek"/>
    <s v="Direct Award"/>
    <d v="2018-06-08T00:00:00"/>
    <m/>
    <d v="2018-09-04T00:00:00"/>
    <n v="88"/>
  </r>
  <r>
    <x v="2"/>
    <s v="Sydney"/>
    <m/>
    <m/>
    <m/>
    <d v="2018-09-30T00:00:00"/>
    <m/>
    <m/>
    <m/>
    <m/>
    <m/>
    <x v="19"/>
    <s v="Jan-00"/>
    <s v="MW417R000157-2PAR-63-AYCA-4A46K7-208-210 Great Western Hwy, Westmead DFN Design &amp; Construct"/>
    <s v="Westmead"/>
    <n v="24836.059999999998"/>
    <m/>
    <n v="24836.059999999998"/>
    <n v="27319.666000000001"/>
    <m/>
    <m/>
    <n v="0"/>
    <n v="24836.059999999998"/>
    <n v="1"/>
    <m/>
    <m/>
    <m/>
    <s v="Mark Leal"/>
    <s v="Direct Award"/>
    <d v="2018-06-08T00:00:00"/>
    <m/>
    <d v="2018-08-31T00:00:00"/>
    <n v="84"/>
  </r>
  <r>
    <x v="0"/>
    <s v="Sth Coast"/>
    <m/>
    <m/>
    <m/>
    <d v="2018-07-30T00:00:00"/>
    <m/>
    <m/>
    <m/>
    <m/>
    <m/>
    <x v="9"/>
    <s v="Jan-00"/>
    <s v="MW417R000044-AYCA-4YZZ1I-2ABN-03-149 The Boulevarde, Oak Flats"/>
    <s v="Oak Flats"/>
    <n v="7574.8"/>
    <m/>
    <n v="7574.8"/>
    <n v="8332.2800000000007"/>
    <m/>
    <m/>
    <n v="0"/>
    <n v="7574.8"/>
    <n v="1"/>
    <m/>
    <m/>
    <m/>
    <s v="Andrew Mahassy"/>
    <d v="2018-05-22T00:00:00"/>
    <d v="2018-05-25T00:00:00"/>
    <n v="3"/>
    <d v="2018-06-28T00:00:00"/>
    <n v="34"/>
  </r>
  <r>
    <x v="0"/>
    <s v="Sth Coast"/>
    <m/>
    <m/>
    <d v="2018-07-04T00:00:00"/>
    <d v="2018-07-04T00:00:00"/>
    <d v="2018-07-11T00:00:00"/>
    <m/>
    <d v="2018-07-18T00:00:00"/>
    <d v="2018-08-01T00:00:00"/>
    <m/>
    <x v="9"/>
    <s v="Aug-18"/>
    <s v="MW417R000063-AYCA-52381N-2SUX-01-284 River Rd Sussex Inlet "/>
    <s v="Sussex Inlet"/>
    <n v="9332.5300000000007"/>
    <n v="1389.8600000000001"/>
    <n v="10722.390000000001"/>
    <n v="11794.629000000003"/>
    <m/>
    <m/>
    <n v="0"/>
    <n v="10722.390000000001"/>
    <n v="1"/>
    <m/>
    <m/>
    <m/>
    <s v="Ertan Cicek"/>
    <d v="2018-05-31T00:00:00"/>
    <d v="2018-06-12T00:00:00"/>
    <n v="12"/>
    <d v="2018-07-04T00:00:00"/>
    <n v="22"/>
  </r>
  <r>
    <x v="2"/>
    <s v="Sydney"/>
    <m/>
    <m/>
    <m/>
    <d v="2018-09-30T00:00:00"/>
    <m/>
    <m/>
    <m/>
    <m/>
    <m/>
    <x v="19"/>
    <s v="Jan-00"/>
    <s v="MW417R000159-AYCA-4EZRCH-2MIR-26-1-3 Higherdale Ave Miranda"/>
    <s v="Miranda"/>
    <n v="299.36"/>
    <m/>
    <n v="299.36"/>
    <n v="329.29600000000005"/>
    <m/>
    <m/>
    <n v="0"/>
    <n v="299.36"/>
    <n v="1"/>
    <m/>
    <m/>
    <m/>
    <s v="Ertan Cicek"/>
    <s v="Direct Award"/>
    <d v="2018-06-12T00:00:00"/>
    <m/>
    <d v="2018-08-31T00:00:00"/>
    <n v="80"/>
  </r>
  <r>
    <x v="0"/>
    <s v="Sydney"/>
    <m/>
    <m/>
    <d v="2018-06-25T00:00:00"/>
    <d v="2018-06-25T00:00:00"/>
    <d v="2018-07-09T00:00:00"/>
    <m/>
    <d v="2018-07-09T00:00:00"/>
    <d v="2018-07-23T00:00:00"/>
    <m/>
    <x v="14"/>
    <s v="Jul-18"/>
    <s v="MW22455 -AYCA-3LT1P4 -  2KEL-08 - Sub of 123 Arnold Ave, Kellyville - 2"/>
    <s v="Kellyville"/>
    <n v="7140.73"/>
    <n v="3918.18"/>
    <n v="11058.91"/>
    <n v="12164.801000000001"/>
    <m/>
    <m/>
    <n v="0"/>
    <n v="11058.91"/>
    <n v="1"/>
    <m/>
    <m/>
    <m/>
    <s v="Sogand Mohtat"/>
    <d v="2018-05-22T00:00:00"/>
    <d v="2018-06-12T00:00:00"/>
    <n v="21"/>
    <d v="2018-06-26T00:00:00"/>
    <n v="14"/>
  </r>
  <r>
    <x v="2"/>
    <s v="Sydney"/>
    <m/>
    <m/>
    <d v="2018-07-05T00:00:00"/>
    <d v="2018-07-06T00:00:00"/>
    <d v="2018-07-09T00:00:00"/>
    <m/>
    <d v="2018-07-20T00:00:00"/>
    <d v="2018-08-03T00:00:00"/>
    <m/>
    <x v="9"/>
    <s v="Aug-18"/>
    <s v="MW417R000223 - AYCA-5ALZB0 - 2BLK-07 - 6 Woods CL, Huntingwood  Ext"/>
    <s v="Huntingwood"/>
    <n v="5802.97"/>
    <n v="5801.3047500000039"/>
    <n v="11604.274750000004"/>
    <n v="12764.702225000006"/>
    <m/>
    <m/>
    <n v="0"/>
    <n v="11604.274750000004"/>
    <n v="1"/>
    <m/>
    <m/>
    <m/>
    <s v="Ertan Cicek"/>
    <s v="Direct Award"/>
    <d v="2018-06-12T00:00:00"/>
    <m/>
    <d v="2018-09-28T00:00:00"/>
    <n v="108"/>
  </r>
  <r>
    <x v="2"/>
    <s v="Sydney"/>
    <m/>
    <m/>
    <m/>
    <d v="2018-10-30T00:00:00"/>
    <m/>
    <m/>
    <m/>
    <m/>
    <m/>
    <x v="18"/>
    <s v="Jan-00"/>
    <s v="MW417R000211-AYCA-56B97M-2SEF-61-1 Tangerine St, Fairfield East"/>
    <s v="Fairfield"/>
    <n v="2424.06"/>
    <m/>
    <n v="2424.06"/>
    <n v="2666.4660000000003"/>
    <m/>
    <m/>
    <n v="0"/>
    <n v="2424.06"/>
    <n v="1"/>
    <m/>
    <m/>
    <m/>
    <s v="Ertan Cicek"/>
    <s v="Direct Award"/>
    <d v="2018-06-12T00:00:00"/>
    <m/>
    <d v="2018-09-28T00:00:00"/>
    <n v="108"/>
  </r>
  <r>
    <x v="0"/>
    <s v="Sth Coast"/>
    <m/>
    <m/>
    <d v="2018-07-11T00:00:00"/>
    <d v="2018-07-11T00:00:00"/>
    <d v="2018-07-11T00:00:00"/>
    <m/>
    <d v="2018-07-25T00:00:00"/>
    <d v="2018-08-08T00:00:00"/>
    <m/>
    <x v="9"/>
    <s v="Aug-18"/>
    <s v="MW417R000149-AYCA-4M2GZ2-2ABN-01-2 Pine Street, Albion Park Rail"/>
    <s v="Albion Park"/>
    <n v="7206.99"/>
    <n v="2158.71"/>
    <n v="9365.7000000000007"/>
    <n v="10302.270000000002"/>
    <m/>
    <m/>
    <n v="0"/>
    <n v="9365.7000000000007"/>
    <n v="1"/>
    <m/>
    <m/>
    <m/>
    <s v="Mark Leal"/>
    <d v="2018-06-04T00:00:00"/>
    <d v="2018-06-12T00:00:00"/>
    <m/>
    <d v="2018-06-29T00:00:00"/>
    <n v="17"/>
  </r>
  <r>
    <x v="10"/>
    <s v="Sydney"/>
    <m/>
    <m/>
    <m/>
    <d v="2017-08-30T00:00:00"/>
    <m/>
    <m/>
    <m/>
    <m/>
    <m/>
    <x v="4"/>
    <s v="Jan-00"/>
    <s v="2SPW-20 - Springwood Valiadation"/>
    <s v="Springwood"/>
    <n v="16902.96"/>
    <m/>
    <n v="16902.96"/>
    <n v="18593.256000000001"/>
    <n v="8924"/>
    <m/>
    <n v="8924"/>
    <n v="7978.9599999999991"/>
    <n v="0.47204513292346428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SPW-21 - Springwood Valiadation"/>
    <s v="Springwood"/>
    <n v="8798.8799999999992"/>
    <m/>
    <n v="8798.8799999999992"/>
    <n v="9678.768"/>
    <n v="7472"/>
    <m/>
    <n v="7472"/>
    <n v="1326.8799999999992"/>
    <n v="0.15080101103776836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MIR-24 - Miranda Valiadation"/>
    <s v="Miranda"/>
    <n v="33416.800000000003"/>
    <m/>
    <n v="33416.800000000003"/>
    <n v="36758.480000000003"/>
    <n v="20672"/>
    <m/>
    <n v="20672"/>
    <n v="12744.800000000003"/>
    <n v="0.38138900193914443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POR-20 - Portland Valiadation"/>
    <s v="Portland"/>
    <n v="1956.4"/>
    <m/>
    <n v="1956.4"/>
    <n v="2152.0400000000004"/>
    <n v="1467.5"/>
    <m/>
    <n v="1467.5"/>
    <n v="488.90000000000009"/>
    <n v="0.24989777141688821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MON-28 - Mona Vale Valiadation"/>
    <s v="Mona Vale"/>
    <n v="22896.399999999998"/>
    <m/>
    <n v="22896.399999999998"/>
    <n v="25186.04"/>
    <n v="13060"/>
    <m/>
    <n v="13060"/>
    <n v="9836.3999999999978"/>
    <n v="0.42960465400674336"/>
    <m/>
    <m/>
    <m/>
    <s v="Kirsty Doyle"/>
    <s v="Direct Award"/>
    <m/>
    <m/>
    <m/>
    <m/>
  </r>
  <r>
    <x v="2"/>
    <s v="Sydney"/>
    <m/>
    <m/>
    <d v="2018-06-29T00:00:00"/>
    <d v="2018-06-29T00:00:00"/>
    <m/>
    <m/>
    <d v="2018-07-13T00:00:00"/>
    <d v="2018-07-27T00:00:00"/>
    <m/>
    <x v="14"/>
    <s v="Jul-18"/>
    <s v="MW417R000218-AYCA-34MTV2-2BUR-07-133 Parramatta Rd, Homebush"/>
    <s v="Homebush"/>
    <n v="4296.8100000000004"/>
    <m/>
    <n v="4296.8100000000004"/>
    <n v="4726.4910000000009"/>
    <m/>
    <m/>
    <n v="0"/>
    <n v="4296.8100000000004"/>
    <n v="1"/>
    <m/>
    <m/>
    <m/>
    <s v="Ertan Cicek"/>
    <s v="Direct Award"/>
    <d v="2018-06-13T00:00:00"/>
    <m/>
    <d v="2018-09-28T00:00:00"/>
    <n v="107"/>
  </r>
  <r>
    <x v="2"/>
    <s v="Sydney"/>
    <m/>
    <m/>
    <m/>
    <d v="2018-10-30T00:00:00"/>
    <m/>
    <m/>
    <m/>
    <m/>
    <m/>
    <x v="18"/>
    <s v="Jan-00"/>
    <s v="MW417R000238-AYCA-52OEM0-2MON-25-33 Darley St, East, Mona Vale"/>
    <s v="Mona Vale"/>
    <n v="1832.88"/>
    <m/>
    <n v="1832.88"/>
    <n v="2016.1680000000003"/>
    <m/>
    <m/>
    <n v="0"/>
    <n v="1832.88"/>
    <n v="1"/>
    <m/>
    <m/>
    <m/>
    <s v="Ertan Cicek"/>
    <s v="Direct Award"/>
    <d v="2018-06-14T00:00:00"/>
    <m/>
    <d v="2018-09-28T00:00:00"/>
    <n v="106"/>
  </r>
  <r>
    <x v="0"/>
    <s v="Nth Coast"/>
    <m/>
    <m/>
    <m/>
    <d v="2018-09-30T00:00:00"/>
    <m/>
    <m/>
    <m/>
    <m/>
    <m/>
    <x v="19"/>
    <s v="Jan-00"/>
    <s v="MW417R000148-AYCA-4Z992M-2LIS-21-2A Napier St Goonellabah; 17 Blue Hills Ave Goonellabah"/>
    <s v="Goonellabah"/>
    <n v="16470.774000000001"/>
    <m/>
    <n v="16470.774000000001"/>
    <n v="18117.851400000003"/>
    <m/>
    <m/>
    <n v="0"/>
    <n v="16470.774000000001"/>
    <n v="1"/>
    <m/>
    <m/>
    <m/>
    <s v="Mark Leal"/>
    <d v="2018-06-04T00:00:00"/>
    <d v="2018-06-19T00:00:00"/>
    <n v="15"/>
    <d v="2018-06-29T00:00:00"/>
    <n v="10"/>
  </r>
  <r>
    <x v="2"/>
    <s v="Sydney"/>
    <s v="Inv 13830"/>
    <d v="2018-07-06T00:00:00"/>
    <d v="2018-06-18T00:00:00"/>
    <d v="2018-06-18T00:00:00"/>
    <m/>
    <m/>
    <d v="2018-07-02T00:00:00"/>
    <d v="2018-07-05T00:00:00"/>
    <m/>
    <x v="14"/>
    <s v="Jul-18"/>
    <s v="MW22264-AYCA-4YPT3F-145/129 - 2WAG-05-145 Hammond Ave East Wagga Wagga"/>
    <s v="Wagga Wagga"/>
    <n v="1065"/>
    <m/>
    <n v="1065"/>
    <n v="1171.5"/>
    <m/>
    <m/>
    <n v="0"/>
    <n v="1065"/>
    <n v="1"/>
    <m/>
    <m/>
    <m/>
    <s v="Nabeel Jaimon"/>
    <d v="2018-04-19T00:00:00"/>
    <d v="2018-06-14T00:00:00"/>
    <n v="56"/>
    <d v="2018-06-29T00:00:00"/>
    <n v="15"/>
  </r>
  <r>
    <x v="2"/>
    <s v="Central West"/>
    <m/>
    <m/>
    <m/>
    <d v="2018-09-20T00:00:00"/>
    <m/>
    <m/>
    <m/>
    <m/>
    <m/>
    <x v="19"/>
    <s v="Jan-00"/>
    <s v="MW417R000280-AYCA-481ES7-2BTH-09-65 George St Bathurst "/>
    <s v="Bathurst"/>
    <n v="1194.07"/>
    <m/>
    <n v="1194.07"/>
    <n v="1313.4770000000001"/>
    <m/>
    <m/>
    <n v="0"/>
    <n v="1194.07"/>
    <n v="1"/>
    <m/>
    <m/>
    <m/>
    <s v="Ertan Cicek"/>
    <s v="Direct Award"/>
    <d v="2018-06-14T00:00:00"/>
    <m/>
    <d v="2018-09-20T00:00:00"/>
    <n v="98"/>
  </r>
  <r>
    <x v="2"/>
    <s v="Sydney"/>
    <m/>
    <m/>
    <m/>
    <d v="2018-08-30T00:00:00"/>
    <m/>
    <m/>
    <m/>
    <m/>
    <m/>
    <x v="15"/>
    <s v="Jan-00"/>
    <s v="MW417R000126-2HMK-02-AYCA-56Z0PS-37-49 O'Connor St Chippendale "/>
    <s v="Chippendale"/>
    <n v="3328.23"/>
    <m/>
    <n v="3328.23"/>
    <n v="3661.0530000000003"/>
    <m/>
    <m/>
    <n v="0"/>
    <n v="3328.23"/>
    <n v="1"/>
    <m/>
    <m/>
    <m/>
    <s v="Ertan Cicek"/>
    <s v="Direct Award"/>
    <d v="2018-06-15T00:00:00"/>
    <m/>
    <d v="2018-08-30T00:00:00"/>
    <n v="76"/>
  </r>
  <r>
    <x v="2"/>
    <s v="Sth NSW"/>
    <m/>
    <m/>
    <m/>
    <d v="2018-09-30T00:00:00"/>
    <m/>
    <m/>
    <m/>
    <m/>
    <m/>
    <x v="19"/>
    <s v="Jan-00"/>
    <s v="MW22573-AYCA-LYHJJ-2MTT-02-10 Cardigan St Mittagong "/>
    <s v="Mittagong"/>
    <n v="1458.46"/>
    <m/>
    <n v="1458.46"/>
    <n v="1604.3060000000003"/>
    <m/>
    <m/>
    <n v="0"/>
    <n v="1458.46"/>
    <n v="1"/>
    <m/>
    <m/>
    <m/>
    <s v="Ertan Cicek"/>
    <s v="Direct Award"/>
    <d v="2018-06-15T00:00:00"/>
    <m/>
    <d v="2018-08-28T00:00:00"/>
    <n v="74"/>
  </r>
  <r>
    <x v="0"/>
    <s v="Sydney"/>
    <m/>
    <m/>
    <d v="2018-06-27T00:00:00"/>
    <d v="2018-06-27T00:00:00"/>
    <m/>
    <m/>
    <d v="2018-07-11T00:00:00"/>
    <d v="2018-07-25T00:00:00"/>
    <m/>
    <x v="14"/>
    <s v="Jul-18"/>
    <s v="MW417R000151-AYCA-4PBBAI-2RYD-01-6,8,10,12 Anderson Avenue Ryde "/>
    <s v="Ryde"/>
    <n v="4848.55"/>
    <m/>
    <n v="4848.55"/>
    <n v="5333.4050000000007"/>
    <m/>
    <m/>
    <n v="0"/>
    <n v="4848.55"/>
    <n v="1"/>
    <m/>
    <m/>
    <m/>
    <s v="Ertan Cicek"/>
    <s v="Direct Award"/>
    <d v="2018-06-15T00:00:00"/>
    <m/>
    <d v="2018-06-29T00:00:00"/>
    <n v="14"/>
  </r>
  <r>
    <x v="2"/>
    <s v="Central West"/>
    <m/>
    <m/>
    <m/>
    <d v="2018-07-30T00:00:00"/>
    <m/>
    <m/>
    <m/>
    <m/>
    <m/>
    <x v="9"/>
    <s v="Jan-00"/>
    <s v="MW417R000299-AYCA-5AZ97T-2BTH-02-1 Wark Parade, Windradyne"/>
    <s v="Windradyne"/>
    <n v="6779.46"/>
    <m/>
    <n v="6779.46"/>
    <n v="7457.4060000000009"/>
    <m/>
    <m/>
    <n v="0"/>
    <n v="6779.46"/>
    <n v="1"/>
    <m/>
    <m/>
    <m/>
    <s v="Ertan Cicek"/>
    <s v="Direct Award"/>
    <d v="2018-06-15T00:00:00"/>
    <m/>
    <d v="2018-09-28T00:00:00"/>
    <n v="105"/>
  </r>
  <r>
    <x v="2"/>
    <s v="Sydney"/>
    <m/>
    <m/>
    <d v="2018-07-04T00:00:00"/>
    <d v="2018-07-04T00:00:00"/>
    <d v="2018-07-09T00:00:00"/>
    <m/>
    <d v="2018-07-18T00:00:00"/>
    <d v="2018-08-01T00:00:00"/>
    <m/>
    <x v="9"/>
    <s v="Aug-18"/>
    <s v="MW417R000298-AYCA-5CSK69-2LIV-03-94 Flowerdale Rd, Liverpool "/>
    <s v="Liverpool"/>
    <n v="3687.45"/>
    <n v="2280.35"/>
    <n v="5967.7999999999993"/>
    <n v="6564.58"/>
    <m/>
    <m/>
    <n v="0"/>
    <n v="5967.7999999999993"/>
    <n v="1"/>
    <m/>
    <m/>
    <m/>
    <s v="Ertan Cicek"/>
    <s v="Direct Award"/>
    <d v="2018-06-15T00:00:00"/>
    <m/>
    <d v="2018-09-28T00:00:00"/>
    <n v="105"/>
  </r>
  <r>
    <x v="0"/>
    <s v="Sydney"/>
    <s v="Inv 13833"/>
    <d v="2018-07-06T00:00:00"/>
    <d v="2018-06-18T00:00:00"/>
    <d v="2018-06-18T00:00:00"/>
    <d v="2018-06-18T00:00:00"/>
    <d v="2018-06-20T00:00:00"/>
    <d v="2018-07-02T00:00:00"/>
    <d v="2018-07-05T00:00:00"/>
    <m/>
    <x v="14"/>
    <s v="Jul-18"/>
    <s v="MW22481 - AYCA-4R2N0H - 2KEL-08 -6,8,9,11 John Hillas Avenue Kellyville "/>
    <s v="Kellyville"/>
    <n v="3239.95"/>
    <n v="3749.57"/>
    <n v="6989.52"/>
    <n v="7688.4720000000007"/>
    <m/>
    <n v="1627.8534999999997"/>
    <n v="1627.8534999999997"/>
    <n v="5361.6665000000012"/>
    <n v="0.7671008166512151"/>
    <m/>
    <m/>
    <m/>
    <s v="Dave Yoemans"/>
    <d v="2018-06-05T00:00:00"/>
    <d v="2018-06-13T00:00:00"/>
    <m/>
    <d v="2018-07-02T00:00:00"/>
    <n v="19"/>
  </r>
  <r>
    <x v="2"/>
    <s v="Sydney"/>
    <m/>
    <m/>
    <m/>
    <d v="2018-10-30T00:00:00"/>
    <m/>
    <m/>
    <m/>
    <m/>
    <m/>
    <x v="18"/>
    <s v="Jan-00"/>
    <s v="MW417R000301-AYCA-5AVN4W-2EPP-62-23-25 Forest Grove, Epping "/>
    <s v="Epping"/>
    <n v="1648"/>
    <m/>
    <n v="1648"/>
    <n v="1812.8000000000002"/>
    <m/>
    <m/>
    <n v="0"/>
    <n v="1648"/>
    <n v="1"/>
    <m/>
    <m/>
    <m/>
    <s v="Ertan Cicek"/>
    <s v="Direct Award"/>
    <d v="2018-06-18T00:00:00"/>
    <m/>
    <d v="2018-09-28T00:00:00"/>
    <n v="102"/>
  </r>
  <r>
    <x v="2"/>
    <s v="Sydney"/>
    <m/>
    <m/>
    <m/>
    <d v="2018-09-30T00:00:00"/>
    <m/>
    <m/>
    <m/>
    <m/>
    <m/>
    <x v="19"/>
    <s v="Jan-00"/>
    <s v="MW417R000300-AYCA-57KT5A-2PTH-02-153 Jamison Rd, Penrith"/>
    <s v="Penrith"/>
    <n v="958.19"/>
    <m/>
    <n v="958.19"/>
    <n v="1054.0090000000002"/>
    <m/>
    <m/>
    <n v="0"/>
    <n v="958.19"/>
    <n v="1"/>
    <m/>
    <m/>
    <m/>
    <s v="Ertan Cicek"/>
    <s v="Direct Award"/>
    <d v="2018-06-18T00:00:00"/>
    <m/>
    <d v="2018-08-28T00:00:00"/>
    <n v="71"/>
  </r>
  <r>
    <x v="0"/>
    <s v="Central Coast"/>
    <m/>
    <m/>
    <m/>
    <d v="2018-07-30T00:00:00"/>
    <m/>
    <m/>
    <m/>
    <m/>
    <m/>
    <x v="9"/>
    <s v="Jan-00"/>
    <s v="MW417R000246 - AYCA-4RTZSH - 2WOY-07 - 25 Phegan Street Woy Woy "/>
    <s v="Woy Woy"/>
    <n v="9674.98"/>
    <m/>
    <n v="9674.98"/>
    <n v="10642.478000000001"/>
    <m/>
    <m/>
    <n v="0"/>
    <n v="9674.98"/>
    <n v="1"/>
    <m/>
    <m/>
    <m/>
    <s v="Ertan Cicek"/>
    <d v="2018-06-18T00:00:00"/>
    <d v="2018-06-28T00:00:00"/>
    <n v="10"/>
    <d v="2018-07-05T00:00:00"/>
    <n v="7"/>
  </r>
  <r>
    <x v="2"/>
    <s v="Sydney"/>
    <m/>
    <m/>
    <m/>
    <d v="2018-10-30T00:00:00"/>
    <m/>
    <m/>
    <m/>
    <m/>
    <m/>
    <x v="18"/>
    <s v="Jan-00"/>
    <s v="MW417R000310--AYCA-5DPOWN-2APN-01-13 Technology Dr, Appin EXT"/>
    <s v="Appin"/>
    <n v="7171.07"/>
    <m/>
    <n v="7171.07"/>
    <n v="7888.1770000000006"/>
    <m/>
    <n v="487.30525"/>
    <n v="487.30525"/>
    <n v="6683.7647499999994"/>
    <n v="0.93204567100864999"/>
    <m/>
    <m/>
    <m/>
    <s v="Ertan Cicek"/>
    <s v="Direct Award"/>
    <d v="2018-06-20T00:00:00"/>
    <m/>
    <d v="2018-09-28T00:00:00"/>
    <n v="100"/>
  </r>
  <r>
    <x v="0"/>
    <s v="Sth NSW"/>
    <m/>
    <m/>
    <d v="2018-06-21T00:00:00"/>
    <d v="2018-06-21T00:00:00"/>
    <m/>
    <m/>
    <d v="2018-07-05T00:00:00"/>
    <d v="2018-07-19T00:00:00"/>
    <m/>
    <x v="14"/>
    <s v="Jul-18"/>
    <s v="MW22430-AYCA-5667HJ-2WAG-01-12-16 Beetson Street Boorooma "/>
    <s v="Boorooma"/>
    <n v="2717.54"/>
    <m/>
    <n v="2717.54"/>
    <n v="2989.2940000000003"/>
    <m/>
    <m/>
    <n v="0"/>
    <n v="2717.54"/>
    <n v="1"/>
    <m/>
    <m/>
    <m/>
    <s v="Sogand Mohtat"/>
    <d v="2018-05-17T00:00:00"/>
    <d v="2018-05-22T00:00:00"/>
    <n v="5"/>
    <d v="2018-06-20T00:00:00"/>
    <n v="29"/>
  </r>
  <r>
    <x v="10"/>
    <s v="Sydney"/>
    <m/>
    <m/>
    <m/>
    <d v="2017-08-30T00:00:00"/>
    <m/>
    <m/>
    <m/>
    <m/>
    <m/>
    <x v="4"/>
    <s v="Jan-00"/>
    <s v="2SPW-28 Springwood Validation"/>
    <s v="Springwood"/>
    <n v="26977.040000000001"/>
    <m/>
    <n v="26977.040000000001"/>
    <n v="29674.744000000002"/>
    <n v="15876"/>
    <m/>
    <n v="15876"/>
    <n v="11101.04"/>
    <n v="0.4114995566600339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NYG-20 Nyngun Validation"/>
    <s v="Nyngan"/>
    <n v="10971.380000000001"/>
    <m/>
    <n v="10971.380000000001"/>
    <n v="12068.518000000002"/>
    <m/>
    <m/>
    <n v="0"/>
    <n v="10971.380000000001"/>
    <n v="1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ORC-21 Orchard Hills Validation"/>
    <s v="Orchard Hills"/>
    <n v="11802.16"/>
    <m/>
    <n v="11802.16"/>
    <n v="12982.376"/>
    <m/>
    <m/>
    <n v="0"/>
    <n v="11802.16"/>
    <n v="1"/>
    <m/>
    <m/>
    <m/>
    <s v="Kirsty Doyle"/>
    <s v="Direct Award"/>
    <m/>
    <m/>
    <m/>
    <m/>
  </r>
  <r>
    <x v="10"/>
    <s v="Sydney"/>
    <m/>
    <m/>
    <m/>
    <d v="2017-08-30T00:00:00"/>
    <m/>
    <m/>
    <m/>
    <m/>
    <m/>
    <x v="4"/>
    <s v="Jan-00"/>
    <s v="2ERP-21 Estern Creek Validation"/>
    <s v="Eskine park"/>
    <n v="6956.4"/>
    <m/>
    <n v="6956.4"/>
    <n v="7652.04"/>
    <m/>
    <m/>
    <n v="0"/>
    <n v="6956.4"/>
    <n v="1"/>
    <m/>
    <m/>
    <m/>
    <s v="Kirsty Doyle"/>
    <s v="Direct Award"/>
    <m/>
    <m/>
    <m/>
    <m/>
  </r>
  <r>
    <x v="2"/>
    <s v="Sydney"/>
    <m/>
    <m/>
    <m/>
    <d v="2018-10-30T00:00:00"/>
    <m/>
    <m/>
    <m/>
    <m/>
    <m/>
    <x v="18"/>
    <s v="Jan-00"/>
    <s v="MW417R000348 - AYCA-5F1RYP - 2EDG-66 - 114 New South Head Road, Edgecliff"/>
    <s v="Edgecliffe"/>
    <n v="3323.69"/>
    <m/>
    <n v="3323.69"/>
    <n v="3656.0590000000002"/>
    <m/>
    <m/>
    <n v="0"/>
    <n v="3323.69"/>
    <n v="1"/>
    <m/>
    <m/>
    <m/>
    <s v="Ertan Cicek"/>
    <s v="Direct Award"/>
    <d v="2018-06-22T00:00:00"/>
    <m/>
    <d v="2018-09-28T00:00:00"/>
    <n v="98"/>
  </r>
  <r>
    <x v="2"/>
    <s v="Central Coast"/>
    <m/>
    <m/>
    <m/>
    <d v="2018-10-30T00:00:00"/>
    <m/>
    <m/>
    <m/>
    <m/>
    <m/>
    <x v="18"/>
    <s v="Jan-00"/>
    <s v="MW417R000347-AYCA-397TA7-2TGL-02-6-8 Painters Lane Terrigal"/>
    <s v="Terrigal"/>
    <n v="4185.8999999999996"/>
    <m/>
    <n v="4185.8999999999996"/>
    <n v="4604.49"/>
    <m/>
    <m/>
    <n v="0"/>
    <n v="4185.8999999999996"/>
    <n v="1"/>
    <m/>
    <m/>
    <m/>
    <s v="Ertan Cicek"/>
    <s v="Direct Award"/>
    <d v="2018-06-25T00:00:00"/>
    <m/>
    <d v="2018-09-19T00:00:00"/>
    <n v="86"/>
  </r>
  <r>
    <x v="2"/>
    <s v="Sydney"/>
    <m/>
    <m/>
    <m/>
    <d v="2018-11-30T00:00:00"/>
    <m/>
    <m/>
    <m/>
    <m/>
    <m/>
    <x v="16"/>
    <s v="Jan-00"/>
    <s v="MW417R000381-2APN-01-AYCA-5DPOWN-13 Technology Drive Appin INT"/>
    <s v="Appin"/>
    <n v="1592.08"/>
    <m/>
    <n v="1592.08"/>
    <n v="1751.288"/>
    <m/>
    <m/>
    <n v="0"/>
    <n v="1592.08"/>
    <n v="1"/>
    <m/>
    <m/>
    <m/>
    <s v="Ertan Cicek"/>
    <s v="Direct Award"/>
    <d v="2018-06-25T00:00:00"/>
    <m/>
    <d v="2018-10-30T00:00:00"/>
    <n v="127"/>
  </r>
  <r>
    <x v="0"/>
    <s v="Central Coast"/>
    <m/>
    <m/>
    <m/>
    <d v="2018-07-30T00:00:00"/>
    <m/>
    <m/>
    <m/>
    <m/>
    <m/>
    <x v="9"/>
    <s v="Jan-00"/>
    <s v="MW417R000141-AYCA-4UXA3J-2ERN-03-1 and 4 Fox Glove Close, Green"/>
    <s v="Green Point"/>
    <n v="6603.41"/>
    <m/>
    <n v="6603.41"/>
    <n v="7263.7510000000002"/>
    <m/>
    <m/>
    <n v="0"/>
    <n v="6603.41"/>
    <n v="1"/>
    <m/>
    <m/>
    <m/>
    <s v="Dave Yoemans"/>
    <d v="2018-06-04T00:00:00"/>
    <d v="2018-06-19T00:00:00"/>
    <n v="15"/>
    <d v="2018-06-29T00:00:00"/>
    <n v="10"/>
  </r>
  <r>
    <x v="2"/>
    <s v="Sydney"/>
    <m/>
    <m/>
    <d v="2018-07-06T00:00:00"/>
    <d v="2018-07-06T00:00:00"/>
    <m/>
    <m/>
    <d v="2018-07-20T00:00:00"/>
    <d v="2018-08-03T00:00:00"/>
    <m/>
    <x v="9"/>
    <s v="Aug-18"/>
    <s v="MW417R000354-AYCA-57CAFW-2CRO-01-KURNELL 2"/>
    <s v="Kurnell"/>
    <n v="1791.95"/>
    <n v="1609.79"/>
    <n v="3401.74"/>
    <n v="3741.9140000000002"/>
    <m/>
    <m/>
    <n v="0"/>
    <n v="3401.74"/>
    <n v="1"/>
    <m/>
    <m/>
    <m/>
    <s v="Ertan Cicek"/>
    <s v="Direct Award"/>
    <d v="2018-06-26T00:00:00"/>
    <m/>
    <d v="2018-09-28T00:00:00"/>
    <n v="94"/>
  </r>
  <r>
    <x v="0"/>
    <s v="Sth Coast"/>
    <m/>
    <m/>
    <d v="2018-07-03T00:00:00"/>
    <d v="2018-07-05T00:00:00"/>
    <m/>
    <m/>
    <d v="2018-07-19T00:00:00"/>
    <d v="2018-08-02T00:00:00"/>
    <m/>
    <x v="9"/>
    <s v="Aug-18"/>
    <s v="MW417R000364-2ABN-03-AYCA-5DBDK2 -8 Werrang St, Albion Park Rail"/>
    <s v="Albion Park"/>
    <n v="2852.73"/>
    <m/>
    <n v="2852.73"/>
    <n v="3138.0030000000002"/>
    <m/>
    <m/>
    <n v="0"/>
    <n v="2852.73"/>
    <n v="1"/>
    <m/>
    <m/>
    <m/>
    <s v="Ertan Cicek"/>
    <d v="2018-06-26T00:00:00"/>
    <d v="2018-07-04T00:00:00"/>
    <n v="8"/>
    <d v="2018-09-12T00:00:00"/>
    <n v="70"/>
  </r>
  <r>
    <x v="2"/>
    <s v="ACT"/>
    <m/>
    <m/>
    <m/>
    <d v="2018-10-30T00:00:00"/>
    <m/>
    <m/>
    <m/>
    <m/>
    <m/>
    <x v="18"/>
    <s v="Jan-00"/>
    <s v="MW417R000383-AYCA-3MEHNA-9BLC-04-Nevertire St, Lawson"/>
    <s v="Lawson"/>
    <n v="8900.2199999999993"/>
    <m/>
    <n v="8900.2199999999993"/>
    <n v="9790.2420000000002"/>
    <m/>
    <m/>
    <n v="0"/>
    <n v="8900.2199999999993"/>
    <n v="1"/>
    <m/>
    <m/>
    <m/>
    <s v="Ertan Cicek"/>
    <s v="Direct Award"/>
    <d v="2018-06-28T00:00:00"/>
    <m/>
    <d v="2018-09-28T00:00:00"/>
    <n v="92"/>
  </r>
  <r>
    <x v="2"/>
    <s v="Sydney"/>
    <m/>
    <m/>
    <d v="2018-07-06T00:00:00"/>
    <d v="2018-07-06T00:00:00"/>
    <d v="2018-07-10T00:00:00"/>
    <m/>
    <d v="2018-07-20T00:00:00"/>
    <d v="2018-07-20T00:00:00"/>
    <m/>
    <x v="9"/>
    <s v="Jul-18"/>
    <s v="MW417R000346-AYCA-57CH4J-2CRO-01-8/268A Captain Cook Dr, Kurnell"/>
    <s v="Kurnell"/>
    <n v="3154.72"/>
    <n v="4773.34"/>
    <n v="7928.0599999999995"/>
    <n v="8720.866"/>
    <m/>
    <m/>
    <n v="0"/>
    <n v="7928.0599999999995"/>
    <n v="1"/>
    <m/>
    <m/>
    <m/>
    <s v="Ertan Cicek"/>
    <s v="Direct Award"/>
    <d v="2018-06-28T00:00:00"/>
    <m/>
    <d v="2018-09-28T00:00:00"/>
    <n v="92"/>
  </r>
  <r>
    <x v="2"/>
    <s v="Sydney"/>
    <s v="Inv 13742"/>
    <d v="2018-06-14T00:00:00"/>
    <m/>
    <d v="2018-08-30T00:00:00"/>
    <m/>
    <m/>
    <m/>
    <d v="2018-06-14T00:00:00"/>
    <m/>
    <x v="15"/>
    <s v="Jun-18"/>
    <s v="MW417R000157-2PAR-63-AYCA-4A46K7-208-210 Great Western Hwy, Westmead DFN Design &amp; Construct,  Mob payment"/>
    <s v="Westmead"/>
    <n v="10941.9"/>
    <m/>
    <n v="10941.9"/>
    <n v="12036.09"/>
    <m/>
    <m/>
    <n v="0"/>
    <n v="10941.9"/>
    <n v="1"/>
    <m/>
    <m/>
    <m/>
    <s v="Mark Leal"/>
    <s v="Direct Award"/>
    <d v="2018-06-08T00:00:00"/>
    <m/>
    <d v="2018-08-31T00:00:00"/>
    <n v="84"/>
  </r>
  <r>
    <x v="2"/>
    <s v="Sydney"/>
    <m/>
    <m/>
    <m/>
    <d v="2018-10-30T00:00:00"/>
    <m/>
    <m/>
    <m/>
    <m/>
    <m/>
    <x v="18"/>
    <s v="Jan-00"/>
    <s v="MW417R000397-AYCA-5BX3DW-2NEW-23-7-9 Hutchinson St, St Peters - 1"/>
    <s v="St Peters"/>
    <n v="1998.95"/>
    <m/>
    <n v="1998.95"/>
    <n v="2198.8450000000003"/>
    <m/>
    <m/>
    <n v="0"/>
    <n v="1998.95"/>
    <n v="1"/>
    <m/>
    <m/>
    <m/>
    <s v="Ertan Cicek"/>
    <s v="Direct Award"/>
    <d v="2018-06-29T00:00:00"/>
    <m/>
    <d v="2018-09-28T00:00:00"/>
    <n v="91"/>
  </r>
  <r>
    <x v="2"/>
    <s v="Sydney"/>
    <m/>
    <m/>
    <m/>
    <d v="2018-10-30T00:00:00"/>
    <m/>
    <m/>
    <m/>
    <m/>
    <m/>
    <x v="18"/>
    <s v="Jan-00"/>
    <s v="MW417R000395 - AYCA-56PP6W-2BAN-67-55-57 Chelmsford Ave, Bankstown"/>
    <s v="Bankstown"/>
    <n v="6228.33"/>
    <m/>
    <n v="6228.33"/>
    <n v="6851.1630000000005"/>
    <m/>
    <m/>
    <n v="0"/>
    <n v="6228.33"/>
    <n v="1"/>
    <m/>
    <m/>
    <m/>
    <s v="Ertan Cicek"/>
    <s v="Direct Award"/>
    <d v="2018-06-29T00:00:00"/>
    <m/>
    <d v="2018-09-28T00:00:00"/>
    <n v="91"/>
  </r>
  <r>
    <x v="0"/>
    <s v="Sth Coast"/>
    <m/>
    <m/>
    <d v="2018-07-05T00:00:00"/>
    <d v="2018-07-05T00:00:00"/>
    <d v="2018-07-10T00:00:00"/>
    <m/>
    <d v="2018-07-19T00:00:00"/>
    <d v="2018-08-02T00:00:00"/>
    <m/>
    <x v="9"/>
    <s v="Aug-18"/>
    <s v="MW22519 - AYCA-4V3JM3 - 2COR-01 - 69 High Street, Thirroul"/>
    <s v="Thirroul"/>
    <n v="9249"/>
    <n v="5339.41"/>
    <n v="14588.41"/>
    <n v="16047.251000000002"/>
    <m/>
    <m/>
    <n v="0"/>
    <n v="14588.41"/>
    <n v="1"/>
    <m/>
    <m/>
    <m/>
    <s v="Dave Yoemans"/>
    <d v="2018-05-31T00:00:00"/>
    <d v="2018-06-13T00:00:00"/>
    <n v="13"/>
    <d v="2018-06-29T00:00:00"/>
    <n v="16"/>
  </r>
  <r>
    <x v="7"/>
    <s v="NSW"/>
    <s v="Inv 13781"/>
    <m/>
    <d v="2018-07-03T00:00:00"/>
    <d v="2018-07-03T00:00:00"/>
    <m/>
    <m/>
    <d v="2018-07-17T00:00:00"/>
    <d v="2018-07-31T00:00:00"/>
    <m/>
    <x v="9"/>
    <s v="Jul-18"/>
    <s v="INC000008387493 - 166 Great Western Hwy, Wentworth Falls"/>
    <s v="Wentworth Falls"/>
    <n v="2434.66"/>
    <m/>
    <n v="2434.66"/>
    <n v="2678.1260000000002"/>
    <m/>
    <m/>
    <n v="0"/>
    <n v="2434.66"/>
    <n v="1"/>
    <m/>
    <d v="2018-07-17T00:00:00"/>
    <m/>
    <s v="Tony Gabriel"/>
    <m/>
    <m/>
    <m/>
    <m/>
    <m/>
  </r>
  <r>
    <x v="7"/>
    <s v="NSW"/>
    <s v="Inv 13782"/>
    <m/>
    <d v="2018-07-03T00:00:00"/>
    <d v="2018-07-03T00:00:00"/>
    <m/>
    <m/>
    <d v="2018-07-17T00:00:00"/>
    <d v="2018-07-31T00:00:00"/>
    <m/>
    <x v="9"/>
    <s v="Jul-18"/>
    <s v="MW417R000569-2KTB-02-INC000007293986-Lot 22, 33 Foy Avenue, Medlow Bath"/>
    <s v="Medlow Bath"/>
    <n v="1537.6799999999998"/>
    <m/>
    <n v="1537.6799999999998"/>
    <n v="1691.4479999999999"/>
    <m/>
    <m/>
    <n v="0"/>
    <n v="1537.6799999999998"/>
    <n v="1"/>
    <m/>
    <d v="2018-07-17T00:00:00"/>
    <m/>
    <s v="Tony Gabriel"/>
    <m/>
    <m/>
    <m/>
    <m/>
    <m/>
  </r>
  <r>
    <x v="6"/>
    <s v="NSW"/>
    <s v="Inv 13784"/>
    <m/>
    <d v="2018-07-03T00:00:00"/>
    <d v="2018-07-03T00:00:00"/>
    <m/>
    <m/>
    <d v="2018-07-17T00:00:00"/>
    <d v="2018-07-31T00:00:00"/>
    <m/>
    <x v="9"/>
    <s v="Jul-18"/>
    <s v="INC000007561589 - Lot 102, 51 Mount St, Yass"/>
    <s v="Yass"/>
    <n v="1819.54"/>
    <m/>
    <n v="1819.54"/>
    <n v="2001.4940000000001"/>
    <m/>
    <m/>
    <n v="0"/>
    <n v="1819.54"/>
    <n v="1"/>
    <m/>
    <d v="2018-07-17T00:00:00"/>
    <m/>
    <s v="Tony Gabriel"/>
    <m/>
    <m/>
    <m/>
    <m/>
    <m/>
  </r>
  <r>
    <x v="6"/>
    <s v="NSW"/>
    <s v="Inv 13785"/>
    <m/>
    <d v="2018-07-03T00:00:00"/>
    <d v="2018-07-03T00:00:00"/>
    <m/>
    <m/>
    <d v="2018-07-17T00:00:00"/>
    <d v="2018-07-31T00:00:00"/>
    <m/>
    <x v="9"/>
    <s v="Jul-18"/>
    <s v="MW417R000520-2WWY-20-34 Church St, West Wyalong, NSW"/>
    <s v="West Wyalong"/>
    <n v="768.84"/>
    <m/>
    <n v="768.84"/>
    <n v="845.72400000000016"/>
    <m/>
    <m/>
    <n v="0"/>
    <n v="768.84"/>
    <n v="1"/>
    <m/>
    <d v="2018-07-17T00:00:00"/>
    <m/>
    <s v="Tony Gabriel"/>
    <m/>
    <m/>
    <m/>
    <m/>
    <m/>
  </r>
  <r>
    <x v="6"/>
    <s v="NSW"/>
    <s v="Inv 13786"/>
    <m/>
    <d v="2018-07-03T00:00:00"/>
    <d v="2018-07-03T00:00:00"/>
    <m/>
    <m/>
    <d v="2018-07-17T00:00:00"/>
    <d v="2018-07-31T00:00:00"/>
    <m/>
    <x v="9"/>
    <s v="Jul-18"/>
    <s v="MW417R000510-2CON-20-74-76 Orange St, Condobolin, NSW-INC000007693413"/>
    <s v="Condobolin"/>
    <n v="961.05"/>
    <m/>
    <n v="961.05"/>
    <n v="1057.155"/>
    <m/>
    <m/>
    <n v="0"/>
    <n v="961.05"/>
    <n v="1"/>
    <m/>
    <d v="2018-07-17T00:00:00"/>
    <m/>
    <s v="Tony Gabriel"/>
    <m/>
    <m/>
    <m/>
    <m/>
    <m/>
  </r>
  <r>
    <x v="6"/>
    <s v="NSW"/>
    <s v="Inv 13787"/>
    <m/>
    <d v="2018-07-03T00:00:00"/>
    <d v="2018-07-03T00:00:00"/>
    <m/>
    <m/>
    <d v="2018-07-17T00:00:00"/>
    <d v="2018-07-31T00:00:00"/>
    <m/>
    <x v="9"/>
    <s v="Jul-18"/>
    <s v="MW417R000508-2WAG-06-Lot 220, 23 Crisp Dr, Ashmont, NSW"/>
    <s v="Ashmont"/>
    <n v="962.81299999999999"/>
    <m/>
    <n v="962.81299999999999"/>
    <n v="1059.0943"/>
    <m/>
    <m/>
    <n v="0"/>
    <n v="962.81299999999999"/>
    <n v="1"/>
    <m/>
    <d v="2018-07-17T00:00:00"/>
    <m/>
    <s v="Tony Gabriel"/>
    <m/>
    <m/>
    <m/>
    <m/>
    <m/>
  </r>
  <r>
    <x v="6"/>
    <s v="NSW"/>
    <s v="Inv 13788"/>
    <m/>
    <d v="2018-07-03T00:00:00"/>
    <d v="2018-07-03T00:00:00"/>
    <m/>
    <m/>
    <d v="2018-07-17T00:00:00"/>
    <d v="2018-07-31T00:00:00"/>
    <m/>
    <x v="9"/>
    <s v="Jul-18"/>
    <s v="MW417R000503-2CON-20-Lot 11, 15 Busby Street, Condobolin"/>
    <s v="Condobolin"/>
    <n v="962.81299999999999"/>
    <m/>
    <n v="962.81299999999999"/>
    <n v="1059.0943"/>
    <m/>
    <m/>
    <n v="0"/>
    <n v="962.81299999999999"/>
    <n v="1"/>
    <m/>
    <d v="2018-07-17T00:00:00"/>
    <m/>
    <s v="Tony Gabriel"/>
    <m/>
    <m/>
    <m/>
    <m/>
    <m/>
  </r>
  <r>
    <x v="6"/>
    <s v="NSW"/>
    <s v="Inv 13789"/>
    <m/>
    <d v="2018-07-03T00:00:00"/>
    <d v="2018-07-03T00:00:00"/>
    <m/>
    <m/>
    <d v="2018-07-17T00:00:00"/>
    <d v="2018-07-31T00:00:00"/>
    <m/>
    <x v="9"/>
    <s v="Jul-18"/>
    <s v="MW417R000507-2ALB-04-Lot 4, 2 Bunker Ct, Albury, NSW-INC000007471430"/>
    <s v="Albury"/>
    <n v="2947.22"/>
    <m/>
    <n v="2947.22"/>
    <n v="3241.942"/>
    <m/>
    <m/>
    <n v="0"/>
    <n v="2947.22"/>
    <n v="1"/>
    <m/>
    <d v="2018-07-17T00:00:00"/>
    <m/>
    <s v="Tony Gabriel"/>
    <m/>
    <m/>
    <m/>
    <m/>
    <m/>
  </r>
  <r>
    <x v="6"/>
    <s v="NSW"/>
    <s v="Inv 13790"/>
    <m/>
    <d v="2018-07-03T00:00:00"/>
    <d v="2018-07-03T00:00:00"/>
    <m/>
    <m/>
    <d v="2018-07-17T00:00:00"/>
    <d v="2018-07-31T00:00:00"/>
    <m/>
    <x v="9"/>
    <s v="Jul-18"/>
    <s v="MW417R000511-2LTO-21-Lot 1, 45 Gossamer St, Leeton"/>
    <s v="Leeton"/>
    <n v="3655.39"/>
    <m/>
    <n v="3655.39"/>
    <n v="4020.9290000000001"/>
    <m/>
    <m/>
    <n v="0"/>
    <n v="3655.39"/>
    <n v="1"/>
    <m/>
    <d v="2018-07-17T00:00:00"/>
    <m/>
    <s v="Tony Gabriel"/>
    <m/>
    <m/>
    <m/>
    <m/>
    <m/>
  </r>
  <r>
    <x v="7"/>
    <s v="NSW"/>
    <s v="Inv 13794"/>
    <m/>
    <d v="2018-07-03T00:00:00"/>
    <d v="2018-07-03T00:00:00"/>
    <m/>
    <m/>
    <d v="2018-07-17T00:00:00"/>
    <d v="2018-07-31T00:00:00"/>
    <m/>
    <x v="9"/>
    <s v="Jul-18"/>
    <s v="MW417R000542-2KTB-02-51 DELMONTE AV, MEDLOW BATH-INC000008346619"/>
    <s v="Medlow Bath"/>
    <n v="1422.33"/>
    <m/>
    <n v="1422.33"/>
    <n v="1564.5630000000001"/>
    <m/>
    <m/>
    <n v="0"/>
    <n v="1422.33"/>
    <n v="1"/>
    <m/>
    <d v="2018-07-17T00:00:00"/>
    <m/>
    <s v="Tony Gabriel"/>
    <m/>
    <m/>
    <m/>
    <m/>
    <m/>
  </r>
  <r>
    <x v="6"/>
    <s v="NSW"/>
    <s v="Inv 13791"/>
    <d v="2018-07-03T00:00:00"/>
    <d v="2018-07-03T00:00:00"/>
    <d v="2018-07-03T00:00:00"/>
    <m/>
    <m/>
    <d v="2018-07-17T00:00:00"/>
    <d v="2018-07-31T00:00:00"/>
    <m/>
    <x v="9"/>
    <s v="Jul-18"/>
    <s v="MW417R000516-2HAY-20-Lot 7, 460 Orson St, Hay, NSW-INC000006971761"/>
    <s v="Hay"/>
    <n v="11144.61"/>
    <m/>
    <n v="11144.61"/>
    <n v="12259.071000000002"/>
    <m/>
    <m/>
    <n v="0"/>
    <n v="11144.61"/>
    <n v="1"/>
    <m/>
    <d v="2018-07-17T00:00:00"/>
    <m/>
    <s v="Tony Gabriel"/>
    <m/>
    <m/>
    <m/>
    <m/>
    <m/>
  </r>
  <r>
    <x v="7"/>
    <s v="NSW"/>
    <m/>
    <m/>
    <d v="2018-07-03T00:00:00"/>
    <d v="2018-07-03T00:00:00"/>
    <m/>
    <m/>
    <d v="2018-07-17T00:00:00"/>
    <d v="2018-07-31T00:00:00"/>
    <m/>
    <x v="9"/>
    <s v="Jul-18"/>
    <s v="INC000008263241 –  24 NELSON RD, KATOOMBA"/>
    <s v="Katoomba"/>
    <n v="3799.81"/>
    <m/>
    <n v="3799.81"/>
    <n v="4179.7910000000002"/>
    <m/>
    <m/>
    <n v="0"/>
    <n v="3799.81"/>
    <n v="1"/>
    <m/>
    <d v="2018-07-17T00:00:00"/>
    <m/>
    <s v="Tony Gabriel"/>
    <m/>
    <m/>
    <m/>
    <m/>
    <m/>
  </r>
  <r>
    <x v="7"/>
    <s v="NSW"/>
    <s v="Inv 13795"/>
    <m/>
    <d v="2018-07-03T00:00:00"/>
    <d v="2018-07-03T00:00:00"/>
    <m/>
    <m/>
    <d v="2018-07-17T00:00:00"/>
    <d v="2018-07-31T00:00:00"/>
    <m/>
    <x v="9"/>
    <s v="Jul-18"/>
    <s v="MW417R000567-2BLK-05-INC000007924200-UNIT 501, LOT 1, 3 FIRST AV, SEVEN HILLS "/>
    <s v="Seven Hills"/>
    <n v="4389.9072857142855"/>
    <m/>
    <n v="4389.9072857142855"/>
    <n v="4828.8980142857145"/>
    <m/>
    <m/>
    <n v="0"/>
    <n v="4389.9072857142855"/>
    <n v="1"/>
    <m/>
    <d v="2018-07-17T00:00:00"/>
    <m/>
    <s v="Tony Gabriel"/>
    <m/>
    <m/>
    <m/>
    <m/>
    <m/>
  </r>
  <r>
    <x v="7"/>
    <s v="NSW"/>
    <s v="Inv 13798"/>
    <m/>
    <d v="2018-07-03T00:00:00"/>
    <d v="2018-07-03T00:00:00"/>
    <m/>
    <m/>
    <d v="2018-07-17T00:00:00"/>
    <d v="2018-07-31T00:00:00"/>
    <m/>
    <x v="9"/>
    <s v="Jul-18"/>
    <s v="INC000007742541- Lot 18 30 Christabel Street Lawson"/>
    <s v="Lawson"/>
    <n v="1473.61"/>
    <m/>
    <n v="1473.61"/>
    <n v="1620.971"/>
    <m/>
    <m/>
    <n v="0"/>
    <n v="1473.61"/>
    <n v="1"/>
    <m/>
    <d v="2018-07-17T00:00:00"/>
    <m/>
    <s v="Tony Gabriel"/>
    <m/>
    <m/>
    <m/>
    <m/>
    <m/>
  </r>
  <r>
    <x v="7"/>
    <s v="NSW"/>
    <s v="Inv 13799"/>
    <m/>
    <d v="2018-07-03T00:00:00"/>
    <d v="2018-07-03T00:00:00"/>
    <m/>
    <m/>
    <d v="2018-07-17T00:00:00"/>
    <d v="2018-07-31T00:00:00"/>
    <m/>
    <x v="9"/>
    <s v="Jul-18"/>
    <s v="MW417R000521-2KTB-01-42-84 Martin St, Katoomba High School, Katoomba"/>
    <s v="Katoomba"/>
    <n v="1409.54"/>
    <m/>
    <n v="1409.54"/>
    <n v="1550.4940000000001"/>
    <m/>
    <m/>
    <n v="0"/>
    <n v="1409.54"/>
    <n v="1"/>
    <m/>
    <d v="2018-07-17T00:00:00"/>
    <m/>
    <s v="Tony Gabriel"/>
    <m/>
    <m/>
    <m/>
    <m/>
    <m/>
  </r>
  <r>
    <x v="6"/>
    <s v="NSW"/>
    <s v="Inv 13815"/>
    <m/>
    <d v="2018-07-03T00:00:00"/>
    <d v="2018-07-03T00:00:00"/>
    <m/>
    <m/>
    <d v="2018-07-17T00:00:00"/>
    <d v="2018-07-31T00:00:00"/>
    <m/>
    <x v="9"/>
    <s v="Jul-18"/>
    <s v="MW417R000576-2NMN-20-INC000007557971-113 WATTLE CR, NARROMINE"/>
    <s v="Narromine"/>
    <n v="1153.26"/>
    <m/>
    <n v="1153.26"/>
    <n v="1268.586"/>
    <m/>
    <m/>
    <n v="0"/>
    <n v="1153.26"/>
    <n v="1"/>
    <m/>
    <d v="2018-07-17T00:00:00"/>
    <m/>
    <s v="Tony Gabriel"/>
    <m/>
    <m/>
    <m/>
    <m/>
    <m/>
  </r>
  <r>
    <x v="6"/>
    <s v="NSW"/>
    <s v="inv 13783"/>
    <m/>
    <d v="2018-07-03T00:00:00"/>
    <d v="2018-07-03T00:00:00"/>
    <m/>
    <m/>
    <d v="2018-07-17T00:00:00"/>
    <d v="2018-07-31T00:00:00"/>
    <m/>
    <x v="9"/>
    <s v="Jul-18"/>
    <s v="INC000007735234 –  12-20 BARNADO ST, WEST WYALONG"/>
    <s v="West Wyalong"/>
    <n v="512.55999999999995"/>
    <m/>
    <n v="512.55999999999995"/>
    <n v="563.81600000000003"/>
    <m/>
    <m/>
    <n v="0"/>
    <n v="512.55999999999995"/>
    <n v="1"/>
    <m/>
    <d v="2018-07-17T00:00:00"/>
    <m/>
    <s v="Tony Gabriel"/>
    <m/>
    <m/>
    <m/>
    <m/>
    <m/>
  </r>
  <r>
    <x v="2"/>
    <s v="Sydney"/>
    <m/>
    <m/>
    <m/>
    <d v="2018-10-30T00:00:00"/>
    <m/>
    <m/>
    <m/>
    <m/>
    <m/>
    <x v="18"/>
    <s v="Jan-00"/>
    <s v="MW417R000463-2MIR-28-AYCA-48HHL8-2-22 University Rd &amp; 660-664"/>
    <s v="Miranda"/>
    <n v="957.85"/>
    <m/>
    <n v="957.85"/>
    <n v="1053.6350000000002"/>
    <m/>
    <m/>
    <n v="0"/>
    <n v="957.85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m/>
    <d v="2018-09-30T00:00:00"/>
    <m/>
    <m/>
    <m/>
    <m/>
    <m/>
    <x v="19"/>
    <s v="Jan-00"/>
    <s v="MW417R000454 -AYCA-4V7F3M -  2LAK-22 - 23 Willeroo St, Lakemba"/>
    <s v="Lakemba"/>
    <n v="2111.65"/>
    <m/>
    <n v="2111.65"/>
    <n v="2322.8150000000005"/>
    <m/>
    <m/>
    <n v="0"/>
    <n v="2111.65"/>
    <n v="1"/>
    <m/>
    <d v="2018-10-14T00:00:00"/>
    <m/>
    <s v="Ertan Cicek"/>
    <s v="Direct Award"/>
    <d v="2018-07-05T00:00:00"/>
    <m/>
    <d v="2018-08-03T00:00:00"/>
    <n v="29"/>
  </r>
  <r>
    <x v="2"/>
    <s v="Sth Coast"/>
    <m/>
    <m/>
    <m/>
    <d v="2018-10-30T00:00:00"/>
    <m/>
    <m/>
    <m/>
    <m/>
    <m/>
    <x v="18"/>
    <s v="Jan-00"/>
    <s v="MW417R000494-AYCA-21R8AP-2WLG-07-12-14 New Dapto Rd Wollongong"/>
    <s v="Wollongong"/>
    <n v="1022.88"/>
    <m/>
    <n v="1022.88"/>
    <n v="1125.1680000000001"/>
    <m/>
    <m/>
    <n v="0"/>
    <n v="1022.88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m/>
    <d v="2018-10-30T00:00:00"/>
    <m/>
    <m/>
    <m/>
    <m/>
    <m/>
    <x v="18"/>
    <s v="Jan-00"/>
    <s v="MW417R000495-AYCA-4X1Z9M-2MIR-26-58/60 Karimbla Rd, Miranda"/>
    <s v="Miranda"/>
    <n v="680.91"/>
    <m/>
    <n v="680.91"/>
    <n v="749.00099999999998"/>
    <m/>
    <m/>
    <n v="0"/>
    <n v="680.91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m/>
    <d v="2018-10-30T00:00:00"/>
    <m/>
    <m/>
    <m/>
    <m/>
    <m/>
    <x v="18"/>
    <s v="Jan-00"/>
    <s v="MW417R000461-AYCA-5AXHNZ-2SIL-02-4 Murray Rose Ave, Sydney Olympic Park"/>
    <s v="Sydney Olympic Park"/>
    <n v="2123.65"/>
    <m/>
    <n v="2123.65"/>
    <n v="2336.0150000000003"/>
    <m/>
    <m/>
    <n v="0"/>
    <n v="2123.65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m/>
    <d v="2018-10-30T00:00:00"/>
    <m/>
    <m/>
    <m/>
    <m/>
    <m/>
    <x v="18"/>
    <s v="Jan-00"/>
    <s v="MW417R000462-AYCA-328OYF-2CBT-05-37-41 Chamberlain St, Campbelltown"/>
    <s v="Campbelltown"/>
    <n v="1821.28"/>
    <m/>
    <n v="1821.28"/>
    <n v="2003.4080000000001"/>
    <m/>
    <m/>
    <n v="0"/>
    <n v="1821.28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m/>
    <d v="2018-10-30T00:00:00"/>
    <m/>
    <m/>
    <m/>
    <m/>
    <m/>
    <x v="18"/>
    <s v="Jan-00"/>
    <s v="MW417R000518-AYCA-2V9V2D-2HOR-63-2 Cowan Road &amp; 540A-542 Pacific Highway, Mount Colah"/>
    <s v="Mount Colah"/>
    <n v="1606.42"/>
    <m/>
    <n v="1606.42"/>
    <n v="1767.0620000000001"/>
    <m/>
    <m/>
    <n v="0"/>
    <n v="1606.42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m/>
    <d v="2018-10-30T00:00:00"/>
    <m/>
    <m/>
    <m/>
    <m/>
    <m/>
    <x v="18"/>
    <s v="Jan-00"/>
    <s v="MW417R000502-AYCA-4UMUPA-2KEL-07-21 Fairway Dr, Kellyville"/>
    <s v="Kellyville"/>
    <n v="1976.12"/>
    <m/>
    <n v="1976.12"/>
    <n v="2173.732"/>
    <m/>
    <m/>
    <n v="0"/>
    <n v="1976.12"/>
    <n v="1"/>
    <m/>
    <d v="2018-11-13T00:00:00"/>
    <m/>
    <s v="Ertan Cicek"/>
    <s v="Direct Award"/>
    <d v="2018-07-05T00:00:00"/>
    <m/>
    <d v="2018-09-28T00:00:00"/>
    <n v="85"/>
  </r>
  <r>
    <x v="2"/>
    <s v="Sydney"/>
    <m/>
    <m/>
    <d v="2018-07-10T00:00:00"/>
    <d v="2018-07-10T00:00:00"/>
    <m/>
    <m/>
    <d v="2018-07-24T00:00:00"/>
    <d v="2018-07-24T00:00:00"/>
    <m/>
    <x v="9"/>
    <s v="Jul-18"/>
    <s v="MW417R000529-AYCA-5ALZB0-2BLK-07-6 Woods Cl Huntingwood  Int"/>
    <s v="Huntingwood"/>
    <n v="285.60000000000002"/>
    <m/>
    <n v="285.60000000000002"/>
    <n v="314.16000000000003"/>
    <m/>
    <m/>
    <n v="0"/>
    <n v="285.60000000000002"/>
    <n v="1"/>
    <m/>
    <d v="2018-07-24T00:00:00"/>
    <m/>
    <s v="Ertan Cicek"/>
    <s v="Direct Award"/>
    <d v="2018-07-09T00:00:00"/>
    <m/>
    <d v="2018-07-18T00:00:00"/>
    <n v="9"/>
  </r>
  <r>
    <x v="0"/>
    <s v="Central West"/>
    <m/>
    <m/>
    <m/>
    <d v="2018-10-30T00:00:00"/>
    <m/>
    <m/>
    <m/>
    <m/>
    <m/>
    <x v="18"/>
    <s v="Jan-00"/>
    <s v="MW417R000543-2PKS-21-AYCA-5866DJ-2 Cecile Street, Parkes "/>
    <s v="Parkes"/>
    <n v="7336.89"/>
    <m/>
    <n v="7336.89"/>
    <n v="8070.5790000000006"/>
    <m/>
    <m/>
    <n v="0"/>
    <n v="7336.89"/>
    <n v="1"/>
    <m/>
    <d v="2018-11-13T00:00:00"/>
    <m/>
    <s v="Mark Leal"/>
    <d v="2018-07-06T00:00:00"/>
    <d v="2018-07-10T00:00:00"/>
    <n v="4"/>
    <d v="2018-09-27T00:00:00"/>
    <n v="79"/>
  </r>
  <r>
    <x v="0"/>
    <s v="Sth NSW"/>
    <m/>
    <m/>
    <m/>
    <d v="2018-09-30T00:00:00"/>
    <m/>
    <m/>
    <m/>
    <m/>
    <m/>
    <x v="19"/>
    <s v="Jan-00"/>
    <s v="MW417R000059-AYCA-59JUMX - 2WAG-02-J83 Trail Street, Wagga Wagga "/>
    <s v="Wagga Wagga"/>
    <n v="3012.97"/>
    <m/>
    <n v="3012.97"/>
    <n v="3314.2669999999998"/>
    <m/>
    <m/>
    <n v="0"/>
    <n v="3012.97"/>
    <n v="1"/>
    <m/>
    <d v="2018-10-14T00:00:00"/>
    <m/>
    <s v="Mark Leal"/>
    <d v="2018-05-31T00:00:00"/>
    <d v="2018-07-11T00:00:00"/>
    <n v="41"/>
    <d v="2018-09-06T00:00:00"/>
    <n v="57"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n v="2769146.8506100001"/>
    <n v="1425859.5521456583"/>
    <n v="4195294.4027556572"/>
    <n v="4614823.8430312267"/>
    <n v="1339260.7391136358"/>
    <n v="38780.697030000003"/>
    <n v="1245603.8953936363"/>
    <n v="2311436.4803263107"/>
    <n v="0.70801175624430845"/>
    <m/>
    <m/>
    <m/>
    <m/>
    <m/>
    <m/>
    <m/>
    <m/>
    <m/>
  </r>
  <r>
    <x v="11"/>
    <m/>
    <m/>
    <m/>
    <m/>
    <m/>
    <m/>
    <m/>
    <m/>
    <m/>
    <m/>
    <x v="17"/>
    <m/>
    <s v=" "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s v=" "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  <r>
    <x v="11"/>
    <m/>
    <m/>
    <m/>
    <m/>
    <m/>
    <m/>
    <m/>
    <m/>
    <m/>
    <m/>
    <x v="17"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pivotTable1.xml><?xml version="1.0" encoding="utf-8"?>
<pivotTableDefinition xmlns="http://schemas.openxmlformats.org/spreadsheetml/2006/main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Y35" firstHeaderRow="1" firstDataRow="2" firstDataCol="1"/>
  <pivotFields count="9">
    <pivotField axis="axisRow" showAll="0">
      <items count="35">
        <item x="0"/>
        <item x="2"/>
        <item x="7"/>
        <item x="8"/>
        <item x="20"/>
        <item x="33"/>
        <item x="25"/>
        <item x="11"/>
        <item x="10"/>
        <item x="6"/>
        <item x="5"/>
        <item x="4"/>
        <item x="1"/>
        <item x="12"/>
        <item x="3"/>
        <item x="9"/>
        <item x="13"/>
        <item x="14"/>
        <item x="15"/>
        <item x="16"/>
        <item x="17"/>
        <item x="18"/>
        <item x="19"/>
        <item x="21"/>
        <item x="22"/>
        <item x="23"/>
        <item x="24"/>
        <item x="26"/>
        <item x="27"/>
        <item x="28"/>
        <item x="29"/>
        <item x="30"/>
        <item x="31"/>
        <item x="32"/>
        <item t="default"/>
      </items>
    </pivotField>
    <pivotField showAll="0"/>
    <pivotField showAll="0"/>
    <pivotField axis="axisCol" showAll="0" sortType="ascending">
      <items count="33">
        <item h="1" x="10"/>
        <item h="1" x="0"/>
        <item m="1" x="29"/>
        <item m="1" x="30"/>
        <item m="1" x="31"/>
        <item x="1"/>
        <item x="2"/>
        <item x="3"/>
        <item x="4"/>
        <item x="5"/>
        <item x="7"/>
        <item x="8"/>
        <item x="9"/>
        <item x="11"/>
        <item x="12"/>
        <item x="16"/>
        <item x="15"/>
        <item x="13"/>
        <item x="17"/>
        <item x="18"/>
        <item x="19"/>
        <item x="20"/>
        <item x="22"/>
        <item x="23"/>
        <item x="14"/>
        <item x="24"/>
        <item x="25"/>
        <item h="1" x="26"/>
        <item h="1" x="28"/>
        <item x="21"/>
        <item h="1" x="27"/>
        <item h="1" x="6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 t="grand">
      <x/>
    </i>
  </rowItems>
  <colFields count="1">
    <field x="3"/>
  </colFields>
  <colItems count="24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9"/>
    </i>
    <i t="grand">
      <x/>
    </i>
  </colItems>
  <dataFields count="1">
    <dataField name="Sum of Amount" fld="8" baseField="0" baseItem="1" numFmtId="165"/>
  </dataFields>
  <formats count="5">
    <format dxfId="140">
      <pivotArea outline="0" collapsedLevelsAreSubtotals="1" fieldPosition="0"/>
    </format>
    <format dxfId="139">
      <pivotArea field="0" grandCol="1" collapsedLevelsAreSubtotals="1" axis="axisRow" fieldPosition="0">
        <references count="1">
          <reference field="0" count="0"/>
        </references>
      </pivotArea>
    </format>
    <format dxfId="138">
      <pivotArea field="0" grandCol="1" collapsedLevelsAreSubtotals="1" axis="axisRow" fieldPosition="0">
        <references count="1">
          <reference field="0" count="3">
            <x v="1"/>
            <x v="3"/>
            <x v="5"/>
          </reference>
        </references>
      </pivotArea>
    </format>
    <format dxfId="137">
      <pivotArea grandCol="1" outline="0" collapsedLevelsAreSubtotals="1" fieldPosition="0"/>
    </format>
    <format dxfId="136">
      <pivotArea dataOnly="0" labelOnly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3:B258" firstHeaderRow="1" firstDataRow="1" firstDataCol="1"/>
  <pivotFields count="9">
    <pivotField showAll="0"/>
    <pivotField showAll="0"/>
    <pivotField showAll="0"/>
    <pivotField showAll="0"/>
    <pivotField showAll="0"/>
    <pivotField showAll="0"/>
    <pivotField axis="axisRow" showAll="0" sortType="ascending">
      <items count="279">
        <item m="1" x="259"/>
        <item x="90"/>
        <item x="172"/>
        <item m="1" x="264"/>
        <item x="180"/>
        <item x="25"/>
        <item x="24"/>
        <item x="5"/>
        <item x="184"/>
        <item x="179"/>
        <item x="183"/>
        <item x="173"/>
        <item x="144"/>
        <item x="205"/>
        <item x="176"/>
        <item x="146"/>
        <item x="141"/>
        <item x="186"/>
        <item x="140"/>
        <item x="189"/>
        <item x="178"/>
        <item m="1" x="226"/>
        <item m="1" x="268"/>
        <item x="182"/>
        <item x="187"/>
        <item x="188"/>
        <item x="175"/>
        <item x="174"/>
        <item x="212"/>
        <item x="0"/>
        <item x="1"/>
        <item x="118"/>
        <item x="106"/>
        <item x="107"/>
        <item x="109"/>
        <item x="108"/>
        <item x="119"/>
        <item m="1" x="265"/>
        <item m="1" x="255"/>
        <item m="1" x="269"/>
        <item m="1" x="228"/>
        <item x="6"/>
        <item x="132"/>
        <item x="61"/>
        <item x="35"/>
        <item x="16"/>
        <item x="18"/>
        <item x="11"/>
        <item x="26"/>
        <item x="105"/>
        <item x="3"/>
        <item x="4"/>
        <item x="23"/>
        <item x="13"/>
        <item x="7"/>
        <item x="121"/>
        <item x="29"/>
        <item x="10"/>
        <item x="2"/>
        <item x="120"/>
        <item x="73"/>
        <item x="49"/>
        <item x="8"/>
        <item x="12"/>
        <item x="15"/>
        <item m="1" x="248"/>
        <item x="9"/>
        <item x="67"/>
        <item x="84"/>
        <item x="34"/>
        <item x="20"/>
        <item m="1" x="240"/>
        <item x="40"/>
        <item x="33"/>
        <item x="41"/>
        <item m="1" x="239"/>
        <item x="65"/>
        <item x="32"/>
        <item x="52"/>
        <item x="19"/>
        <item x="196"/>
        <item x="157"/>
        <item x="14"/>
        <item x="37"/>
        <item x="28"/>
        <item x="31"/>
        <item m="1" x="262"/>
        <item x="54"/>
        <item x="39"/>
        <item x="71"/>
        <item x="42"/>
        <item m="1" x="272"/>
        <item m="1" x="253"/>
        <item x="77"/>
        <item x="22"/>
        <item x="88"/>
        <item x="74"/>
        <item x="36"/>
        <item x="27"/>
        <item x="21"/>
        <item x="161"/>
        <item x="44"/>
        <item x="87"/>
        <item x="72"/>
        <item x="86"/>
        <item x="116"/>
        <item x="58"/>
        <item x="30"/>
        <item x="17"/>
        <item x="55"/>
        <item m="1" x="224"/>
        <item x="38"/>
        <item x="113"/>
        <item x="60"/>
        <item x="47"/>
        <item x="57"/>
        <item x="63"/>
        <item x="53"/>
        <item x="76"/>
        <item m="1" x="277"/>
        <item x="75"/>
        <item m="1" x="227"/>
        <item x="62"/>
        <item x="70"/>
        <item x="66"/>
        <item m="1" x="223"/>
        <item x="171"/>
        <item x="117"/>
        <item m="1" x="229"/>
        <item x="50"/>
        <item x="56"/>
        <item x="51"/>
        <item x="101"/>
        <item x="162"/>
        <item x="94"/>
        <item x="85"/>
        <item x="59"/>
        <item x="91"/>
        <item m="1" x="235"/>
        <item x="45"/>
        <item x="96"/>
        <item m="1" x="245"/>
        <item x="97"/>
        <item x="43"/>
        <item x="48"/>
        <item m="1" x="258"/>
        <item x="64"/>
        <item x="103"/>
        <item x="68"/>
        <item x="46"/>
        <item m="1" x="254"/>
        <item x="190"/>
        <item x="110"/>
        <item x="206"/>
        <item x="125"/>
        <item x="93"/>
        <item x="89"/>
        <item x="81"/>
        <item x="69"/>
        <item m="1" x="275"/>
        <item x="79"/>
        <item x="80"/>
        <item x="102"/>
        <item x="92"/>
        <item x="82"/>
        <item x="83"/>
        <item x="100"/>
        <item x="139"/>
        <item x="95"/>
        <item x="114"/>
        <item x="98"/>
        <item x="78"/>
        <item x="99"/>
        <item x="138"/>
        <item x="129"/>
        <item x="137"/>
        <item x="150"/>
        <item x="104"/>
        <item x="130"/>
        <item x="128"/>
        <item x="133"/>
        <item x="111"/>
        <item x="122"/>
        <item x="115"/>
        <item x="131"/>
        <item x="135"/>
        <item x="154"/>
        <item x="124"/>
        <item x="145"/>
        <item x="136"/>
        <item x="152"/>
        <item x="210"/>
        <item x="134"/>
        <item x="123"/>
        <item x="208"/>
        <item x="156"/>
        <item x="112"/>
        <item x="158"/>
        <item x="159"/>
        <item x="142"/>
        <item x="204"/>
        <item x="195"/>
        <item x="147"/>
        <item x="165"/>
        <item x="194"/>
        <item x="164"/>
        <item x="169"/>
        <item x="168"/>
        <item x="153"/>
        <item x="192"/>
        <item x="167"/>
        <item x="199"/>
        <item x="177"/>
        <item x="211"/>
        <item x="191"/>
        <item x="149"/>
        <item x="198"/>
        <item x="155"/>
        <item x="148"/>
        <item x="170"/>
        <item x="203"/>
        <item x="151"/>
        <item x="181"/>
        <item x="160"/>
        <item x="193"/>
        <item x="207"/>
        <item x="200"/>
        <item x="209"/>
        <item x="185"/>
        <item x="201"/>
        <item x="202"/>
        <item x="197"/>
        <item m="1" x="247"/>
        <item m="1" x="266"/>
        <item m="1" x="256"/>
        <item m="1" x="250"/>
        <item m="1" x="273"/>
        <item m="1" x="260"/>
        <item m="1" x="221"/>
        <item m="1" x="267"/>
        <item m="1" x="217"/>
        <item m="1" x="220"/>
        <item m="1" x="219"/>
        <item m="1" x="222"/>
        <item m="1" x="243"/>
        <item m="1" x="230"/>
        <item m="1" x="236"/>
        <item m="1" x="237"/>
        <item m="1" x="231"/>
        <item m="1" x="257"/>
        <item m="1" x="216"/>
        <item m="1" x="232"/>
        <item m="1" x="263"/>
        <item m="1" x="244"/>
        <item m="1" x="276"/>
        <item m="1" x="218"/>
        <item m="1" x="241"/>
        <item m="1" x="238"/>
        <item m="1" x="215"/>
        <item m="1" x="252"/>
        <item m="1" x="214"/>
        <item m="1" x="246"/>
        <item m="1" x="261"/>
        <item m="1" x="271"/>
        <item m="1" x="274"/>
        <item m="1" x="270"/>
        <item m="1" x="234"/>
        <item m="1" x="249"/>
        <item m="1" x="242"/>
        <item m="1" x="233"/>
        <item m="1" x="251"/>
        <item m="1" x="225"/>
        <item x="127"/>
        <item x="126"/>
        <item x="166"/>
        <item x="143"/>
        <item x="163"/>
        <item x="213"/>
        <item t="default"/>
      </items>
    </pivotField>
    <pivotField showAll="0"/>
    <pivotField dataField="1" showAll="0"/>
  </pivotFields>
  <rowFields count="1">
    <field x="6"/>
  </rowFields>
  <rowItems count="215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7"/>
    </i>
    <i>
      <x v="68"/>
    </i>
    <i>
      <x v="69"/>
    </i>
    <i>
      <x v="70"/>
    </i>
    <i>
      <x v="72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2"/>
    </i>
    <i>
      <x v="123"/>
    </i>
    <i>
      <x v="124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9"/>
    </i>
    <i>
      <x v="140"/>
    </i>
    <i>
      <x v="142"/>
    </i>
    <i>
      <x v="143"/>
    </i>
    <i>
      <x v="144"/>
    </i>
    <i>
      <x v="146"/>
    </i>
    <i>
      <x v="147"/>
    </i>
    <i>
      <x v="148"/>
    </i>
    <i>
      <x v="149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72"/>
    </i>
    <i>
      <x v="273"/>
    </i>
    <i>
      <x v="274"/>
    </i>
    <i>
      <x v="275"/>
    </i>
    <i>
      <x v="276"/>
    </i>
    <i>
      <x v="277"/>
    </i>
    <i t="grand">
      <x/>
    </i>
  </rowItems>
  <colItems count="1">
    <i/>
  </colItems>
  <dataFields count="1">
    <dataField name="Sum of Amount" fld="8" baseField="6" baseItem="0"/>
  </dataFields>
  <formats count="11">
    <format dxfId="151">
      <pivotArea collapsedLevelsAreSubtotals="1" fieldPosition="0">
        <references count="1">
          <reference field="6" count="0"/>
        </references>
      </pivotArea>
    </format>
    <format dxfId="150">
      <pivotArea collapsedLevelsAreSubtotals="1" fieldPosition="0">
        <references count="1">
          <reference field="6" count="0"/>
        </references>
      </pivotArea>
    </format>
    <format dxfId="149">
      <pivotArea collapsedLevelsAreSubtotals="1" fieldPosition="0">
        <references count="1">
          <reference field="6" count="0"/>
        </references>
      </pivotArea>
    </format>
    <format dxfId="148">
      <pivotArea collapsedLevelsAreSubtotals="1" fieldPosition="0">
        <references count="1">
          <reference field="6" count="0"/>
        </references>
      </pivotArea>
    </format>
    <format dxfId="147">
      <pivotArea collapsedLevelsAreSubtotals="1" fieldPosition="0">
        <references count="1">
          <reference field="6" count="0"/>
        </references>
      </pivotArea>
    </format>
    <format dxfId="146">
      <pivotArea collapsedLevelsAreSubtotals="1" fieldPosition="0">
        <references count="1">
          <reference field="6" count="0"/>
        </references>
      </pivotArea>
    </format>
    <format dxfId="145">
      <pivotArea collapsedLevelsAreSubtotals="1" fieldPosition="0">
        <references count="1">
          <reference field="6" count="0"/>
        </references>
      </pivotArea>
    </format>
    <format dxfId="144">
      <pivotArea collapsedLevelsAreSubtotals="1" fieldPosition="0">
        <references count="1">
          <reference field="6" count="0"/>
        </references>
      </pivotArea>
    </format>
    <format dxfId="143">
      <pivotArea collapsedLevelsAreSubtotals="1" fieldPosition="0">
        <references count="1">
          <reference field="6" count="0"/>
        </references>
      </pivotArea>
    </format>
    <format dxfId="142">
      <pivotArea collapsedLevelsAreSubtotals="1" fieldPosition="0">
        <references count="1">
          <reference field="6" count="0"/>
        </references>
      </pivotArea>
    </format>
    <format dxfId="14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26" firstHeaderRow="1" firstDataRow="2" firstDataCol="1"/>
  <pivotFields count="12">
    <pivotField showAll="0"/>
    <pivotField showAll="0"/>
    <pivotField showAll="0"/>
    <pivotField showAll="0"/>
    <pivotField axis="axisRow" showAll="0">
      <items count="22">
        <item x="6"/>
        <item x="15"/>
        <item x="11"/>
        <item x="9"/>
        <item x="18"/>
        <item x="19"/>
        <item x="14"/>
        <item x="3"/>
        <item x="16"/>
        <item x="7"/>
        <item x="8"/>
        <item x="12"/>
        <item x="0"/>
        <item x="1"/>
        <item x="2"/>
        <item x="4"/>
        <item x="5"/>
        <item x="10"/>
        <item x="13"/>
        <item x="17"/>
        <item x="20"/>
        <item t="default"/>
      </items>
    </pivotField>
    <pivotField showAll="0"/>
    <pivotField showAll="0"/>
    <pivotField axis="axisCol" showAll="0" nonAutoSortDefault="1">
      <items count="11">
        <item x="2"/>
        <item x="3"/>
        <item x="5"/>
        <item x="8"/>
        <item x="4"/>
        <item x="9"/>
        <item x="0"/>
        <item x="1"/>
        <item x="6"/>
        <item x="7"/>
        <item t="default"/>
      </items>
    </pivotField>
    <pivotField showAll="0"/>
    <pivotField dataField="1" showAll="0"/>
    <pivotField showAll="0"/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Debit" fld="9" baseField="4" baseItem="0"/>
  </dataFields>
  <formats count="2">
    <format dxfId="134">
      <pivotArea collapsedLevelsAreSubtotals="1" fieldPosition="0">
        <references count="1">
          <reference field="4" count="0"/>
        </references>
      </pivotArea>
    </format>
    <format dxfId="13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8:L81" firstHeaderRow="1" firstDataRow="2" firstDataCol="1"/>
  <pivotFields count="12">
    <pivotField showAll="0"/>
    <pivotField showAll="0"/>
    <pivotField showAll="0"/>
    <pivotField showAll="0"/>
    <pivotField axis="axisRow" showAll="0">
      <items count="22">
        <item x="6"/>
        <item x="15"/>
        <item x="11"/>
        <item x="9"/>
        <item x="18"/>
        <item x="19"/>
        <item x="14"/>
        <item x="3"/>
        <item x="16"/>
        <item x="7"/>
        <item x="8"/>
        <item x="12"/>
        <item x="0"/>
        <item x="1"/>
        <item x="2"/>
        <item x="4"/>
        <item x="5"/>
        <item x="10"/>
        <item x="13"/>
        <item x="17"/>
        <item x="20"/>
        <item t="default"/>
      </items>
    </pivotField>
    <pivotField showAll="0"/>
    <pivotField showAll="0"/>
    <pivotField axis="axisCol" showAll="0">
      <items count="11">
        <item x="2"/>
        <item x="3"/>
        <item x="5"/>
        <item x="8"/>
        <item x="4"/>
        <item x="9"/>
        <item x="0"/>
        <item x="1"/>
        <item x="6"/>
        <item x="7"/>
        <item t="default"/>
      </items>
    </pivotField>
    <pivotField showAll="0"/>
    <pivotField showAll="0"/>
    <pivotField showAll="0"/>
    <pivotField dataField="1"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Credit" fld="11" baseField="4" baseItem="0" numFmtId="44"/>
  </dataFields>
  <formats count="1">
    <format dxfId="1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N2:O17" firstHeaderRow="1" firstDataRow="1" firstDataCol="1"/>
  <pivotFields count="11"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axis="axisRow" showAll="0">
      <items count="26">
        <item m="1" x="18"/>
        <item m="1" x="6"/>
        <item m="1" x="21"/>
        <item m="1" x="16"/>
        <item m="1" x="14"/>
        <item m="1" x="4"/>
        <item m="1" x="7"/>
        <item m="1" x="5"/>
        <item m="1" x="9"/>
        <item m="1" x="20"/>
        <item m="1" x="22"/>
        <item m="1" x="24"/>
        <item m="1" x="13"/>
        <item x="3"/>
        <item m="1" x="12"/>
        <item m="1" x="23"/>
        <item m="1" x="15"/>
        <item m="1" x="17"/>
        <item m="1" x="8"/>
        <item m="1" x="19"/>
        <item m="1" x="11"/>
        <item m="1" x="10"/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3"/>
    <field x="0"/>
  </rowFields>
  <rowItems count="15">
    <i>
      <x v="13"/>
    </i>
    <i r="1">
      <x v="2"/>
    </i>
    <i>
      <x v="22"/>
    </i>
    <i r="1">
      <x/>
    </i>
    <i r="1">
      <x v="1"/>
    </i>
    <i r="1">
      <x v="3"/>
    </i>
    <i>
      <x v="23"/>
    </i>
    <i r="1">
      <x/>
    </i>
    <i r="1">
      <x v="1"/>
    </i>
    <i r="1">
      <x v="3"/>
    </i>
    <i>
      <x v="24"/>
    </i>
    <i r="1">
      <x/>
    </i>
    <i r="1">
      <x v="1"/>
    </i>
    <i r="1">
      <x v="3"/>
    </i>
    <i t="grand">
      <x/>
    </i>
  </rowItems>
  <colItems count="1">
    <i/>
  </colItems>
  <dataFields count="1">
    <dataField name="Sum of Amount" fld="6" baseField="0" baseItem="0" numFmtId="165"/>
  </dataFields>
  <formats count="1">
    <format dxfId="1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R2:S11" firstHeaderRow="1" firstDataRow="1" firstDataCol="1"/>
  <pivotFields count="11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27">
        <item x="2"/>
        <item m="1" x="17"/>
        <item m="1" x="15"/>
        <item m="1" x="10"/>
        <item m="1" x="22"/>
        <item m="1" x="18"/>
        <item m="1" x="23"/>
        <item m="1" x="16"/>
        <item m="1" x="9"/>
        <item m="1" x="14"/>
        <item x="1"/>
        <item x="0"/>
        <item m="1" x="11"/>
        <item m="1" x="13"/>
        <item x="7"/>
        <item m="1" x="21"/>
        <item m="1" x="24"/>
        <item m="1" x="8"/>
        <item m="1" x="25"/>
        <item m="1" x="20"/>
        <item m="1" x="19"/>
        <item m="1" x="12"/>
        <item x="3"/>
        <item x="6"/>
        <item x="4"/>
        <item x="5"/>
        <item t="default"/>
      </items>
    </pivotField>
  </pivotFields>
  <rowFields count="1">
    <field x="10"/>
  </rowFields>
  <rowItems count="9">
    <i>
      <x/>
    </i>
    <i>
      <x v="10"/>
    </i>
    <i>
      <x v="11"/>
    </i>
    <i>
      <x v="14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Count of Location2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G47:AJ61" firstHeaderRow="0" firstDataRow="1" firstDataCol="1"/>
  <pivotFields count="23">
    <pivotField axis="axisRow" showAll="0">
      <items count="4">
        <item x="0"/>
        <item h="1" x="1"/>
        <item m="1" x="2"/>
        <item t="default"/>
      </items>
    </pivotField>
    <pivotField showAll="0"/>
    <pivotField showAll="0" defaultSubtotal="0"/>
    <pivotField showAll="0" defaultSubtotal="0"/>
    <pivotField showAll="0"/>
    <pivotField showAll="0" defaultSubtotal="0"/>
    <pivotField showAll="0" defaultSubtotal="0"/>
    <pivotField axis="axisRow" showAll="0">
      <items count="18">
        <item m="1" x="14"/>
        <item m="1" x="13"/>
        <item x="12"/>
        <item m="1" x="15"/>
        <item x="3"/>
        <item x="4"/>
        <item x="1"/>
        <item x="0"/>
        <item x="5"/>
        <item x="2"/>
        <item x="7"/>
        <item x="10"/>
        <item x="6"/>
        <item x="11"/>
        <item x="8"/>
        <item m="1" x="16"/>
        <item x="9"/>
        <item t="default"/>
      </items>
    </pivotField>
    <pivotField showAll="0"/>
    <pivotField showAll="0" defaultSubtotal="0"/>
    <pivotField showAl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/>
    <pivotField showAll="0"/>
    <pivotField showAll="0"/>
  </pivotFields>
  <rowFields count="2">
    <field x="0"/>
    <field x="7"/>
  </rowFields>
  <rowItems count="14">
    <i>
      <x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verhead Cost" fld="16" baseField="4" baseItem="4" numFmtId="165"/>
    <dataField name="Sum of Total Revenue" fld="12" baseField="0" baseItem="0" numFmtId="165"/>
    <dataField name="Sum of Total Cost" fld="17" baseField="0" baseItem="0" numFmtId="165"/>
  </dataFields>
  <formats count="8">
    <format dxfId="131">
      <pivotArea type="all" dataOnly="0" outline="0" fieldPosition="0"/>
    </format>
    <format dxfId="130">
      <pivotArea outline="0" collapsedLevelsAreSubtotals="1" fieldPosition="0"/>
    </format>
    <format dxfId="129">
      <pivotArea field="0" type="button" dataOnly="0" labelOnly="1" outline="0" axis="axisRow" fieldPosition="0"/>
    </format>
    <format dxfId="128">
      <pivotArea dataOnly="0" labelOnly="1" fieldPosition="0">
        <references count="1">
          <reference field="0" count="0"/>
        </references>
      </pivotArea>
    </format>
    <format dxfId="127">
      <pivotArea dataOnly="0" labelOnly="1" grandRow="1" outline="0" fieldPosition="0"/>
    </format>
    <format dxfId="126">
      <pivotArea dataOnly="0" labelOnly="1" fieldPosition="0">
        <references count="2">
          <reference field="0" count="1" selected="0">
            <x v="0"/>
          </reference>
          <reference field="7" count="0"/>
        </references>
      </pivotArea>
    </format>
    <format dxfId="125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124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T2:X11" firstHeaderRow="0" firstDataRow="1" firstDataCol="1"/>
  <pivotFields count="15">
    <pivotField axis="axisRow" showAll="0">
      <items count="22">
        <item x="4"/>
        <item m="1" x="16"/>
        <item x="8"/>
        <item x="2"/>
        <item h="1" m="1" x="17"/>
        <item m="1" x="19"/>
        <item x="3"/>
        <item x="6"/>
        <item m="1" x="20"/>
        <item m="1" x="15"/>
        <item h="1" x="13"/>
        <item m="1" x="14"/>
        <item h="1" x="7"/>
        <item m="1" x="18"/>
        <item x="5"/>
        <item x="1"/>
        <item x="0"/>
        <item h="1" x="9"/>
        <item h="1" x="10"/>
        <item h="1" x="11"/>
        <item h="1" x="1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showAll="0"/>
    <pivotField dataField="1" showAll="0"/>
    <pivotField dataField="1" showAll="0"/>
  </pivotFields>
  <rowFields count="1">
    <field x="0"/>
  </rowFields>
  <rowItems count="9">
    <i>
      <x/>
    </i>
    <i>
      <x v="2"/>
    </i>
    <i>
      <x v="3"/>
    </i>
    <i>
      <x v="6"/>
    </i>
    <i>
      <x v="7"/>
    </i>
    <i>
      <x v="14"/>
    </i>
    <i>
      <x v="15"/>
    </i>
    <i>
      <x v="1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Quoted Sum Won" fld="3" subtotal="count" baseField="0" baseItem="0"/>
    <dataField name="Count of Won Less than $2K" fld="12" subtotal="count" baseField="0" baseItem="0"/>
    <dataField name="Count of Won Greater than 2K to 5K" fld="13" subtotal="count" baseField="0" baseItem="0"/>
    <dataField name="Count of Won Greater than 5K" fld="14" subtotal="count" baseField="0" baseItem="0"/>
  </dataFields>
  <formats count="8">
    <format dxfId="113">
      <pivotArea field="0" type="button" dataOnly="0" labelOnly="1" outline="0" axis="axisRow" fieldPosition="0"/>
    </format>
    <format dxfId="11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field="0" type="button" dataOnly="0" labelOnly="1" outline="0" axis="axisRow" fieldPosition="0"/>
    </format>
    <format dxfId="108">
      <pivotArea dataOnly="0" labelOnly="1" fieldPosition="0">
        <references count="1">
          <reference field="0" count="0"/>
        </references>
      </pivotArea>
    </format>
    <format dxfId="107">
      <pivotArea dataOnly="0" labelOnly="1" grandRow="1" outline="0" fieldPosition="0"/>
    </format>
    <format dxfId="10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T38:W39" firstHeaderRow="0" firstDataRow="1" firstDataCol="0"/>
  <pivotFields count="15"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/>
    <pivotField showAll="0"/>
    <pivotField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ite Name" fld="1" subtotal="count" baseField="0" baseItem="0"/>
    <dataField name="Count of Quoted Sum Loss" fld="10" subtotal="count" baseField="0" baseItem="0"/>
    <dataField name="Count of Quoted Sum Won" fld="3" subtotal="count" baseField="0" baseItem="0"/>
    <dataField name="Count of Pending on Outcome" fld="2" subtotal="count" baseField="0" baseItem="0"/>
  </dataFields>
  <formats count="3">
    <format dxfId="116">
      <pivotArea type="all" dataOnly="0" outline="0" fieldPosition="0"/>
    </format>
    <format dxfId="115">
      <pivotArea outline="0" collapsedLevelsAreSubtotals="1" fieldPosition="0"/>
    </format>
    <format dxfId="11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T20:U30" firstHeaderRow="1" firstDataRow="1" firstDataCol="1"/>
  <pivotFields count="15">
    <pivotField axis="axisRow" showAll="0">
      <items count="20">
        <item x="4"/>
        <item x="8"/>
        <item x="2"/>
        <item h="1" m="1" x="15"/>
        <item m="1" x="17"/>
        <item x="3"/>
        <item x="6"/>
        <item m="1" x="18"/>
        <item m="1" x="14"/>
        <item x="13"/>
        <item h="1" x="7"/>
        <item x="0"/>
        <item m="1" x="16"/>
        <item x="5"/>
        <item x="1"/>
        <item h="1" x="9"/>
        <item h="1" x="10"/>
        <item h="1" x="11"/>
        <item h="1" x="1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</pivotFields>
  <rowFields count="1">
    <field x="0"/>
  </rowFields>
  <rowItems count="10">
    <i>
      <x/>
    </i>
    <i>
      <x v="1"/>
    </i>
    <i>
      <x v="2"/>
    </i>
    <i>
      <x v="5"/>
    </i>
    <i>
      <x v="6"/>
    </i>
    <i>
      <x v="9"/>
    </i>
    <i>
      <x v="11"/>
    </i>
    <i>
      <x v="13"/>
    </i>
    <i>
      <x v="14"/>
    </i>
    <i t="grand">
      <x/>
    </i>
  </rowItems>
  <colItems count="1">
    <i/>
  </colItems>
  <dataFields count="1">
    <dataField name="Sum of Quoted Sum Won" fld="3" baseField="0" baseItem="0" numFmtId="165"/>
  </dataFields>
  <formats count="7">
    <format dxfId="123">
      <pivotArea outline="0" collapsedLevelsAreSubtotals="1" fieldPosition="0"/>
    </format>
    <format dxfId="122">
      <pivotArea type="all" dataOnly="0" outline="0" fieldPosition="0"/>
    </format>
    <format dxfId="121">
      <pivotArea outline="0" collapsedLevelsAreSubtotals="1" fieldPosition="0"/>
    </format>
    <format dxfId="120">
      <pivotArea field="0" type="button" dataOnly="0" labelOnly="1" outline="0" axis="axisRow" fieldPosition="0"/>
    </format>
    <format dxfId="119">
      <pivotArea dataOnly="0" labelOnly="1" outline="0" axis="axisValues" fieldPosition="0"/>
    </format>
    <format dxfId="118">
      <pivotArea dataOnly="0" labelOnly="1" fieldPosition="0">
        <references count="1">
          <reference field="0" count="0"/>
        </references>
      </pivotArea>
    </format>
    <format dxfId="11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O3:T5" firstHeaderRow="0" firstDataRow="1" firstDataCol="1"/>
  <pivotFields count="13"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11">
        <item m="1" x="2"/>
        <item m="1" x="1"/>
        <item m="1" x="7"/>
        <item m="1" x="9"/>
        <item m="1" x="4"/>
        <item x="0"/>
        <item m="1" x="8"/>
        <item m="1" x="5"/>
        <item m="1" x="6"/>
        <item m="1" x="3"/>
        <item t="default"/>
      </items>
    </pivotField>
    <pivotField showAll="0"/>
  </pivotFields>
  <rowFields count="1">
    <field x="11"/>
  </rowFields>
  <rowItems count="2"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Revenue" fld="7" baseField="11" baseItem="0"/>
    <dataField name="Sum of Labour Cost" fld="6" baseField="11" baseItem="0"/>
    <dataField name="Sum of Margin" fld="8" baseField="11" baseItem="0"/>
    <dataField name="Average of Margin %" fld="9" subtotal="average" baseField="11" baseItem="0"/>
    <dataField name="Sum of Material Cost" fld="5" baseField="11" baseItem="0"/>
  </dataFields>
  <formats count="6">
    <format dxfId="45">
      <pivotArea collapsedLevelsAreSubtotals="1" fieldPosition="0">
        <references count="1">
          <reference field="11" count="5">
            <x v="0"/>
            <x v="1"/>
            <x v="2"/>
            <x v="3"/>
            <x v="4"/>
          </reference>
        </references>
      </pivotArea>
    </format>
    <format dxfId="44">
      <pivotArea grandRow="1" outline="0" collapsedLevelsAreSubtotals="1" fieldPosition="0"/>
    </format>
    <format dxfId="43">
      <pivotArea collapsedLevelsAreSubtotals="1" fieldPosition="0">
        <references count="2">
          <reference field="4294967294" count="1" selected="0">
            <x v="3"/>
          </reference>
          <reference field="11" count="0"/>
        </references>
      </pivotArea>
    </format>
    <format dxfId="42">
      <pivotArea field="11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41">
      <pivotArea collapsedLevelsAreSubtotals="1" fieldPosition="0">
        <references count="2">
          <reference field="4294967294" count="3" selected="0">
            <x v="0"/>
            <x v="1"/>
            <x v="2"/>
          </reference>
          <reference field="11" count="1">
            <x v="6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4"/>
          </reference>
          <reference field="11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O32:S35" firstHeaderRow="0" firstDataRow="1" firstDataCol="1"/>
  <pivotFields count="13">
    <pivotField showAll="0"/>
    <pivotField showAll="0"/>
    <pivotField showAll="0"/>
    <pivotField showAll="0"/>
    <pivotField axis="axisRow" showAll="0">
      <items count="4">
        <item m="1" x="1"/>
        <item m="1" x="2"/>
        <item x="0"/>
        <item t="default"/>
      </items>
    </pivotField>
    <pivotField dataField="1" showAll="0"/>
    <pivotField showAll="0"/>
    <pivotField dataField="1" showAll="0"/>
    <pivotField dataField="1" showAll="0"/>
    <pivotField dataField="1" showAll="0"/>
    <pivotField showAll="0"/>
    <pivotField axis="axisRow" showAll="0">
      <items count="11">
        <item m="1" x="2"/>
        <item m="1" x="1"/>
        <item m="1" x="4"/>
        <item x="0"/>
        <item m="1" x="9"/>
        <item m="1" x="7"/>
        <item m="1" x="8"/>
        <item m="1" x="5"/>
        <item m="1" x="6"/>
        <item m="1" x="3"/>
        <item t="default"/>
      </items>
    </pivotField>
    <pivotField showAll="0"/>
  </pivotFields>
  <rowFields count="2">
    <field x="11"/>
    <field x="4"/>
  </rowFields>
  <rowItems count="3">
    <i>
      <x v="3"/>
    </i>
    <i r="1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Revenue" fld="7" baseField="11" baseItem="0"/>
    <dataField name="Sum of Material Cost" fld="5" baseField="11" baseItem="0"/>
    <dataField name="Average of Margin %" fld="9" subtotal="average" baseField="4" baseItem="0"/>
    <dataField name="Sum of Margin" fld="8" baseField="11" baseItem="0"/>
  </dataFields>
  <formats count="60">
    <format dxfId="105">
      <pivotArea collapsedLevelsAreSubtotals="1" fieldPosition="0">
        <references count="2">
          <reference field="4294967294" count="1" selected="0">
            <x v="2"/>
          </reference>
          <reference field="11" count="1">
            <x v="0"/>
          </reference>
        </references>
      </pivotArea>
    </format>
    <format dxfId="104">
      <pivotArea collapsedLevelsAreSubtotals="1" fieldPosition="0">
        <references count="3">
          <reference field="4294967294" count="1" selected="0">
            <x v="2"/>
          </reference>
          <reference field="4" count="1">
            <x v="0"/>
          </reference>
          <reference field="11" count="1" selected="0">
            <x v="0"/>
          </reference>
        </references>
      </pivotArea>
    </format>
    <format dxfId="103">
      <pivotArea collapsedLevelsAreSubtotals="1" fieldPosition="0">
        <references count="2">
          <reference field="4294967294" count="1" selected="0">
            <x v="2"/>
          </reference>
          <reference field="11" count="1">
            <x v="1"/>
          </reference>
        </references>
      </pivotArea>
    </format>
    <format dxfId="102">
      <pivotArea collapsedLevelsAreSubtotals="1" fieldPosition="0">
        <references count="3">
          <reference field="4294967294" count="1" selected="0">
            <x v="2"/>
          </reference>
          <reference field="4" count="2">
            <x v="0"/>
            <x v="1"/>
          </reference>
          <reference field="11" count="1" selected="0">
            <x v="1"/>
          </reference>
        </references>
      </pivotArea>
    </format>
    <format dxfId="101">
      <pivotArea collapsedLevelsAreSubtotals="1" fieldPosition="0">
        <references count="2">
          <reference field="4294967294" count="1" selected="0">
            <x v="2"/>
          </reference>
          <reference field="11" count="1">
            <x v="2"/>
          </reference>
        </references>
      </pivotArea>
    </format>
    <format dxfId="100">
      <pivotArea collapsedLevelsAreSubtotals="1" fieldPosition="0">
        <references count="3">
          <reference field="4294967294" count="1" selected="0">
            <x v="2"/>
          </reference>
          <reference field="4" count="1">
            <x v="0"/>
          </reference>
          <reference field="11" count="1" selected="0">
            <x v="2"/>
          </reference>
        </references>
      </pivotArea>
    </format>
    <format dxfId="99">
      <pivotArea field="11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98">
      <pivotArea field="1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97">
      <pivotArea collapsedLevelsAreSubtotals="1" fieldPosition="0">
        <references count="2">
          <reference field="4294967294" count="1" selected="0">
            <x v="0"/>
          </reference>
          <reference field="11" count="1">
            <x v="0"/>
          </reference>
        </references>
      </pivotArea>
    </format>
    <format dxfId="96">
      <pivotArea collapsedLevelsAreSubtotals="1" fieldPosition="0">
        <references count="3">
          <reference field="4294967294" count="1" selected="0">
            <x v="0"/>
          </reference>
          <reference field="4" count="1">
            <x v="0"/>
          </reference>
          <reference field="11" count="1" selected="0">
            <x v="0"/>
          </reference>
        </references>
      </pivotArea>
    </format>
    <format dxfId="95">
      <pivotArea collapsedLevelsAreSubtotals="1" fieldPosition="0">
        <references count="2">
          <reference field="4294967294" count="1" selected="0">
            <x v="0"/>
          </reference>
          <reference field="11" count="1">
            <x v="1"/>
          </reference>
        </references>
      </pivotArea>
    </format>
    <format dxfId="94">
      <pivotArea collapsedLevelsAreSubtotals="1" fieldPosition="0">
        <references count="3">
          <reference field="4294967294" count="1" selected="0">
            <x v="0"/>
          </reference>
          <reference field="4" count="2">
            <x v="0"/>
            <x v="1"/>
          </reference>
          <reference field="11" count="1" selected="0">
            <x v="1"/>
          </reference>
        </references>
      </pivotArea>
    </format>
    <format dxfId="93">
      <pivotArea collapsedLevelsAreSubtotals="1" fieldPosition="0">
        <references count="2">
          <reference field="4294967294" count="1" selected="0">
            <x v="0"/>
          </reference>
          <reference field="11" count="1">
            <x v="2"/>
          </reference>
        </references>
      </pivotArea>
    </format>
    <format dxfId="92">
      <pivotArea collapsedLevelsAreSubtotals="1" fieldPosition="0">
        <references count="3">
          <reference field="4294967294" count="1" selected="0">
            <x v="0"/>
          </reference>
          <reference field="4" count="1">
            <x v="0"/>
          </reference>
          <reference field="11" count="1" selected="0">
            <x v="2"/>
          </reference>
        </references>
      </pivotArea>
    </format>
    <format dxfId="91">
      <pivotArea collapsedLevelsAreSubtotals="1" fieldPosition="0">
        <references count="2">
          <reference field="4294967294" count="1" selected="0">
            <x v="0"/>
          </reference>
          <reference field="11" count="1">
            <x v="3"/>
          </reference>
        </references>
      </pivotArea>
    </format>
    <format dxfId="90">
      <pivotArea collapsedLevelsAreSubtotals="1" fieldPosition="0">
        <references count="2">
          <reference field="4294967294" count="1" selected="0">
            <x v="3"/>
          </reference>
          <reference field="11" count="1">
            <x v="0"/>
          </reference>
        </references>
      </pivotArea>
    </format>
    <format dxfId="89">
      <pivotArea collapsedLevelsAreSubtotals="1" fieldPosition="0">
        <references count="3">
          <reference field="4294967294" count="1" selected="0">
            <x v="3"/>
          </reference>
          <reference field="4" count="1">
            <x v="0"/>
          </reference>
          <reference field="11" count="1" selected="0">
            <x v="0"/>
          </reference>
        </references>
      </pivotArea>
    </format>
    <format dxfId="88">
      <pivotArea collapsedLevelsAreSubtotals="1" fieldPosition="0">
        <references count="2">
          <reference field="4294967294" count="1" selected="0">
            <x v="3"/>
          </reference>
          <reference field="11" count="1">
            <x v="1"/>
          </reference>
        </references>
      </pivotArea>
    </format>
    <format dxfId="87">
      <pivotArea collapsedLevelsAreSubtotals="1" fieldPosition="0">
        <references count="3">
          <reference field="4294967294" count="1" selected="0">
            <x v="3"/>
          </reference>
          <reference field="4" count="2">
            <x v="0"/>
            <x v="1"/>
          </reference>
          <reference field="11" count="1" selected="0">
            <x v="1"/>
          </reference>
        </references>
      </pivotArea>
    </format>
    <format dxfId="86">
      <pivotArea collapsedLevelsAreSubtotals="1" fieldPosition="0">
        <references count="2">
          <reference field="4294967294" count="1" selected="0">
            <x v="3"/>
          </reference>
          <reference field="11" count="1">
            <x v="2"/>
          </reference>
        </references>
      </pivotArea>
    </format>
    <format dxfId="85">
      <pivotArea collapsedLevelsAreSubtotals="1" fieldPosition="0">
        <references count="3">
          <reference field="4294967294" count="1" selected="0">
            <x v="3"/>
          </reference>
          <reference field="4" count="1">
            <x v="0"/>
          </reference>
          <reference field="11" count="1" selected="0">
            <x v="2"/>
          </reference>
        </references>
      </pivotArea>
    </format>
    <format dxfId="84">
      <pivotArea field="11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83">
      <pivotArea collapsedLevelsAreSubtotals="1" fieldPosition="0">
        <references count="2">
          <reference field="4294967294" count="1" selected="0">
            <x v="2"/>
          </reference>
          <reference field="11" count="1">
            <x v="4"/>
          </reference>
        </references>
      </pivotArea>
    </format>
    <format dxfId="82">
      <pivotArea collapsedLevelsAreSubtotals="1" fieldPosition="0">
        <references count="3">
          <reference field="4294967294" count="1" selected="0">
            <x v="2"/>
          </reference>
          <reference field="4" count="1">
            <x v="0"/>
          </reference>
          <reference field="11" count="1" selected="0">
            <x v="4"/>
          </reference>
        </references>
      </pivotArea>
    </format>
    <format dxfId="81">
      <pivotArea collapsedLevelsAreSubtotals="1" fieldPosition="0">
        <references count="2">
          <reference field="4294967294" count="1" selected="0">
            <x v="2"/>
          </reference>
          <reference field="11" count="1">
            <x v="5"/>
          </reference>
        </references>
      </pivotArea>
    </format>
    <format dxfId="80">
      <pivotArea collapsedLevelsAreSubtotals="1" fieldPosition="0">
        <references count="3">
          <reference field="4294967294" count="1" selected="0">
            <x v="2"/>
          </reference>
          <reference field="4" count="1">
            <x v="0"/>
          </reference>
          <reference field="11" count="1" selected="0">
            <x v="5"/>
          </reference>
        </references>
      </pivotArea>
    </format>
    <format dxfId="79">
      <pivotArea collapsedLevelsAreSubtotals="1" fieldPosition="0">
        <references count="3">
          <reference field="4294967294" count="1" selected="0">
            <x v="0"/>
          </reference>
          <reference field="4" count="1">
            <x v="2"/>
          </reference>
          <reference field="11" count="1" selected="0">
            <x v="3"/>
          </reference>
        </references>
      </pivotArea>
    </format>
    <format dxfId="78">
      <pivotArea collapsedLevelsAreSubtotals="1" fieldPosition="0">
        <references count="2">
          <reference field="4294967294" count="1" selected="0">
            <x v="0"/>
          </reference>
          <reference field="11" count="1">
            <x v="4"/>
          </reference>
        </references>
      </pivotArea>
    </format>
    <format dxfId="77">
      <pivotArea collapsedLevelsAreSubtotals="1" fieldPosition="0">
        <references count="3">
          <reference field="4294967294" count="1" selected="0">
            <x v="0"/>
          </reference>
          <reference field="4" count="1">
            <x v="0"/>
          </reference>
          <reference field="11" count="1" selected="0">
            <x v="4"/>
          </reference>
        </references>
      </pivotArea>
    </format>
    <format dxfId="76">
      <pivotArea collapsedLevelsAreSubtotals="1" fieldPosition="0">
        <references count="2">
          <reference field="4294967294" count="1" selected="0">
            <x v="0"/>
          </reference>
          <reference field="11" count="1">
            <x v="5"/>
          </reference>
        </references>
      </pivotArea>
    </format>
    <format dxfId="75">
      <pivotArea collapsedLevelsAreSubtotals="1" fieldPosition="0">
        <references count="3">
          <reference field="4294967294" count="1" selected="0">
            <x v="0"/>
          </reference>
          <reference field="4" count="1">
            <x v="0"/>
          </reference>
          <reference field="11" count="1" selected="0">
            <x v="5"/>
          </reference>
        </references>
      </pivotArea>
    </format>
    <format dxfId="74">
      <pivotArea field="11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73">
      <pivotArea collapsedLevelsAreSubtotals="1" fieldPosition="0">
        <references count="2">
          <reference field="4294967294" count="1" selected="0">
            <x v="1"/>
          </reference>
          <reference field="11" count="1">
            <x v="0"/>
          </reference>
        </references>
      </pivotArea>
    </format>
    <format dxfId="72">
      <pivotArea collapsedLevelsAreSubtotals="1" fieldPosition="0">
        <references count="3">
          <reference field="4294967294" count="1" selected="0">
            <x v="1"/>
          </reference>
          <reference field="4" count="1">
            <x v="0"/>
          </reference>
          <reference field="11" count="1" selected="0">
            <x v="0"/>
          </reference>
        </references>
      </pivotArea>
    </format>
    <format dxfId="71">
      <pivotArea collapsedLevelsAreSubtotals="1" fieldPosition="0">
        <references count="2">
          <reference field="4294967294" count="1" selected="0">
            <x v="1"/>
          </reference>
          <reference field="11" count="1">
            <x v="1"/>
          </reference>
        </references>
      </pivotArea>
    </format>
    <format dxfId="70">
      <pivotArea collapsedLevelsAreSubtotals="1" fieldPosition="0">
        <references count="3">
          <reference field="4294967294" count="1" selected="0">
            <x v="1"/>
          </reference>
          <reference field="4" count="2">
            <x v="0"/>
            <x v="1"/>
          </reference>
          <reference field="11" count="1" selected="0">
            <x v="1"/>
          </reference>
        </references>
      </pivotArea>
    </format>
    <format dxfId="69">
      <pivotArea collapsedLevelsAreSubtotals="1" fieldPosition="0">
        <references count="2">
          <reference field="4294967294" count="1" selected="0">
            <x v="1"/>
          </reference>
          <reference field="11" count="1">
            <x v="2"/>
          </reference>
        </references>
      </pivotArea>
    </format>
    <format dxfId="68">
      <pivotArea collapsedLevelsAreSubtotals="1" fieldPosition="0">
        <references count="3">
          <reference field="4294967294" count="1" selected="0">
            <x v="1"/>
          </reference>
          <reference field="4" count="1">
            <x v="0"/>
          </reference>
          <reference field="11" count="1" selected="0">
            <x v="2"/>
          </reference>
        </references>
      </pivotArea>
    </format>
    <format dxfId="67">
      <pivotArea collapsedLevelsAreSubtotals="1" fieldPosition="0">
        <references count="2">
          <reference field="4294967294" count="1" selected="0">
            <x v="1"/>
          </reference>
          <reference field="11" count="1">
            <x v="3"/>
          </reference>
        </references>
      </pivotArea>
    </format>
    <format dxfId="66">
      <pivotArea collapsedLevelsAreSubtotals="1" fieldPosition="0">
        <references count="3">
          <reference field="4294967294" count="1" selected="0">
            <x v="1"/>
          </reference>
          <reference field="4" count="1">
            <x v="2"/>
          </reference>
          <reference field="11" count="1" selected="0">
            <x v="3"/>
          </reference>
        </references>
      </pivotArea>
    </format>
    <format dxfId="65">
      <pivotArea collapsedLevelsAreSubtotals="1" fieldPosition="0">
        <references count="2">
          <reference field="4294967294" count="1" selected="0">
            <x v="1"/>
          </reference>
          <reference field="11" count="1">
            <x v="4"/>
          </reference>
        </references>
      </pivotArea>
    </format>
    <format dxfId="64">
      <pivotArea collapsedLevelsAreSubtotals="1" fieldPosition="0">
        <references count="3">
          <reference field="4294967294" count="1" selected="0">
            <x v="1"/>
          </reference>
          <reference field="4" count="1">
            <x v="0"/>
          </reference>
          <reference field="11" count="1" selected="0">
            <x v="4"/>
          </reference>
        </references>
      </pivotArea>
    </format>
    <format dxfId="63">
      <pivotArea collapsedLevelsAreSubtotals="1" fieldPosition="0">
        <references count="2">
          <reference field="4294967294" count="1" selected="0">
            <x v="1"/>
          </reference>
          <reference field="11" count="1">
            <x v="5"/>
          </reference>
        </references>
      </pivotArea>
    </format>
    <format dxfId="62">
      <pivotArea collapsedLevelsAreSubtotals="1" fieldPosition="0">
        <references count="3">
          <reference field="4294967294" count="1" selected="0">
            <x v="1"/>
          </reference>
          <reference field="4" count="1">
            <x v="0"/>
          </reference>
          <reference field="11" count="1" selected="0">
            <x v="5"/>
          </reference>
        </references>
      </pivotArea>
    </format>
    <format dxfId="61">
      <pivotArea collapsedLevelsAreSubtotals="1" fieldPosition="0">
        <references count="2">
          <reference field="4294967294" count="2" selected="0">
            <x v="0"/>
            <x v="1"/>
          </reference>
          <reference field="11" count="1">
            <x v="6"/>
          </reference>
        </references>
      </pivotArea>
    </format>
    <format dxfId="60">
      <pivotArea collapsedLevelsAreSubtotals="1" fieldPosition="0">
        <references count="3">
          <reference field="4294967294" count="2" selected="0">
            <x v="0"/>
            <x v="1"/>
          </reference>
          <reference field="4" count="1">
            <x v="0"/>
          </reference>
          <reference field="11" count="1" selected="0">
            <x v="6"/>
          </reference>
        </references>
      </pivotArea>
    </format>
    <format dxfId="59">
      <pivotArea collapsedLevelsAreSubtotals="1" fieldPosition="0">
        <references count="2">
          <reference field="4294967294" count="1" selected="0">
            <x v="2"/>
          </reference>
          <reference field="11" count="1">
            <x v="6"/>
          </reference>
        </references>
      </pivotArea>
    </format>
    <format dxfId="58">
      <pivotArea collapsedLevelsAreSubtotals="1" fieldPosition="0">
        <references count="3">
          <reference field="4294967294" count="1" selected="0">
            <x v="2"/>
          </reference>
          <reference field="4" count="1">
            <x v="0"/>
          </reference>
          <reference field="11" count="1" selected="0">
            <x v="6"/>
          </reference>
        </references>
      </pivotArea>
    </format>
    <format dxfId="57">
      <pivotArea collapsedLevelsAreSubtotals="1" fieldPosition="0">
        <references count="2">
          <reference field="4294967294" count="1" selected="0">
            <x v="3"/>
          </reference>
          <reference field="11" count="1">
            <x v="4"/>
          </reference>
        </references>
      </pivotArea>
    </format>
    <format dxfId="56">
      <pivotArea collapsedLevelsAreSubtotals="1" fieldPosition="0">
        <references count="3">
          <reference field="4294967294" count="1" selected="0">
            <x v="3"/>
          </reference>
          <reference field="4" count="1">
            <x v="0"/>
          </reference>
          <reference field="11" count="1" selected="0">
            <x v="4"/>
          </reference>
        </references>
      </pivotArea>
    </format>
    <format dxfId="55">
      <pivotArea collapsedLevelsAreSubtotals="1" fieldPosition="0">
        <references count="2">
          <reference field="4294967294" count="1" selected="0">
            <x v="3"/>
          </reference>
          <reference field="11" count="1">
            <x v="5"/>
          </reference>
        </references>
      </pivotArea>
    </format>
    <format dxfId="54">
      <pivotArea collapsedLevelsAreSubtotals="1" fieldPosition="0">
        <references count="3">
          <reference field="4294967294" count="1" selected="0">
            <x v="3"/>
          </reference>
          <reference field="4" count="1">
            <x v="0"/>
          </reference>
          <reference field="11" count="1" selected="0">
            <x v="5"/>
          </reference>
        </references>
      </pivotArea>
    </format>
    <format dxfId="53">
      <pivotArea collapsedLevelsAreSubtotals="1" fieldPosition="0">
        <references count="2">
          <reference field="4294967294" count="1" selected="0">
            <x v="3"/>
          </reference>
          <reference field="11" count="1">
            <x v="6"/>
          </reference>
        </references>
      </pivotArea>
    </format>
    <format dxfId="52">
      <pivotArea collapsedLevelsAreSubtotals="1" fieldPosition="0">
        <references count="3">
          <reference field="4294967294" count="1" selected="0">
            <x v="3"/>
          </reference>
          <reference field="4" count="1">
            <x v="0"/>
          </reference>
          <reference field="11" count="1" selected="0">
            <x v="6"/>
          </reference>
        </references>
      </pivotArea>
    </format>
    <format dxfId="51">
      <pivotArea collapsedLevelsAreSubtotals="1" fieldPosition="0">
        <references count="2">
          <reference field="4294967294" count="1" selected="0">
            <x v="2"/>
          </reference>
          <reference field="11" count="1">
            <x v="7"/>
          </reference>
        </references>
      </pivotArea>
    </format>
    <format dxfId="50">
      <pivotArea collapsedLevelsAreSubtotals="1" fieldPosition="0">
        <references count="3">
          <reference field="4294967294" count="1" selected="0">
            <x v="2"/>
          </reference>
          <reference field="4" count="2">
            <x v="0"/>
            <x v="1"/>
          </reference>
          <reference field="11" count="1" selected="0">
            <x v="7"/>
          </reference>
        </references>
      </pivotArea>
    </format>
    <format dxfId="49">
      <pivotArea collapsedLevelsAreSubtotals="1" fieldPosition="0">
        <references count="2">
          <reference field="4294967294" count="1" selected="0">
            <x v="2"/>
          </reference>
          <reference field="11" count="1">
            <x v="8"/>
          </reference>
        </references>
      </pivotArea>
    </format>
    <format dxfId="48">
      <pivotArea collapsedLevelsAreSubtotals="1" fieldPosition="0">
        <references count="3">
          <reference field="4294967294" count="1" selected="0">
            <x v="2"/>
          </reference>
          <reference field="4" count="1">
            <x v="1"/>
          </reference>
          <reference field="11" count="1" selected="0">
            <x v="8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2"/>
          </reference>
          <reference field="11" count="1">
            <x v="9"/>
          </reference>
        </references>
      </pivotArea>
    </format>
    <format dxfId="46">
      <pivotArea collapsedLevelsAreSubtotals="1" fieldPosition="0">
        <references count="3">
          <reference field="4294967294" count="1" selected="0">
            <x v="2"/>
          </reference>
          <reference field="4" count="2">
            <x v="0"/>
            <x v="1"/>
          </reference>
          <reference field="11" count="1" selected="0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B3:C309" firstHeaderRow="1" firstDataRow="1" firstDataCol="1"/>
  <pivotFields count="32"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 defaultSubtotal="0"/>
    <pivotField axis="axisRow" showAll="0">
      <items count="30">
        <item m="1" x="26"/>
        <item m="1" x="19"/>
        <item m="1" x="28"/>
        <item m="1" x="25"/>
        <item x="14"/>
        <item m="1" x="24"/>
        <item m="1" x="18"/>
        <item m="1" x="20"/>
        <item m="1" x="21"/>
        <item m="1" x="22"/>
        <item x="0"/>
        <item m="1" x="27"/>
        <item m="1" x="17"/>
        <item m="1" x="23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t="default"/>
      </items>
    </pivotField>
    <pivotField axis="axisRow" showAll="0">
      <items count="397">
        <item m="1" x="340"/>
        <item m="1" x="383"/>
        <item m="1" x="315"/>
        <item m="1" x="318"/>
        <item m="1" x="344"/>
        <item m="1" x="288"/>
        <item m="1" x="345"/>
        <item m="1" x="349"/>
        <item m="1" x="321"/>
        <item m="1" x="355"/>
        <item m="1" x="308"/>
        <item m="1" x="302"/>
        <item m="1" x="358"/>
        <item m="1" x="303"/>
        <item m="1" x="373"/>
        <item m="1" x="324"/>
        <item m="1" x="329"/>
        <item m="1" x="374"/>
        <item m="1" x="295"/>
        <item m="1" x="337"/>
        <item m="1" x="312"/>
        <item m="1" x="287"/>
        <item m="1" x="343"/>
        <item m="1" x="376"/>
        <item m="1" x="393"/>
        <item m="1" x="314"/>
        <item m="1" x="370"/>
        <item m="1" x="289"/>
        <item m="1" x="351"/>
        <item m="1" x="391"/>
        <item m="1" x="338"/>
        <item m="1" x="354"/>
        <item m="1" x="290"/>
        <item m="1" x="307"/>
        <item m="1" x="369"/>
        <item m="1" x="296"/>
        <item m="1" x="304"/>
        <item m="1" x="350"/>
        <item m="1" x="330"/>
        <item m="1" x="379"/>
        <item m="1" x="377"/>
        <item m="1" x="348"/>
        <item m="1" x="386"/>
        <item m="1" x="360"/>
        <item m="1" x="381"/>
        <item m="1" x="361"/>
        <item m="1" x="357"/>
        <item m="1" x="366"/>
        <item m="1" x="375"/>
        <item m="1" x="328"/>
        <item m="1" x="336"/>
        <item m="1" x="363"/>
        <item m="1" x="293"/>
        <item m="1" x="385"/>
        <item m="1" x="382"/>
        <item m="1" x="359"/>
        <item m="1" x="294"/>
        <item m="1" x="325"/>
        <item m="1" x="395"/>
        <item m="1" x="323"/>
        <item m="1" x="367"/>
        <item m="1" x="326"/>
        <item m="1" x="394"/>
        <item m="1" x="291"/>
        <item m="1" x="364"/>
        <item m="1" x="292"/>
        <item m="1" x="332"/>
        <item m="1" x="311"/>
        <item m="1" x="334"/>
        <item m="1" x="300"/>
        <item m="1" x="362"/>
        <item m="1" x="347"/>
        <item m="1" x="305"/>
        <item m="1" x="297"/>
        <item m="1" x="319"/>
        <item m="1" x="317"/>
        <item m="1" x="365"/>
        <item m="1" x="298"/>
        <item m="1" x="392"/>
        <item m="1" x="378"/>
        <item m="1" x="335"/>
        <item m="1" x="309"/>
        <item m="1" x="352"/>
        <item m="1" x="316"/>
        <item m="1" x="299"/>
        <item m="1" x="331"/>
        <item m="1" x="353"/>
        <item m="1" x="339"/>
        <item m="1" x="389"/>
        <item m="1" x="372"/>
        <item m="1" x="327"/>
        <item m="1" x="356"/>
        <item m="1" x="388"/>
        <item m="1" x="342"/>
        <item m="1" x="313"/>
        <item m="1" x="387"/>
        <item m="1" x="390"/>
        <item m="1" x="346"/>
        <item m="1" x="320"/>
        <item m="1" x="306"/>
        <item m="1" x="341"/>
        <item m="1" x="384"/>
        <item m="1" x="371"/>
        <item m="1" x="301"/>
        <item m="1" x="333"/>
        <item m="1" x="380"/>
        <item m="1" x="322"/>
        <item m="1" x="368"/>
        <item m="1" x="310"/>
        <item x="2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1"/>
    <field x="12"/>
  </rowFields>
  <rowItems count="306">
    <i>
      <x v="4"/>
    </i>
    <i r="1">
      <x v="391"/>
    </i>
    <i r="1">
      <x v="392"/>
    </i>
    <i>
      <x v="10"/>
    </i>
    <i r="1">
      <x v="110"/>
    </i>
    <i r="1">
      <x v="112"/>
    </i>
    <i r="1">
      <x v="118"/>
    </i>
    <i r="1">
      <x v="119"/>
    </i>
    <i r="1">
      <x v="122"/>
    </i>
    <i r="1">
      <x v="132"/>
    </i>
    <i r="1">
      <x v="139"/>
    </i>
    <i r="1">
      <x v="140"/>
    </i>
    <i r="1">
      <x v="141"/>
    </i>
    <i r="1">
      <x v="145"/>
    </i>
    <i r="1">
      <x v="156"/>
    </i>
    <i r="1">
      <x v="157"/>
    </i>
    <i r="1">
      <x v="158"/>
    </i>
    <i r="1">
      <x v="169"/>
    </i>
    <i>
      <x v="14"/>
    </i>
    <i r="1">
      <x v="109"/>
    </i>
    <i r="1">
      <x v="395"/>
    </i>
    <i>
      <x v="15"/>
    </i>
    <i r="1">
      <x v="111"/>
    </i>
    <i r="1">
      <x v="116"/>
    </i>
    <i r="1">
      <x v="120"/>
    </i>
    <i r="1">
      <x v="124"/>
    </i>
    <i r="1">
      <x v="125"/>
    </i>
    <i r="1">
      <x v="137"/>
    </i>
    <i r="1">
      <x v="138"/>
    </i>
    <i r="1">
      <x v="142"/>
    </i>
    <i r="1">
      <x v="144"/>
    </i>
    <i r="1">
      <x v="147"/>
    </i>
    <i r="1">
      <x v="149"/>
    </i>
    <i r="1">
      <x v="154"/>
    </i>
    <i r="1">
      <x v="159"/>
    </i>
    <i r="1">
      <x v="160"/>
    </i>
    <i r="1">
      <x v="163"/>
    </i>
    <i>
      <x v="16"/>
    </i>
    <i r="1">
      <x v="113"/>
    </i>
    <i r="1">
      <x v="166"/>
    </i>
    <i r="1">
      <x v="206"/>
    </i>
    <i r="1">
      <x v="249"/>
    </i>
    <i r="1">
      <x v="265"/>
    </i>
    <i r="1">
      <x v="277"/>
    </i>
    <i r="1">
      <x v="278"/>
    </i>
    <i r="1">
      <x v="301"/>
    </i>
    <i r="1">
      <x v="306"/>
    </i>
    <i r="1">
      <x v="313"/>
    </i>
    <i r="1">
      <x v="318"/>
    </i>
    <i r="1">
      <x v="323"/>
    </i>
    <i r="1">
      <x v="324"/>
    </i>
    <i r="1">
      <x v="329"/>
    </i>
    <i r="1">
      <x v="343"/>
    </i>
    <i r="1">
      <x v="344"/>
    </i>
    <i r="1">
      <x v="349"/>
    </i>
    <i r="1">
      <x v="352"/>
    </i>
    <i r="1">
      <x v="353"/>
    </i>
    <i r="1">
      <x v="354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80"/>
    </i>
    <i>
      <x v="17"/>
    </i>
    <i r="1">
      <x v="114"/>
    </i>
    <i r="1">
      <x v="130"/>
    </i>
    <i r="1">
      <x v="155"/>
    </i>
    <i r="1">
      <x v="168"/>
    </i>
    <i r="1">
      <x v="174"/>
    </i>
    <i r="1">
      <x v="181"/>
    </i>
    <i r="1">
      <x v="189"/>
    </i>
    <i r="1">
      <x v="191"/>
    </i>
    <i r="1">
      <x v="198"/>
    </i>
    <i r="1">
      <x v="201"/>
    </i>
    <i r="1">
      <x v="202"/>
    </i>
    <i r="1">
      <x v="214"/>
    </i>
    <i r="1">
      <x v="216"/>
    </i>
    <i r="1">
      <x v="220"/>
    </i>
    <i r="1">
      <x v="221"/>
    </i>
    <i r="1">
      <x v="226"/>
    </i>
    <i r="1">
      <x v="227"/>
    </i>
    <i r="1">
      <x v="231"/>
    </i>
    <i r="1">
      <x v="234"/>
    </i>
    <i r="1">
      <x v="240"/>
    </i>
    <i r="1">
      <x v="252"/>
    </i>
    <i>
      <x v="18"/>
    </i>
    <i r="1">
      <x v="115"/>
    </i>
    <i r="1">
      <x v="123"/>
    </i>
    <i r="1">
      <x v="126"/>
    </i>
    <i r="1">
      <x v="128"/>
    </i>
    <i r="1">
      <x v="136"/>
    </i>
    <i r="1">
      <x v="162"/>
    </i>
    <i r="1">
      <x v="165"/>
    </i>
    <i r="1">
      <x v="173"/>
    </i>
    <i r="1">
      <x v="180"/>
    </i>
    <i r="1">
      <x v="182"/>
    </i>
    <i r="1">
      <x v="187"/>
    </i>
    <i r="1">
      <x v="192"/>
    </i>
    <i r="1">
      <x v="193"/>
    </i>
    <i r="1">
      <x v="194"/>
    </i>
    <i r="1">
      <x v="195"/>
    </i>
    <i r="1">
      <x v="196"/>
    </i>
    <i r="1">
      <x v="204"/>
    </i>
    <i r="1">
      <x v="208"/>
    </i>
    <i r="1">
      <x v="210"/>
    </i>
    <i r="1">
      <x v="211"/>
    </i>
    <i r="1">
      <x v="213"/>
    </i>
    <i r="1">
      <x v="215"/>
    </i>
    <i r="1">
      <x v="225"/>
    </i>
    <i r="1">
      <x v="229"/>
    </i>
    <i r="1">
      <x v="230"/>
    </i>
    <i r="1">
      <x v="239"/>
    </i>
    <i>
      <x v="19"/>
    </i>
    <i r="1">
      <x v="117"/>
    </i>
    <i r="1">
      <x v="121"/>
    </i>
    <i r="1">
      <x v="127"/>
    </i>
    <i r="1">
      <x v="129"/>
    </i>
    <i r="1">
      <x v="131"/>
    </i>
    <i r="1">
      <x v="143"/>
    </i>
    <i r="1">
      <x v="146"/>
    </i>
    <i r="1">
      <x v="148"/>
    </i>
    <i r="1">
      <x v="150"/>
    </i>
    <i r="1">
      <x v="152"/>
    </i>
    <i r="1">
      <x v="161"/>
    </i>
    <i r="1">
      <x v="167"/>
    </i>
    <i r="1">
      <x v="170"/>
    </i>
    <i r="1">
      <x v="171"/>
    </i>
    <i r="1">
      <x v="172"/>
    </i>
    <i r="1">
      <x v="175"/>
    </i>
    <i r="1">
      <x v="176"/>
    </i>
    <i r="1">
      <x v="177"/>
    </i>
    <i r="1">
      <x v="178"/>
    </i>
    <i r="1">
      <x v="179"/>
    </i>
    <i r="1">
      <x v="184"/>
    </i>
    <i r="1">
      <x v="212"/>
    </i>
    <i r="1">
      <x v="222"/>
    </i>
    <i r="1">
      <x v="228"/>
    </i>
    <i>
      <x v="20"/>
    </i>
    <i r="1">
      <x v="133"/>
    </i>
    <i r="1">
      <x v="183"/>
    </i>
    <i r="1">
      <x v="186"/>
    </i>
    <i r="1">
      <x v="188"/>
    </i>
    <i r="1">
      <x v="190"/>
    </i>
    <i r="1">
      <x v="200"/>
    </i>
    <i r="1">
      <x v="203"/>
    </i>
    <i r="1">
      <x v="233"/>
    </i>
    <i r="1">
      <x v="235"/>
    </i>
    <i r="1">
      <x v="236"/>
    </i>
    <i r="1">
      <x v="244"/>
    </i>
    <i r="1">
      <x v="246"/>
    </i>
    <i r="1">
      <x v="248"/>
    </i>
    <i r="1">
      <x v="250"/>
    </i>
    <i r="1">
      <x v="251"/>
    </i>
    <i r="1">
      <x v="257"/>
    </i>
    <i r="1">
      <x v="261"/>
    </i>
    <i r="1">
      <x v="263"/>
    </i>
    <i r="1">
      <x v="273"/>
    </i>
    <i>
      <x v="21"/>
    </i>
    <i r="1">
      <x v="134"/>
    </i>
    <i r="1">
      <x v="135"/>
    </i>
    <i r="1">
      <x v="151"/>
    </i>
    <i r="1">
      <x v="164"/>
    </i>
    <i r="1">
      <x v="185"/>
    </i>
    <i r="1">
      <x v="205"/>
    </i>
    <i r="1">
      <x v="237"/>
    </i>
    <i r="1">
      <x v="247"/>
    </i>
    <i r="1">
      <x v="255"/>
    </i>
    <i r="1">
      <x v="275"/>
    </i>
    <i r="1">
      <x v="283"/>
    </i>
    <i r="1">
      <x v="285"/>
    </i>
    <i r="1">
      <x v="288"/>
    </i>
    <i r="1">
      <x v="311"/>
    </i>
    <i r="1">
      <x v="312"/>
    </i>
    <i r="1">
      <x v="314"/>
    </i>
    <i r="1">
      <x v="315"/>
    </i>
    <i r="1">
      <x v="320"/>
    </i>
    <i r="1">
      <x v="325"/>
    </i>
    <i r="1">
      <x v="327"/>
    </i>
    <i r="1">
      <x v="328"/>
    </i>
    <i r="1">
      <x v="330"/>
    </i>
    <i r="1">
      <x v="331"/>
    </i>
    <i r="1">
      <x v="333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7"/>
    </i>
    <i r="1">
      <x v="348"/>
    </i>
    <i r="1">
      <x v="350"/>
    </i>
    <i r="1">
      <x v="351"/>
    </i>
    <i r="1">
      <x v="355"/>
    </i>
    <i r="1">
      <x v="360"/>
    </i>
    <i r="1">
      <x v="361"/>
    </i>
    <i r="1">
      <x v="375"/>
    </i>
    <i r="1">
      <x v="376"/>
    </i>
    <i r="1">
      <x v="384"/>
    </i>
    <i r="1">
      <x v="388"/>
    </i>
    <i r="1">
      <x v="389"/>
    </i>
    <i r="1">
      <x v="390"/>
    </i>
    <i>
      <x v="22"/>
    </i>
    <i r="1">
      <x v="153"/>
    </i>
    <i r="1">
      <x v="197"/>
    </i>
    <i r="1">
      <x v="218"/>
    </i>
    <i r="1">
      <x v="256"/>
    </i>
    <i r="1">
      <x v="264"/>
    </i>
    <i r="1">
      <x v="266"/>
    </i>
    <i r="1">
      <x v="267"/>
    </i>
    <i r="1">
      <x v="268"/>
    </i>
    <i r="1">
      <x v="274"/>
    </i>
    <i r="1">
      <x v="284"/>
    </i>
    <i r="1">
      <x v="291"/>
    </i>
    <i r="1">
      <x v="292"/>
    </i>
    <i r="1">
      <x v="293"/>
    </i>
    <i r="1">
      <x v="294"/>
    </i>
    <i r="1">
      <x v="296"/>
    </i>
    <i r="1">
      <x v="302"/>
    </i>
    <i r="1">
      <x v="304"/>
    </i>
    <i r="1">
      <x v="307"/>
    </i>
    <i r="1">
      <x v="308"/>
    </i>
    <i r="1">
      <x v="309"/>
    </i>
    <i r="1">
      <x v="310"/>
    </i>
    <i>
      <x v="23"/>
    </i>
    <i r="1">
      <x v="199"/>
    </i>
    <i r="1">
      <x v="207"/>
    </i>
    <i r="1">
      <x v="209"/>
    </i>
    <i r="1">
      <x v="217"/>
    </i>
    <i r="1">
      <x v="224"/>
    </i>
    <i r="1">
      <x v="232"/>
    </i>
    <i r="1">
      <x v="242"/>
    </i>
    <i r="1">
      <x v="243"/>
    </i>
    <i r="1">
      <x v="245"/>
    </i>
    <i r="1">
      <x v="258"/>
    </i>
    <i r="1">
      <x v="271"/>
    </i>
    <i r="1">
      <x v="272"/>
    </i>
    <i r="1">
      <x v="276"/>
    </i>
    <i r="1">
      <x v="280"/>
    </i>
    <i r="1">
      <x v="281"/>
    </i>
    <i r="1">
      <x v="282"/>
    </i>
    <i r="1">
      <x v="286"/>
    </i>
    <i r="1">
      <x v="287"/>
    </i>
    <i r="1">
      <x v="289"/>
    </i>
    <i r="1">
      <x v="297"/>
    </i>
    <i r="1">
      <x v="298"/>
    </i>
    <i r="1">
      <x v="299"/>
    </i>
    <i r="1">
      <x v="303"/>
    </i>
    <i r="1">
      <x v="305"/>
    </i>
    <i r="1">
      <x v="326"/>
    </i>
    <i>
      <x v="24"/>
    </i>
    <i r="1">
      <x v="219"/>
    </i>
    <i r="1">
      <x v="223"/>
    </i>
    <i r="1">
      <x v="238"/>
    </i>
    <i r="1">
      <x v="241"/>
    </i>
    <i r="1">
      <x v="253"/>
    </i>
    <i r="1">
      <x v="254"/>
    </i>
    <i r="1">
      <x v="259"/>
    </i>
    <i r="1">
      <x v="262"/>
    </i>
    <i r="1">
      <x v="269"/>
    </i>
    <i r="1">
      <x v="270"/>
    </i>
    <i r="1">
      <x v="279"/>
    </i>
    <i r="1">
      <x v="290"/>
    </i>
    <i r="1">
      <x v="295"/>
    </i>
    <i r="1">
      <x v="300"/>
    </i>
    <i r="1">
      <x v="316"/>
    </i>
    <i r="1">
      <x v="317"/>
    </i>
    <i r="1">
      <x v="319"/>
    </i>
    <i r="1">
      <x v="321"/>
    </i>
    <i r="1">
      <x v="322"/>
    </i>
    <i r="1">
      <x v="332"/>
    </i>
    <i r="1">
      <x v="334"/>
    </i>
    <i r="1">
      <x v="345"/>
    </i>
    <i r="1">
      <x v="346"/>
    </i>
    <i>
      <x v="25"/>
    </i>
    <i r="1">
      <x v="260"/>
    </i>
    <i>
      <x v="26"/>
    </i>
    <i r="1">
      <x v="356"/>
    </i>
    <i r="1">
      <x v="357"/>
    </i>
    <i r="1">
      <x v="358"/>
    </i>
    <i r="1">
      <x v="359"/>
    </i>
    <i r="1">
      <x v="362"/>
    </i>
    <i r="1">
      <x v="363"/>
    </i>
    <i r="1">
      <x v="364"/>
    </i>
    <i r="1">
      <x v="377"/>
    </i>
    <i r="1">
      <x v="378"/>
    </i>
    <i r="1">
      <x v="379"/>
    </i>
    <i r="1">
      <x v="381"/>
    </i>
    <i r="1">
      <x v="382"/>
    </i>
    <i r="1">
      <x v="383"/>
    </i>
    <i r="1">
      <x v="385"/>
    </i>
    <i r="1">
      <x v="386"/>
    </i>
    <i r="1">
      <x v="387"/>
    </i>
    <i r="1">
      <x v="393"/>
    </i>
    <i>
      <x v="27"/>
    </i>
    <i r="1">
      <x v="365"/>
    </i>
    <i r="1">
      <x v="394"/>
    </i>
    <i>
      <x v="28"/>
    </i>
    <i r="1">
      <x v="109"/>
    </i>
    <i t="grand">
      <x/>
    </i>
  </rowItems>
  <colItems count="1">
    <i/>
  </colItems>
  <dataFields count="1">
    <dataField name="Sum of Total Revenue" fld="16" baseField="8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38" firstHeaderRow="1" firstDataRow="1" firstDataCol="1"/>
  <pivotFields count="12">
    <pivotField showAll="0"/>
    <pivotField showAll="0"/>
    <pivotField showAll="0"/>
    <pivotField axis="axisRow" showAll="0">
      <items count="14">
        <item x="0"/>
        <item x="2"/>
        <item x="5"/>
        <item x="4"/>
        <item x="8"/>
        <item x="7"/>
        <item x="1"/>
        <item x="6"/>
        <item m="1" x="12"/>
        <item x="3"/>
        <item x="11"/>
        <item x="9"/>
        <item x="10"/>
        <item t="default"/>
      </items>
    </pivotField>
    <pivotField showAll="0"/>
    <pivotField axis="axisRow" showAll="0">
      <items count="388">
        <item h="1" m="1" x="383"/>
        <item h="1" m="1" x="299"/>
        <item h="1" m="1" x="381"/>
        <item h="1" m="1" x="272"/>
        <item h="1" m="1" x="342"/>
        <item h="1" m="1" x="367"/>
        <item h="1" m="1" x="358"/>
        <item h="1" m="1" x="273"/>
        <item h="1" m="1" x="274"/>
        <item h="1" m="1" x="261"/>
        <item h="1" m="1" x="283"/>
        <item h="1" m="1" x="305"/>
        <item h="1" m="1" x="363"/>
        <item h="1" m="1" x="235"/>
        <item h="1" m="1" x="371"/>
        <item h="1" m="1" x="335"/>
        <item h="1" m="1" x="240"/>
        <item h="1" m="1" x="303"/>
        <item h="1" m="1" x="307"/>
        <item h="1" m="1" x="373"/>
        <item h="1" m="1" x="232"/>
        <item h="1" m="1" x="279"/>
        <item h="1" m="1" x="242"/>
        <item h="1" m="1" x="228"/>
        <item h="1" m="1" x="288"/>
        <item h="1" m="1" x="265"/>
        <item h="1" m="1" x="355"/>
        <item h="1" m="1" x="249"/>
        <item h="1" m="1" x="287"/>
        <item h="1" m="1" x="326"/>
        <item h="1" x="70"/>
        <item h="1" m="1" x="297"/>
        <item m="1" x="246"/>
        <item m="1" x="230"/>
        <item m="1" x="354"/>
        <item x="51"/>
        <item m="1" x="233"/>
        <item m="1" x="280"/>
        <item m="1" x="368"/>
        <item m="1" x="252"/>
        <item m="1" x="316"/>
        <item m="1" x="301"/>
        <item m="1" x="336"/>
        <item x="93"/>
        <item x="50"/>
        <item m="1" x="267"/>
        <item m="1" x="385"/>
        <item m="1" x="300"/>
        <item x="42"/>
        <item m="1" x="348"/>
        <item m="1" x="241"/>
        <item x="83"/>
        <item m="1" x="290"/>
        <item m="1" x="281"/>
        <item x="95"/>
        <item x="94"/>
        <item x="96"/>
        <item m="1" x="376"/>
        <item x="56"/>
        <item m="1" x="310"/>
        <item m="1" x="352"/>
        <item m="1" x="378"/>
        <item m="1" x="313"/>
        <item m="1" x="314"/>
        <item m="1" x="347"/>
        <item m="1" x="291"/>
        <item m="1" x="323"/>
        <item m="1" x="251"/>
        <item m="1" x="255"/>
        <item m="1" x="328"/>
        <item m="1" x="247"/>
        <item m="1" x="327"/>
        <item m="1" x="270"/>
        <item m="1" x="353"/>
        <item m="1" x="256"/>
        <item m="1" x="343"/>
        <item m="1" x="306"/>
        <item m="1" x="365"/>
        <item m="1" x="248"/>
        <item m="1" x="289"/>
        <item m="1" x="231"/>
        <item m="1" x="334"/>
        <item m="1" x="278"/>
        <item m="1" x="266"/>
        <item m="1" x="330"/>
        <item m="1" x="257"/>
        <item m="1" x="245"/>
        <item m="1" x="236"/>
        <item m="1" x="356"/>
        <item h="1" m="1" x="357"/>
        <item m="1" x="263"/>
        <item h="1" x="4"/>
        <item h="1" x="1"/>
        <item h="1" x="20"/>
        <item h="1" x="3"/>
        <item h="1" m="1" x="322"/>
        <item h="1" m="1" x="268"/>
        <item h="1" m="1" x="304"/>
        <item h="1" m="1" x="227"/>
        <item h="1" m="1" x="312"/>
        <item h="1" m="1" x="237"/>
        <item h="1" m="1" x="315"/>
        <item h="1" x="48"/>
        <item h="1" m="1" x="285"/>
        <item h="1" x="44"/>
        <item h="1" x="66"/>
        <item h="1" x="92"/>
        <item h="1" x="27"/>
        <item h="1" m="1" x="339"/>
        <item h="1" x="97"/>
        <item x="15"/>
        <item h="1" m="1" x="321"/>
        <item h="1" x="0"/>
        <item h="1" m="1" x="260"/>
        <item h="1" m="1" x="324"/>
        <item h="1" m="1" x="243"/>
        <item h="1" x="217"/>
        <item h="1" x="65"/>
        <item h="1" m="1" x="374"/>
        <item h="1" x="79"/>
        <item h="1" x="73"/>
        <item h="1" m="1" x="298"/>
        <item h="1" x="74"/>
        <item h="1" m="1" x="337"/>
        <item h="1" x="72"/>
        <item h="1" x="84"/>
        <item h="1" x="49"/>
        <item h="1" x="53"/>
        <item h="1" m="1" x="380"/>
        <item h="1" x="80"/>
        <item h="1" m="1" x="295"/>
        <item h="1" m="1" x="360"/>
        <item h="1" x="61"/>
        <item h="1" x="78"/>
        <item h="1" x="90"/>
        <item h="1" m="1" x="386"/>
        <item h="1" x="88"/>
        <item h="1" x="87"/>
        <item h="1" m="1" x="333"/>
        <item h="1" x="106"/>
        <item h="1" m="1" x="359"/>
        <item h="1" x="102"/>
        <item h="1" x="103"/>
        <item h="1" m="1" x="375"/>
        <item h="1" x="111"/>
        <item h="1" m="1" x="320"/>
        <item h="1" x="120"/>
        <item h="1" x="118"/>
        <item h="1" m="1" x="350"/>
        <item h="1" m="1" x="329"/>
        <item h="1" x="121"/>
        <item h="1" m="1" x="302"/>
        <item h="1" m="1" x="338"/>
        <item h="1" m="1" x="318"/>
        <item h="1" m="1" x="351"/>
        <item h="1" m="1" x="341"/>
        <item h="1" m="1" x="384"/>
        <item h="1" m="1" x="258"/>
        <item h="1" m="1" x="296"/>
        <item h="1" x="107"/>
        <item h="1" m="1" x="271"/>
        <item h="1" m="1" x="284"/>
        <item h="1" m="1" x="275"/>
        <item h="1" m="1" x="372"/>
        <item h="1" x="124"/>
        <item h="1" m="1" x="259"/>
        <item h="1" x="40"/>
        <item h="1" x="29"/>
        <item h="1" x="45"/>
        <item h="1" m="1" x="369"/>
        <item h="1" m="1" x="325"/>
        <item h="1" x="99"/>
        <item h="1" x="108"/>
        <item h="1" x="122"/>
        <item h="1" x="123"/>
        <item h="1" x="131"/>
        <item h="1" x="128"/>
        <item h="1" x="126"/>
        <item h="1" x="140"/>
        <item h="1" x="137"/>
        <item h="1" x="139"/>
        <item h="1" x="141"/>
        <item h="1" x="142"/>
        <item h="1" x="143"/>
        <item h="1" m="1" x="317"/>
        <item h="1" m="1" x="276"/>
        <item h="1" x="145"/>
        <item h="1" m="1" x="366"/>
        <item h="1" x="146"/>
        <item h="1" m="1" x="331"/>
        <item h="1" x="127"/>
        <item h="1" m="1" x="262"/>
        <item h="1" m="1" x="370"/>
        <item h="1" m="1" x="332"/>
        <item h="1" x="134"/>
        <item h="1" x="132"/>
        <item h="1" m="1" x="362"/>
        <item h="1" m="1" x="364"/>
        <item h="1" x="133"/>
        <item h="1" x="138"/>
        <item h="1" m="1" x="226"/>
        <item h="1" m="1" x="282"/>
        <item h="1" m="1" x="293"/>
        <item h="1" x="125"/>
        <item h="1" m="1" x="254"/>
        <item h="1" m="1" x="345"/>
        <item h="1" m="1" x="229"/>
        <item h="1" m="1" x="377"/>
        <item h="1" m="1" x="346"/>
        <item h="1" m="1" x="361"/>
        <item h="1" m="1" x="239"/>
        <item h="1" m="1" x="379"/>
        <item h="1" m="1" x="292"/>
        <item h="1" x="152"/>
        <item h="1" x="147"/>
        <item h="1" m="1" x="253"/>
        <item h="1" m="1" x="319"/>
        <item h="1" x="43"/>
        <item h="1" x="63"/>
        <item h="1" x="68"/>
        <item h="1" x="69"/>
        <item h="1" m="1" x="349"/>
        <item h="1" m="1" x="234"/>
        <item h="1" x="129"/>
        <item h="1" m="1" x="238"/>
        <item h="1" x="2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m="1" x="309"/>
        <item h="1" x="17"/>
        <item h="1" x="18"/>
        <item h="1" x="19"/>
        <item h="1" x="21"/>
        <item h="1" x="22"/>
        <item h="1" x="23"/>
        <item h="1" x="24"/>
        <item h="1" x="25"/>
        <item h="1" x="26"/>
        <item h="1" x="28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m="1" x="308"/>
        <item h="1" x="41"/>
        <item h="1" x="46"/>
        <item h="1" x="47"/>
        <item h="1" x="52"/>
        <item h="1" x="54"/>
        <item h="1" x="55"/>
        <item h="1" x="57"/>
        <item h="1" x="58"/>
        <item h="1" x="59"/>
        <item h="1" x="60"/>
        <item h="1" x="62"/>
        <item h="1" m="1" x="269"/>
        <item h="1" x="64"/>
        <item h="1" x="67"/>
        <item h="1" x="71"/>
        <item h="1" x="75"/>
        <item h="1" x="76"/>
        <item h="1" x="81"/>
        <item h="1" x="82"/>
        <item h="1" x="86"/>
        <item h="1" x="89"/>
        <item h="1" x="91"/>
        <item h="1" m="1" x="294"/>
        <item h="1" x="100"/>
        <item h="1" x="101"/>
        <item h="1" x="104"/>
        <item h="1" x="105"/>
        <item h="1" x="109"/>
        <item h="1" m="1" x="286"/>
        <item h="1" x="112"/>
        <item h="1" x="113"/>
        <item h="1" x="110"/>
        <item h="1" x="114"/>
        <item h="1" x="115"/>
        <item h="1" x="116"/>
        <item h="1" x="117"/>
        <item h="1" x="135"/>
        <item h="1" x="136"/>
        <item h="1" x="144"/>
        <item h="1" m="1" x="250"/>
        <item h="1" x="150"/>
        <item h="1" x="153"/>
        <item h="1" m="1" x="264"/>
        <item h="1" x="39"/>
        <item h="1" x="130"/>
        <item h="1" x="154"/>
        <item h="1" x="155"/>
        <item h="1" x="156"/>
        <item h="1" x="157"/>
        <item h="1" x="158"/>
        <item h="1" x="159"/>
        <item h="1" x="148"/>
        <item h="1" x="160"/>
        <item h="1" x="149"/>
        <item h="1" m="1" x="382"/>
        <item h="1" m="1" x="344"/>
        <item h="1" x="162"/>
        <item h="1" x="163"/>
        <item h="1" x="164"/>
        <item h="1" x="151"/>
        <item h="1" x="165"/>
        <item h="1" x="166"/>
        <item h="1" x="167"/>
        <item h="1" m="1" x="244"/>
        <item h="1" x="169"/>
        <item h="1" m="1" x="340"/>
        <item h="1" x="170"/>
        <item h="1" x="171"/>
        <item h="1" x="172"/>
        <item h="1" m="1" x="311"/>
        <item h="1" x="161"/>
        <item h="1" x="174"/>
        <item h="1" m="1" x="277"/>
        <item h="1" x="173"/>
        <item h="1" x="16"/>
        <item h="1" x="77"/>
        <item h="1" x="85"/>
        <item h="1" x="98"/>
        <item h="1" x="119"/>
        <item h="1" x="168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8"/>
        <item h="1" x="219"/>
        <item h="1" x="220"/>
        <item h="1" x="221"/>
        <item h="1" x="222"/>
        <item h="1" x="223"/>
        <item h="1" x="224"/>
        <item h="1" x="225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2">
    <field x="5"/>
    <field x="3"/>
  </rowFields>
  <rowItems count="35">
    <i>
      <x v="35"/>
    </i>
    <i r="1">
      <x/>
    </i>
    <i r="1">
      <x v="2"/>
    </i>
    <i r="1">
      <x v="9"/>
    </i>
    <i>
      <x v="43"/>
    </i>
    <i r="1">
      <x v="2"/>
    </i>
    <i>
      <x v="44"/>
    </i>
    <i r="1">
      <x/>
    </i>
    <i r="1">
      <x v="2"/>
    </i>
    <i r="1">
      <x v="9"/>
    </i>
    <i>
      <x v="48"/>
    </i>
    <i r="1">
      <x/>
    </i>
    <i r="1">
      <x v="2"/>
    </i>
    <i r="1">
      <x v="9"/>
    </i>
    <i>
      <x v="51"/>
    </i>
    <i r="1">
      <x/>
    </i>
    <i r="1">
      <x v="2"/>
    </i>
    <i r="1">
      <x v="9"/>
    </i>
    <i>
      <x v="54"/>
    </i>
    <i r="1">
      <x v="2"/>
    </i>
    <i r="1">
      <x v="9"/>
    </i>
    <i>
      <x v="55"/>
    </i>
    <i r="1">
      <x v="2"/>
    </i>
    <i r="1">
      <x v="9"/>
    </i>
    <i>
      <x v="56"/>
    </i>
    <i r="1">
      <x v="2"/>
    </i>
    <i r="1">
      <x v="9"/>
    </i>
    <i>
      <x v="58"/>
    </i>
    <i r="1">
      <x/>
    </i>
    <i r="1">
      <x v="2"/>
    </i>
    <i r="1">
      <x v="9"/>
    </i>
    <i>
      <x v="110"/>
    </i>
    <i r="1">
      <x v="1"/>
    </i>
    <i r="1">
      <x v="9"/>
    </i>
    <i t="grand">
      <x/>
    </i>
  </rowItems>
  <colItems count="1">
    <i/>
  </colItems>
  <dataFields count="1">
    <dataField name="Sum of Debit" fld="9" baseField="5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E33:F37" firstHeaderRow="1" firstDataRow="1" firstDataCol="1"/>
  <pivotFields count="16">
    <pivotField showAll="0"/>
    <pivotField showAll="0"/>
    <pivotField showAll="0"/>
    <pivotField axis="axisRow" showAll="0" defaultSubtotal="0">
      <items count="3">
        <item x="0"/>
        <item x="2"/>
        <item x="1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ubmitted Value" fld="7" baseField="3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4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7:D119" firstHeaderRow="0" firstDataRow="1" firstDataCol="1"/>
  <pivotFields count="33">
    <pivotField axis="axisRow" showAll="0">
      <items count="13">
        <item x="0"/>
        <item x="1"/>
        <item x="2"/>
        <item x="3"/>
        <item x="4"/>
        <item x="8"/>
        <item x="7"/>
        <item x="6"/>
        <item x="10"/>
        <item x="5"/>
        <item x="9"/>
        <item x="1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7"/>
        <item x="4"/>
        <item h="1" x="15"/>
        <item x="12"/>
        <item x="2"/>
        <item x="13"/>
        <item x="5"/>
        <item h="1" x="9"/>
        <item h="1" x="1"/>
        <item x="14"/>
        <item x="11"/>
        <item h="1" x="0"/>
        <item x="8"/>
        <item x="10"/>
        <item h="1" x="16"/>
        <item x="6"/>
        <item h="1" x="18"/>
        <item x="3"/>
        <item h="1" x="19"/>
        <item h="1"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11"/>
    <field x="0"/>
  </rowFields>
  <rowItems count="62">
    <i>
      <x/>
    </i>
    <i r="1">
      <x/>
    </i>
    <i r="1">
      <x v="1"/>
    </i>
    <i r="1">
      <x v="2"/>
    </i>
    <i r="1">
      <x v="6"/>
    </i>
    <i r="1">
      <x v="7"/>
    </i>
    <i r="1">
      <x v="10"/>
    </i>
    <i>
      <x v="1"/>
    </i>
    <i r="1">
      <x/>
    </i>
    <i r="1">
      <x v="1"/>
    </i>
    <i r="1">
      <x v="2"/>
    </i>
    <i r="1">
      <x v="3"/>
    </i>
    <i r="1">
      <x v="8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r="1">
      <x v="6"/>
    </i>
    <i r="1">
      <x v="7"/>
    </i>
    <i>
      <x v="5"/>
    </i>
    <i r="1">
      <x/>
    </i>
    <i r="1">
      <x v="1"/>
    </i>
    <i r="1">
      <x v="2"/>
    </i>
    <i>
      <x v="6"/>
    </i>
    <i r="1">
      <x/>
    </i>
    <i r="1">
      <x v="2"/>
    </i>
    <i>
      <x v="9"/>
    </i>
    <i r="1">
      <x/>
    </i>
    <i r="1">
      <x v="1"/>
    </i>
    <i r="1">
      <x v="2"/>
    </i>
    <i r="1">
      <x v="10"/>
    </i>
    <i>
      <x v="10"/>
    </i>
    <i r="1">
      <x/>
    </i>
    <i r="1">
      <x v="1"/>
    </i>
    <i r="1">
      <x v="2"/>
    </i>
    <i r="1">
      <x v="5"/>
    </i>
    <i r="1">
      <x v="6"/>
    </i>
    <i r="1">
      <x v="7"/>
    </i>
    <i>
      <x v="12"/>
    </i>
    <i r="1">
      <x/>
    </i>
    <i r="1">
      <x v="2"/>
    </i>
    <i r="1">
      <x v="10"/>
    </i>
    <i>
      <x v="13"/>
    </i>
    <i r="1">
      <x/>
    </i>
    <i r="1">
      <x v="1"/>
    </i>
    <i r="1">
      <x v="2"/>
    </i>
    <i r="1">
      <x v="9"/>
    </i>
    <i>
      <x v="15"/>
    </i>
    <i r="1">
      <x/>
    </i>
    <i r="1">
      <x v="1"/>
    </i>
    <i r="1">
      <x v="2"/>
    </i>
    <i r="1">
      <x v="3"/>
    </i>
    <i>
      <x v="17"/>
    </i>
    <i r="1">
      <x/>
    </i>
    <i r="1">
      <x v="1"/>
    </i>
    <i r="1">
      <x v="2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 required date" fld="31" subtotal="count" baseField="0" baseItem="0"/>
    <dataField name="Count of Date Project Completions handed over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" cacheId="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30:Q44" firstHeaderRow="1" firstDataRow="2" firstDataCol="1"/>
  <pivotFields count="33">
    <pivotField axis="axisCol" showAll="0">
      <items count="13">
        <item x="0"/>
        <item x="1"/>
        <item x="2"/>
        <item x="3"/>
        <item x="4"/>
        <item x="8"/>
        <item x="7"/>
        <item x="6"/>
        <item x="10"/>
        <item x="5"/>
        <item x="9"/>
        <item x="1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7"/>
        <item x="4"/>
        <item h="1" x="15"/>
        <item x="12"/>
        <item x="2"/>
        <item x="13"/>
        <item x="5"/>
        <item h="1" x="9"/>
        <item h="1" x="1"/>
        <item x="14"/>
        <item x="11"/>
        <item h="1" x="0"/>
        <item x="8"/>
        <item x="10"/>
        <item h="1" x="16"/>
        <item x="6"/>
        <item h="1" x="18"/>
        <item x="3"/>
        <item h="1" x="19"/>
        <item h="1"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3">
    <i>
      <x/>
    </i>
    <i>
      <x v="1"/>
    </i>
    <i>
      <x v="3"/>
    </i>
    <i>
      <x v="4"/>
    </i>
    <i>
      <x v="5"/>
    </i>
    <i>
      <x v="6"/>
    </i>
    <i>
      <x v="9"/>
    </i>
    <i>
      <x v="10"/>
    </i>
    <i>
      <x v="12"/>
    </i>
    <i>
      <x v="13"/>
    </i>
    <i>
      <x v="15"/>
    </i>
    <i>
      <x v="17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Date Project Completions handed over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0:C43" firstHeaderRow="1" firstDataRow="1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nonAutoSortDefault="1">
      <items count="21">
        <item x="14"/>
        <item x="0"/>
        <item h="1" x="17"/>
        <item x="3"/>
        <item h="1" x="12"/>
        <item x="11"/>
        <item h="1" x="8"/>
        <item x="13"/>
        <item x="6"/>
        <item h="1" x="15"/>
        <item x="10"/>
        <item h="1" x="16"/>
        <item x="2"/>
        <item h="1" x="1"/>
        <item x="9"/>
        <item x="4"/>
        <item h="1" x="19"/>
        <item x="5"/>
        <item x="7"/>
        <item h="1" x="18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3">
    <i>
      <x/>
    </i>
    <i>
      <x v="1"/>
    </i>
    <i>
      <x v="3"/>
    </i>
    <i>
      <x v="5"/>
    </i>
    <i>
      <x v="7"/>
    </i>
    <i>
      <x v="8"/>
    </i>
    <i>
      <x v="10"/>
    </i>
    <i>
      <x v="12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Sum of Total Revenue" fld="17" baseField="12" baseItem="7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1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:N21" firstHeaderRow="1" firstDataRow="2" firstDataCol="1"/>
  <pivotFields count="33">
    <pivotField axis="axisCol" showAll="0">
      <items count="13">
        <item x="0"/>
        <item x="1"/>
        <item x="2"/>
        <item x="3"/>
        <item x="4"/>
        <item x="8"/>
        <item x="7"/>
        <item x="6"/>
        <item x="10"/>
        <item x="5"/>
        <item x="9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7"/>
        <item x="4"/>
        <item h="1" x="15"/>
        <item x="12"/>
        <item x="2"/>
        <item x="13"/>
        <item x="5"/>
        <item h="1" x="9"/>
        <item h="1" x="1"/>
        <item x="14"/>
        <item x="11"/>
        <item h="1" x="0"/>
        <item x="8"/>
        <item x="10"/>
        <item x="16"/>
        <item x="6"/>
        <item x="18"/>
        <item x="3"/>
        <item x="19"/>
        <item h="1" x="1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6">
    <i>
      <x/>
    </i>
    <i>
      <x v="1"/>
    </i>
    <i>
      <x v="3"/>
    </i>
    <i>
      <x v="4"/>
    </i>
    <i>
      <x v="5"/>
    </i>
    <i>
      <x v="6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um of Total Revenue" fld="17" baseField="11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V1:Y12" firstHeaderRow="1" firstDataRow="2" firstDataCol="1"/>
  <pivotFields count="27">
    <pivotField axis="axisCol" showAll="0">
      <items count="12">
        <item x="0"/>
        <item m="1" x="10"/>
        <item h="1" x="1"/>
        <item x="2"/>
        <item h="1" x="3"/>
        <item h="1" m="1" x="8"/>
        <item h="1" m="1" x="9"/>
        <item h="1" m="1" x="6"/>
        <item h="1" m="1" x="7"/>
        <item h="1" m="1" x="5"/>
        <item h="1"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Row" showAll="0">
      <items count="25">
        <item m="1" x="20"/>
        <item m="1" x="12"/>
        <item x="4"/>
        <item m="1" x="22"/>
        <item m="1" x="19"/>
        <item m="1" x="17"/>
        <item m="1" x="11"/>
        <item x="5"/>
        <item m="1" x="13"/>
        <item x="1"/>
        <item m="1" x="14"/>
        <item m="1" x="15"/>
        <item x="0"/>
        <item m="1" x="21"/>
        <item m="1" x="9"/>
        <item m="1" x="16"/>
        <item x="3"/>
        <item m="1" x="10"/>
        <item x="6"/>
        <item x="8"/>
        <item m="1" x="18"/>
        <item m="1" x="23"/>
        <item x="2"/>
        <item x="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0">
    <i>
      <x v="2"/>
    </i>
    <i>
      <x v="7"/>
    </i>
    <i>
      <x v="9"/>
    </i>
    <i>
      <x v="12"/>
    </i>
    <i>
      <x v="16"/>
    </i>
    <i>
      <x v="18"/>
    </i>
    <i>
      <x v="19"/>
    </i>
    <i>
      <x v="22"/>
    </i>
    <i>
      <x v="23"/>
    </i>
    <i t="grand">
      <x/>
    </i>
  </rowItems>
  <colFields count="1">
    <field x="0"/>
  </colFields>
  <colItems count="3">
    <i>
      <x/>
    </i>
    <i>
      <x v="3"/>
    </i>
    <i t="grand">
      <x/>
    </i>
  </colItems>
  <dataFields count="1">
    <dataField name="Count of Total Revenue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V46:X55" firstHeaderRow="1" firstDataRow="2" firstDataCol="1"/>
  <pivotFields count="27">
    <pivotField axis="axisCol" showAll="0">
      <items count="12">
        <item h="1" x="0"/>
        <item h="1" m="1" x="10"/>
        <item x="1"/>
        <item h="1" x="2"/>
        <item h="1" x="3"/>
        <item h="1" m="1" x="8"/>
        <item h="1" m="1" x="9"/>
        <item h="1" m="1" x="6"/>
        <item h="1" m="1" x="7"/>
        <item h="1" m="1" x="5"/>
        <item h="1"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Row" showAll="0">
      <items count="25">
        <item m="1" x="20"/>
        <item m="1" x="12"/>
        <item x="4"/>
        <item m="1" x="22"/>
        <item m="1" x="19"/>
        <item m="1" x="17"/>
        <item m="1" x="11"/>
        <item x="5"/>
        <item m="1" x="13"/>
        <item x="1"/>
        <item m="1" x="14"/>
        <item m="1" x="15"/>
        <item x="0"/>
        <item m="1" x="21"/>
        <item m="1" x="9"/>
        <item m="1" x="16"/>
        <item x="3"/>
        <item m="1" x="10"/>
        <item x="6"/>
        <item x="8"/>
        <item m="1" x="18"/>
        <item m="1" x="23"/>
        <item x="2"/>
        <item x="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8">
    <i>
      <x v="2"/>
    </i>
    <i>
      <x v="9"/>
    </i>
    <i>
      <x v="12"/>
    </i>
    <i>
      <x v="16"/>
    </i>
    <i>
      <x v="18"/>
    </i>
    <i>
      <x v="22"/>
    </i>
    <i>
      <x v="23"/>
    </i>
    <i t="grand">
      <x/>
    </i>
  </rowItems>
  <colFields count="1">
    <field x="0"/>
  </colFields>
  <colItems count="2">
    <i>
      <x v="2"/>
    </i>
    <i t="grand">
      <x/>
    </i>
  </colItems>
  <dataFields count="1">
    <dataField name="Count of Total Revenue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G47:AH64" firstHeaderRow="1" firstDataRow="1" firstDataCol="1"/>
  <pivotFields count="21">
    <pivotField showAll="0"/>
    <pivotField showAll="0"/>
    <pivotField axis="axisRow" showAll="0">
      <items count="17">
        <item x="13"/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 Cost" fld="20" baseField="2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5.xml"/><Relationship Id="rId4" Type="http://schemas.openxmlformats.org/officeDocument/2006/relationships/comments" Target="../comments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8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4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62"/>
  <sheetViews>
    <sheetView zoomScale="80" zoomScaleNormal="80" workbookViewId="0">
      <selection activeCell="M28" sqref="M28"/>
    </sheetView>
  </sheetViews>
  <sheetFormatPr defaultRowHeight="14.35"/>
  <cols>
    <col min="2" max="5" width="13.234375" customWidth="1"/>
    <col min="6" max="6" width="15.1171875" customWidth="1"/>
    <col min="10" max="10" width="11.87890625" bestFit="1" customWidth="1"/>
  </cols>
  <sheetData>
    <row r="1" spans="2:12" ht="5.7" customHeight="1"/>
    <row r="2" spans="2:12" s="175" customFormat="1" ht="18.95" customHeight="1">
      <c r="B2" s="260" t="s">
        <v>188</v>
      </c>
      <c r="C2" s="182"/>
    </row>
    <row r="3" spans="2:12" s="175" customFormat="1" ht="3.75" customHeight="1"/>
    <row r="4" spans="2:12">
      <c r="B4" s="152" t="s">
        <v>83</v>
      </c>
      <c r="C4" s="153"/>
      <c r="D4" s="153"/>
      <c r="E4" s="153"/>
      <c r="F4" s="153"/>
      <c r="G4" s="155"/>
    </row>
    <row r="5" spans="2:12">
      <c r="B5" s="147" t="s">
        <v>80</v>
      </c>
      <c r="C5" s="148" t="s">
        <v>276</v>
      </c>
      <c r="D5" s="148" t="s">
        <v>15</v>
      </c>
      <c r="E5" s="148" t="s">
        <v>38</v>
      </c>
      <c r="F5" s="148" t="s">
        <v>62</v>
      </c>
      <c r="G5" s="289" t="s">
        <v>63</v>
      </c>
      <c r="I5" s="180"/>
    </row>
    <row r="6" spans="2:12">
      <c r="B6" s="326" t="e">
        <f>#REF!+3041833.16</f>
        <v>#REF!</v>
      </c>
      <c r="C6" s="327" t="e">
        <f>#REF!+1866771.59</f>
        <v>#REF!</v>
      </c>
      <c r="D6" s="327" t="e">
        <f>Overhead!#REF!+562035.72</f>
        <v>#REF!</v>
      </c>
      <c r="E6" s="327" t="e">
        <f>SUM(C6:D6)</f>
        <v>#REF!</v>
      </c>
      <c r="F6" s="328" t="e">
        <f>B6-E6</f>
        <v>#REF!</v>
      </c>
      <c r="G6" s="154" t="e">
        <f>F6/B6</f>
        <v>#REF!</v>
      </c>
      <c r="I6" s="325" t="s">
        <v>411</v>
      </c>
    </row>
    <row r="8" spans="2:12">
      <c r="B8" s="152" t="s">
        <v>81</v>
      </c>
      <c r="C8" s="153"/>
      <c r="D8" s="153"/>
      <c r="E8" s="153"/>
      <c r="F8" s="153"/>
      <c r="G8" s="155"/>
    </row>
    <row r="9" spans="2:12">
      <c r="B9" s="147" t="s">
        <v>80</v>
      </c>
      <c r="C9" s="148" t="s">
        <v>276</v>
      </c>
      <c r="D9" s="148" t="s">
        <v>15</v>
      </c>
      <c r="E9" s="148" t="s">
        <v>38</v>
      </c>
      <c r="F9" s="148" t="s">
        <v>62</v>
      </c>
      <c r="G9" s="289" t="s">
        <v>63</v>
      </c>
    </row>
    <row r="10" spans="2:12">
      <c r="B10" s="149" t="e">
        <f>#REF!</f>
        <v>#REF!</v>
      </c>
      <c r="C10" s="150" t="e">
        <f>#REF!</f>
        <v>#REF!</v>
      </c>
      <c r="D10" s="150" t="e">
        <f>Overhead!#REF!</f>
        <v>#REF!</v>
      </c>
      <c r="E10" s="150" t="e">
        <f>SUM(C10:D10)</f>
        <v>#REF!</v>
      </c>
      <c r="F10" s="151" t="e">
        <f>B10-E10</f>
        <v>#REF!</v>
      </c>
      <c r="G10" s="154" t="e">
        <f>F10/B10</f>
        <v>#REF!</v>
      </c>
    </row>
    <row r="11" spans="2:12">
      <c r="L11" s="193"/>
    </row>
    <row r="12" spans="2:12">
      <c r="B12" s="152" t="s">
        <v>82</v>
      </c>
      <c r="C12" s="152"/>
      <c r="D12" s="153"/>
      <c r="E12" s="153"/>
      <c r="F12" s="153"/>
      <c r="G12" s="153"/>
    </row>
    <row r="13" spans="2:12">
      <c r="B13" s="147" t="s">
        <v>80</v>
      </c>
      <c r="C13" s="148" t="s">
        <v>276</v>
      </c>
      <c r="D13" s="148" t="s">
        <v>15</v>
      </c>
      <c r="E13" s="148" t="s">
        <v>38</v>
      </c>
      <c r="F13" s="148" t="s">
        <v>62</v>
      </c>
      <c r="G13" s="289" t="s">
        <v>63</v>
      </c>
    </row>
    <row r="14" spans="2:12">
      <c r="B14" s="149" t="e">
        <f>#REF!</f>
        <v>#REF!</v>
      </c>
      <c r="C14" s="150" t="e">
        <f>#REF!</f>
        <v>#REF!</v>
      </c>
      <c r="D14" s="150" t="e">
        <f>Overhead!#REF!</f>
        <v>#REF!</v>
      </c>
      <c r="E14" s="150" t="e">
        <f>SUM(C14:D14)</f>
        <v>#REF!</v>
      </c>
      <c r="F14" s="151" t="e">
        <f>B14-E14</f>
        <v>#REF!</v>
      </c>
      <c r="G14" s="154" t="e">
        <f>F14/B14</f>
        <v>#REF!</v>
      </c>
    </row>
    <row r="15" spans="2:12" s="175" customFormat="1">
      <c r="B15" s="215"/>
      <c r="C15" s="271"/>
      <c r="D15" s="271"/>
      <c r="E15" s="271"/>
      <c r="F15" s="215"/>
      <c r="G15" s="214"/>
    </row>
    <row r="16" spans="2:12" s="175" customFormat="1">
      <c r="B16" s="152" t="s">
        <v>147</v>
      </c>
      <c r="C16" s="152"/>
      <c r="D16" s="153"/>
      <c r="E16" s="153"/>
      <c r="F16" s="153"/>
      <c r="G16" s="153"/>
    </row>
    <row r="17" spans="2:7" s="175" customFormat="1">
      <c r="B17" s="147" t="s">
        <v>80</v>
      </c>
      <c r="C17" s="148" t="s">
        <v>276</v>
      </c>
      <c r="D17" s="148" t="s">
        <v>15</v>
      </c>
      <c r="E17" s="148" t="s">
        <v>38</v>
      </c>
      <c r="F17" s="148" t="s">
        <v>62</v>
      </c>
      <c r="G17" s="289" t="s">
        <v>63</v>
      </c>
    </row>
    <row r="18" spans="2:7">
      <c r="B18" s="149" t="e">
        <f>#REF!</f>
        <v>#REF!</v>
      </c>
      <c r="C18" s="150" t="e">
        <f>#REF!</f>
        <v>#REF!</v>
      </c>
      <c r="D18" s="150" t="e">
        <f>Overhead!#REF!</f>
        <v>#REF!</v>
      </c>
      <c r="E18" s="150" t="e">
        <f>SUM(C18:D18)</f>
        <v>#REF!</v>
      </c>
      <c r="F18" s="151" t="e">
        <f>B18-E18</f>
        <v>#REF!</v>
      </c>
      <c r="G18" s="154" t="e">
        <f>F18/B18</f>
        <v>#REF!</v>
      </c>
    </row>
    <row r="19" spans="2:7" s="175" customFormat="1">
      <c r="B19" s="165"/>
      <c r="C19" s="271"/>
      <c r="D19" s="271"/>
      <c r="E19" s="271"/>
      <c r="F19" s="215"/>
      <c r="G19" s="214"/>
    </row>
    <row r="20" spans="2:7">
      <c r="B20" s="152" t="s">
        <v>84</v>
      </c>
      <c r="C20" s="152"/>
      <c r="D20" s="153"/>
      <c r="E20" s="153"/>
      <c r="F20" s="153"/>
      <c r="G20" s="153"/>
    </row>
    <row r="21" spans="2:7">
      <c r="B21" s="147" t="s">
        <v>80</v>
      </c>
      <c r="C21" s="148" t="s">
        <v>276</v>
      </c>
      <c r="D21" s="148" t="s">
        <v>15</v>
      </c>
      <c r="E21" s="148" t="s">
        <v>38</v>
      </c>
      <c r="F21" s="148" t="s">
        <v>62</v>
      </c>
      <c r="G21" s="289" t="s">
        <v>63</v>
      </c>
    </row>
    <row r="22" spans="2:7">
      <c r="B22" s="149" t="e">
        <f>#REF!</f>
        <v>#REF!</v>
      </c>
      <c r="C22" s="150" t="e">
        <f>#REF!</f>
        <v>#REF!</v>
      </c>
      <c r="D22" s="150">
        <f>Overhead!B13</f>
        <v>0</v>
      </c>
      <c r="E22" s="150" t="e">
        <f>SUM(C22:D22)</f>
        <v>#REF!</v>
      </c>
      <c r="F22" s="151" t="e">
        <f>B22-E22</f>
        <v>#REF!</v>
      </c>
      <c r="G22" s="154" t="e">
        <f>F22/B22</f>
        <v>#REF!</v>
      </c>
    </row>
    <row r="24" spans="2:7">
      <c r="B24" s="152" t="s">
        <v>85</v>
      </c>
      <c r="C24" s="152"/>
      <c r="D24" s="153"/>
      <c r="E24" s="153"/>
      <c r="F24" s="153"/>
      <c r="G24" s="153"/>
    </row>
    <row r="25" spans="2:7">
      <c r="B25" s="147" t="s">
        <v>80</v>
      </c>
      <c r="C25" s="148" t="s">
        <v>276</v>
      </c>
      <c r="D25" s="148" t="s">
        <v>15</v>
      </c>
      <c r="E25" s="148" t="s">
        <v>38</v>
      </c>
      <c r="F25" s="148" t="s">
        <v>62</v>
      </c>
      <c r="G25" s="289" t="s">
        <v>63</v>
      </c>
    </row>
    <row r="26" spans="2:7">
      <c r="B26" s="149" t="e">
        <f>#REF!</f>
        <v>#REF!</v>
      </c>
      <c r="C26" s="150" t="e">
        <f>#REF!</f>
        <v>#REF!</v>
      </c>
      <c r="D26" s="150" t="e">
        <f>Overhead!#REF!</f>
        <v>#REF!</v>
      </c>
      <c r="E26" s="150" t="e">
        <f>SUM(C26:D26)</f>
        <v>#REF!</v>
      </c>
      <c r="F26" s="151" t="e">
        <f>B26-E26</f>
        <v>#REF!</v>
      </c>
      <c r="G26" s="154" t="e">
        <f>F26/B26</f>
        <v>#REF!</v>
      </c>
    </row>
    <row r="28" spans="2:7" s="175" customFormat="1">
      <c r="B28" s="152" t="s">
        <v>145</v>
      </c>
      <c r="C28" s="152"/>
      <c r="D28" s="153"/>
      <c r="E28" s="153"/>
      <c r="F28" s="153"/>
      <c r="G28" s="153"/>
    </row>
    <row r="29" spans="2:7" s="175" customFormat="1">
      <c r="B29" s="147" t="s">
        <v>80</v>
      </c>
      <c r="C29" s="148" t="s">
        <v>276</v>
      </c>
      <c r="D29" s="148" t="s">
        <v>15</v>
      </c>
      <c r="E29" s="148" t="s">
        <v>38</v>
      </c>
      <c r="F29" s="148" t="s">
        <v>62</v>
      </c>
      <c r="G29" s="289" t="s">
        <v>63</v>
      </c>
    </row>
    <row r="30" spans="2:7" s="175" customFormat="1">
      <c r="B30" s="149" t="e">
        <f>#REF!</f>
        <v>#REF!</v>
      </c>
      <c r="C30" s="150" t="e">
        <f>#REF!</f>
        <v>#REF!</v>
      </c>
      <c r="D30" s="150" t="e">
        <f>Overhead!#REF!</f>
        <v>#REF!</v>
      </c>
      <c r="E30" s="150" t="e">
        <f>SUM(C30:D30)</f>
        <v>#REF!</v>
      </c>
      <c r="F30" s="151" t="e">
        <f>B30-E30</f>
        <v>#REF!</v>
      </c>
      <c r="G30" s="154" t="e">
        <f>F30/B30</f>
        <v>#REF!</v>
      </c>
    </row>
    <row r="31" spans="2:7" s="175" customFormat="1">
      <c r="B31" s="215"/>
      <c r="C31" s="271"/>
      <c r="D31" s="271"/>
      <c r="E31" s="271"/>
      <c r="F31" s="215"/>
      <c r="G31" s="214"/>
    </row>
    <row r="32" spans="2:7" s="175" customFormat="1">
      <c r="B32" s="152" t="s">
        <v>157</v>
      </c>
      <c r="C32" s="153"/>
      <c r="D32" s="153"/>
      <c r="E32" s="153"/>
      <c r="F32" s="153"/>
      <c r="G32" s="155"/>
    </row>
    <row r="33" spans="2:12" s="175" customFormat="1">
      <c r="B33" s="147" t="s">
        <v>80</v>
      </c>
      <c r="C33" s="148" t="s">
        <v>276</v>
      </c>
      <c r="D33" s="148" t="s">
        <v>15</v>
      </c>
      <c r="E33" s="148" t="s">
        <v>38</v>
      </c>
      <c r="F33" s="148" t="s">
        <v>62</v>
      </c>
      <c r="G33" s="289" t="s">
        <v>63</v>
      </c>
    </row>
    <row r="34" spans="2:12" s="175" customFormat="1">
      <c r="B34" s="149" t="e">
        <f>#REF!</f>
        <v>#REF!</v>
      </c>
      <c r="C34" s="150" t="e">
        <f>#REF!</f>
        <v>#REF!</v>
      </c>
      <c r="D34" s="150">
        <f>Overhead!B14</f>
        <v>0</v>
      </c>
      <c r="E34" s="150" t="e">
        <f>SUM(C34:D34)</f>
        <v>#REF!</v>
      </c>
      <c r="F34" s="151" t="e">
        <f>B34-E34</f>
        <v>#REF!</v>
      </c>
      <c r="G34" s="154" t="e">
        <f>F34/B34</f>
        <v>#REF!</v>
      </c>
      <c r="L34" s="175" t="s">
        <v>16</v>
      </c>
    </row>
    <row r="35" spans="2:12" s="175" customFormat="1"/>
    <row r="36" spans="2:12" s="331" customFormat="1">
      <c r="B36" s="152" t="s">
        <v>372</v>
      </c>
      <c r="C36" s="153"/>
      <c r="D36" s="153"/>
      <c r="E36" s="153"/>
      <c r="F36" s="153"/>
      <c r="G36" s="155"/>
    </row>
    <row r="37" spans="2:12" s="331" customFormat="1">
      <c r="B37" s="147" t="s">
        <v>80</v>
      </c>
      <c r="C37" s="148" t="s">
        <v>276</v>
      </c>
      <c r="D37" s="148" t="s">
        <v>15</v>
      </c>
      <c r="E37" s="148" t="s">
        <v>38</v>
      </c>
      <c r="F37" s="148" t="s">
        <v>62</v>
      </c>
      <c r="G37" s="289" t="s">
        <v>63</v>
      </c>
    </row>
    <row r="38" spans="2:12" s="331" customFormat="1">
      <c r="B38" s="149" t="e">
        <f>#REF!</f>
        <v>#REF!</v>
      </c>
      <c r="C38" s="150" t="e">
        <f>#REF!</f>
        <v>#REF!</v>
      </c>
      <c r="D38" s="150" t="e">
        <f>Overhead!#REF!</f>
        <v>#REF!</v>
      </c>
      <c r="E38" s="150" t="e">
        <f>SUM(C38:D38)</f>
        <v>#REF!</v>
      </c>
      <c r="F38" s="151" t="e">
        <f>B38-E38</f>
        <v>#REF!</v>
      </c>
      <c r="G38" s="154" t="e">
        <f>F38/B38</f>
        <v>#REF!</v>
      </c>
    </row>
    <row r="39" spans="2:12" s="331" customFormat="1"/>
    <row r="40" spans="2:12" s="331" customFormat="1">
      <c r="B40" s="152" t="s">
        <v>373</v>
      </c>
      <c r="C40" s="153"/>
      <c r="D40" s="153"/>
      <c r="E40" s="153"/>
      <c r="F40" s="153"/>
      <c r="G40" s="155"/>
    </row>
    <row r="41" spans="2:12" s="331" customFormat="1">
      <c r="B41" s="147" t="s">
        <v>80</v>
      </c>
      <c r="C41" s="148" t="s">
        <v>276</v>
      </c>
      <c r="D41" s="148" t="s">
        <v>15</v>
      </c>
      <c r="E41" s="148" t="s">
        <v>38</v>
      </c>
      <c r="F41" s="148" t="s">
        <v>62</v>
      </c>
      <c r="G41" s="289" t="s">
        <v>63</v>
      </c>
    </row>
    <row r="42" spans="2:12" s="331" customFormat="1">
      <c r="B42" s="149" t="e">
        <f>#REF!</f>
        <v>#REF!</v>
      </c>
      <c r="C42" s="150" t="e">
        <f>#REF!</f>
        <v>#REF!</v>
      </c>
      <c r="D42" s="150" t="e">
        <f>Overhead!#REF!</f>
        <v>#REF!</v>
      </c>
      <c r="E42" s="150" t="e">
        <f>SUM(C42:D42)</f>
        <v>#REF!</v>
      </c>
      <c r="F42" s="151" t="e">
        <f>B42-E42</f>
        <v>#REF!</v>
      </c>
      <c r="G42" s="154" t="e">
        <f>F42/B42</f>
        <v>#REF!</v>
      </c>
    </row>
    <row r="43" spans="2:12" s="331" customFormat="1"/>
    <row r="44" spans="2:12" s="175" customFormat="1">
      <c r="B44" s="152" t="s">
        <v>158</v>
      </c>
      <c r="C44" s="153"/>
      <c r="D44" s="153"/>
      <c r="E44" s="153"/>
      <c r="F44" s="153"/>
      <c r="G44" s="155"/>
    </row>
    <row r="45" spans="2:12" s="175" customFormat="1">
      <c r="B45" s="147" t="s">
        <v>80</v>
      </c>
      <c r="C45" s="148" t="s">
        <v>276</v>
      </c>
      <c r="D45" s="148" t="s">
        <v>15</v>
      </c>
      <c r="E45" s="148" t="s">
        <v>38</v>
      </c>
      <c r="F45" s="148" t="s">
        <v>62</v>
      </c>
      <c r="G45" s="289" t="s">
        <v>63</v>
      </c>
    </row>
    <row r="46" spans="2:12" s="175" customFormat="1">
      <c r="B46" s="149" t="e">
        <f>#REF!</f>
        <v>#REF!</v>
      </c>
      <c r="C46" s="150">
        <v>64967.62</v>
      </c>
      <c r="D46" s="150" t="e">
        <f>Overhead!#REF!</f>
        <v>#REF!</v>
      </c>
      <c r="E46" s="150" t="e">
        <f>SUM(C46:D46)</f>
        <v>#REF!</v>
      </c>
      <c r="F46" s="151" t="e">
        <f>B46-E46</f>
        <v>#REF!</v>
      </c>
      <c r="G46" s="154" t="e">
        <f>F46/B46</f>
        <v>#REF!</v>
      </c>
    </row>
    <row r="47" spans="2:12" s="175" customFormat="1"/>
    <row r="48" spans="2:12" s="175" customFormat="1">
      <c r="B48" s="152" t="s">
        <v>557</v>
      </c>
      <c r="C48" s="153"/>
      <c r="D48" s="153"/>
      <c r="E48" s="153"/>
      <c r="F48" s="153"/>
      <c r="G48" s="155"/>
    </row>
    <row r="49" spans="2:9" s="175" customFormat="1">
      <c r="B49" s="147" t="s">
        <v>80</v>
      </c>
      <c r="C49" s="148" t="s">
        <v>276</v>
      </c>
      <c r="D49" s="148" t="s">
        <v>15</v>
      </c>
      <c r="E49" s="148" t="s">
        <v>38</v>
      </c>
      <c r="F49" s="148" t="s">
        <v>62</v>
      </c>
      <c r="G49" s="289" t="s">
        <v>63</v>
      </c>
    </row>
    <row r="50" spans="2:9" s="175" customFormat="1">
      <c r="B50" s="283" t="e">
        <f>SUM(#REF!,#REF!)</f>
        <v>#REF!</v>
      </c>
      <c r="C50" s="284" t="e">
        <f>SUM(#REF!,#REF!)</f>
        <v>#REF!</v>
      </c>
      <c r="D50" s="150">
        <f>Overhead!B16</f>
        <v>0</v>
      </c>
      <c r="E50" s="150" t="e">
        <f>SUM(C50:D50)</f>
        <v>#REF!</v>
      </c>
      <c r="F50" s="151" t="e">
        <f>B50-E50</f>
        <v>#REF!</v>
      </c>
      <c r="G50" s="353" t="e">
        <f>F50/B50</f>
        <v>#REF!</v>
      </c>
      <c r="I50" s="135"/>
    </row>
    <row r="51" spans="2:9" s="175" customFormat="1"/>
    <row r="52" spans="2:9" s="175" customFormat="1" hidden="1">
      <c r="B52" s="152" t="s">
        <v>160</v>
      </c>
      <c r="C52" s="153"/>
      <c r="D52" s="153"/>
      <c r="E52" s="153"/>
      <c r="F52" s="153"/>
      <c r="G52" s="155"/>
    </row>
    <row r="53" spans="2:9" s="175" customFormat="1" hidden="1">
      <c r="B53" s="147" t="s">
        <v>80</v>
      </c>
      <c r="C53" s="148" t="s">
        <v>276</v>
      </c>
      <c r="D53" s="148" t="s">
        <v>15</v>
      </c>
      <c r="E53" s="148" t="s">
        <v>38</v>
      </c>
      <c r="F53" s="148" t="s">
        <v>62</v>
      </c>
      <c r="G53" s="289" t="s">
        <v>63</v>
      </c>
    </row>
    <row r="54" spans="2:9" s="175" customFormat="1" hidden="1">
      <c r="B54" s="283" t="e">
        <f>#REF!</f>
        <v>#REF!</v>
      </c>
      <c r="C54" s="327" t="e">
        <f>#REF!+87120.54</f>
        <v>#REF!</v>
      </c>
      <c r="D54" s="327" t="e">
        <f>Overhead!#REF!+20663.17</f>
        <v>#REF!</v>
      </c>
      <c r="E54" s="327" t="e">
        <f>SUM(C54:D54)</f>
        <v>#REF!</v>
      </c>
      <c r="F54" s="328" t="e">
        <f>B54-E54</f>
        <v>#REF!</v>
      </c>
      <c r="G54" s="154" t="e">
        <f>F54/B54</f>
        <v>#REF!</v>
      </c>
      <c r="I54" s="325" t="s">
        <v>412</v>
      </c>
    </row>
    <row r="55" spans="2:9" s="175" customFormat="1" hidden="1"/>
    <row r="56" spans="2:9" s="175" customFormat="1" hidden="1">
      <c r="B56" s="152" t="s">
        <v>159</v>
      </c>
      <c r="C56" s="153"/>
      <c r="D56" s="153"/>
      <c r="E56" s="153"/>
      <c r="F56" s="153"/>
      <c r="G56" s="155"/>
    </row>
    <row r="57" spans="2:9" s="175" customFormat="1" hidden="1">
      <c r="B57" s="147" t="s">
        <v>80</v>
      </c>
      <c r="C57" s="148" t="s">
        <v>276</v>
      </c>
      <c r="D57" s="148" t="s">
        <v>15</v>
      </c>
      <c r="E57" s="148" t="s">
        <v>38</v>
      </c>
      <c r="F57" s="148" t="s">
        <v>62</v>
      </c>
      <c r="G57" s="289" t="s">
        <v>63</v>
      </c>
    </row>
    <row r="58" spans="2:9" s="175" customFormat="1" hidden="1">
      <c r="B58" s="283" t="e">
        <f>#REF!</f>
        <v>#REF!</v>
      </c>
      <c r="C58" s="328" t="e">
        <f>#REF!+208315.22</f>
        <v>#REF!</v>
      </c>
      <c r="D58" s="327" t="e">
        <f>Overhead!#REF!+44346.13</f>
        <v>#REF!</v>
      </c>
      <c r="E58" s="327" t="e">
        <f>SUM(C58:D58)</f>
        <v>#REF!</v>
      </c>
      <c r="F58" s="328" t="e">
        <f>B58-E58</f>
        <v>#REF!</v>
      </c>
      <c r="G58" s="154" t="e">
        <f>F58/B58</f>
        <v>#REF!</v>
      </c>
      <c r="I58" s="325" t="s">
        <v>412</v>
      </c>
    </row>
    <row r="60" spans="2:9">
      <c r="F60" s="166" t="e">
        <f>SUM(F5:F59)</f>
        <v>#REF!</v>
      </c>
      <c r="G60" s="279" t="s">
        <v>149</v>
      </c>
      <c r="H60" s="24"/>
    </row>
    <row r="62" spans="2:9">
      <c r="F62" s="268" t="e">
        <f>AVERAGE(G5:G50)+AVERAGE(G52:G58)</f>
        <v>#REF!</v>
      </c>
      <c r="G62" s="24" t="s">
        <v>150</v>
      </c>
      <c r="H62" s="4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840"/>
  <sheetViews>
    <sheetView zoomScale="85" zoomScaleNormal="85" workbookViewId="0">
      <pane ySplit="1" topLeftCell="A2" activePane="bottomLeft" state="frozen"/>
      <selection pane="bottomLeft" activeCell="G314" sqref="G314"/>
    </sheetView>
  </sheetViews>
  <sheetFormatPr defaultColWidth="9.1171875" defaultRowHeight="14.35"/>
  <cols>
    <col min="1" max="1" width="26.87890625" style="13" customWidth="1"/>
    <col min="2" max="2" width="21.41015625" style="13" customWidth="1"/>
    <col min="3" max="3" width="11.234375" style="13" customWidth="1"/>
    <col min="4" max="4" width="10.703125" style="13" bestFit="1" customWidth="1"/>
    <col min="5" max="5" width="17.52734375" style="13" customWidth="1"/>
    <col min="6" max="6" width="31.3515625" style="13" customWidth="1"/>
    <col min="7" max="7" width="76.64453125" style="13" customWidth="1"/>
    <col min="8" max="8" width="26.1171875" style="13" bestFit="1" customWidth="1"/>
    <col min="9" max="9" width="11.5859375" style="13" bestFit="1" customWidth="1"/>
    <col min="10" max="10" width="6.234375" style="13" customWidth="1"/>
    <col min="11" max="11" width="13.9375" style="13" customWidth="1"/>
    <col min="12" max="12" width="23.5859375" style="68" customWidth="1"/>
    <col min="13" max="14" width="13" style="13" customWidth="1"/>
    <col min="15" max="15" width="13.64453125" style="13" customWidth="1"/>
    <col min="16" max="16" width="15.1171875" style="13" customWidth="1"/>
    <col min="17" max="17" width="11.3515625" style="13" customWidth="1"/>
    <col min="18" max="18" width="13.234375" style="13" customWidth="1"/>
    <col min="19" max="19" width="9.8203125" style="13" customWidth="1"/>
    <col min="20" max="20" width="11.05859375" style="13" customWidth="1"/>
    <col min="21" max="21" width="6.46875" style="13" customWidth="1"/>
    <col min="22" max="22" width="15.64453125" style="13" customWidth="1"/>
    <col min="23" max="23" width="7.5859375" style="13" customWidth="1"/>
    <col min="24" max="24" width="19.1171875" style="13" customWidth="1"/>
    <col min="25" max="25" width="13.9375" style="13" customWidth="1"/>
    <col min="26" max="26" width="15.234375" style="13" customWidth="1"/>
    <col min="27" max="28" width="9" style="13" customWidth="1"/>
    <col min="29" max="29" width="8.46875" style="13" customWidth="1"/>
    <col min="30" max="30" width="18.1171875" style="13" customWidth="1"/>
    <col min="31" max="31" width="23.17578125" style="13" customWidth="1"/>
    <col min="32" max="32" width="6.1171875" style="13" customWidth="1"/>
    <col min="33" max="34" width="8" style="13" customWidth="1"/>
    <col min="35" max="35" width="10.5859375" style="13" customWidth="1"/>
    <col min="36" max="36" width="8" style="13" customWidth="1"/>
    <col min="37" max="37" width="18.3515625" style="13" customWidth="1"/>
    <col min="38" max="38" width="12.05859375" style="13" customWidth="1"/>
    <col min="39" max="39" width="18.234375" style="13" customWidth="1"/>
    <col min="40" max="40" width="21.41015625" style="13" customWidth="1"/>
    <col min="41" max="41" width="15.703125" style="13" customWidth="1"/>
    <col min="42" max="42" width="6.41015625" style="13" customWidth="1"/>
    <col min="43" max="43" width="15.703125" style="13" customWidth="1"/>
    <col min="44" max="44" width="18.1171875" style="13" customWidth="1"/>
    <col min="45" max="45" width="7.703125" style="13" customWidth="1"/>
    <col min="46" max="46" width="10" style="13" customWidth="1"/>
    <col min="47" max="47" width="19.1171875" style="13" customWidth="1"/>
    <col min="48" max="48" width="4.703125" style="13" customWidth="1"/>
    <col min="49" max="49" width="7" style="13" customWidth="1"/>
    <col min="50" max="50" width="13.703125" style="13" customWidth="1"/>
    <col min="51" max="51" width="15" style="13" customWidth="1"/>
    <col min="52" max="53" width="7.703125" style="13" customWidth="1"/>
    <col min="54" max="54" width="8.5859375" style="13" customWidth="1"/>
    <col min="55" max="55" width="11.703125" style="13" customWidth="1"/>
    <col min="56" max="56" width="15.703125" style="13" customWidth="1"/>
    <col min="57" max="57" width="12.5859375" style="13" customWidth="1"/>
    <col min="58" max="58" width="10.41015625" style="13" customWidth="1"/>
    <col min="59" max="59" width="7" style="13" customWidth="1"/>
    <col min="60" max="60" width="14" style="13" customWidth="1"/>
    <col min="61" max="61" width="8.703125" style="13" customWidth="1"/>
    <col min="62" max="62" width="12" style="13" bestFit="1" customWidth="1"/>
    <col min="63" max="63" width="19.5859375" style="13" customWidth="1"/>
    <col min="64" max="64" width="10" style="13" bestFit="1" customWidth="1"/>
    <col min="65" max="65" width="10.87890625" style="13" customWidth="1"/>
    <col min="66" max="66" width="23.703125" style="13" bestFit="1" customWidth="1"/>
    <col min="67" max="67" width="17.87890625" style="13" bestFit="1" customWidth="1"/>
    <col min="68" max="68" width="15.703125" style="13" bestFit="1" customWidth="1"/>
    <col min="69" max="69" width="20.234375" style="13" bestFit="1" customWidth="1"/>
    <col min="70" max="70" width="14.703125" style="13" bestFit="1" customWidth="1"/>
    <col min="71" max="71" width="20.234375" style="13" bestFit="1" customWidth="1"/>
    <col min="72" max="72" width="14.703125" style="13" bestFit="1" customWidth="1"/>
    <col min="73" max="73" width="20.234375" style="13" bestFit="1" customWidth="1"/>
    <col min="74" max="74" width="15.703125" style="13" bestFit="1" customWidth="1"/>
    <col min="75" max="75" width="20.234375" style="13" bestFit="1" customWidth="1"/>
    <col min="76" max="76" width="15.703125" style="13" bestFit="1" customWidth="1"/>
    <col min="77" max="77" width="20.234375" style="13" bestFit="1" customWidth="1"/>
    <col min="78" max="78" width="15.703125" style="13" bestFit="1" customWidth="1"/>
    <col min="79" max="79" width="20.234375" style="13" bestFit="1" customWidth="1"/>
    <col min="80" max="80" width="15.703125" style="13" bestFit="1" customWidth="1"/>
    <col min="81" max="81" width="12.5859375" style="13" bestFit="1" customWidth="1"/>
    <col min="82" max="82" width="10.41015625" style="13" bestFit="1" customWidth="1"/>
    <col min="83" max="83" width="7" style="13" customWidth="1"/>
    <col min="84" max="84" width="9.87890625" style="13" customWidth="1"/>
    <col min="85" max="85" width="11.5859375" style="13" bestFit="1" customWidth="1"/>
    <col min="86" max="86" width="9" style="13" customWidth="1"/>
    <col min="87" max="87" width="15.234375" style="13" customWidth="1"/>
    <col min="88" max="88" width="6" style="13" customWidth="1"/>
    <col min="89" max="89" width="16.5859375" style="13" bestFit="1" customWidth="1"/>
    <col min="90" max="90" width="20.41015625" style="13" bestFit="1" customWidth="1"/>
    <col min="91" max="91" width="10.87890625" style="13" bestFit="1" customWidth="1"/>
    <col min="92" max="92" width="19.5859375" style="13" bestFit="1" customWidth="1"/>
    <col min="93" max="93" width="10" style="13" bestFit="1" customWidth="1"/>
    <col min="94" max="94" width="10.87890625" style="13" bestFit="1" customWidth="1"/>
    <col min="95" max="95" width="13.703125" style="13" bestFit="1" customWidth="1"/>
    <col min="96" max="96" width="20.234375" style="13" bestFit="1" customWidth="1"/>
    <col min="97" max="97" width="15.703125" style="13" bestFit="1" customWidth="1"/>
    <col min="98" max="98" width="20.234375" style="13" bestFit="1" customWidth="1"/>
    <col min="99" max="99" width="15.703125" style="13" bestFit="1" customWidth="1"/>
    <col min="100" max="100" width="20.234375" style="13" bestFit="1" customWidth="1"/>
    <col min="101" max="101" width="15.703125" style="13" bestFit="1" customWidth="1"/>
    <col min="102" max="102" width="20.234375" style="13" bestFit="1" customWidth="1"/>
    <col min="103" max="103" width="15.703125" style="13" bestFit="1" customWidth="1"/>
    <col min="104" max="104" width="20.234375" style="13" bestFit="1" customWidth="1"/>
    <col min="105" max="105" width="15.703125" style="13" bestFit="1" customWidth="1"/>
    <col min="106" max="106" width="12.5859375" style="13" bestFit="1" customWidth="1"/>
    <col min="107" max="107" width="10.41015625" style="13" bestFit="1" customWidth="1"/>
    <col min="108" max="108" width="12.41015625" style="13" bestFit="1" customWidth="1"/>
    <col min="109" max="109" width="15.41015625" style="13" bestFit="1" customWidth="1"/>
    <col min="110" max="110" width="11.41015625" style="13" bestFit="1" customWidth="1"/>
    <col min="111" max="111" width="14.41015625" style="13" bestFit="1" customWidth="1"/>
    <col min="112" max="112" width="5.234375" style="13" customWidth="1"/>
    <col min="113" max="113" width="19.5859375" style="13" bestFit="1" customWidth="1"/>
    <col min="114" max="114" width="12.1171875" style="13" bestFit="1" customWidth="1"/>
    <col min="115" max="115" width="10" style="13" bestFit="1" customWidth="1"/>
    <col min="116" max="116" width="10.87890625" style="13" bestFit="1" customWidth="1"/>
    <col min="117" max="117" width="13.703125" style="13" bestFit="1" customWidth="1"/>
    <col min="118" max="118" width="20.234375" style="13" bestFit="1" customWidth="1"/>
    <col min="119" max="119" width="15.703125" style="13" bestFit="1" customWidth="1"/>
    <col min="120" max="120" width="12.5859375" style="13" bestFit="1" customWidth="1"/>
    <col min="121" max="121" width="7" style="13" customWidth="1"/>
    <col min="122" max="122" width="10.41015625" style="13" bestFit="1" customWidth="1"/>
    <col min="123" max="123" width="14.41015625" style="13" bestFit="1" customWidth="1"/>
    <col min="124" max="124" width="22.41015625" style="13" bestFit="1" customWidth="1"/>
    <col min="125" max="125" width="19.5859375" style="13" bestFit="1" customWidth="1"/>
    <col min="126" max="126" width="10.87890625" style="13" bestFit="1" customWidth="1"/>
    <col min="127" max="127" width="13.703125" style="13" bestFit="1" customWidth="1"/>
    <col min="128" max="128" width="20.234375" style="13" bestFit="1" customWidth="1"/>
    <col min="129" max="129" width="15.703125" style="13" bestFit="1" customWidth="1"/>
    <col min="130" max="130" width="12.5859375" style="13" bestFit="1" customWidth="1"/>
    <col min="131" max="131" width="15.703125" style="13" bestFit="1" customWidth="1"/>
    <col min="132" max="132" width="12.5859375" style="13" bestFit="1" customWidth="1"/>
    <col min="133" max="133" width="15.703125" style="13" bestFit="1" customWidth="1"/>
    <col min="134" max="134" width="12.5859375" style="13" bestFit="1" customWidth="1"/>
    <col min="135" max="135" width="15.703125" style="13" bestFit="1" customWidth="1"/>
    <col min="136" max="136" width="9.1171875" style="13"/>
    <col min="137" max="137" width="12.1171875" style="13" bestFit="1" customWidth="1"/>
    <col min="138" max="138" width="11.234375" style="13" bestFit="1" customWidth="1"/>
    <col min="139" max="16384" width="9.1171875" style="13"/>
  </cols>
  <sheetData>
    <row r="1" spans="1:12" s="10" customFormat="1" ht="28.7">
      <c r="A1" s="8" t="s">
        <v>0</v>
      </c>
      <c r="B1" s="8" t="s">
        <v>1</v>
      </c>
      <c r="C1" s="9" t="s">
        <v>2</v>
      </c>
      <c r="D1" s="9" t="s">
        <v>3</v>
      </c>
      <c r="E1" s="9" t="s">
        <v>34</v>
      </c>
      <c r="F1" s="9" t="s">
        <v>33</v>
      </c>
      <c r="G1" s="8" t="s">
        <v>4</v>
      </c>
      <c r="H1" s="8" t="s">
        <v>5</v>
      </c>
      <c r="I1" s="8" t="s">
        <v>6</v>
      </c>
      <c r="L1" s="253"/>
    </row>
    <row r="2" spans="1:12" hidden="1">
      <c r="A2" s="16" t="s">
        <v>312</v>
      </c>
      <c r="B2" s="16" t="s">
        <v>780</v>
      </c>
      <c r="C2" s="17">
        <v>42862</v>
      </c>
      <c r="D2" s="12">
        <f>EOMONTH(C2,1)</f>
        <v>42916</v>
      </c>
      <c r="E2" s="12" t="s">
        <v>781</v>
      </c>
      <c r="F2" s="12" t="s">
        <v>781</v>
      </c>
      <c r="G2" s="16" t="s">
        <v>750</v>
      </c>
      <c r="H2" s="12" t="s">
        <v>781</v>
      </c>
      <c r="I2" s="18">
        <v>975.97</v>
      </c>
      <c r="K2"/>
      <c r="L2"/>
    </row>
    <row r="3" spans="1:12" hidden="1">
      <c r="A3" s="16" t="s">
        <v>312</v>
      </c>
      <c r="B3" s="16" t="s">
        <v>782</v>
      </c>
      <c r="C3" s="17">
        <v>42862</v>
      </c>
      <c r="D3" s="12">
        <f>EOMONTH(C3,1)</f>
        <v>42916</v>
      </c>
      <c r="E3" s="12" t="s">
        <v>781</v>
      </c>
      <c r="F3" s="12" t="s">
        <v>781</v>
      </c>
      <c r="G3" s="16" t="s">
        <v>750</v>
      </c>
      <c r="H3" s="12" t="s">
        <v>781</v>
      </c>
      <c r="I3" s="18">
        <v>1776.88</v>
      </c>
      <c r="K3"/>
      <c r="L3"/>
    </row>
    <row r="4" spans="1:12" hidden="1">
      <c r="A4" s="16" t="s">
        <v>312</v>
      </c>
      <c r="B4" s="16" t="s">
        <v>783</v>
      </c>
      <c r="C4" s="17">
        <v>42862</v>
      </c>
      <c r="D4" s="12">
        <f>EOMONTH(C4,1)</f>
        <v>42916</v>
      </c>
      <c r="E4" s="12" t="s">
        <v>781</v>
      </c>
      <c r="F4" s="12" t="s">
        <v>781</v>
      </c>
      <c r="G4" s="16" t="s">
        <v>750</v>
      </c>
      <c r="H4" s="12" t="s">
        <v>781</v>
      </c>
      <c r="I4" s="18">
        <v>1195.95</v>
      </c>
      <c r="K4"/>
      <c r="L4"/>
    </row>
    <row r="5" spans="1:12" hidden="1">
      <c r="A5" s="16" t="s">
        <v>312</v>
      </c>
      <c r="B5" s="16" t="s">
        <v>836</v>
      </c>
      <c r="C5" s="17">
        <v>42897</v>
      </c>
      <c r="D5" s="12">
        <f>EOMONTH(C5,1)</f>
        <v>42947</v>
      </c>
      <c r="E5" s="12" t="s">
        <v>781</v>
      </c>
      <c r="F5" s="12" t="s">
        <v>781</v>
      </c>
      <c r="G5" s="16" t="s">
        <v>837</v>
      </c>
      <c r="H5" s="12" t="s">
        <v>781</v>
      </c>
      <c r="I5" s="18">
        <v>614.04</v>
      </c>
      <c r="K5"/>
      <c r="L5"/>
    </row>
    <row r="6" spans="1:12" hidden="1">
      <c r="A6" s="16" t="s">
        <v>839</v>
      </c>
      <c r="B6" s="16" t="s">
        <v>840</v>
      </c>
      <c r="C6" s="17">
        <v>42907</v>
      </c>
      <c r="D6" s="12">
        <f t="shared" ref="D6:D7" si="0">EOMONTH(C6,1)</f>
        <v>42947</v>
      </c>
      <c r="E6" s="12" t="s">
        <v>781</v>
      </c>
      <c r="F6" s="12" t="s">
        <v>781</v>
      </c>
      <c r="G6" s="16" t="s">
        <v>837</v>
      </c>
      <c r="H6" s="12" t="s">
        <v>781</v>
      </c>
      <c r="I6" s="18">
        <v>559.78</v>
      </c>
      <c r="K6"/>
      <c r="L6"/>
    </row>
    <row r="7" spans="1:12" hidden="1">
      <c r="A7" s="16" t="s">
        <v>839</v>
      </c>
      <c r="B7" s="16" t="s">
        <v>841</v>
      </c>
      <c r="C7" s="17">
        <v>42901</v>
      </c>
      <c r="D7" s="12">
        <f t="shared" si="0"/>
        <v>42947</v>
      </c>
      <c r="E7" s="12" t="s">
        <v>781</v>
      </c>
      <c r="F7" s="12" t="s">
        <v>781</v>
      </c>
      <c r="G7" s="16" t="s">
        <v>837</v>
      </c>
      <c r="H7" s="12" t="s">
        <v>781</v>
      </c>
      <c r="I7" s="18">
        <v>3056.15</v>
      </c>
      <c r="K7"/>
      <c r="L7"/>
    </row>
    <row r="8" spans="1:12" hidden="1">
      <c r="A8" s="611" t="s">
        <v>327</v>
      </c>
      <c r="B8" s="16" t="s">
        <v>844</v>
      </c>
      <c r="C8" s="17">
        <v>42855</v>
      </c>
      <c r="D8" s="12">
        <v>42947</v>
      </c>
      <c r="E8" s="12" t="s">
        <v>186</v>
      </c>
      <c r="F8" s="12" t="s">
        <v>425</v>
      </c>
      <c r="G8" s="16" t="s">
        <v>805</v>
      </c>
      <c r="H8" s="12" t="s">
        <v>425</v>
      </c>
      <c r="I8" s="18">
        <v>1501.72</v>
      </c>
      <c r="K8"/>
      <c r="L8"/>
    </row>
    <row r="9" spans="1:12" s="164" customFormat="1" hidden="1">
      <c r="A9" s="611" t="s">
        <v>327</v>
      </c>
      <c r="B9" s="701" t="s">
        <v>845</v>
      </c>
      <c r="C9" s="616">
        <v>42897</v>
      </c>
      <c r="D9" s="14">
        <f t="shared" ref="D9:D15" si="1">EOMONTH(C9,1)</f>
        <v>42947</v>
      </c>
      <c r="E9" s="14" t="s">
        <v>186</v>
      </c>
      <c r="F9" s="611" t="s">
        <v>136</v>
      </c>
      <c r="G9" s="611" t="s">
        <v>1079</v>
      </c>
      <c r="H9" s="611" t="s">
        <v>136</v>
      </c>
      <c r="I9" s="19">
        <v>549.22</v>
      </c>
      <c r="K9"/>
      <c r="L9"/>
    </row>
    <row r="10" spans="1:12" hidden="1">
      <c r="A10" s="16" t="s">
        <v>312</v>
      </c>
      <c r="B10" s="16" t="s">
        <v>849</v>
      </c>
      <c r="C10" s="17">
        <v>42916</v>
      </c>
      <c r="D10" s="12">
        <f t="shared" si="1"/>
        <v>42947</v>
      </c>
      <c r="E10" s="12" t="s">
        <v>186</v>
      </c>
      <c r="F10" s="16" t="s">
        <v>136</v>
      </c>
      <c r="G10" s="16" t="s">
        <v>858</v>
      </c>
      <c r="H10" s="16" t="s">
        <v>136</v>
      </c>
      <c r="I10" s="18">
        <v>235</v>
      </c>
      <c r="K10"/>
      <c r="L10"/>
    </row>
    <row r="11" spans="1:12" hidden="1">
      <c r="A11" s="16" t="s">
        <v>870</v>
      </c>
      <c r="B11" s="16" t="s">
        <v>871</v>
      </c>
      <c r="C11" s="17">
        <v>42905</v>
      </c>
      <c r="D11" s="12">
        <f t="shared" si="1"/>
        <v>42947</v>
      </c>
      <c r="E11" s="12" t="s">
        <v>781</v>
      </c>
      <c r="F11" s="12" t="s">
        <v>781</v>
      </c>
      <c r="G11" s="16" t="s">
        <v>837</v>
      </c>
      <c r="H11" s="12" t="s">
        <v>781</v>
      </c>
      <c r="I11" s="18">
        <v>77.27</v>
      </c>
      <c r="K11"/>
      <c r="L11"/>
    </row>
    <row r="12" spans="1:12" hidden="1">
      <c r="A12" s="16" t="s">
        <v>756</v>
      </c>
      <c r="B12" s="16" t="s">
        <v>879</v>
      </c>
      <c r="C12" s="17">
        <v>42918</v>
      </c>
      <c r="D12" s="12">
        <f t="shared" si="1"/>
        <v>42978</v>
      </c>
      <c r="E12" s="12" t="s">
        <v>740</v>
      </c>
      <c r="F12" s="12" t="s">
        <v>741</v>
      </c>
      <c r="G12" s="16" t="s">
        <v>1231</v>
      </c>
      <c r="H12" s="12" t="s">
        <v>740</v>
      </c>
      <c r="I12" s="18">
        <v>90</v>
      </c>
      <c r="K12"/>
      <c r="L12"/>
    </row>
    <row r="13" spans="1:12" hidden="1">
      <c r="A13" s="16" t="s">
        <v>578</v>
      </c>
      <c r="B13" s="16" t="s">
        <v>892</v>
      </c>
      <c r="C13" s="17">
        <v>42914</v>
      </c>
      <c r="D13" s="12">
        <f t="shared" si="1"/>
        <v>42947</v>
      </c>
      <c r="E13" s="12" t="s">
        <v>186</v>
      </c>
      <c r="F13" s="12" t="s">
        <v>425</v>
      </c>
      <c r="G13" s="11" t="s">
        <v>2470</v>
      </c>
      <c r="H13" s="12" t="s">
        <v>425</v>
      </c>
      <c r="I13" s="18">
        <v>1925.79</v>
      </c>
      <c r="K13"/>
      <c r="L13"/>
    </row>
    <row r="14" spans="1:12" hidden="1">
      <c r="A14" s="16" t="s">
        <v>312</v>
      </c>
      <c r="B14" s="16" t="s">
        <v>894</v>
      </c>
      <c r="C14" s="17">
        <v>42869</v>
      </c>
      <c r="D14" s="12">
        <f t="shared" si="1"/>
        <v>42916</v>
      </c>
      <c r="E14" s="12" t="s">
        <v>781</v>
      </c>
      <c r="F14" s="12" t="s">
        <v>781</v>
      </c>
      <c r="G14" s="16" t="s">
        <v>750</v>
      </c>
      <c r="H14" s="12" t="s">
        <v>781</v>
      </c>
      <c r="I14" s="18">
        <v>609.58000000000004</v>
      </c>
      <c r="K14"/>
      <c r="L14"/>
    </row>
    <row r="15" spans="1:12" hidden="1">
      <c r="A15" s="16" t="s">
        <v>312</v>
      </c>
      <c r="B15" s="16" t="s">
        <v>895</v>
      </c>
      <c r="C15" s="17">
        <v>42911</v>
      </c>
      <c r="D15" s="12">
        <f t="shared" si="1"/>
        <v>42947</v>
      </c>
      <c r="E15" s="12" t="s">
        <v>186</v>
      </c>
      <c r="F15" s="16" t="s">
        <v>1031</v>
      </c>
      <c r="G15" s="611" t="s">
        <v>2471</v>
      </c>
      <c r="H15" s="16" t="s">
        <v>136</v>
      </c>
      <c r="I15" s="18">
        <v>235</v>
      </c>
      <c r="K15"/>
      <c r="L15"/>
    </row>
    <row r="16" spans="1:12" hidden="1">
      <c r="A16" s="16" t="s">
        <v>312</v>
      </c>
      <c r="B16" s="16" t="s">
        <v>897</v>
      </c>
      <c r="C16" s="17">
        <v>42911</v>
      </c>
      <c r="D16" s="12">
        <f t="shared" ref="D16:D25" si="2">EOMONTH(C16,1)</f>
        <v>42947</v>
      </c>
      <c r="E16" s="12" t="s">
        <v>186</v>
      </c>
      <c r="F16" s="16" t="s">
        <v>136</v>
      </c>
      <c r="G16" s="16" t="s">
        <v>1183</v>
      </c>
      <c r="H16" s="16" t="s">
        <v>136</v>
      </c>
      <c r="I16" s="18">
        <v>235</v>
      </c>
      <c r="K16"/>
      <c r="L16"/>
    </row>
    <row r="17" spans="1:12" hidden="1">
      <c r="A17" s="16" t="s">
        <v>312</v>
      </c>
      <c r="B17" s="16" t="s">
        <v>898</v>
      </c>
      <c r="C17" s="17">
        <v>42911</v>
      </c>
      <c r="D17" s="12">
        <f t="shared" si="2"/>
        <v>42947</v>
      </c>
      <c r="E17" s="12" t="s">
        <v>186</v>
      </c>
      <c r="F17" s="16" t="s">
        <v>136</v>
      </c>
      <c r="G17" s="16" t="s">
        <v>2230</v>
      </c>
      <c r="H17" s="16" t="s">
        <v>136</v>
      </c>
      <c r="I17" s="18">
        <v>235</v>
      </c>
      <c r="K17"/>
      <c r="L17"/>
    </row>
    <row r="18" spans="1:12" hidden="1">
      <c r="A18" s="16" t="s">
        <v>312</v>
      </c>
      <c r="B18" s="16" t="s">
        <v>896</v>
      </c>
      <c r="C18" s="17">
        <v>42911</v>
      </c>
      <c r="D18" s="12">
        <f t="shared" si="2"/>
        <v>42947</v>
      </c>
      <c r="E18" s="12" t="s">
        <v>186</v>
      </c>
      <c r="F18" s="16" t="s">
        <v>136</v>
      </c>
      <c r="G18" s="16" t="s">
        <v>1100</v>
      </c>
      <c r="H18" s="16" t="s">
        <v>136</v>
      </c>
      <c r="I18" s="18">
        <v>235</v>
      </c>
      <c r="K18"/>
      <c r="L18"/>
    </row>
    <row r="19" spans="1:12" hidden="1">
      <c r="A19" s="16" t="s">
        <v>242</v>
      </c>
      <c r="B19" s="16" t="s">
        <v>929</v>
      </c>
      <c r="C19" s="17">
        <v>42925</v>
      </c>
      <c r="D19" s="12">
        <f t="shared" si="2"/>
        <v>42978</v>
      </c>
      <c r="E19" s="12" t="s">
        <v>186</v>
      </c>
      <c r="F19" s="16" t="s">
        <v>136</v>
      </c>
      <c r="G19" s="16" t="s">
        <v>937</v>
      </c>
      <c r="H19" s="16" t="s">
        <v>136</v>
      </c>
      <c r="I19" s="18">
        <v>4740.05</v>
      </c>
      <c r="K19"/>
      <c r="L19"/>
    </row>
    <row r="20" spans="1:12" hidden="1">
      <c r="A20" s="16" t="s">
        <v>961</v>
      </c>
      <c r="B20" s="16" t="s">
        <v>962</v>
      </c>
      <c r="C20" s="17">
        <v>42943</v>
      </c>
      <c r="D20" s="12">
        <f t="shared" si="2"/>
        <v>42978</v>
      </c>
      <c r="E20" s="12" t="s">
        <v>781</v>
      </c>
      <c r="F20" s="12" t="s">
        <v>781</v>
      </c>
      <c r="G20" s="16" t="s">
        <v>750</v>
      </c>
      <c r="H20" s="16" t="s">
        <v>781</v>
      </c>
      <c r="I20" s="18">
        <v>7000</v>
      </c>
      <c r="K20"/>
      <c r="L20"/>
    </row>
    <row r="21" spans="1:12" hidden="1">
      <c r="A21" s="16" t="s">
        <v>327</v>
      </c>
      <c r="B21" s="702" t="s">
        <v>964</v>
      </c>
      <c r="C21" s="17">
        <v>42933</v>
      </c>
      <c r="D21" s="12">
        <f t="shared" si="2"/>
        <v>42978</v>
      </c>
      <c r="E21" s="12" t="s">
        <v>781</v>
      </c>
      <c r="F21" s="12" t="s">
        <v>781</v>
      </c>
      <c r="G21" s="16" t="s">
        <v>837</v>
      </c>
      <c r="H21" s="16" t="s">
        <v>781</v>
      </c>
      <c r="I21" s="18">
        <v>3870.83</v>
      </c>
      <c r="K21"/>
      <c r="L21"/>
    </row>
    <row r="22" spans="1:12" hidden="1">
      <c r="A22" s="16" t="s">
        <v>327</v>
      </c>
      <c r="B22" s="702" t="s">
        <v>963</v>
      </c>
      <c r="C22" s="17">
        <v>42930</v>
      </c>
      <c r="D22" s="12">
        <f t="shared" si="2"/>
        <v>42978</v>
      </c>
      <c r="E22" s="12" t="s">
        <v>186</v>
      </c>
      <c r="F22" s="16" t="s">
        <v>136</v>
      </c>
      <c r="G22" s="16" t="s">
        <v>937</v>
      </c>
      <c r="H22" s="16" t="s">
        <v>136</v>
      </c>
      <c r="I22" s="18">
        <v>5402.66</v>
      </c>
      <c r="K22"/>
      <c r="L22"/>
    </row>
    <row r="23" spans="1:12" hidden="1">
      <c r="A23" s="16" t="s">
        <v>839</v>
      </c>
      <c r="B23" s="16" t="s">
        <v>729</v>
      </c>
      <c r="C23" s="17">
        <v>42946</v>
      </c>
      <c r="D23" s="12">
        <f t="shared" si="2"/>
        <v>42978</v>
      </c>
      <c r="E23" s="12" t="s">
        <v>781</v>
      </c>
      <c r="F23" s="12" t="s">
        <v>781</v>
      </c>
      <c r="G23" s="16" t="s">
        <v>750</v>
      </c>
      <c r="H23" s="16" t="s">
        <v>781</v>
      </c>
      <c r="I23" s="18">
        <v>581</v>
      </c>
      <c r="K23"/>
      <c r="L23"/>
    </row>
    <row r="24" spans="1:12" hidden="1">
      <c r="A24" s="16" t="s">
        <v>270</v>
      </c>
      <c r="B24" s="16" t="s">
        <v>979</v>
      </c>
      <c r="C24" s="17">
        <v>42955</v>
      </c>
      <c r="D24" s="12">
        <f t="shared" si="2"/>
        <v>43008</v>
      </c>
      <c r="E24" s="12" t="s">
        <v>186</v>
      </c>
      <c r="F24" s="16" t="s">
        <v>136</v>
      </c>
      <c r="G24" s="16" t="s">
        <v>1048</v>
      </c>
      <c r="H24" s="16" t="s">
        <v>136</v>
      </c>
      <c r="I24" s="18">
        <v>10667.8</v>
      </c>
      <c r="K24" s="125"/>
      <c r="L24"/>
    </row>
    <row r="25" spans="1:12" hidden="1">
      <c r="A25" s="16" t="s">
        <v>270</v>
      </c>
      <c r="B25" s="16" t="s">
        <v>980</v>
      </c>
      <c r="C25" s="17">
        <v>42956</v>
      </c>
      <c r="D25" s="12">
        <f t="shared" si="2"/>
        <v>43008</v>
      </c>
      <c r="E25" s="12" t="s">
        <v>186</v>
      </c>
      <c r="F25" s="16" t="s">
        <v>136</v>
      </c>
      <c r="G25" s="16" t="s">
        <v>1093</v>
      </c>
      <c r="H25" s="16" t="s">
        <v>136</v>
      </c>
      <c r="I25" s="18">
        <v>4792.9399999999996</v>
      </c>
      <c r="K25" s="125"/>
      <c r="L25"/>
    </row>
    <row r="26" spans="1:12" hidden="1">
      <c r="A26" s="16" t="s">
        <v>270</v>
      </c>
      <c r="B26" s="16" t="s">
        <v>981</v>
      </c>
      <c r="C26" s="17">
        <v>42956</v>
      </c>
      <c r="D26" s="12">
        <f t="shared" ref="D26:D35" si="3">EOMONTH(C26,1)</f>
        <v>43008</v>
      </c>
      <c r="E26" s="12" t="s">
        <v>186</v>
      </c>
      <c r="F26" s="16" t="s">
        <v>136</v>
      </c>
      <c r="G26" s="16" t="s">
        <v>1044</v>
      </c>
      <c r="H26" s="16" t="s">
        <v>136</v>
      </c>
      <c r="I26" s="18">
        <v>4280.95</v>
      </c>
      <c r="K26" s="125"/>
      <c r="L26"/>
    </row>
    <row r="27" spans="1:12" hidden="1">
      <c r="A27" s="16" t="s">
        <v>312</v>
      </c>
      <c r="B27" s="16" t="s">
        <v>1013</v>
      </c>
      <c r="C27" s="17">
        <v>42953</v>
      </c>
      <c r="D27" s="12">
        <f t="shared" si="3"/>
        <v>43008</v>
      </c>
      <c r="E27" s="12" t="s">
        <v>781</v>
      </c>
      <c r="F27" s="12" t="s">
        <v>781</v>
      </c>
      <c r="G27" s="16" t="s">
        <v>750</v>
      </c>
      <c r="H27" s="16" t="s">
        <v>781</v>
      </c>
      <c r="I27" s="18">
        <v>752.23</v>
      </c>
      <c r="K27"/>
      <c r="L27"/>
    </row>
    <row r="28" spans="1:12" hidden="1">
      <c r="A28" s="16" t="s">
        <v>312</v>
      </c>
      <c r="B28" s="16" t="s">
        <v>1014</v>
      </c>
      <c r="C28" s="17">
        <v>42953</v>
      </c>
      <c r="D28" s="12">
        <f t="shared" si="3"/>
        <v>43008</v>
      </c>
      <c r="E28" s="12" t="s">
        <v>186</v>
      </c>
      <c r="F28" s="12" t="s">
        <v>425</v>
      </c>
      <c r="G28" s="16" t="s">
        <v>942</v>
      </c>
      <c r="H28" s="12" t="s">
        <v>425</v>
      </c>
      <c r="I28" s="18">
        <v>1396</v>
      </c>
      <c r="K28"/>
      <c r="L28"/>
    </row>
    <row r="29" spans="1:12" hidden="1">
      <c r="A29" s="16" t="s">
        <v>312</v>
      </c>
      <c r="B29" s="16" t="s">
        <v>1030</v>
      </c>
      <c r="C29" s="17">
        <v>42946</v>
      </c>
      <c r="D29" s="12">
        <f t="shared" si="3"/>
        <v>42978</v>
      </c>
      <c r="E29" s="12" t="s">
        <v>781</v>
      </c>
      <c r="F29" s="12" t="s">
        <v>781</v>
      </c>
      <c r="G29" s="16" t="s">
        <v>750</v>
      </c>
      <c r="H29" s="16" t="s">
        <v>781</v>
      </c>
      <c r="I29" s="18">
        <v>2234.21</v>
      </c>
      <c r="K29"/>
      <c r="L29"/>
    </row>
    <row r="30" spans="1:12" hidden="1">
      <c r="A30" s="16" t="s">
        <v>327</v>
      </c>
      <c r="B30" s="702" t="s">
        <v>1033</v>
      </c>
      <c r="C30" s="17">
        <v>42954</v>
      </c>
      <c r="D30" s="12">
        <f t="shared" si="3"/>
        <v>43008</v>
      </c>
      <c r="E30" s="12" t="s">
        <v>186</v>
      </c>
      <c r="F30" s="16" t="s">
        <v>136</v>
      </c>
      <c r="G30" s="16" t="s">
        <v>2485</v>
      </c>
      <c r="H30" s="16" t="s">
        <v>136</v>
      </c>
      <c r="I30" s="18">
        <v>1574.16</v>
      </c>
      <c r="K30"/>
      <c r="L30"/>
    </row>
    <row r="31" spans="1:12" hidden="1">
      <c r="A31" s="16" t="s">
        <v>1060</v>
      </c>
      <c r="B31" s="16" t="s">
        <v>1061</v>
      </c>
      <c r="C31" s="17">
        <v>42983</v>
      </c>
      <c r="D31" s="12">
        <f t="shared" si="3"/>
        <v>43039</v>
      </c>
      <c r="E31" s="12" t="s">
        <v>186</v>
      </c>
      <c r="F31" s="16" t="s">
        <v>136</v>
      </c>
      <c r="G31" s="16" t="s">
        <v>2476</v>
      </c>
      <c r="H31" s="16" t="s">
        <v>136</v>
      </c>
      <c r="I31" s="18">
        <v>150</v>
      </c>
      <c r="K31"/>
      <c r="L31"/>
    </row>
    <row r="32" spans="1:12" hidden="1">
      <c r="A32" s="16" t="s">
        <v>327</v>
      </c>
      <c r="B32" s="702" t="s">
        <v>1063</v>
      </c>
      <c r="C32" s="17">
        <v>42954</v>
      </c>
      <c r="D32" s="12">
        <f t="shared" si="3"/>
        <v>43008</v>
      </c>
      <c r="E32" s="12" t="s">
        <v>186</v>
      </c>
      <c r="F32" s="16" t="s">
        <v>136</v>
      </c>
      <c r="G32" s="16" t="s">
        <v>1064</v>
      </c>
      <c r="H32" s="16" t="s">
        <v>136</v>
      </c>
      <c r="I32" s="18">
        <v>1702.74</v>
      </c>
      <c r="K32"/>
      <c r="L32"/>
    </row>
    <row r="33" spans="1:12" hidden="1">
      <c r="A33" s="16" t="s">
        <v>312</v>
      </c>
      <c r="B33" s="16" t="s">
        <v>1105</v>
      </c>
      <c r="C33" s="17">
        <v>42974</v>
      </c>
      <c r="D33" s="12">
        <f t="shared" si="3"/>
        <v>43008</v>
      </c>
      <c r="E33" s="12" t="s">
        <v>186</v>
      </c>
      <c r="F33" s="16" t="s">
        <v>136</v>
      </c>
      <c r="G33" s="16" t="s">
        <v>2476</v>
      </c>
      <c r="H33" s="16" t="s">
        <v>136</v>
      </c>
      <c r="I33" s="18">
        <v>2149.98</v>
      </c>
      <c r="K33"/>
      <c r="L33"/>
    </row>
    <row r="34" spans="1:12" hidden="1">
      <c r="A34" s="16" t="s">
        <v>270</v>
      </c>
      <c r="B34" s="16" t="s">
        <v>1107</v>
      </c>
      <c r="C34" s="17">
        <v>42985</v>
      </c>
      <c r="D34" s="12">
        <f t="shared" si="3"/>
        <v>43039</v>
      </c>
      <c r="E34" s="12" t="s">
        <v>186</v>
      </c>
      <c r="F34" s="16" t="s">
        <v>136</v>
      </c>
      <c r="G34" s="16" t="s">
        <v>1012</v>
      </c>
      <c r="H34" s="16" t="s">
        <v>136</v>
      </c>
      <c r="I34" s="18">
        <v>2573.9699999999998</v>
      </c>
      <c r="K34" s="125"/>
      <c r="L34"/>
    </row>
    <row r="35" spans="1:12" hidden="1">
      <c r="A35" s="16" t="s">
        <v>270</v>
      </c>
      <c r="B35" s="16" t="s">
        <v>1125</v>
      </c>
      <c r="C35" s="17">
        <v>42986</v>
      </c>
      <c r="D35" s="12">
        <f t="shared" si="3"/>
        <v>43039</v>
      </c>
      <c r="E35" s="12" t="s">
        <v>186</v>
      </c>
      <c r="F35" s="16" t="s">
        <v>136</v>
      </c>
      <c r="G35" s="16" t="s">
        <v>903</v>
      </c>
      <c r="H35" s="16" t="s">
        <v>136</v>
      </c>
      <c r="I35" s="18">
        <v>6233.7</v>
      </c>
      <c r="K35" s="125"/>
      <c r="L35"/>
    </row>
    <row r="36" spans="1:12" hidden="1">
      <c r="A36" s="16" t="s">
        <v>270</v>
      </c>
      <c r="B36" s="16" t="s">
        <v>1126</v>
      </c>
      <c r="C36" s="17">
        <v>42986</v>
      </c>
      <c r="D36" s="12">
        <f>EOMONTH(C36,1)</f>
        <v>43039</v>
      </c>
      <c r="E36" s="12" t="s">
        <v>186</v>
      </c>
      <c r="F36" s="16" t="s">
        <v>136</v>
      </c>
      <c r="G36" s="16" t="s">
        <v>1034</v>
      </c>
      <c r="H36" s="16" t="s">
        <v>136</v>
      </c>
      <c r="I36" s="18">
        <v>4155.96</v>
      </c>
      <c r="K36" s="125"/>
      <c r="L36"/>
    </row>
    <row r="37" spans="1:12" hidden="1">
      <c r="A37" s="16" t="s">
        <v>270</v>
      </c>
      <c r="B37" s="16" t="s">
        <v>1127</v>
      </c>
      <c r="C37" s="17">
        <v>42986</v>
      </c>
      <c r="D37" s="12">
        <f t="shared" ref="D37:D43" si="4">EOMONTH(C37,1)</f>
        <v>43039</v>
      </c>
      <c r="E37" s="12" t="s">
        <v>186</v>
      </c>
      <c r="F37" s="16" t="s">
        <v>136</v>
      </c>
      <c r="G37" s="16" t="s">
        <v>2474</v>
      </c>
      <c r="H37" s="16" t="s">
        <v>136</v>
      </c>
      <c r="I37" s="18">
        <v>1725.57</v>
      </c>
      <c r="K37" s="125"/>
      <c r="L37"/>
    </row>
    <row r="38" spans="1:12" hidden="1">
      <c r="A38" s="16" t="s">
        <v>270</v>
      </c>
      <c r="B38" s="16" t="s">
        <v>1128</v>
      </c>
      <c r="C38" s="17">
        <v>42986</v>
      </c>
      <c r="D38" s="12">
        <f t="shared" si="4"/>
        <v>43039</v>
      </c>
      <c r="E38" s="12" t="s">
        <v>186</v>
      </c>
      <c r="F38" s="16" t="s">
        <v>136</v>
      </c>
      <c r="G38" s="16" t="s">
        <v>1215</v>
      </c>
      <c r="H38" s="16" t="s">
        <v>136</v>
      </c>
      <c r="I38" s="18">
        <v>8914.77</v>
      </c>
      <c r="K38" s="125"/>
      <c r="L38"/>
    </row>
    <row r="39" spans="1:12" hidden="1">
      <c r="A39" s="16" t="s">
        <v>270</v>
      </c>
      <c r="B39" s="16" t="s">
        <v>1129</v>
      </c>
      <c r="C39" s="17">
        <v>42970</v>
      </c>
      <c r="D39" s="12">
        <f t="shared" si="4"/>
        <v>43008</v>
      </c>
      <c r="E39" s="12" t="s">
        <v>740</v>
      </c>
      <c r="F39" s="12" t="s">
        <v>1130</v>
      </c>
      <c r="G39" s="16" t="s">
        <v>1131</v>
      </c>
      <c r="H39" s="12" t="s">
        <v>740</v>
      </c>
      <c r="I39" s="18">
        <v>1736.5</v>
      </c>
      <c r="K39" s="125"/>
      <c r="L39"/>
    </row>
    <row r="40" spans="1:12" hidden="1">
      <c r="A40" s="16" t="s">
        <v>270</v>
      </c>
      <c r="B40" s="16" t="s">
        <v>1822</v>
      </c>
      <c r="C40" s="17">
        <v>42970</v>
      </c>
      <c r="D40" s="12">
        <f t="shared" si="4"/>
        <v>43008</v>
      </c>
      <c r="E40" s="12" t="s">
        <v>740</v>
      </c>
      <c r="F40" s="12" t="s">
        <v>1130</v>
      </c>
      <c r="G40" s="16" t="s">
        <v>1132</v>
      </c>
      <c r="H40" s="12" t="s">
        <v>740</v>
      </c>
      <c r="I40" s="18">
        <v>2300</v>
      </c>
      <c r="K40" s="125"/>
      <c r="L40"/>
    </row>
    <row r="41" spans="1:12" hidden="1">
      <c r="A41" s="16" t="s">
        <v>1135</v>
      </c>
      <c r="B41" s="16" t="s">
        <v>1134</v>
      </c>
      <c r="C41" s="17">
        <v>42972</v>
      </c>
      <c r="D41" s="12">
        <f t="shared" si="4"/>
        <v>43008</v>
      </c>
      <c r="E41" s="12" t="s">
        <v>186</v>
      </c>
      <c r="F41" s="12" t="s">
        <v>425</v>
      </c>
      <c r="G41" s="16" t="s">
        <v>1185</v>
      </c>
      <c r="H41" s="12" t="s">
        <v>425</v>
      </c>
      <c r="I41" s="18">
        <v>3479.84</v>
      </c>
      <c r="K41"/>
      <c r="L41"/>
    </row>
    <row r="42" spans="1:12" hidden="1">
      <c r="A42" s="16" t="s">
        <v>1135</v>
      </c>
      <c r="B42" s="16" t="s">
        <v>1136</v>
      </c>
      <c r="C42" s="17">
        <v>42972</v>
      </c>
      <c r="D42" s="12">
        <f t="shared" si="4"/>
        <v>43008</v>
      </c>
      <c r="E42" s="12" t="s">
        <v>186</v>
      </c>
      <c r="F42" s="16" t="s">
        <v>136</v>
      </c>
      <c r="G42" s="16" t="s">
        <v>2475</v>
      </c>
      <c r="H42" s="16" t="s">
        <v>136</v>
      </c>
      <c r="I42" s="18">
        <v>5539.7</v>
      </c>
      <c r="K42"/>
      <c r="L42"/>
    </row>
    <row r="43" spans="1:12" hidden="1">
      <c r="A43" s="16" t="s">
        <v>728</v>
      </c>
      <c r="B43" s="16" t="s">
        <v>1138</v>
      </c>
      <c r="C43" s="17">
        <v>42985</v>
      </c>
      <c r="D43" s="12">
        <f t="shared" si="4"/>
        <v>43039</v>
      </c>
      <c r="E43" s="12" t="s">
        <v>186</v>
      </c>
      <c r="F43" s="12" t="s">
        <v>425</v>
      </c>
      <c r="G43" s="16" t="s">
        <v>942</v>
      </c>
      <c r="H43" s="12" t="s">
        <v>425</v>
      </c>
      <c r="I43" s="18">
        <v>6331.58</v>
      </c>
      <c r="K43"/>
      <c r="L43"/>
    </row>
    <row r="44" spans="1:12" hidden="1">
      <c r="A44" s="16" t="s">
        <v>270</v>
      </c>
      <c r="B44" s="16" t="s">
        <v>1139</v>
      </c>
      <c r="C44" s="17">
        <v>42991</v>
      </c>
      <c r="D44" s="12">
        <f>EOMONTH(C44,1)</f>
        <v>43039</v>
      </c>
      <c r="E44" s="12" t="s">
        <v>186</v>
      </c>
      <c r="F44" s="16" t="s">
        <v>136</v>
      </c>
      <c r="G44" s="16" t="s">
        <v>2484</v>
      </c>
      <c r="H44" s="16" t="s">
        <v>136</v>
      </c>
      <c r="I44" s="18">
        <v>1039.3</v>
      </c>
      <c r="K44" s="125"/>
      <c r="L44"/>
    </row>
    <row r="45" spans="1:12" hidden="1">
      <c r="A45" s="16" t="s">
        <v>270</v>
      </c>
      <c r="B45" s="16" t="s">
        <v>1140</v>
      </c>
      <c r="C45" s="17">
        <v>42991</v>
      </c>
      <c r="D45" s="12">
        <f>EOMONTH(C45,1)</f>
        <v>43039</v>
      </c>
      <c r="E45" s="12" t="s">
        <v>186</v>
      </c>
      <c r="F45" s="16" t="s">
        <v>136</v>
      </c>
      <c r="G45" s="16" t="s">
        <v>1078</v>
      </c>
      <c r="H45" s="16" t="s">
        <v>136</v>
      </c>
      <c r="I45" s="18">
        <v>3682.66</v>
      </c>
      <c r="K45" s="125"/>
      <c r="L45"/>
    </row>
    <row r="46" spans="1:12" hidden="1">
      <c r="A46" s="16" t="s">
        <v>242</v>
      </c>
      <c r="B46" s="16" t="s">
        <v>1172</v>
      </c>
      <c r="C46" s="17">
        <v>43000</v>
      </c>
      <c r="D46" s="12">
        <f>EOMONTH(C46,1)</f>
        <v>43039</v>
      </c>
      <c r="E46" s="12" t="s">
        <v>186</v>
      </c>
      <c r="F46" s="16" t="s">
        <v>136</v>
      </c>
      <c r="G46" s="16" t="s">
        <v>1112</v>
      </c>
      <c r="H46" s="16" t="s">
        <v>136</v>
      </c>
      <c r="I46" s="18">
        <v>1265</v>
      </c>
      <c r="K46"/>
      <c r="L46"/>
    </row>
    <row r="47" spans="1:12" hidden="1">
      <c r="A47" s="16" t="s">
        <v>270</v>
      </c>
      <c r="B47" s="16" t="s">
        <v>1220</v>
      </c>
      <c r="C47" s="17">
        <v>43014</v>
      </c>
      <c r="D47" s="12">
        <f>EOMONTH(C47,1)</f>
        <v>43069</v>
      </c>
      <c r="E47" s="12" t="s">
        <v>186</v>
      </c>
      <c r="F47" s="16" t="s">
        <v>136</v>
      </c>
      <c r="G47" s="16" t="s">
        <v>900</v>
      </c>
      <c r="H47" s="16" t="s">
        <v>136</v>
      </c>
      <c r="I47" s="18">
        <v>5913.37</v>
      </c>
      <c r="K47" s="125"/>
      <c r="L47"/>
    </row>
    <row r="48" spans="1:12" hidden="1">
      <c r="A48" s="16" t="s">
        <v>270</v>
      </c>
      <c r="B48" s="16" t="s">
        <v>1221</v>
      </c>
      <c r="C48" s="17">
        <v>43014</v>
      </c>
      <c r="D48" s="12">
        <f>EOMONTH(C48,1)</f>
        <v>43069</v>
      </c>
      <c r="E48" s="12" t="s">
        <v>186</v>
      </c>
      <c r="F48" s="16" t="s">
        <v>136</v>
      </c>
      <c r="G48" s="16" t="s">
        <v>968</v>
      </c>
      <c r="H48" s="16" t="s">
        <v>136</v>
      </c>
      <c r="I48" s="18">
        <v>4307.25</v>
      </c>
      <c r="K48" s="125"/>
      <c r="L48"/>
    </row>
    <row r="49" spans="1:12" hidden="1">
      <c r="A49" s="16" t="s">
        <v>270</v>
      </c>
      <c r="B49" s="16" t="s">
        <v>1222</v>
      </c>
      <c r="C49" s="17">
        <v>43014</v>
      </c>
      <c r="D49" s="12">
        <f t="shared" ref="D49:D56" si="5">EOMONTH(C49,1)</f>
        <v>43069</v>
      </c>
      <c r="E49" s="12" t="s">
        <v>186</v>
      </c>
      <c r="F49" s="12" t="s">
        <v>136</v>
      </c>
      <c r="G49" s="16" t="s">
        <v>828</v>
      </c>
      <c r="H49" s="16" t="s">
        <v>136</v>
      </c>
      <c r="I49" s="18">
        <v>1257.96</v>
      </c>
      <c r="K49" s="125"/>
      <c r="L49"/>
    </row>
    <row r="50" spans="1:12" hidden="1">
      <c r="A50" s="16" t="s">
        <v>270</v>
      </c>
      <c r="B50" s="16" t="s">
        <v>1223</v>
      </c>
      <c r="C50" s="17">
        <v>43014</v>
      </c>
      <c r="D50" s="12">
        <f t="shared" si="5"/>
        <v>43069</v>
      </c>
      <c r="E50" s="12" t="s">
        <v>186</v>
      </c>
      <c r="F50" s="12" t="s">
        <v>136</v>
      </c>
      <c r="G50" s="16" t="s">
        <v>1182</v>
      </c>
      <c r="H50" s="16" t="s">
        <v>136</v>
      </c>
      <c r="I50" s="18">
        <v>3046.8</v>
      </c>
      <c r="K50" s="125"/>
      <c r="L50"/>
    </row>
    <row r="51" spans="1:12" hidden="1">
      <c r="A51" s="16" t="s">
        <v>270</v>
      </c>
      <c r="B51" s="16" t="s">
        <v>1224</v>
      </c>
      <c r="C51" s="17">
        <v>43014</v>
      </c>
      <c r="D51" s="12">
        <f t="shared" si="5"/>
        <v>43069</v>
      </c>
      <c r="E51" s="12" t="s">
        <v>186</v>
      </c>
      <c r="F51" s="12" t="s">
        <v>136</v>
      </c>
      <c r="G51" s="16" t="s">
        <v>973</v>
      </c>
      <c r="H51" s="16" t="s">
        <v>136</v>
      </c>
      <c r="I51" s="18">
        <v>2317</v>
      </c>
      <c r="K51" s="125"/>
      <c r="L51"/>
    </row>
    <row r="52" spans="1:12" hidden="1">
      <c r="A52" s="624" t="s">
        <v>846</v>
      </c>
      <c r="B52" s="624" t="s">
        <v>1309</v>
      </c>
      <c r="C52" s="17">
        <v>43014</v>
      </c>
      <c r="D52" s="12"/>
      <c r="E52" s="12" t="s">
        <v>186</v>
      </c>
      <c r="F52" s="12" t="s">
        <v>136</v>
      </c>
      <c r="G52" s="16" t="s">
        <v>1029</v>
      </c>
      <c r="H52" s="16" t="s">
        <v>136</v>
      </c>
      <c r="I52" s="18">
        <v>4410.54</v>
      </c>
      <c r="K52"/>
      <c r="L52"/>
    </row>
    <row r="53" spans="1:12" hidden="1">
      <c r="A53" s="16" t="s">
        <v>312</v>
      </c>
      <c r="B53" s="16" t="s">
        <v>1225</v>
      </c>
      <c r="C53" s="17">
        <v>42960</v>
      </c>
      <c r="D53" s="12">
        <f t="shared" si="5"/>
        <v>43008</v>
      </c>
      <c r="E53" s="12" t="s">
        <v>781</v>
      </c>
      <c r="F53" s="12" t="s">
        <v>781</v>
      </c>
      <c r="G53" s="16" t="s">
        <v>750</v>
      </c>
      <c r="H53" s="16" t="s">
        <v>781</v>
      </c>
      <c r="I53" s="18">
        <v>1230.26</v>
      </c>
      <c r="K53"/>
      <c r="L53"/>
    </row>
    <row r="54" spans="1:12" hidden="1">
      <c r="A54" s="16" t="s">
        <v>1229</v>
      </c>
      <c r="B54" s="16" t="s">
        <v>1230</v>
      </c>
      <c r="C54" s="17">
        <v>43017</v>
      </c>
      <c r="D54" s="12">
        <f t="shared" si="5"/>
        <v>43069</v>
      </c>
      <c r="E54" s="12" t="s">
        <v>740</v>
      </c>
      <c r="F54" s="12" t="s">
        <v>1130</v>
      </c>
      <c r="G54" s="16" t="s">
        <v>1231</v>
      </c>
      <c r="H54" s="12" t="s">
        <v>740</v>
      </c>
      <c r="I54" s="18">
        <v>1610</v>
      </c>
      <c r="K54"/>
      <c r="L54"/>
    </row>
    <row r="55" spans="1:12" hidden="1">
      <c r="A55" s="16" t="s">
        <v>1239</v>
      </c>
      <c r="B55" s="16" t="s">
        <v>1240</v>
      </c>
      <c r="C55" s="17">
        <v>42978</v>
      </c>
      <c r="D55" s="12">
        <f t="shared" si="5"/>
        <v>43008</v>
      </c>
      <c r="E55" s="12" t="s">
        <v>186</v>
      </c>
      <c r="F55" s="12" t="s">
        <v>136</v>
      </c>
      <c r="G55" s="16" t="s">
        <v>2476</v>
      </c>
      <c r="H55" s="16" t="s">
        <v>136</v>
      </c>
      <c r="I55" s="18">
        <v>8825.86</v>
      </c>
      <c r="K55"/>
      <c r="L55"/>
    </row>
    <row r="56" spans="1:12" hidden="1">
      <c r="A56" s="16" t="s">
        <v>270</v>
      </c>
      <c r="B56" s="16" t="s">
        <v>1288</v>
      </c>
      <c r="C56" s="17">
        <v>43028</v>
      </c>
      <c r="D56" s="12">
        <f t="shared" si="5"/>
        <v>43069</v>
      </c>
      <c r="E56" s="12" t="s">
        <v>186</v>
      </c>
      <c r="F56" s="12" t="s">
        <v>136</v>
      </c>
      <c r="G56" s="16" t="s">
        <v>2477</v>
      </c>
      <c r="H56" s="16" t="s">
        <v>136</v>
      </c>
      <c r="I56" s="18">
        <v>1975.17</v>
      </c>
      <c r="K56" s="125"/>
      <c r="L56"/>
    </row>
    <row r="57" spans="1:12" hidden="1">
      <c r="A57" s="16" t="s">
        <v>270</v>
      </c>
      <c r="B57" s="16" t="s">
        <v>1289</v>
      </c>
      <c r="C57" s="17">
        <v>43028</v>
      </c>
      <c r="D57" s="12">
        <f t="shared" ref="D57:D81" si="6">EOMONTH(C57,1)</f>
        <v>43069</v>
      </c>
      <c r="E57" s="12" t="s">
        <v>186</v>
      </c>
      <c r="F57" s="12" t="s">
        <v>136</v>
      </c>
      <c r="G57" s="16" t="s">
        <v>1095</v>
      </c>
      <c r="H57" s="16" t="s">
        <v>136</v>
      </c>
      <c r="I57" s="18">
        <v>4549.53</v>
      </c>
      <c r="K57" s="125"/>
      <c r="L57"/>
    </row>
    <row r="58" spans="1:12" hidden="1">
      <c r="A58" s="16" t="s">
        <v>270</v>
      </c>
      <c r="B58" s="16" t="s">
        <v>1290</v>
      </c>
      <c r="C58" s="17">
        <v>43028</v>
      </c>
      <c r="D58" s="12">
        <f t="shared" si="6"/>
        <v>43069</v>
      </c>
      <c r="E58" s="12" t="s">
        <v>186</v>
      </c>
      <c r="F58" s="12" t="s">
        <v>136</v>
      </c>
      <c r="G58" s="16" t="s">
        <v>1180</v>
      </c>
      <c r="H58" s="16" t="s">
        <v>136</v>
      </c>
      <c r="I58" s="18">
        <v>20850.84</v>
      </c>
      <c r="K58" s="125"/>
      <c r="L58"/>
    </row>
    <row r="59" spans="1:12" hidden="1">
      <c r="A59" s="16" t="s">
        <v>270</v>
      </c>
      <c r="B59" s="16" t="s">
        <v>1291</v>
      </c>
      <c r="C59" s="17">
        <v>43028</v>
      </c>
      <c r="D59" s="12">
        <f t="shared" si="6"/>
        <v>43069</v>
      </c>
      <c r="E59" s="12" t="s">
        <v>186</v>
      </c>
      <c r="F59" s="12" t="s">
        <v>136</v>
      </c>
      <c r="G59" s="16" t="s">
        <v>1180</v>
      </c>
      <c r="H59" s="16" t="s">
        <v>136</v>
      </c>
      <c r="I59" s="18">
        <v>1000</v>
      </c>
      <c r="K59" s="125"/>
      <c r="L59"/>
    </row>
    <row r="60" spans="1:12" hidden="1">
      <c r="A60" s="16" t="s">
        <v>270</v>
      </c>
      <c r="B60" s="16" t="s">
        <v>1292</v>
      </c>
      <c r="C60" s="17">
        <v>43028</v>
      </c>
      <c r="D60" s="12">
        <f t="shared" si="6"/>
        <v>43069</v>
      </c>
      <c r="E60" s="12" t="s">
        <v>186</v>
      </c>
      <c r="F60" s="12" t="s">
        <v>136</v>
      </c>
      <c r="G60" s="16" t="s">
        <v>968</v>
      </c>
      <c r="H60" s="16" t="s">
        <v>136</v>
      </c>
      <c r="I60" s="18">
        <v>1810.66</v>
      </c>
      <c r="K60" s="125"/>
      <c r="L60"/>
    </row>
    <row r="61" spans="1:12" hidden="1">
      <c r="A61" s="16" t="s">
        <v>270</v>
      </c>
      <c r="B61" s="16" t="s">
        <v>1293</v>
      </c>
      <c r="C61" s="17">
        <v>43028</v>
      </c>
      <c r="D61" s="12">
        <f t="shared" si="6"/>
        <v>43069</v>
      </c>
      <c r="E61" s="12" t="s">
        <v>186</v>
      </c>
      <c r="F61" s="12" t="s">
        <v>425</v>
      </c>
      <c r="G61" s="16" t="s">
        <v>1046</v>
      </c>
      <c r="H61" s="12" t="s">
        <v>425</v>
      </c>
      <c r="I61" s="18">
        <v>550</v>
      </c>
      <c r="K61" s="125"/>
      <c r="L61"/>
    </row>
    <row r="62" spans="1:12" hidden="1">
      <c r="A62" s="16" t="s">
        <v>270</v>
      </c>
      <c r="B62" s="16" t="s">
        <v>1294</v>
      </c>
      <c r="C62" s="17">
        <v>42983</v>
      </c>
      <c r="D62" s="12">
        <f t="shared" si="6"/>
        <v>43039</v>
      </c>
      <c r="E62" s="12" t="s">
        <v>186</v>
      </c>
      <c r="F62" s="12" t="s">
        <v>136</v>
      </c>
      <c r="G62" s="16" t="s">
        <v>1215</v>
      </c>
      <c r="H62" s="16" t="s">
        <v>136</v>
      </c>
      <c r="I62" s="18">
        <v>1000</v>
      </c>
      <c r="K62" s="125"/>
      <c r="L62"/>
    </row>
    <row r="63" spans="1:12" hidden="1">
      <c r="A63" s="16" t="s">
        <v>756</v>
      </c>
      <c r="B63" s="16" t="s">
        <v>1303</v>
      </c>
      <c r="C63" s="17">
        <v>43032</v>
      </c>
      <c r="D63" s="12">
        <f t="shared" si="6"/>
        <v>43069</v>
      </c>
      <c r="E63" s="12" t="s">
        <v>781</v>
      </c>
      <c r="F63" s="12" t="s">
        <v>781</v>
      </c>
      <c r="G63" s="16" t="s">
        <v>837</v>
      </c>
      <c r="H63" s="16" t="s">
        <v>781</v>
      </c>
      <c r="I63" s="18">
        <v>450</v>
      </c>
      <c r="K63"/>
      <c r="L63"/>
    </row>
    <row r="64" spans="1:12" hidden="1">
      <c r="A64" s="16" t="s">
        <v>327</v>
      </c>
      <c r="B64" s="702" t="s">
        <v>1304</v>
      </c>
      <c r="C64" s="17">
        <v>43024</v>
      </c>
      <c r="D64" s="12">
        <f t="shared" si="6"/>
        <v>43069</v>
      </c>
      <c r="E64" s="12" t="s">
        <v>186</v>
      </c>
      <c r="F64" s="12" t="s">
        <v>136</v>
      </c>
      <c r="G64" s="16" t="s">
        <v>1089</v>
      </c>
      <c r="H64" s="16" t="s">
        <v>136</v>
      </c>
      <c r="I64" s="18">
        <v>6043.99</v>
      </c>
      <c r="K64"/>
      <c r="L64"/>
    </row>
    <row r="65" spans="1:12" hidden="1">
      <c r="A65" s="16" t="s">
        <v>327</v>
      </c>
      <c r="B65" s="702" t="s">
        <v>1305</v>
      </c>
      <c r="C65" s="17">
        <v>43024</v>
      </c>
      <c r="D65" s="12">
        <f t="shared" si="6"/>
        <v>43069</v>
      </c>
      <c r="E65" s="12" t="s">
        <v>186</v>
      </c>
      <c r="F65" s="12" t="s">
        <v>136</v>
      </c>
      <c r="G65" s="16" t="s">
        <v>954</v>
      </c>
      <c r="H65" s="16" t="s">
        <v>136</v>
      </c>
      <c r="I65" s="18">
        <v>6294.34</v>
      </c>
      <c r="K65"/>
      <c r="L65"/>
    </row>
    <row r="66" spans="1:12" hidden="1">
      <c r="A66" s="16" t="s">
        <v>327</v>
      </c>
      <c r="B66" s="702" t="s">
        <v>1308</v>
      </c>
      <c r="C66" s="17">
        <v>43024</v>
      </c>
      <c r="D66" s="12">
        <f t="shared" si="6"/>
        <v>43069</v>
      </c>
      <c r="E66" s="12" t="s">
        <v>186</v>
      </c>
      <c r="F66" s="12" t="s">
        <v>136</v>
      </c>
      <c r="G66" s="16" t="s">
        <v>2477</v>
      </c>
      <c r="H66" s="16" t="s">
        <v>136</v>
      </c>
      <c r="I66" s="18">
        <v>763.84</v>
      </c>
      <c r="K66"/>
      <c r="L66"/>
    </row>
    <row r="67" spans="1:12" hidden="1">
      <c r="A67" s="16" t="s">
        <v>327</v>
      </c>
      <c r="B67" s="702" t="s">
        <v>1316</v>
      </c>
      <c r="C67" s="17">
        <v>43024</v>
      </c>
      <c r="D67" s="12">
        <f t="shared" si="6"/>
        <v>43069</v>
      </c>
      <c r="E67" s="12" t="s">
        <v>186</v>
      </c>
      <c r="F67" s="12" t="s">
        <v>136</v>
      </c>
      <c r="G67" s="16" t="s">
        <v>1180</v>
      </c>
      <c r="H67" s="16" t="s">
        <v>136</v>
      </c>
      <c r="I67" s="18">
        <v>5914.06</v>
      </c>
      <c r="K67"/>
      <c r="L67"/>
    </row>
    <row r="68" spans="1:12" hidden="1">
      <c r="A68" s="16" t="s">
        <v>1135</v>
      </c>
      <c r="B68" s="16" t="s">
        <v>1317</v>
      </c>
      <c r="C68" s="17">
        <v>42966</v>
      </c>
      <c r="D68" s="12">
        <f t="shared" si="6"/>
        <v>43008</v>
      </c>
      <c r="E68" s="12" t="s">
        <v>781</v>
      </c>
      <c r="F68" s="12" t="s">
        <v>781</v>
      </c>
      <c r="G68" s="16" t="s">
        <v>750</v>
      </c>
      <c r="H68" s="16" t="s">
        <v>781</v>
      </c>
      <c r="I68" s="18">
        <v>3500</v>
      </c>
      <c r="K68"/>
      <c r="L68"/>
    </row>
    <row r="69" spans="1:12" hidden="1">
      <c r="A69" s="16" t="s">
        <v>242</v>
      </c>
      <c r="B69" s="16" t="s">
        <v>1356</v>
      </c>
      <c r="C69" s="17">
        <v>43055</v>
      </c>
      <c r="D69" s="12">
        <f t="shared" si="6"/>
        <v>43100</v>
      </c>
      <c r="E69" s="12" t="s">
        <v>186</v>
      </c>
      <c r="F69" s="16" t="s">
        <v>136</v>
      </c>
      <c r="G69" s="16" t="s">
        <v>1112</v>
      </c>
      <c r="H69" s="16" t="s">
        <v>136</v>
      </c>
      <c r="I69" s="18">
        <v>748</v>
      </c>
      <c r="K69"/>
      <c r="L69"/>
    </row>
    <row r="70" spans="1:12" hidden="1">
      <c r="A70" s="16" t="s">
        <v>327</v>
      </c>
      <c r="B70" s="702" t="s">
        <v>2493</v>
      </c>
      <c r="C70" s="17">
        <v>43063</v>
      </c>
      <c r="D70" s="12">
        <f t="shared" si="6"/>
        <v>43100</v>
      </c>
      <c r="E70" s="12" t="s">
        <v>186</v>
      </c>
      <c r="F70" s="12" t="s">
        <v>1031</v>
      </c>
      <c r="G70" s="16" t="s">
        <v>2486</v>
      </c>
      <c r="H70" s="16" t="s">
        <v>1605</v>
      </c>
      <c r="I70" s="18">
        <v>1746.62</v>
      </c>
      <c r="K70"/>
      <c r="L70"/>
    </row>
    <row r="71" spans="1:12" hidden="1">
      <c r="A71" s="16" t="s">
        <v>270</v>
      </c>
      <c r="B71" s="16" t="s">
        <v>1597</v>
      </c>
      <c r="C71" s="17">
        <v>43066</v>
      </c>
      <c r="D71" s="12">
        <f t="shared" si="6"/>
        <v>43100</v>
      </c>
      <c r="E71" s="12" t="s">
        <v>186</v>
      </c>
      <c r="F71" s="12" t="s">
        <v>1031</v>
      </c>
      <c r="G71" s="16" t="s">
        <v>1648</v>
      </c>
      <c r="H71" s="16" t="s">
        <v>1605</v>
      </c>
      <c r="I71" s="18">
        <v>2227.08</v>
      </c>
      <c r="K71"/>
      <c r="L71"/>
    </row>
    <row r="72" spans="1:12" hidden="1">
      <c r="A72" s="16" t="s">
        <v>270</v>
      </c>
      <c r="B72" s="16" t="s">
        <v>1598</v>
      </c>
      <c r="C72" s="17">
        <v>43066</v>
      </c>
      <c r="D72" s="12">
        <f t="shared" si="6"/>
        <v>43100</v>
      </c>
      <c r="E72" s="12" t="s">
        <v>186</v>
      </c>
      <c r="F72" s="12" t="s">
        <v>1607</v>
      </c>
      <c r="G72" s="16" t="s">
        <v>1046</v>
      </c>
      <c r="H72" s="16" t="s">
        <v>1606</v>
      </c>
      <c r="I72" s="18">
        <v>7533.95</v>
      </c>
      <c r="K72"/>
      <c r="L72"/>
    </row>
    <row r="73" spans="1:12" hidden="1">
      <c r="A73" s="16" t="s">
        <v>270</v>
      </c>
      <c r="B73" s="16" t="s">
        <v>1599</v>
      </c>
      <c r="C73" s="17">
        <v>43066</v>
      </c>
      <c r="D73" s="12">
        <f t="shared" si="6"/>
        <v>43100</v>
      </c>
      <c r="E73" s="12" t="s">
        <v>186</v>
      </c>
      <c r="F73" s="12" t="s">
        <v>1031</v>
      </c>
      <c r="G73" s="16" t="s">
        <v>1637</v>
      </c>
      <c r="H73" s="16" t="s">
        <v>1605</v>
      </c>
      <c r="I73" s="18">
        <v>2357.52</v>
      </c>
      <c r="K73"/>
      <c r="L73"/>
    </row>
    <row r="74" spans="1:12" hidden="1">
      <c r="A74" s="16" t="s">
        <v>270</v>
      </c>
      <c r="B74" s="16" t="s">
        <v>1600</v>
      </c>
      <c r="C74" s="17">
        <v>43066</v>
      </c>
      <c r="D74" s="12">
        <f t="shared" si="6"/>
        <v>43100</v>
      </c>
      <c r="E74" s="12" t="s">
        <v>186</v>
      </c>
      <c r="F74" s="12" t="s">
        <v>1607</v>
      </c>
      <c r="G74" s="16" t="s">
        <v>1625</v>
      </c>
      <c r="H74" s="16" t="s">
        <v>1605</v>
      </c>
      <c r="I74" s="18">
        <v>3416.8</v>
      </c>
      <c r="K74"/>
      <c r="L74"/>
    </row>
    <row r="75" spans="1:12" hidden="1">
      <c r="A75" s="16" t="s">
        <v>270</v>
      </c>
      <c r="B75" s="16" t="s">
        <v>1601</v>
      </c>
      <c r="C75" s="17">
        <v>43066</v>
      </c>
      <c r="D75" s="12">
        <f t="shared" si="6"/>
        <v>43100</v>
      </c>
      <c r="E75" s="12" t="s">
        <v>186</v>
      </c>
      <c r="F75" s="12" t="s">
        <v>1607</v>
      </c>
      <c r="G75" s="16" t="s">
        <v>1157</v>
      </c>
      <c r="H75" s="16" t="s">
        <v>1605</v>
      </c>
      <c r="I75" s="18">
        <v>7890.75</v>
      </c>
      <c r="K75"/>
      <c r="L75"/>
    </row>
    <row r="76" spans="1:12" hidden="1">
      <c r="A76" s="16" t="s">
        <v>270</v>
      </c>
      <c r="B76" s="16" t="s">
        <v>1602</v>
      </c>
      <c r="C76" s="17">
        <v>43066</v>
      </c>
      <c r="D76" s="12">
        <f t="shared" si="6"/>
        <v>43100</v>
      </c>
      <c r="E76" s="12" t="s">
        <v>186</v>
      </c>
      <c r="F76" s="12" t="s">
        <v>1031</v>
      </c>
      <c r="G76" s="16" t="s">
        <v>1626</v>
      </c>
      <c r="H76" s="16" t="s">
        <v>1605</v>
      </c>
      <c r="I76" s="18">
        <v>5541.28</v>
      </c>
      <c r="K76"/>
      <c r="L76"/>
    </row>
    <row r="77" spans="1:12" hidden="1">
      <c r="A77" s="16" t="s">
        <v>270</v>
      </c>
      <c r="B77" s="16" t="s">
        <v>1603</v>
      </c>
      <c r="C77" s="17">
        <v>43066</v>
      </c>
      <c r="D77" s="12">
        <f t="shared" si="6"/>
        <v>43100</v>
      </c>
      <c r="E77" s="12" t="s">
        <v>186</v>
      </c>
      <c r="F77" s="12" t="s">
        <v>1031</v>
      </c>
      <c r="G77" s="16" t="s">
        <v>1184</v>
      </c>
      <c r="H77" s="16" t="s">
        <v>1605</v>
      </c>
      <c r="I77" s="18">
        <v>7738.49</v>
      </c>
      <c r="K77"/>
      <c r="L77"/>
    </row>
    <row r="78" spans="1:12" hidden="1">
      <c r="A78" s="16" t="s">
        <v>270</v>
      </c>
      <c r="B78" s="16" t="s">
        <v>1604</v>
      </c>
      <c r="C78" s="17">
        <v>43066</v>
      </c>
      <c r="D78" s="12">
        <f t="shared" si="6"/>
        <v>43100</v>
      </c>
      <c r="E78" s="12" t="s">
        <v>186</v>
      </c>
      <c r="F78" s="12" t="s">
        <v>1031</v>
      </c>
      <c r="G78" s="16" t="s">
        <v>1627</v>
      </c>
      <c r="H78" s="16" t="s">
        <v>1605</v>
      </c>
      <c r="I78" s="18">
        <v>2365.75</v>
      </c>
      <c r="K78"/>
      <c r="L78"/>
    </row>
    <row r="79" spans="1:12" hidden="1">
      <c r="A79" s="16" t="s">
        <v>270</v>
      </c>
      <c r="B79" s="16" t="s">
        <v>1628</v>
      </c>
      <c r="C79" s="17">
        <v>43068</v>
      </c>
      <c r="D79" s="12">
        <f t="shared" si="6"/>
        <v>43100</v>
      </c>
      <c r="E79" s="12" t="s">
        <v>186</v>
      </c>
      <c r="F79" s="12" t="s">
        <v>1031</v>
      </c>
      <c r="G79" s="16" t="s">
        <v>1285</v>
      </c>
      <c r="H79" s="16" t="s">
        <v>1605</v>
      </c>
      <c r="I79" s="18">
        <v>6437.11</v>
      </c>
      <c r="K79"/>
      <c r="L79"/>
    </row>
    <row r="80" spans="1:12" hidden="1">
      <c r="A80" s="16" t="s">
        <v>1239</v>
      </c>
      <c r="B80" s="16" t="s">
        <v>1631</v>
      </c>
      <c r="C80" s="17">
        <v>43025</v>
      </c>
      <c r="D80" s="12">
        <f t="shared" si="6"/>
        <v>43069</v>
      </c>
      <c r="E80" s="12" t="s">
        <v>186</v>
      </c>
      <c r="F80" s="12" t="s">
        <v>1607</v>
      </c>
      <c r="G80" s="16" t="s">
        <v>1634</v>
      </c>
      <c r="H80" s="16" t="s">
        <v>1605</v>
      </c>
      <c r="I80" s="18">
        <v>1480</v>
      </c>
      <c r="K80"/>
      <c r="L80"/>
    </row>
    <row r="81" spans="1:13" hidden="1">
      <c r="A81" s="16" t="s">
        <v>1239</v>
      </c>
      <c r="B81" s="16" t="s">
        <v>1632</v>
      </c>
      <c r="C81" s="17">
        <v>43069</v>
      </c>
      <c r="D81" s="12">
        <f t="shared" si="6"/>
        <v>43100</v>
      </c>
      <c r="E81" s="12" t="s">
        <v>186</v>
      </c>
      <c r="F81" s="12" t="s">
        <v>1607</v>
      </c>
      <c r="G81" s="16" t="s">
        <v>1635</v>
      </c>
      <c r="H81" s="16" t="s">
        <v>1605</v>
      </c>
      <c r="I81" s="18">
        <v>3289.75</v>
      </c>
      <c r="K81"/>
      <c r="L81"/>
    </row>
    <row r="82" spans="1:13" hidden="1">
      <c r="A82" s="16" t="s">
        <v>1239</v>
      </c>
      <c r="B82" s="16" t="s">
        <v>1633</v>
      </c>
      <c r="C82" s="17">
        <v>43069</v>
      </c>
      <c r="D82" s="12">
        <f>EOMONTH(C82,1)</f>
        <v>43100</v>
      </c>
      <c r="E82" s="12" t="s">
        <v>186</v>
      </c>
      <c r="F82" s="12" t="s">
        <v>1607</v>
      </c>
      <c r="G82" s="16" t="s">
        <v>1636</v>
      </c>
      <c r="H82" s="16" t="s">
        <v>1605</v>
      </c>
      <c r="I82" s="18">
        <v>1080</v>
      </c>
      <c r="K82"/>
      <c r="L82"/>
    </row>
    <row r="83" spans="1:13" hidden="1">
      <c r="A83" s="16" t="s">
        <v>270</v>
      </c>
      <c r="B83" s="16" t="s">
        <v>1639</v>
      </c>
      <c r="C83" s="17">
        <v>43070</v>
      </c>
      <c r="D83" s="12">
        <f>EOMONTH(C83,1)</f>
        <v>43131</v>
      </c>
      <c r="E83" s="12" t="s">
        <v>186</v>
      </c>
      <c r="F83" s="12" t="s">
        <v>1031</v>
      </c>
      <c r="G83" s="16" t="s">
        <v>1120</v>
      </c>
      <c r="H83" s="16" t="s">
        <v>1605</v>
      </c>
      <c r="I83" s="18">
        <v>3120.05</v>
      </c>
      <c r="K83"/>
      <c r="L83"/>
    </row>
    <row r="84" spans="1:13" hidden="1">
      <c r="A84" s="16" t="s">
        <v>1640</v>
      </c>
      <c r="B84" s="16" t="s">
        <v>1641</v>
      </c>
      <c r="C84" s="17">
        <v>43069</v>
      </c>
      <c r="D84" s="12">
        <f>EOMONTH(C84,1)</f>
        <v>43100</v>
      </c>
      <c r="E84" s="12" t="s">
        <v>186</v>
      </c>
      <c r="F84" s="12" t="s">
        <v>1031</v>
      </c>
      <c r="G84" s="16" t="s">
        <v>1642</v>
      </c>
      <c r="H84" s="16" t="s">
        <v>1605</v>
      </c>
      <c r="I84" s="18">
        <v>1331.8</v>
      </c>
      <c r="K84"/>
      <c r="L84" s="125"/>
      <c r="M84" s="85"/>
    </row>
    <row r="85" spans="1:13" hidden="1">
      <c r="A85" s="16" t="s">
        <v>1640</v>
      </c>
      <c r="B85" s="16" t="s">
        <v>1641</v>
      </c>
      <c r="C85" s="17">
        <v>43069</v>
      </c>
      <c r="D85" s="12">
        <f t="shared" ref="D85:D119" si="7">EOMONTH(C85,1)</f>
        <v>43100</v>
      </c>
      <c r="E85" s="12" t="s">
        <v>186</v>
      </c>
      <c r="F85" s="12" t="s">
        <v>1031</v>
      </c>
      <c r="G85" s="16" t="s">
        <v>1643</v>
      </c>
      <c r="H85" s="16" t="s">
        <v>1605</v>
      </c>
      <c r="I85" s="18">
        <v>1387.2727272727273</v>
      </c>
      <c r="K85"/>
      <c r="L85" s="125"/>
      <c r="M85" s="85"/>
    </row>
    <row r="86" spans="1:13" hidden="1">
      <c r="A86" s="16" t="s">
        <v>1640</v>
      </c>
      <c r="B86" s="16" t="s">
        <v>1641</v>
      </c>
      <c r="C86" s="17">
        <v>43069</v>
      </c>
      <c r="D86" s="12">
        <f t="shared" si="7"/>
        <v>43100</v>
      </c>
      <c r="E86" s="12" t="s">
        <v>186</v>
      </c>
      <c r="F86" s="12" t="s">
        <v>1031</v>
      </c>
      <c r="G86" s="16" t="s">
        <v>1644</v>
      </c>
      <c r="H86" s="16" t="s">
        <v>1605</v>
      </c>
      <c r="I86" s="18">
        <v>637.19090909090903</v>
      </c>
      <c r="K86"/>
      <c r="L86" s="125"/>
      <c r="M86" s="85"/>
    </row>
    <row r="87" spans="1:13" hidden="1">
      <c r="A87" s="16" t="s">
        <v>1640</v>
      </c>
      <c r="B87" s="16" t="s">
        <v>1641</v>
      </c>
      <c r="C87" s="17">
        <v>43069</v>
      </c>
      <c r="D87" s="12">
        <f t="shared" si="7"/>
        <v>43100</v>
      </c>
      <c r="E87" s="12" t="s">
        <v>186</v>
      </c>
      <c r="F87" s="12" t="s">
        <v>1031</v>
      </c>
      <c r="G87" s="16" t="s">
        <v>1645</v>
      </c>
      <c r="H87" s="16" t="s">
        <v>1605</v>
      </c>
      <c r="I87" s="18">
        <v>127.27272727272728</v>
      </c>
      <c r="K87"/>
      <c r="L87" s="125"/>
      <c r="M87" s="85"/>
    </row>
    <row r="88" spans="1:13" hidden="1">
      <c r="A88" s="16" t="s">
        <v>1640</v>
      </c>
      <c r="B88" s="16" t="s">
        <v>1641</v>
      </c>
      <c r="C88" s="17">
        <v>43069</v>
      </c>
      <c r="D88" s="12">
        <f t="shared" si="7"/>
        <v>43100</v>
      </c>
      <c r="E88" s="12" t="s">
        <v>186</v>
      </c>
      <c r="F88" s="12" t="s">
        <v>1607</v>
      </c>
      <c r="G88" s="16" t="s">
        <v>942</v>
      </c>
      <c r="H88" s="16" t="s">
        <v>1606</v>
      </c>
      <c r="I88" s="18">
        <v>890.90909090909088</v>
      </c>
      <c r="K88"/>
      <c r="L88" s="125"/>
      <c r="M88" s="85"/>
    </row>
    <row r="89" spans="1:13" hidden="1">
      <c r="A89" s="16" t="s">
        <v>1640</v>
      </c>
      <c r="B89" s="16" t="s">
        <v>1641</v>
      </c>
      <c r="C89" s="17">
        <v>43069</v>
      </c>
      <c r="D89" s="12">
        <f t="shared" si="7"/>
        <v>43100</v>
      </c>
      <c r="E89" s="12" t="s">
        <v>186</v>
      </c>
      <c r="F89" s="12" t="s">
        <v>1031</v>
      </c>
      <c r="G89" s="16" t="s">
        <v>1646</v>
      </c>
      <c r="H89" s="16" t="s">
        <v>1605</v>
      </c>
      <c r="I89" s="18">
        <v>1145.4545454545455</v>
      </c>
      <c r="K89"/>
      <c r="L89" s="125"/>
      <c r="M89" s="85"/>
    </row>
    <row r="90" spans="1:13" hidden="1">
      <c r="A90" s="16" t="s">
        <v>1640</v>
      </c>
      <c r="B90" s="16" t="s">
        <v>1641</v>
      </c>
      <c r="C90" s="17">
        <v>43069</v>
      </c>
      <c r="D90" s="12">
        <f t="shared" si="7"/>
        <v>43100</v>
      </c>
      <c r="E90" s="12" t="s">
        <v>186</v>
      </c>
      <c r="F90" s="12" t="s">
        <v>1607</v>
      </c>
      <c r="G90" s="16" t="s">
        <v>1186</v>
      </c>
      <c r="H90" s="16" t="s">
        <v>1606</v>
      </c>
      <c r="I90" s="18">
        <v>254.54545454545456</v>
      </c>
      <c r="K90"/>
      <c r="L90" s="125"/>
      <c r="M90" s="85"/>
    </row>
    <row r="91" spans="1:13" hidden="1">
      <c r="A91" s="16" t="s">
        <v>1640</v>
      </c>
      <c r="B91" s="16" t="s">
        <v>1641</v>
      </c>
      <c r="C91" s="17">
        <v>43069</v>
      </c>
      <c r="D91" s="12">
        <f t="shared" si="7"/>
        <v>43100</v>
      </c>
      <c r="E91" s="12" t="s">
        <v>186</v>
      </c>
      <c r="F91" s="12" t="s">
        <v>1031</v>
      </c>
      <c r="G91" s="16" t="s">
        <v>1647</v>
      </c>
      <c r="H91" s="16" t="s">
        <v>1605</v>
      </c>
      <c r="I91" s="18">
        <v>804.09090909090912</v>
      </c>
      <c r="K91"/>
      <c r="L91" s="125"/>
      <c r="M91" s="85"/>
    </row>
    <row r="92" spans="1:13" hidden="1">
      <c r="A92" s="16" t="s">
        <v>1652</v>
      </c>
      <c r="B92" s="16" t="s">
        <v>1653</v>
      </c>
      <c r="C92" s="17">
        <v>43066</v>
      </c>
      <c r="D92" s="12">
        <f t="shared" si="7"/>
        <v>43100</v>
      </c>
      <c r="E92" s="12" t="s">
        <v>781</v>
      </c>
      <c r="F92" s="12" t="s">
        <v>781</v>
      </c>
      <c r="G92" s="16" t="s">
        <v>837</v>
      </c>
      <c r="H92" s="12" t="s">
        <v>781</v>
      </c>
      <c r="I92" s="18">
        <v>5039.5</v>
      </c>
      <c r="K92"/>
      <c r="L92"/>
    </row>
    <row r="93" spans="1:13" hidden="1">
      <c r="A93" s="16" t="s">
        <v>242</v>
      </c>
      <c r="B93" s="16" t="s">
        <v>1655</v>
      </c>
      <c r="C93" s="17">
        <v>43074</v>
      </c>
      <c r="D93" s="12">
        <f t="shared" si="7"/>
        <v>43131</v>
      </c>
      <c r="E93" s="12" t="s">
        <v>186</v>
      </c>
      <c r="F93" s="12" t="s">
        <v>1607</v>
      </c>
      <c r="G93" s="16" t="s">
        <v>1595</v>
      </c>
      <c r="H93" s="16" t="s">
        <v>1605</v>
      </c>
      <c r="I93" s="18">
        <v>6106.05</v>
      </c>
      <c r="K93"/>
      <c r="L93"/>
    </row>
    <row r="94" spans="1:13" hidden="1">
      <c r="A94" s="16" t="s">
        <v>242</v>
      </c>
      <c r="B94" s="16" t="s">
        <v>1654</v>
      </c>
      <c r="C94" s="17">
        <v>43074</v>
      </c>
      <c r="D94" s="12">
        <f t="shared" si="7"/>
        <v>43131</v>
      </c>
      <c r="E94" s="12" t="s">
        <v>186</v>
      </c>
      <c r="F94" s="12" t="s">
        <v>1607</v>
      </c>
      <c r="G94" s="16" t="s">
        <v>2553</v>
      </c>
      <c r="H94" s="16" t="s">
        <v>1605</v>
      </c>
      <c r="I94" s="18">
        <v>3247.52</v>
      </c>
      <c r="K94"/>
      <c r="L94"/>
    </row>
    <row r="95" spans="1:13" hidden="1">
      <c r="A95" s="16" t="s">
        <v>327</v>
      </c>
      <c r="B95" s="702" t="s">
        <v>1665</v>
      </c>
      <c r="C95" s="17">
        <v>43073</v>
      </c>
      <c r="D95" s="12">
        <f t="shared" si="7"/>
        <v>43131</v>
      </c>
      <c r="E95" s="12" t="s">
        <v>186</v>
      </c>
      <c r="F95" s="12" t="s">
        <v>1031</v>
      </c>
      <c r="G95" s="16" t="s">
        <v>1648</v>
      </c>
      <c r="H95" s="16" t="s">
        <v>1605</v>
      </c>
      <c r="I95" s="18">
        <v>9051.32</v>
      </c>
      <c r="K95"/>
      <c r="L95"/>
    </row>
    <row r="96" spans="1:13" hidden="1">
      <c r="A96" s="16" t="s">
        <v>327</v>
      </c>
      <c r="B96" s="702" t="s">
        <v>1804</v>
      </c>
      <c r="C96" s="17">
        <v>43108</v>
      </c>
      <c r="D96" s="12">
        <f t="shared" si="7"/>
        <v>43159</v>
      </c>
      <c r="E96" s="12" t="s">
        <v>186</v>
      </c>
      <c r="F96" s="12" t="s">
        <v>1031</v>
      </c>
      <c r="G96" s="16" t="s">
        <v>1100</v>
      </c>
      <c r="H96" s="16" t="s">
        <v>1605</v>
      </c>
      <c r="I96" s="18">
        <v>700.3</v>
      </c>
      <c r="K96"/>
      <c r="L96"/>
    </row>
    <row r="97" spans="1:12" hidden="1">
      <c r="A97" s="16" t="s">
        <v>242</v>
      </c>
      <c r="B97" s="16" t="s">
        <v>1810</v>
      </c>
      <c r="C97" s="17">
        <v>43112</v>
      </c>
      <c r="D97" s="12">
        <f t="shared" si="7"/>
        <v>43159</v>
      </c>
      <c r="E97" s="12" t="s">
        <v>186</v>
      </c>
      <c r="F97" s="12" t="s">
        <v>1031</v>
      </c>
      <c r="G97" s="16" t="s">
        <v>1811</v>
      </c>
      <c r="H97" s="16" t="s">
        <v>1605</v>
      </c>
      <c r="I97" s="18">
        <v>1934.64</v>
      </c>
      <c r="K97"/>
      <c r="L97"/>
    </row>
    <row r="98" spans="1:12" hidden="1">
      <c r="A98" s="16" t="s">
        <v>270</v>
      </c>
      <c r="B98" s="16" t="s">
        <v>1639</v>
      </c>
      <c r="C98" s="17">
        <v>43070</v>
      </c>
      <c r="D98" s="12">
        <f t="shared" si="7"/>
        <v>43131</v>
      </c>
      <c r="E98" s="12" t="s">
        <v>186</v>
      </c>
      <c r="F98" s="12" t="s">
        <v>1031</v>
      </c>
      <c r="G98" s="16" t="s">
        <v>1120</v>
      </c>
      <c r="H98" s="16" t="s">
        <v>1605</v>
      </c>
      <c r="I98" s="18">
        <v>1175.6500000000001</v>
      </c>
      <c r="K98"/>
      <c r="L98"/>
    </row>
    <row r="99" spans="1:12" hidden="1">
      <c r="A99" s="16" t="s">
        <v>270</v>
      </c>
      <c r="B99" s="16" t="s">
        <v>1816</v>
      </c>
      <c r="C99" s="17">
        <v>43070</v>
      </c>
      <c r="D99" s="12">
        <f t="shared" si="7"/>
        <v>43131</v>
      </c>
      <c r="E99" s="12" t="s">
        <v>186</v>
      </c>
      <c r="F99" s="12" t="s">
        <v>1031</v>
      </c>
      <c r="G99" s="16" t="s">
        <v>1637</v>
      </c>
      <c r="H99" s="16" t="s">
        <v>1605</v>
      </c>
      <c r="I99" s="18">
        <v>656.68</v>
      </c>
      <c r="K99"/>
      <c r="L99"/>
    </row>
    <row r="100" spans="1:12" hidden="1">
      <c r="A100" s="16" t="s">
        <v>270</v>
      </c>
      <c r="B100" s="16" t="s">
        <v>1817</v>
      </c>
      <c r="C100" s="17">
        <v>43087</v>
      </c>
      <c r="D100" s="12">
        <f t="shared" si="7"/>
        <v>43131</v>
      </c>
      <c r="E100" s="12" t="s">
        <v>186</v>
      </c>
      <c r="F100" s="12" t="s">
        <v>1031</v>
      </c>
      <c r="G100" s="16" t="s">
        <v>1823</v>
      </c>
      <c r="H100" s="16" t="s">
        <v>1605</v>
      </c>
      <c r="I100" s="18">
        <v>1126.02</v>
      </c>
      <c r="K100"/>
      <c r="L100"/>
    </row>
    <row r="101" spans="1:12" hidden="1">
      <c r="A101" s="16" t="s">
        <v>270</v>
      </c>
      <c r="B101" s="16" t="s">
        <v>1821</v>
      </c>
      <c r="C101" s="17">
        <v>43091</v>
      </c>
      <c r="D101" s="12">
        <f t="shared" si="7"/>
        <v>43131</v>
      </c>
      <c r="E101" s="12" t="s">
        <v>186</v>
      </c>
      <c r="F101" s="12" t="s">
        <v>1607</v>
      </c>
      <c r="G101" s="16" t="s">
        <v>1825</v>
      </c>
      <c r="H101" s="16" t="s">
        <v>1605</v>
      </c>
      <c r="I101" s="18">
        <v>1612.32</v>
      </c>
      <c r="K101"/>
      <c r="L101"/>
    </row>
    <row r="102" spans="1:12" hidden="1">
      <c r="A102" s="16" t="s">
        <v>270</v>
      </c>
      <c r="B102" s="16" t="s">
        <v>1820</v>
      </c>
      <c r="C102" s="17">
        <v>43091</v>
      </c>
      <c r="D102" s="12">
        <f t="shared" si="7"/>
        <v>43131</v>
      </c>
      <c r="E102" s="12" t="s">
        <v>186</v>
      </c>
      <c r="F102" s="12" t="s">
        <v>1031</v>
      </c>
      <c r="G102" s="16" t="s">
        <v>1770</v>
      </c>
      <c r="H102" s="16" t="s">
        <v>1605</v>
      </c>
      <c r="I102" s="18">
        <v>3596.99</v>
      </c>
      <c r="K102"/>
      <c r="L102"/>
    </row>
    <row r="103" spans="1:12" hidden="1">
      <c r="A103" s="16" t="s">
        <v>270</v>
      </c>
      <c r="B103" s="16" t="s">
        <v>1826</v>
      </c>
      <c r="C103" s="17">
        <v>43091</v>
      </c>
      <c r="D103" s="12">
        <f>EOMONTH(C103,1)</f>
        <v>43131</v>
      </c>
      <c r="E103" s="12" t="s">
        <v>186</v>
      </c>
      <c r="F103" s="12" t="s">
        <v>1031</v>
      </c>
      <c r="G103" s="16" t="s">
        <v>1755</v>
      </c>
      <c r="H103" s="16" t="s">
        <v>1605</v>
      </c>
      <c r="I103" s="18">
        <v>1325</v>
      </c>
      <c r="K103" s="600"/>
      <c r="L103" s="600"/>
    </row>
    <row r="104" spans="1:12" hidden="1">
      <c r="A104" s="16" t="s">
        <v>270</v>
      </c>
      <c r="B104" s="16" t="s">
        <v>1819</v>
      </c>
      <c r="C104" s="17">
        <v>43091</v>
      </c>
      <c r="D104" s="12">
        <f t="shared" si="7"/>
        <v>43131</v>
      </c>
      <c r="E104" s="12" t="s">
        <v>186</v>
      </c>
      <c r="F104" s="12" t="s">
        <v>1031</v>
      </c>
      <c r="G104" s="16" t="s">
        <v>1213</v>
      </c>
      <c r="H104" s="16" t="s">
        <v>1605</v>
      </c>
      <c r="I104" s="18">
        <v>3121.35</v>
      </c>
      <c r="K104"/>
      <c r="L104"/>
    </row>
    <row r="105" spans="1:12" hidden="1">
      <c r="A105" s="16" t="s">
        <v>270</v>
      </c>
      <c r="B105" s="16" t="s">
        <v>1818</v>
      </c>
      <c r="C105" s="17">
        <v>43091</v>
      </c>
      <c r="D105" s="12">
        <f t="shared" si="7"/>
        <v>43131</v>
      </c>
      <c r="E105" s="12" t="s">
        <v>186</v>
      </c>
      <c r="F105" s="12" t="s">
        <v>1031</v>
      </c>
      <c r="G105" s="16" t="s">
        <v>950</v>
      </c>
      <c r="H105" s="16" t="s">
        <v>1605</v>
      </c>
      <c r="I105" s="18">
        <v>1793.75</v>
      </c>
      <c r="K105"/>
      <c r="L105"/>
    </row>
    <row r="106" spans="1:12" hidden="1">
      <c r="A106" s="16" t="s">
        <v>270</v>
      </c>
      <c r="B106" s="16" t="s">
        <v>1815</v>
      </c>
      <c r="C106" s="17">
        <v>43091</v>
      </c>
      <c r="D106" s="12">
        <f t="shared" si="7"/>
        <v>43131</v>
      </c>
      <c r="E106" s="12" t="s">
        <v>186</v>
      </c>
      <c r="F106" s="12" t="s">
        <v>1031</v>
      </c>
      <c r="G106" s="16" t="s">
        <v>1770</v>
      </c>
      <c r="H106" s="16" t="s">
        <v>1605</v>
      </c>
      <c r="I106" s="18">
        <v>5715.64</v>
      </c>
      <c r="K106"/>
      <c r="L106"/>
    </row>
    <row r="107" spans="1:12" hidden="1">
      <c r="A107" s="16" t="s">
        <v>270</v>
      </c>
      <c r="B107" s="16" t="s">
        <v>1814</v>
      </c>
      <c r="C107" s="17">
        <v>43091</v>
      </c>
      <c r="D107" s="12">
        <f t="shared" si="7"/>
        <v>43131</v>
      </c>
      <c r="E107" s="12" t="s">
        <v>186</v>
      </c>
      <c r="F107" s="12" t="s">
        <v>1031</v>
      </c>
      <c r="G107" s="16" t="s">
        <v>1020</v>
      </c>
      <c r="H107" s="16" t="s">
        <v>1605</v>
      </c>
      <c r="I107" s="18">
        <v>1523.39</v>
      </c>
      <c r="K107"/>
      <c r="L107"/>
    </row>
    <row r="108" spans="1:12" hidden="1">
      <c r="A108" s="16" t="s">
        <v>270</v>
      </c>
      <c r="B108" s="16" t="s">
        <v>1813</v>
      </c>
      <c r="C108" s="17">
        <v>43091</v>
      </c>
      <c r="D108" s="12">
        <f t="shared" si="7"/>
        <v>43131</v>
      </c>
      <c r="E108" s="12" t="s">
        <v>186</v>
      </c>
      <c r="F108" s="12" t="s">
        <v>1031</v>
      </c>
      <c r="G108" s="16" t="s">
        <v>950</v>
      </c>
      <c r="H108" s="16" t="s">
        <v>1605</v>
      </c>
      <c r="I108" s="18">
        <v>1126.02</v>
      </c>
      <c r="K108"/>
      <c r="L108"/>
    </row>
    <row r="109" spans="1:12" hidden="1">
      <c r="A109" s="16" t="s">
        <v>270</v>
      </c>
      <c r="B109" s="16" t="s">
        <v>1824</v>
      </c>
      <c r="C109" s="17">
        <v>43091</v>
      </c>
      <c r="D109" s="12">
        <f t="shared" si="7"/>
        <v>43131</v>
      </c>
      <c r="E109" s="12" t="s">
        <v>186</v>
      </c>
      <c r="F109" s="12" t="s">
        <v>1031</v>
      </c>
      <c r="G109" s="16" t="s">
        <v>1823</v>
      </c>
      <c r="H109" s="16" t="s">
        <v>1605</v>
      </c>
      <c r="I109" s="18">
        <v>1495.75</v>
      </c>
      <c r="K109"/>
      <c r="L109"/>
    </row>
    <row r="110" spans="1:12" hidden="1">
      <c r="A110" s="16" t="s">
        <v>327</v>
      </c>
      <c r="B110" s="702" t="s">
        <v>2494</v>
      </c>
      <c r="C110" s="17">
        <v>43111</v>
      </c>
      <c r="D110" s="12">
        <f t="shared" si="7"/>
        <v>43159</v>
      </c>
      <c r="E110" s="12" t="s">
        <v>186</v>
      </c>
      <c r="F110" s="12" t="s">
        <v>1031</v>
      </c>
      <c r="G110" s="16" t="s">
        <v>1058</v>
      </c>
      <c r="H110" s="16" t="s">
        <v>1605</v>
      </c>
      <c r="I110" s="18">
        <v>2486.86</v>
      </c>
      <c r="K110"/>
      <c r="L110"/>
    </row>
    <row r="111" spans="1:12" hidden="1">
      <c r="A111" s="16" t="s">
        <v>327</v>
      </c>
      <c r="B111" s="702" t="s">
        <v>1827</v>
      </c>
      <c r="C111" s="17">
        <v>42743</v>
      </c>
      <c r="D111" s="12">
        <f t="shared" si="7"/>
        <v>42794</v>
      </c>
      <c r="E111" s="12" t="s">
        <v>186</v>
      </c>
      <c r="F111" s="12" t="s">
        <v>1607</v>
      </c>
      <c r="G111" s="16" t="s">
        <v>1141</v>
      </c>
      <c r="H111" s="16" t="s">
        <v>1605</v>
      </c>
      <c r="I111" s="18">
        <v>2570.91</v>
      </c>
      <c r="K111"/>
      <c r="L111"/>
    </row>
    <row r="112" spans="1:12" hidden="1">
      <c r="A112" s="16" t="s">
        <v>1841</v>
      </c>
      <c r="B112" s="16" t="s">
        <v>1842</v>
      </c>
      <c r="C112" s="17">
        <v>43122</v>
      </c>
      <c r="D112" s="12">
        <f t="shared" si="7"/>
        <v>43159</v>
      </c>
      <c r="E112" s="12" t="s">
        <v>186</v>
      </c>
      <c r="F112" s="12" t="s">
        <v>1031</v>
      </c>
      <c r="G112" s="16" t="s">
        <v>1866</v>
      </c>
      <c r="H112" s="16" t="s">
        <v>1605</v>
      </c>
      <c r="I112" s="18">
        <v>3516.25</v>
      </c>
      <c r="K112"/>
      <c r="L112"/>
    </row>
    <row r="113" spans="1:12" hidden="1">
      <c r="A113" s="16" t="s">
        <v>1841</v>
      </c>
      <c r="B113" s="16" t="s">
        <v>1843</v>
      </c>
      <c r="C113" s="17">
        <v>43122</v>
      </c>
      <c r="D113" s="12">
        <f t="shared" si="7"/>
        <v>43159</v>
      </c>
      <c r="E113" s="12" t="s">
        <v>186</v>
      </c>
      <c r="F113" s="12" t="s">
        <v>1031</v>
      </c>
      <c r="G113" s="16" t="s">
        <v>1865</v>
      </c>
      <c r="H113" s="16" t="s">
        <v>1605</v>
      </c>
      <c r="I113" s="18">
        <v>2427.2600000000002</v>
      </c>
      <c r="K113"/>
      <c r="L113"/>
    </row>
    <row r="114" spans="1:12" hidden="1">
      <c r="A114" s="16" t="s">
        <v>1841</v>
      </c>
      <c r="B114" s="16" t="s">
        <v>1844</v>
      </c>
      <c r="C114" s="17">
        <v>43122</v>
      </c>
      <c r="D114" s="12">
        <f t="shared" si="7"/>
        <v>43159</v>
      </c>
      <c r="E114" s="12" t="s">
        <v>186</v>
      </c>
      <c r="F114" s="12" t="s">
        <v>1031</v>
      </c>
      <c r="G114" s="16" t="s">
        <v>1864</v>
      </c>
      <c r="H114" s="16" t="s">
        <v>1605</v>
      </c>
      <c r="I114" s="18">
        <v>568.95000000000005</v>
      </c>
      <c r="K114"/>
      <c r="L114"/>
    </row>
    <row r="115" spans="1:12" hidden="1">
      <c r="A115" s="16" t="s">
        <v>1841</v>
      </c>
      <c r="B115" s="16" t="s">
        <v>1845</v>
      </c>
      <c r="C115" s="17">
        <v>43122</v>
      </c>
      <c r="D115" s="12">
        <f t="shared" si="7"/>
        <v>43159</v>
      </c>
      <c r="E115" s="12" t="s">
        <v>186</v>
      </c>
      <c r="F115" s="12" t="s">
        <v>1031</v>
      </c>
      <c r="G115" s="703" t="s">
        <v>1782</v>
      </c>
      <c r="H115" s="16" t="s">
        <v>1605</v>
      </c>
      <c r="I115" s="18">
        <v>2064.79</v>
      </c>
      <c r="K115"/>
      <c r="L115"/>
    </row>
    <row r="116" spans="1:12" hidden="1">
      <c r="A116" s="16" t="s">
        <v>1841</v>
      </c>
      <c r="B116" s="16" t="s">
        <v>1862</v>
      </c>
      <c r="C116" s="17">
        <v>43130</v>
      </c>
      <c r="D116" s="12">
        <f t="shared" si="7"/>
        <v>43159</v>
      </c>
      <c r="E116" s="12" t="s">
        <v>186</v>
      </c>
      <c r="F116" s="12" t="s">
        <v>1031</v>
      </c>
      <c r="G116" s="16" t="s">
        <v>1863</v>
      </c>
      <c r="H116" s="16" t="s">
        <v>1605</v>
      </c>
      <c r="I116" s="18">
        <v>4913.2700000000004</v>
      </c>
      <c r="K116" s="600"/>
      <c r="L116" s="600"/>
    </row>
    <row r="117" spans="1:12" hidden="1">
      <c r="A117" s="16" t="s">
        <v>312</v>
      </c>
      <c r="B117" s="16" t="s">
        <v>1846</v>
      </c>
      <c r="C117" s="17">
        <v>43072</v>
      </c>
      <c r="D117" s="12">
        <f t="shared" si="7"/>
        <v>43131</v>
      </c>
      <c r="E117" s="12" t="s">
        <v>186</v>
      </c>
      <c r="F117" s="12" t="s">
        <v>1031</v>
      </c>
      <c r="G117" s="16" t="s">
        <v>1636</v>
      </c>
      <c r="H117" s="16" t="s">
        <v>1605</v>
      </c>
      <c r="I117" s="18">
        <v>3269.75</v>
      </c>
      <c r="K117"/>
      <c r="L117"/>
    </row>
    <row r="118" spans="1:12" hidden="1">
      <c r="A118" s="16" t="s">
        <v>1229</v>
      </c>
      <c r="B118" s="16" t="s">
        <v>1852</v>
      </c>
      <c r="C118" s="17">
        <v>43119</v>
      </c>
      <c r="D118" s="12">
        <f t="shared" si="7"/>
        <v>43159</v>
      </c>
      <c r="E118" s="12" t="s">
        <v>186</v>
      </c>
      <c r="F118" s="12" t="s">
        <v>1607</v>
      </c>
      <c r="G118" s="16" t="s">
        <v>1185</v>
      </c>
      <c r="H118" s="16" t="s">
        <v>425</v>
      </c>
      <c r="I118" s="18">
        <v>2315</v>
      </c>
      <c r="K118"/>
      <c r="L118"/>
    </row>
    <row r="119" spans="1:12" hidden="1">
      <c r="A119" s="16" t="s">
        <v>1640</v>
      </c>
      <c r="B119" s="16" t="s">
        <v>2227</v>
      </c>
      <c r="C119" s="17">
        <v>43128</v>
      </c>
      <c r="D119" s="12">
        <f t="shared" si="7"/>
        <v>43159</v>
      </c>
      <c r="E119" s="12" t="s">
        <v>186</v>
      </c>
      <c r="F119" s="12" t="s">
        <v>1031</v>
      </c>
      <c r="G119" s="16" t="s">
        <v>1647</v>
      </c>
      <c r="H119" s="16" t="s">
        <v>1605</v>
      </c>
      <c r="I119" s="18">
        <v>127.27</v>
      </c>
      <c r="K119"/>
      <c r="L119"/>
    </row>
    <row r="120" spans="1:12" hidden="1">
      <c r="A120" s="16" t="s">
        <v>1640</v>
      </c>
      <c r="B120" s="16" t="s">
        <v>2227</v>
      </c>
      <c r="C120" s="17">
        <v>43128</v>
      </c>
      <c r="D120" s="12">
        <f>EOMONTH(C120,1)</f>
        <v>43159</v>
      </c>
      <c r="E120" s="12" t="s">
        <v>186</v>
      </c>
      <c r="F120" s="12" t="s">
        <v>1607</v>
      </c>
      <c r="G120" s="16" t="s">
        <v>1866</v>
      </c>
      <c r="H120" s="16" t="s">
        <v>1605</v>
      </c>
      <c r="I120" s="18">
        <v>1258.23</v>
      </c>
      <c r="K120"/>
      <c r="L120"/>
    </row>
    <row r="121" spans="1:12" hidden="1">
      <c r="A121" s="16" t="s">
        <v>1640</v>
      </c>
      <c r="B121" s="16" t="s">
        <v>2227</v>
      </c>
      <c r="C121" s="17">
        <v>43128</v>
      </c>
      <c r="D121" s="12">
        <f>EOMONTH(C121,1)</f>
        <v>43159</v>
      </c>
      <c r="E121" s="12" t="s">
        <v>186</v>
      </c>
      <c r="F121" s="12" t="s">
        <v>1031</v>
      </c>
      <c r="G121" s="16" t="s">
        <v>1808</v>
      </c>
      <c r="H121" s="16" t="s">
        <v>1605</v>
      </c>
      <c r="I121" s="18">
        <v>1075.44</v>
      </c>
      <c r="K121"/>
      <c r="L121"/>
    </row>
    <row r="122" spans="1:12" hidden="1">
      <c r="A122" s="16" t="s">
        <v>1640</v>
      </c>
      <c r="B122" s="16" t="s">
        <v>2227</v>
      </c>
      <c r="C122" s="17">
        <v>43128</v>
      </c>
      <c r="D122" s="12">
        <f>EOMONTH(C122,1)</f>
        <v>43159</v>
      </c>
      <c r="E122" s="12" t="s">
        <v>186</v>
      </c>
      <c r="F122" s="12" t="s">
        <v>1031</v>
      </c>
      <c r="G122" s="16" t="s">
        <v>1807</v>
      </c>
      <c r="H122" s="16" t="s">
        <v>1605</v>
      </c>
      <c r="I122" s="18">
        <v>1266</v>
      </c>
      <c r="K122"/>
      <c r="L122"/>
    </row>
    <row r="123" spans="1:12" hidden="1">
      <c r="A123" s="16" t="s">
        <v>1640</v>
      </c>
      <c r="B123" s="16" t="s">
        <v>2227</v>
      </c>
      <c r="C123" s="17">
        <v>43128</v>
      </c>
      <c r="D123" s="12">
        <f>EOMONTH(C123,1)</f>
        <v>43159</v>
      </c>
      <c r="E123" s="12" t="s">
        <v>186</v>
      </c>
      <c r="F123" s="12" t="s">
        <v>1031</v>
      </c>
      <c r="G123" s="16" t="s">
        <v>1765</v>
      </c>
      <c r="H123" s="16" t="s">
        <v>1605</v>
      </c>
      <c r="I123" s="18">
        <v>648</v>
      </c>
      <c r="K123"/>
      <c r="L123"/>
    </row>
    <row r="124" spans="1:12" hidden="1">
      <c r="A124" s="16" t="s">
        <v>1640</v>
      </c>
      <c r="B124" s="16" t="s">
        <v>2227</v>
      </c>
      <c r="C124" s="17">
        <v>43128</v>
      </c>
      <c r="D124" s="12">
        <f t="shared" ref="D124:D129" si="8">EOMONTH(C124,1)</f>
        <v>43159</v>
      </c>
      <c r="E124" s="12" t="s">
        <v>186</v>
      </c>
      <c r="F124" s="12" t="s">
        <v>1031</v>
      </c>
      <c r="G124" s="16" t="s">
        <v>1778</v>
      </c>
      <c r="H124" s="16" t="s">
        <v>1605</v>
      </c>
      <c r="I124" s="18">
        <v>798.75</v>
      </c>
      <c r="K124"/>
      <c r="L124"/>
    </row>
    <row r="125" spans="1:12" hidden="1">
      <c r="A125" s="16" t="s">
        <v>1640</v>
      </c>
      <c r="B125" s="16" t="s">
        <v>2227</v>
      </c>
      <c r="C125" s="17">
        <v>43128</v>
      </c>
      <c r="D125" s="12">
        <f t="shared" si="8"/>
        <v>43159</v>
      </c>
      <c r="E125" s="12" t="s">
        <v>186</v>
      </c>
      <c r="F125" s="12" t="s">
        <v>1031</v>
      </c>
      <c r="G125" s="16" t="s">
        <v>1627</v>
      </c>
      <c r="H125" s="16" t="s">
        <v>1605</v>
      </c>
      <c r="I125" s="18">
        <v>363.64</v>
      </c>
      <c r="K125"/>
      <c r="L125"/>
    </row>
    <row r="126" spans="1:12" hidden="1">
      <c r="A126" s="16" t="s">
        <v>1841</v>
      </c>
      <c r="B126" s="16" t="s">
        <v>2229</v>
      </c>
      <c r="C126" s="17">
        <v>43158</v>
      </c>
      <c r="D126" s="12">
        <f t="shared" si="8"/>
        <v>43190</v>
      </c>
      <c r="E126" s="12" t="s">
        <v>186</v>
      </c>
      <c r="F126" s="12" t="s">
        <v>1031</v>
      </c>
      <c r="G126" s="16" t="s">
        <v>2230</v>
      </c>
      <c r="H126" s="16" t="s">
        <v>1605</v>
      </c>
      <c r="I126" s="18">
        <v>5093.82</v>
      </c>
      <c r="K126"/>
      <c r="L126"/>
    </row>
    <row r="127" spans="1:12" hidden="1">
      <c r="A127" s="16" t="s">
        <v>312</v>
      </c>
      <c r="B127" s="16" t="s">
        <v>2231</v>
      </c>
      <c r="C127" s="17">
        <v>43135</v>
      </c>
      <c r="D127" s="12">
        <f t="shared" si="8"/>
        <v>43190</v>
      </c>
      <c r="E127" s="12" t="s">
        <v>186</v>
      </c>
      <c r="F127" s="12" t="s">
        <v>1031</v>
      </c>
      <c r="G127" s="16" t="s">
        <v>1851</v>
      </c>
      <c r="H127" s="16" t="s">
        <v>1605</v>
      </c>
      <c r="I127" s="18">
        <v>9159.2800000000007</v>
      </c>
      <c r="K127"/>
      <c r="L127"/>
    </row>
    <row r="128" spans="1:12" hidden="1">
      <c r="A128" s="16" t="s">
        <v>312</v>
      </c>
      <c r="B128" s="16" t="s">
        <v>2232</v>
      </c>
      <c r="C128" s="17">
        <v>43156</v>
      </c>
      <c r="D128" s="12">
        <f t="shared" si="8"/>
        <v>43190</v>
      </c>
      <c r="E128" s="12" t="s">
        <v>186</v>
      </c>
      <c r="F128" s="12" t="s">
        <v>1031</v>
      </c>
      <c r="G128" s="16" t="s">
        <v>1851</v>
      </c>
      <c r="H128" s="16" t="s">
        <v>1605</v>
      </c>
      <c r="I128" s="18">
        <v>8268.39</v>
      </c>
      <c r="K128"/>
      <c r="L128"/>
    </row>
    <row r="129" spans="1:12" hidden="1">
      <c r="A129" s="16" t="s">
        <v>1841</v>
      </c>
      <c r="B129" s="16" t="s">
        <v>2233</v>
      </c>
      <c r="C129" s="17">
        <v>43131</v>
      </c>
      <c r="D129" s="12">
        <f t="shared" si="8"/>
        <v>43159</v>
      </c>
      <c r="E129" s="12" t="s">
        <v>186</v>
      </c>
      <c r="F129" s="12" t="s">
        <v>1031</v>
      </c>
      <c r="G129" s="16" t="s">
        <v>1806</v>
      </c>
      <c r="H129" s="16" t="s">
        <v>1605</v>
      </c>
      <c r="I129" s="18">
        <v>2603.91</v>
      </c>
      <c r="K129"/>
      <c r="L129"/>
    </row>
    <row r="130" spans="1:12" hidden="1">
      <c r="A130" s="16" t="s">
        <v>1841</v>
      </c>
      <c r="B130" s="16" t="s">
        <v>2234</v>
      </c>
      <c r="C130" s="17">
        <v>43131</v>
      </c>
      <c r="D130" s="12">
        <f t="shared" ref="D130:D148" si="9">EOMONTH(C130,1)</f>
        <v>43159</v>
      </c>
      <c r="E130" s="12" t="s">
        <v>186</v>
      </c>
      <c r="F130" s="12" t="s">
        <v>1607</v>
      </c>
      <c r="G130" s="16" t="s">
        <v>1165</v>
      </c>
      <c r="H130" s="16" t="s">
        <v>1605</v>
      </c>
      <c r="I130" s="18">
        <v>1316.57</v>
      </c>
      <c r="K130"/>
      <c r="L130"/>
    </row>
    <row r="131" spans="1:12" hidden="1">
      <c r="A131" s="16" t="s">
        <v>1841</v>
      </c>
      <c r="B131" s="16" t="s">
        <v>2235</v>
      </c>
      <c r="C131" s="17">
        <v>43131</v>
      </c>
      <c r="D131" s="12">
        <f t="shared" si="9"/>
        <v>43159</v>
      </c>
      <c r="E131" s="12" t="s">
        <v>186</v>
      </c>
      <c r="F131" s="12" t="s">
        <v>1031</v>
      </c>
      <c r="G131" s="16" t="s">
        <v>1863</v>
      </c>
      <c r="H131" s="16" t="s">
        <v>1605</v>
      </c>
      <c r="I131" s="18">
        <v>5539.68</v>
      </c>
      <c r="K131"/>
      <c r="L131"/>
    </row>
    <row r="132" spans="1:12" hidden="1">
      <c r="A132" s="16" t="s">
        <v>1841</v>
      </c>
      <c r="B132" s="16" t="s">
        <v>2236</v>
      </c>
      <c r="C132" s="17">
        <v>43131</v>
      </c>
      <c r="D132" s="12">
        <f t="shared" si="9"/>
        <v>43159</v>
      </c>
      <c r="E132" s="12" t="s">
        <v>186</v>
      </c>
      <c r="F132" s="12" t="s">
        <v>1031</v>
      </c>
      <c r="G132" s="16" t="s">
        <v>1596</v>
      </c>
      <c r="H132" s="16" t="s">
        <v>1605</v>
      </c>
      <c r="I132" s="18">
        <v>6867.81</v>
      </c>
      <c r="K132"/>
      <c r="L132"/>
    </row>
    <row r="133" spans="1:12" hidden="1">
      <c r="A133" s="16" t="s">
        <v>1841</v>
      </c>
      <c r="B133" s="16" t="s">
        <v>2238</v>
      </c>
      <c r="C133" s="17">
        <v>43131</v>
      </c>
      <c r="D133" s="12">
        <f t="shared" si="9"/>
        <v>43159</v>
      </c>
      <c r="E133" s="12" t="s">
        <v>186</v>
      </c>
      <c r="F133" s="12" t="s">
        <v>1031</v>
      </c>
      <c r="G133" s="16" t="s">
        <v>1864</v>
      </c>
      <c r="H133" s="16" t="s">
        <v>1605</v>
      </c>
      <c r="I133" s="18">
        <v>7930.55</v>
      </c>
      <c r="K133"/>
      <c r="L133"/>
    </row>
    <row r="134" spans="1:12" hidden="1">
      <c r="A134" s="16" t="s">
        <v>1841</v>
      </c>
      <c r="B134" s="16" t="s">
        <v>2239</v>
      </c>
      <c r="C134" s="17">
        <v>43131</v>
      </c>
      <c r="D134" s="12">
        <f t="shared" si="9"/>
        <v>43159</v>
      </c>
      <c r="E134" s="12" t="s">
        <v>186</v>
      </c>
      <c r="F134" s="12" t="s">
        <v>1031</v>
      </c>
      <c r="G134" s="16" t="s">
        <v>1260</v>
      </c>
      <c r="H134" s="16" t="s">
        <v>1605</v>
      </c>
      <c r="I134" s="18">
        <v>689.79</v>
      </c>
      <c r="K134"/>
      <c r="L134"/>
    </row>
    <row r="135" spans="1:12" hidden="1">
      <c r="A135" s="16" t="s">
        <v>1841</v>
      </c>
      <c r="B135" s="16" t="s">
        <v>2241</v>
      </c>
      <c r="C135" s="17">
        <v>43131</v>
      </c>
      <c r="D135" s="12">
        <f t="shared" si="9"/>
        <v>43159</v>
      </c>
      <c r="E135" s="12" t="s">
        <v>186</v>
      </c>
      <c r="F135" s="12" t="s">
        <v>1031</v>
      </c>
      <c r="G135" s="16" t="s">
        <v>1809</v>
      </c>
      <c r="H135" s="16" t="s">
        <v>1605</v>
      </c>
      <c r="I135" s="18">
        <v>1359.64</v>
      </c>
      <c r="K135"/>
      <c r="L135"/>
    </row>
    <row r="136" spans="1:12" hidden="1">
      <c r="A136" s="16" t="s">
        <v>1841</v>
      </c>
      <c r="B136" s="16" t="s">
        <v>2242</v>
      </c>
      <c r="C136" s="17">
        <v>43158</v>
      </c>
      <c r="D136" s="12">
        <f t="shared" si="9"/>
        <v>43190</v>
      </c>
      <c r="E136" s="12" t="s">
        <v>186</v>
      </c>
      <c r="F136" s="12" t="s">
        <v>2192</v>
      </c>
      <c r="G136" s="16" t="s">
        <v>2222</v>
      </c>
      <c r="H136" s="16" t="s">
        <v>2192</v>
      </c>
      <c r="I136" s="18">
        <v>2952.6</v>
      </c>
      <c r="K136"/>
      <c r="L136"/>
    </row>
    <row r="137" spans="1:12" hidden="1">
      <c r="A137" s="16" t="s">
        <v>1841</v>
      </c>
      <c r="B137" s="16" t="s">
        <v>2250</v>
      </c>
      <c r="C137" s="17">
        <v>43131</v>
      </c>
      <c r="D137" s="12">
        <f t="shared" si="9"/>
        <v>43159</v>
      </c>
      <c r="E137" s="12" t="s">
        <v>186</v>
      </c>
      <c r="F137" s="12" t="s">
        <v>1607</v>
      </c>
      <c r="G137" s="16" t="s">
        <v>1311</v>
      </c>
      <c r="H137" s="16" t="s">
        <v>1605</v>
      </c>
      <c r="I137" s="18">
        <v>2292.46</v>
      </c>
      <c r="K137"/>
      <c r="L137"/>
    </row>
    <row r="138" spans="1:12" hidden="1">
      <c r="A138" s="16" t="s">
        <v>2271</v>
      </c>
      <c r="B138" s="16" t="s">
        <v>2300</v>
      </c>
      <c r="C138" s="17">
        <v>43131</v>
      </c>
      <c r="D138" s="12">
        <f t="shared" si="9"/>
        <v>43159</v>
      </c>
      <c r="E138" s="12" t="s">
        <v>186</v>
      </c>
      <c r="F138" s="12" t="s">
        <v>1031</v>
      </c>
      <c r="G138" s="16" t="s">
        <v>1751</v>
      </c>
      <c r="H138" s="16" t="s">
        <v>1605</v>
      </c>
      <c r="I138" s="18">
        <v>4673.01</v>
      </c>
      <c r="K138"/>
      <c r="L138"/>
    </row>
    <row r="139" spans="1:12" hidden="1">
      <c r="A139" s="16" t="s">
        <v>2271</v>
      </c>
      <c r="B139" s="16" t="s">
        <v>2301</v>
      </c>
      <c r="C139" s="17">
        <v>43131</v>
      </c>
      <c r="D139" s="12">
        <f t="shared" si="9"/>
        <v>43159</v>
      </c>
      <c r="E139" s="12" t="s">
        <v>186</v>
      </c>
      <c r="F139" s="12" t="s">
        <v>2273</v>
      </c>
      <c r="G139" s="16" t="s">
        <v>2272</v>
      </c>
      <c r="H139" s="16" t="s">
        <v>1605</v>
      </c>
      <c r="I139" s="18">
        <v>2088.0500000000002</v>
      </c>
      <c r="K139"/>
      <c r="L139"/>
    </row>
    <row r="140" spans="1:12" hidden="1">
      <c r="A140" s="16" t="s">
        <v>312</v>
      </c>
      <c r="B140" s="16" t="s">
        <v>2281</v>
      </c>
      <c r="C140" s="17">
        <v>43163</v>
      </c>
      <c r="D140" s="12">
        <f t="shared" si="9"/>
        <v>43220</v>
      </c>
      <c r="E140" s="12" t="s">
        <v>186</v>
      </c>
      <c r="F140" s="12" t="s">
        <v>1031</v>
      </c>
      <c r="G140" s="16" t="s">
        <v>1851</v>
      </c>
      <c r="H140" s="16" t="s">
        <v>1605</v>
      </c>
      <c r="I140" s="18">
        <v>8950.7099999999991</v>
      </c>
      <c r="K140"/>
      <c r="L140"/>
    </row>
    <row r="141" spans="1:12" hidden="1">
      <c r="A141" s="16" t="s">
        <v>327</v>
      </c>
      <c r="B141" s="702" t="s">
        <v>2282</v>
      </c>
      <c r="C141" s="17">
        <v>43154</v>
      </c>
      <c r="D141" s="12">
        <f t="shared" si="9"/>
        <v>43190</v>
      </c>
      <c r="E141" s="12" t="s">
        <v>186</v>
      </c>
      <c r="F141" s="12" t="s">
        <v>1607</v>
      </c>
      <c r="G141" s="16" t="s">
        <v>2284</v>
      </c>
      <c r="H141" s="16" t="s">
        <v>425</v>
      </c>
      <c r="I141" s="18">
        <v>6505.68</v>
      </c>
      <c r="K141"/>
      <c r="L141"/>
    </row>
    <row r="142" spans="1:12" hidden="1">
      <c r="A142" s="16" t="s">
        <v>2271</v>
      </c>
      <c r="B142" s="16" t="s">
        <v>2305</v>
      </c>
      <c r="C142" s="17">
        <v>43159</v>
      </c>
      <c r="D142" s="12">
        <f t="shared" si="9"/>
        <v>43190</v>
      </c>
      <c r="E142" s="12" t="s">
        <v>186</v>
      </c>
      <c r="F142" s="12" t="s">
        <v>1031</v>
      </c>
      <c r="G142" s="16" t="s">
        <v>1774</v>
      </c>
      <c r="H142" s="16" t="s">
        <v>1605</v>
      </c>
      <c r="I142" s="18">
        <v>893.6</v>
      </c>
      <c r="K142"/>
      <c r="L142"/>
    </row>
    <row r="143" spans="1:12" hidden="1">
      <c r="A143" s="16" t="s">
        <v>2271</v>
      </c>
      <c r="B143" s="16" t="s">
        <v>2304</v>
      </c>
      <c r="C143" s="17">
        <v>43159</v>
      </c>
      <c r="D143" s="12">
        <f t="shared" si="9"/>
        <v>43190</v>
      </c>
      <c r="E143" s="12" t="s">
        <v>186</v>
      </c>
      <c r="F143" s="12" t="s">
        <v>1607</v>
      </c>
      <c r="G143" s="16" t="s">
        <v>2324</v>
      </c>
      <c r="H143" s="16" t="s">
        <v>1605</v>
      </c>
      <c r="I143" s="18">
        <v>1441.66</v>
      </c>
      <c r="K143"/>
      <c r="L143"/>
    </row>
    <row r="144" spans="1:12" hidden="1">
      <c r="A144" s="16" t="s">
        <v>2271</v>
      </c>
      <c r="B144" s="16" t="s">
        <v>2303</v>
      </c>
      <c r="C144" s="17">
        <v>43159</v>
      </c>
      <c r="D144" s="12">
        <f t="shared" si="9"/>
        <v>43190</v>
      </c>
      <c r="E144" s="12" t="s">
        <v>186</v>
      </c>
      <c r="F144" s="12" t="s">
        <v>1607</v>
      </c>
      <c r="G144" s="16" t="s">
        <v>2165</v>
      </c>
      <c r="H144" s="16" t="s">
        <v>1605</v>
      </c>
      <c r="I144" s="18">
        <v>1254.18</v>
      </c>
      <c r="K144"/>
      <c r="L144"/>
    </row>
    <row r="145" spans="1:12" hidden="1">
      <c r="A145" s="16" t="s">
        <v>2271</v>
      </c>
      <c r="B145" s="16" t="s">
        <v>1303</v>
      </c>
      <c r="C145" s="17">
        <v>43159</v>
      </c>
      <c r="D145" s="12">
        <f t="shared" si="9"/>
        <v>43190</v>
      </c>
      <c r="E145" s="12" t="s">
        <v>186</v>
      </c>
      <c r="F145" s="12" t="s">
        <v>1607</v>
      </c>
      <c r="G145" s="16" t="s">
        <v>2165</v>
      </c>
      <c r="H145" s="16" t="s">
        <v>1605</v>
      </c>
      <c r="I145" s="18">
        <v>1634.26</v>
      </c>
      <c r="K145"/>
      <c r="L145"/>
    </row>
    <row r="146" spans="1:12" hidden="1">
      <c r="A146" s="16" t="s">
        <v>2271</v>
      </c>
      <c r="B146" s="16" t="s">
        <v>2302</v>
      </c>
      <c r="C146" s="17">
        <v>43159</v>
      </c>
      <c r="D146" s="12">
        <f t="shared" si="9"/>
        <v>43190</v>
      </c>
      <c r="E146" s="12" t="s">
        <v>186</v>
      </c>
      <c r="F146" s="12" t="s">
        <v>1031</v>
      </c>
      <c r="G146" s="16" t="s">
        <v>1773</v>
      </c>
      <c r="H146" s="16" t="s">
        <v>1605</v>
      </c>
      <c r="I146" s="18">
        <v>2015.96</v>
      </c>
      <c r="K146"/>
      <c r="L146"/>
    </row>
    <row r="147" spans="1:12" hidden="1">
      <c r="A147" s="16" t="s">
        <v>1229</v>
      </c>
      <c r="B147" s="16" t="s">
        <v>2369</v>
      </c>
      <c r="C147" s="17">
        <v>43173</v>
      </c>
      <c r="D147" s="12">
        <f t="shared" si="9"/>
        <v>43220</v>
      </c>
      <c r="E147" s="12" t="s">
        <v>186</v>
      </c>
      <c r="F147" s="12" t="s">
        <v>1607</v>
      </c>
      <c r="G147" s="16" t="s">
        <v>2284</v>
      </c>
      <c r="H147" s="16" t="s">
        <v>425</v>
      </c>
      <c r="I147" s="18">
        <v>2299</v>
      </c>
      <c r="K147"/>
      <c r="L147"/>
    </row>
    <row r="148" spans="1:12" hidden="1">
      <c r="A148" s="16" t="s">
        <v>2378</v>
      </c>
      <c r="B148" s="16" t="s">
        <v>2379</v>
      </c>
      <c r="C148" s="17">
        <v>43159</v>
      </c>
      <c r="D148" s="12">
        <f t="shared" si="9"/>
        <v>43190</v>
      </c>
      <c r="E148" s="12" t="s">
        <v>186</v>
      </c>
      <c r="F148" s="12" t="s">
        <v>1031</v>
      </c>
      <c r="G148" s="16" t="s">
        <v>1765</v>
      </c>
      <c r="H148" s="16" t="s">
        <v>1605</v>
      </c>
      <c r="I148" s="18">
        <v>6420</v>
      </c>
      <c r="K148"/>
      <c r="L148"/>
    </row>
    <row r="149" spans="1:12" hidden="1">
      <c r="A149" s="16" t="s">
        <v>327</v>
      </c>
      <c r="B149" s="702" t="s">
        <v>2398</v>
      </c>
      <c r="C149" s="17">
        <v>43160</v>
      </c>
      <c r="D149" s="12">
        <f t="shared" ref="D149:D165" si="10">EOMONTH(C149,1)</f>
        <v>43220</v>
      </c>
      <c r="E149" s="12" t="s">
        <v>186</v>
      </c>
      <c r="F149" s="12" t="s">
        <v>1031</v>
      </c>
      <c r="G149" s="16" t="s">
        <v>1811</v>
      </c>
      <c r="H149" s="16" t="s">
        <v>1605</v>
      </c>
      <c r="I149" s="18">
        <v>2399.96</v>
      </c>
      <c r="K149"/>
      <c r="L149"/>
    </row>
    <row r="150" spans="1:12" hidden="1">
      <c r="A150" s="16" t="s">
        <v>1841</v>
      </c>
      <c r="B150" s="16" t="s">
        <v>2425</v>
      </c>
      <c r="C150" s="17">
        <v>43161</v>
      </c>
      <c r="D150" s="12">
        <f t="shared" si="10"/>
        <v>43220</v>
      </c>
      <c r="E150" s="12" t="s">
        <v>186</v>
      </c>
      <c r="F150" s="12" t="s">
        <v>1031</v>
      </c>
      <c r="G150" s="16" t="s">
        <v>2275</v>
      </c>
      <c r="H150" s="16" t="s">
        <v>1605</v>
      </c>
      <c r="I150" s="18">
        <v>1101.3399999999999</v>
      </c>
      <c r="K150"/>
      <c r="L150"/>
    </row>
    <row r="151" spans="1:12" hidden="1">
      <c r="A151" s="16" t="s">
        <v>1841</v>
      </c>
      <c r="B151" s="16" t="s">
        <v>2426</v>
      </c>
      <c r="C151" s="17">
        <v>43185</v>
      </c>
      <c r="D151" s="12">
        <f t="shared" si="10"/>
        <v>43220</v>
      </c>
      <c r="E151" s="12" t="s">
        <v>186</v>
      </c>
      <c r="F151" s="12" t="s">
        <v>1031</v>
      </c>
      <c r="G151" s="16" t="s">
        <v>1775</v>
      </c>
      <c r="H151" s="16" t="s">
        <v>1605</v>
      </c>
      <c r="I151" s="18">
        <v>459.6</v>
      </c>
      <c r="K151"/>
      <c r="L151"/>
    </row>
    <row r="152" spans="1:12" hidden="1">
      <c r="A152" s="16" t="s">
        <v>1841</v>
      </c>
      <c r="B152" s="16" t="s">
        <v>2440</v>
      </c>
      <c r="C152" s="17">
        <v>43161</v>
      </c>
      <c r="D152" s="12">
        <f t="shared" si="10"/>
        <v>43220</v>
      </c>
      <c r="E152" s="12" t="s">
        <v>186</v>
      </c>
      <c r="F152" s="12" t="s">
        <v>1031</v>
      </c>
      <c r="G152" s="16" t="s">
        <v>2441</v>
      </c>
      <c r="H152" s="16" t="s">
        <v>1605</v>
      </c>
      <c r="I152" s="18">
        <v>2645.01</v>
      </c>
      <c r="K152"/>
      <c r="L152"/>
    </row>
    <row r="153" spans="1:12" hidden="1">
      <c r="A153" s="16" t="s">
        <v>1841</v>
      </c>
      <c r="B153" s="16" t="s">
        <v>2443</v>
      </c>
      <c r="C153" s="17">
        <v>43185</v>
      </c>
      <c r="D153" s="12">
        <f t="shared" si="10"/>
        <v>43220</v>
      </c>
      <c r="E153" s="12" t="s">
        <v>186</v>
      </c>
      <c r="F153" s="12" t="s">
        <v>1031</v>
      </c>
      <c r="G153" s="16" t="s">
        <v>1776</v>
      </c>
      <c r="H153" s="16" t="s">
        <v>1605</v>
      </c>
      <c r="I153" s="18">
        <v>6208.68</v>
      </c>
      <c r="K153"/>
      <c r="L153"/>
    </row>
    <row r="154" spans="1:12" hidden="1">
      <c r="A154" s="16" t="s">
        <v>1841</v>
      </c>
      <c r="B154" s="16" t="s">
        <v>2444</v>
      </c>
      <c r="C154" s="17">
        <v>43185</v>
      </c>
      <c r="D154" s="12">
        <f t="shared" si="10"/>
        <v>43220</v>
      </c>
      <c r="E154" s="12" t="s">
        <v>186</v>
      </c>
      <c r="F154" s="12" t="s">
        <v>1607</v>
      </c>
      <c r="G154" s="16" t="s">
        <v>2353</v>
      </c>
      <c r="H154" s="16" t="s">
        <v>1605</v>
      </c>
      <c r="I154" s="18">
        <v>5244.89</v>
      </c>
      <c r="K154"/>
      <c r="L154"/>
    </row>
    <row r="155" spans="1:12" hidden="1">
      <c r="A155" s="16" t="s">
        <v>1841</v>
      </c>
      <c r="B155" s="16" t="s">
        <v>2445</v>
      </c>
      <c r="C155" s="17">
        <v>43185</v>
      </c>
      <c r="D155" s="12">
        <f t="shared" si="10"/>
        <v>43220</v>
      </c>
      <c r="E155" s="12" t="s">
        <v>186</v>
      </c>
      <c r="F155" s="12" t="s">
        <v>1031</v>
      </c>
      <c r="G155" s="16" t="s">
        <v>2337</v>
      </c>
      <c r="H155" s="16" t="s">
        <v>1605</v>
      </c>
      <c r="I155" s="18">
        <v>1885.45</v>
      </c>
      <c r="K155"/>
      <c r="L155"/>
    </row>
    <row r="156" spans="1:12" hidden="1">
      <c r="A156" s="16" t="s">
        <v>1841</v>
      </c>
      <c r="B156" s="16" t="s">
        <v>2448</v>
      </c>
      <c r="C156" s="17">
        <v>43185</v>
      </c>
      <c r="D156" s="12">
        <f t="shared" si="10"/>
        <v>43220</v>
      </c>
      <c r="E156" s="12" t="s">
        <v>186</v>
      </c>
      <c r="F156" s="12" t="s">
        <v>1607</v>
      </c>
      <c r="G156" s="16" t="s">
        <v>1083</v>
      </c>
      <c r="H156" s="16" t="s">
        <v>1605</v>
      </c>
      <c r="I156" s="18">
        <v>1805.9</v>
      </c>
      <c r="K156"/>
      <c r="L156"/>
    </row>
    <row r="157" spans="1:12" hidden="1">
      <c r="A157" s="16" t="s">
        <v>1841</v>
      </c>
      <c r="B157" s="16" t="s">
        <v>2449</v>
      </c>
      <c r="C157" s="17">
        <v>43185</v>
      </c>
      <c r="D157" s="12">
        <f t="shared" si="10"/>
        <v>43220</v>
      </c>
      <c r="E157" s="12" t="s">
        <v>186</v>
      </c>
      <c r="F157" s="12" t="s">
        <v>1031</v>
      </c>
      <c r="G157" s="16" t="s">
        <v>1782</v>
      </c>
      <c r="H157" s="16" t="s">
        <v>1605</v>
      </c>
      <c r="I157" s="18">
        <v>9192.9699999999993</v>
      </c>
      <c r="K157"/>
      <c r="L157"/>
    </row>
    <row r="158" spans="1:12" hidden="1">
      <c r="A158" s="16" t="s">
        <v>1841</v>
      </c>
      <c r="B158" s="16" t="s">
        <v>2450</v>
      </c>
      <c r="C158" s="17">
        <v>43185</v>
      </c>
      <c r="D158" s="12">
        <f t="shared" si="10"/>
        <v>43220</v>
      </c>
      <c r="E158" s="12" t="s">
        <v>186</v>
      </c>
      <c r="F158" s="12" t="s">
        <v>1607</v>
      </c>
      <c r="G158" s="16" t="s">
        <v>2408</v>
      </c>
      <c r="H158" s="16" t="s">
        <v>2192</v>
      </c>
      <c r="I158" s="18">
        <v>1295</v>
      </c>
      <c r="K158"/>
      <c r="L158"/>
    </row>
    <row r="159" spans="1:12" hidden="1">
      <c r="A159" s="16" t="s">
        <v>1841</v>
      </c>
      <c r="B159" s="16" t="s">
        <v>2451</v>
      </c>
      <c r="C159" s="17">
        <v>43185</v>
      </c>
      <c r="D159" s="12">
        <f t="shared" si="10"/>
        <v>43220</v>
      </c>
      <c r="E159" s="12" t="s">
        <v>186</v>
      </c>
      <c r="F159" s="12" t="s">
        <v>1607</v>
      </c>
      <c r="G159" s="16" t="s">
        <v>2407</v>
      </c>
      <c r="H159" s="16" t="s">
        <v>2192</v>
      </c>
      <c r="I159" s="18">
        <v>2849</v>
      </c>
      <c r="K159"/>
      <c r="L159"/>
    </row>
    <row r="160" spans="1:12" hidden="1">
      <c r="A160" s="16" t="s">
        <v>1841</v>
      </c>
      <c r="B160" s="16" t="s">
        <v>2452</v>
      </c>
      <c r="C160" s="17">
        <v>43185</v>
      </c>
      <c r="D160" s="12">
        <f t="shared" si="10"/>
        <v>43220</v>
      </c>
      <c r="E160" s="12" t="s">
        <v>186</v>
      </c>
      <c r="F160" s="12" t="s">
        <v>1607</v>
      </c>
      <c r="G160" s="16" t="s">
        <v>2424</v>
      </c>
      <c r="H160" s="16" t="s">
        <v>2192</v>
      </c>
      <c r="I160" s="18">
        <v>1036</v>
      </c>
      <c r="K160"/>
      <c r="L160"/>
    </row>
    <row r="161" spans="1:12" hidden="1">
      <c r="A161" s="16" t="s">
        <v>1841</v>
      </c>
      <c r="B161" s="16" t="s">
        <v>2453</v>
      </c>
      <c r="C161" s="17">
        <v>43185</v>
      </c>
      <c r="D161" s="12">
        <f t="shared" si="10"/>
        <v>43220</v>
      </c>
      <c r="E161" s="12" t="s">
        <v>186</v>
      </c>
      <c r="F161" s="12" t="s">
        <v>1607</v>
      </c>
      <c r="G161" s="16" t="s">
        <v>2416</v>
      </c>
      <c r="H161" s="16" t="s">
        <v>2192</v>
      </c>
      <c r="I161" s="18">
        <v>2849</v>
      </c>
      <c r="K161"/>
      <c r="L161"/>
    </row>
    <row r="162" spans="1:12" hidden="1">
      <c r="A162" s="16" t="s">
        <v>1841</v>
      </c>
      <c r="B162" s="16" t="s">
        <v>2463</v>
      </c>
      <c r="C162" s="17">
        <v>43187</v>
      </c>
      <c r="D162" s="12">
        <f t="shared" si="10"/>
        <v>43220</v>
      </c>
      <c r="E162" s="12" t="s">
        <v>186</v>
      </c>
      <c r="F162" s="12" t="s">
        <v>1031</v>
      </c>
      <c r="G162" s="16" t="s">
        <v>1657</v>
      </c>
      <c r="H162" s="16" t="s">
        <v>1605</v>
      </c>
      <c r="I162" s="18">
        <v>4395.1400000000003</v>
      </c>
      <c r="K162"/>
      <c r="L162"/>
    </row>
    <row r="163" spans="1:12" hidden="1">
      <c r="A163" s="16" t="s">
        <v>1841</v>
      </c>
      <c r="B163" s="16" t="s">
        <v>2464</v>
      </c>
      <c r="C163" s="17">
        <v>43187</v>
      </c>
      <c r="D163" s="12">
        <f t="shared" si="10"/>
        <v>43220</v>
      </c>
      <c r="E163" s="12" t="s">
        <v>186</v>
      </c>
      <c r="F163" s="12" t="s">
        <v>1031</v>
      </c>
      <c r="G163" s="16" t="s">
        <v>2319</v>
      </c>
      <c r="H163" s="16" t="s">
        <v>1605</v>
      </c>
      <c r="I163" s="18">
        <v>4736.21</v>
      </c>
      <c r="K163"/>
      <c r="L163"/>
    </row>
    <row r="164" spans="1:12" hidden="1">
      <c r="A164" s="16" t="s">
        <v>1640</v>
      </c>
      <c r="B164" s="16" t="s">
        <v>2466</v>
      </c>
      <c r="C164" s="17">
        <v>43185</v>
      </c>
      <c r="D164" s="12">
        <f t="shared" si="10"/>
        <v>43220</v>
      </c>
      <c r="E164" s="12" t="s">
        <v>186</v>
      </c>
      <c r="F164" s="12" t="s">
        <v>1031</v>
      </c>
      <c r="G164" s="16" t="s">
        <v>2467</v>
      </c>
      <c r="H164" s="16" t="s">
        <v>1605</v>
      </c>
      <c r="I164" s="18">
        <v>1639.63</v>
      </c>
      <c r="K164"/>
      <c r="L164"/>
    </row>
    <row r="165" spans="1:12" hidden="1">
      <c r="A165" s="16" t="s">
        <v>1640</v>
      </c>
      <c r="B165" s="16" t="s">
        <v>2466</v>
      </c>
      <c r="C165" s="17">
        <v>43185</v>
      </c>
      <c r="D165" s="12">
        <f t="shared" si="10"/>
        <v>43220</v>
      </c>
      <c r="E165" s="12" t="s">
        <v>186</v>
      </c>
      <c r="F165" s="12" t="s">
        <v>1607</v>
      </c>
      <c r="G165" s="16" t="s">
        <v>2468</v>
      </c>
      <c r="H165" s="16" t="s">
        <v>1605</v>
      </c>
      <c r="I165" s="18">
        <v>4446.68</v>
      </c>
      <c r="K165"/>
      <c r="L165"/>
    </row>
    <row r="166" spans="1:12" hidden="1">
      <c r="A166" s="16" t="s">
        <v>1640</v>
      </c>
      <c r="B166" s="16" t="s">
        <v>2466</v>
      </c>
      <c r="C166" s="17">
        <v>43185</v>
      </c>
      <c r="D166" s="12">
        <v>43220</v>
      </c>
      <c r="E166" s="12" t="s">
        <v>186</v>
      </c>
      <c r="F166" s="12" t="s">
        <v>1607</v>
      </c>
      <c r="G166" s="16" t="s">
        <v>1779</v>
      </c>
      <c r="H166" s="16" t="s">
        <v>1605</v>
      </c>
      <c r="I166" s="18">
        <v>676.5</v>
      </c>
      <c r="K166"/>
      <c r="L166"/>
    </row>
    <row r="167" spans="1:12" hidden="1">
      <c r="A167" s="16" t="s">
        <v>1640</v>
      </c>
      <c r="B167" s="16" t="s">
        <v>2466</v>
      </c>
      <c r="C167" s="17">
        <v>43185</v>
      </c>
      <c r="D167" s="12">
        <v>43220</v>
      </c>
      <c r="E167" s="12" t="s">
        <v>186</v>
      </c>
      <c r="F167" s="12" t="s">
        <v>1031</v>
      </c>
      <c r="G167" s="16" t="s">
        <v>2316</v>
      </c>
      <c r="H167" s="16" t="s">
        <v>1605</v>
      </c>
      <c r="I167" s="18">
        <v>1560.1</v>
      </c>
      <c r="K167"/>
      <c r="L167"/>
    </row>
    <row r="168" spans="1:12" hidden="1">
      <c r="A168" s="16" t="s">
        <v>1640</v>
      </c>
      <c r="B168" s="16" t="s">
        <v>2466</v>
      </c>
      <c r="C168" s="17">
        <v>43185</v>
      </c>
      <c r="D168" s="12">
        <v>43220</v>
      </c>
      <c r="E168" s="12" t="s">
        <v>186</v>
      </c>
      <c r="F168" s="12" t="s">
        <v>1607</v>
      </c>
      <c r="G168" s="16" t="s">
        <v>1625</v>
      </c>
      <c r="H168" s="16" t="s">
        <v>1605</v>
      </c>
      <c r="I168" s="18">
        <f>630/3</f>
        <v>210</v>
      </c>
      <c r="K168"/>
      <c r="L168"/>
    </row>
    <row r="169" spans="1:12" hidden="1">
      <c r="A169" s="16" t="s">
        <v>1640</v>
      </c>
      <c r="B169" s="16" t="s">
        <v>2466</v>
      </c>
      <c r="C169" s="17">
        <v>43185</v>
      </c>
      <c r="D169" s="12">
        <v>43220</v>
      </c>
      <c r="E169" s="12" t="s">
        <v>186</v>
      </c>
      <c r="F169" s="12" t="s">
        <v>1607</v>
      </c>
      <c r="G169" s="16" t="s">
        <v>2165</v>
      </c>
      <c r="H169" s="16" t="s">
        <v>1605</v>
      </c>
      <c r="I169" s="18">
        <v>210</v>
      </c>
      <c r="K169" s="600"/>
      <c r="L169" s="600"/>
    </row>
    <row r="170" spans="1:12" hidden="1">
      <c r="A170" s="16" t="s">
        <v>1640</v>
      </c>
      <c r="B170" s="16" t="s">
        <v>2466</v>
      </c>
      <c r="C170" s="17">
        <v>43185</v>
      </c>
      <c r="D170" s="12">
        <v>43220</v>
      </c>
      <c r="E170" s="12" t="s">
        <v>186</v>
      </c>
      <c r="F170" s="12" t="s">
        <v>1607</v>
      </c>
      <c r="G170" s="16" t="s">
        <v>2324</v>
      </c>
      <c r="H170" s="16" t="s">
        <v>1605</v>
      </c>
      <c r="I170" s="18">
        <v>210</v>
      </c>
      <c r="K170" s="600"/>
      <c r="L170" s="600"/>
    </row>
    <row r="171" spans="1:12" hidden="1">
      <c r="A171" s="16" t="s">
        <v>1640</v>
      </c>
      <c r="B171" s="16" t="s">
        <v>2466</v>
      </c>
      <c r="C171" s="17">
        <v>43185</v>
      </c>
      <c r="D171" s="12">
        <v>43220</v>
      </c>
      <c r="E171" s="12" t="s">
        <v>186</v>
      </c>
      <c r="F171" s="12" t="s">
        <v>1031</v>
      </c>
      <c r="G171" s="16" t="s">
        <v>1098</v>
      </c>
      <c r="H171" s="16" t="s">
        <v>1605</v>
      </c>
      <c r="I171" s="18">
        <v>3248.8</v>
      </c>
      <c r="K171"/>
      <c r="L171"/>
    </row>
    <row r="172" spans="1:12" hidden="1">
      <c r="A172" s="16" t="s">
        <v>1640</v>
      </c>
      <c r="B172" s="16" t="s">
        <v>2466</v>
      </c>
      <c r="C172" s="17">
        <v>43185</v>
      </c>
      <c r="D172" s="12">
        <v>43220</v>
      </c>
      <c r="E172" s="12" t="s">
        <v>186</v>
      </c>
      <c r="F172" s="12" t="s">
        <v>1031</v>
      </c>
      <c r="G172" s="16" t="s">
        <v>1193</v>
      </c>
      <c r="H172" s="16" t="s">
        <v>1605</v>
      </c>
      <c r="I172" s="18">
        <v>3585.33</v>
      </c>
      <c r="K172"/>
      <c r="L172"/>
    </row>
    <row r="173" spans="1:12" hidden="1">
      <c r="A173" s="16" t="s">
        <v>1841</v>
      </c>
      <c r="B173" s="16" t="s">
        <v>2242</v>
      </c>
      <c r="C173" s="17">
        <v>43158</v>
      </c>
      <c r="D173" s="12">
        <f t="shared" ref="D173:D180" si="11">EOMONTH(C173,1)</f>
        <v>43190</v>
      </c>
      <c r="E173" s="12" t="s">
        <v>186</v>
      </c>
      <c r="F173" s="12" t="s">
        <v>2192</v>
      </c>
      <c r="G173" s="16" t="s">
        <v>2264</v>
      </c>
      <c r="H173" s="16" t="s">
        <v>2192</v>
      </c>
      <c r="I173" s="18">
        <v>2590</v>
      </c>
      <c r="K173"/>
      <c r="L173"/>
    </row>
    <row r="174" spans="1:12" hidden="1">
      <c r="A174" s="16" t="s">
        <v>2472</v>
      </c>
      <c r="B174" s="16" t="s">
        <v>2473</v>
      </c>
      <c r="C174" s="17">
        <v>43188</v>
      </c>
      <c r="D174" s="12">
        <f t="shared" si="11"/>
        <v>43220</v>
      </c>
      <c r="E174" s="12" t="s">
        <v>186</v>
      </c>
      <c r="F174" s="12" t="s">
        <v>2192</v>
      </c>
      <c r="G174" s="16" t="s">
        <v>2433</v>
      </c>
      <c r="H174" s="16" t="s">
        <v>2192</v>
      </c>
      <c r="I174" s="18">
        <v>1360</v>
      </c>
      <c r="K174"/>
      <c r="L174"/>
    </row>
    <row r="175" spans="1:12" hidden="1">
      <c r="A175" s="16" t="s">
        <v>1841</v>
      </c>
      <c r="B175" s="16" t="s">
        <v>2487</v>
      </c>
      <c r="C175" s="17">
        <v>43188</v>
      </c>
      <c r="D175" s="12">
        <f t="shared" si="11"/>
        <v>43220</v>
      </c>
      <c r="E175" s="12" t="s">
        <v>186</v>
      </c>
      <c r="F175" s="12" t="s">
        <v>1031</v>
      </c>
      <c r="G175" s="16" t="s">
        <v>1776</v>
      </c>
      <c r="H175" s="16" t="s">
        <v>2192</v>
      </c>
      <c r="I175" s="18">
        <v>3743.08</v>
      </c>
      <c r="K175"/>
      <c r="L175"/>
    </row>
    <row r="176" spans="1:12" hidden="1">
      <c r="A176" s="16" t="s">
        <v>242</v>
      </c>
      <c r="B176" s="16" t="s">
        <v>2492</v>
      </c>
      <c r="C176" s="17">
        <v>43187</v>
      </c>
      <c r="D176" s="12">
        <f t="shared" si="11"/>
        <v>43220</v>
      </c>
      <c r="E176" s="12" t="s">
        <v>186</v>
      </c>
      <c r="F176" s="12" t="s">
        <v>1031</v>
      </c>
      <c r="G176" s="16" t="s">
        <v>1811</v>
      </c>
      <c r="H176" s="16" t="s">
        <v>2192</v>
      </c>
      <c r="I176" s="18">
        <v>903</v>
      </c>
      <c r="K176"/>
      <c r="L176"/>
    </row>
    <row r="177" spans="1:12" hidden="1">
      <c r="A177" s="705" t="s">
        <v>2498</v>
      </c>
      <c r="B177" s="705" t="s">
        <v>2499</v>
      </c>
      <c r="C177" s="706">
        <v>43193</v>
      </c>
      <c r="D177" s="707">
        <f t="shared" si="11"/>
        <v>43251</v>
      </c>
      <c r="E177" s="707" t="s">
        <v>186</v>
      </c>
      <c r="F177" s="707" t="s">
        <v>1607</v>
      </c>
      <c r="G177" s="705" t="str">
        <f>$G$89</f>
        <v>MW21281 - AYCA-3K4RCM - Marsden Park Tonzat Development - 2</v>
      </c>
      <c r="H177" s="705" t="s">
        <v>1605</v>
      </c>
      <c r="I177" s="708">
        <v>320</v>
      </c>
      <c r="K177"/>
      <c r="L177"/>
    </row>
    <row r="178" spans="1:12" hidden="1">
      <c r="A178" s="16" t="s">
        <v>327</v>
      </c>
      <c r="B178" s="11" t="s">
        <v>2978</v>
      </c>
      <c r="C178" s="802">
        <v>43195</v>
      </c>
      <c r="D178" s="12">
        <f t="shared" si="11"/>
        <v>43251</v>
      </c>
      <c r="E178" s="12" t="s">
        <v>186</v>
      </c>
      <c r="F178" s="12" t="s">
        <v>1607</v>
      </c>
      <c r="G178" s="16" t="s">
        <v>1185</v>
      </c>
      <c r="H178" s="16" t="s">
        <v>425</v>
      </c>
      <c r="I178" s="18">
        <v>6779.9</v>
      </c>
      <c r="K178"/>
      <c r="L178"/>
    </row>
    <row r="179" spans="1:12" hidden="1">
      <c r="A179" s="705" t="s">
        <v>846</v>
      </c>
      <c r="B179" s="705" t="s">
        <v>2544</v>
      </c>
      <c r="C179" s="706">
        <v>43202</v>
      </c>
      <c r="D179" s="707">
        <f t="shared" si="11"/>
        <v>43251</v>
      </c>
      <c r="E179" s="707" t="s">
        <v>186</v>
      </c>
      <c r="F179" s="707" t="s">
        <v>1607</v>
      </c>
      <c r="G179" s="705" t="s">
        <v>2546</v>
      </c>
      <c r="H179" s="705" t="s">
        <v>1605</v>
      </c>
      <c r="I179" s="708">
        <v>4410.54</v>
      </c>
      <c r="K179"/>
      <c r="L179"/>
    </row>
    <row r="180" spans="1:12" hidden="1">
      <c r="A180" s="16" t="s">
        <v>327</v>
      </c>
      <c r="B180" s="16" t="s">
        <v>2548</v>
      </c>
      <c r="C180" s="17">
        <v>43201</v>
      </c>
      <c r="D180" s="12">
        <f t="shared" si="11"/>
        <v>43251</v>
      </c>
      <c r="E180" s="707" t="s">
        <v>186</v>
      </c>
      <c r="F180" s="12" t="s">
        <v>1607</v>
      </c>
      <c r="G180" s="16" t="s">
        <v>965</v>
      </c>
      <c r="H180" s="16" t="s">
        <v>1605</v>
      </c>
      <c r="I180" s="18">
        <v>2095.98</v>
      </c>
      <c r="K180"/>
      <c r="L180"/>
    </row>
    <row r="181" spans="1:12" hidden="1">
      <c r="A181" s="16" t="s">
        <v>327</v>
      </c>
      <c r="B181" s="16" t="s">
        <v>2550</v>
      </c>
      <c r="C181" s="17">
        <v>43201</v>
      </c>
      <c r="D181" s="12">
        <f>EOMONTH(C181,1)</f>
        <v>43251</v>
      </c>
      <c r="E181" s="707" t="s">
        <v>186</v>
      </c>
      <c r="F181" s="12" t="s">
        <v>1607</v>
      </c>
      <c r="G181" s="16" t="s">
        <v>1093</v>
      </c>
      <c r="H181" s="16" t="s">
        <v>1605</v>
      </c>
      <c r="I181" s="18">
        <v>1555.96</v>
      </c>
      <c r="K181"/>
      <c r="L181"/>
    </row>
    <row r="182" spans="1:12" hidden="1">
      <c r="A182" s="16" t="s">
        <v>327</v>
      </c>
      <c r="B182" s="16" t="s">
        <v>2551</v>
      </c>
      <c r="C182" s="17">
        <v>43201</v>
      </c>
      <c r="D182" s="12">
        <f>EOMONTH(C182,1)</f>
        <v>43251</v>
      </c>
      <c r="E182" s="707" t="s">
        <v>186</v>
      </c>
      <c r="F182" s="12" t="s">
        <v>1031</v>
      </c>
      <c r="G182" s="16" t="s">
        <v>2218</v>
      </c>
      <c r="H182" s="16" t="s">
        <v>1605</v>
      </c>
      <c r="I182" s="18">
        <v>5178.1000000000004</v>
      </c>
      <c r="K182"/>
      <c r="L182"/>
    </row>
    <row r="183" spans="1:12" hidden="1">
      <c r="A183" s="16" t="s">
        <v>327</v>
      </c>
      <c r="B183" s="16" t="s">
        <v>2552</v>
      </c>
      <c r="C183" s="17">
        <v>43201</v>
      </c>
      <c r="D183" s="12">
        <f>EOMONTH(C183,1)</f>
        <v>43251</v>
      </c>
      <c r="E183" s="707" t="s">
        <v>186</v>
      </c>
      <c r="F183" s="12" t="s">
        <v>1607</v>
      </c>
      <c r="G183" s="16" t="s">
        <v>2553</v>
      </c>
      <c r="H183" s="16" t="s">
        <v>1605</v>
      </c>
      <c r="I183" s="18">
        <v>1546.58</v>
      </c>
      <c r="K183"/>
      <c r="L183"/>
    </row>
    <row r="184" spans="1:12" hidden="1">
      <c r="A184" s="16" t="s">
        <v>2554</v>
      </c>
      <c r="B184" s="16" t="s">
        <v>2555</v>
      </c>
      <c r="C184" s="17">
        <v>43200</v>
      </c>
      <c r="D184" s="12">
        <f>EOMONTH(C184,1)</f>
        <v>43251</v>
      </c>
      <c r="E184" s="707" t="s">
        <v>186</v>
      </c>
      <c r="F184" s="12" t="s">
        <v>1607</v>
      </c>
      <c r="G184" s="16" t="s">
        <v>2461</v>
      </c>
      <c r="H184" s="16" t="s">
        <v>1605</v>
      </c>
      <c r="I184" s="18">
        <v>3013.08</v>
      </c>
      <c r="K184"/>
      <c r="L184"/>
    </row>
    <row r="185" spans="1:12" hidden="1">
      <c r="A185" s="16" t="s">
        <v>327</v>
      </c>
      <c r="B185" s="16" t="s">
        <v>2556</v>
      </c>
      <c r="C185" s="17">
        <v>43201</v>
      </c>
      <c r="D185" s="12">
        <f>EOMONTH(C185,1)</f>
        <v>43251</v>
      </c>
      <c r="E185" s="707" t="s">
        <v>186</v>
      </c>
      <c r="F185" s="12" t="s">
        <v>1031</v>
      </c>
      <c r="G185" s="16" t="s">
        <v>2475</v>
      </c>
      <c r="H185" s="16" t="s">
        <v>1605</v>
      </c>
      <c r="I185" s="18">
        <v>5068.58</v>
      </c>
      <c r="K185"/>
      <c r="L185"/>
    </row>
    <row r="186" spans="1:12" hidden="1">
      <c r="A186" s="709" t="s">
        <v>327</v>
      </c>
      <c r="B186" s="709" t="s">
        <v>2557</v>
      </c>
      <c r="C186" s="710">
        <v>43201</v>
      </c>
      <c r="D186" s="711">
        <f t="shared" ref="D186:D194" si="12">EOMONTH(C186,1)</f>
        <v>43251</v>
      </c>
      <c r="E186" s="707" t="s">
        <v>781</v>
      </c>
      <c r="F186" s="711" t="s">
        <v>781</v>
      </c>
      <c r="G186" s="709" t="s">
        <v>750</v>
      </c>
      <c r="H186" s="709" t="s">
        <v>781</v>
      </c>
      <c r="I186" s="712">
        <v>7312</v>
      </c>
      <c r="K186"/>
      <c r="L186"/>
    </row>
    <row r="187" spans="1:12" hidden="1">
      <c r="A187" s="16" t="s">
        <v>2576</v>
      </c>
      <c r="B187" s="16" t="s">
        <v>2577</v>
      </c>
      <c r="C187" s="17">
        <v>43200</v>
      </c>
      <c r="D187" s="12">
        <f t="shared" si="12"/>
        <v>43251</v>
      </c>
      <c r="E187" s="707" t="s">
        <v>186</v>
      </c>
      <c r="F187" s="12" t="s">
        <v>1607</v>
      </c>
      <c r="G187" s="16" t="s">
        <v>942</v>
      </c>
      <c r="H187" s="16" t="s">
        <v>425</v>
      </c>
      <c r="I187" s="18">
        <v>546.48</v>
      </c>
      <c r="K187"/>
      <c r="L187"/>
    </row>
    <row r="188" spans="1:12" hidden="1">
      <c r="A188" s="16" t="s">
        <v>2576</v>
      </c>
      <c r="B188" s="16" t="s">
        <v>2578</v>
      </c>
      <c r="C188" s="17">
        <v>43200</v>
      </c>
      <c r="D188" s="12">
        <f t="shared" si="12"/>
        <v>43251</v>
      </c>
      <c r="E188" s="707" t="s">
        <v>186</v>
      </c>
      <c r="F188" s="707" t="s">
        <v>1607</v>
      </c>
      <c r="G188" s="16" t="s">
        <v>942</v>
      </c>
      <c r="H188" s="16" t="s">
        <v>425</v>
      </c>
      <c r="I188" s="18">
        <v>546.48</v>
      </c>
      <c r="K188"/>
      <c r="L188"/>
    </row>
    <row r="189" spans="1:12" hidden="1">
      <c r="A189" s="16" t="s">
        <v>327</v>
      </c>
      <c r="B189" s="16" t="s">
        <v>2579</v>
      </c>
      <c r="C189" s="17">
        <v>43206</v>
      </c>
      <c r="D189" s="12">
        <f t="shared" si="12"/>
        <v>43251</v>
      </c>
      <c r="E189" s="707" t="s">
        <v>186</v>
      </c>
      <c r="F189" s="12" t="s">
        <v>1031</v>
      </c>
      <c r="G189" s="16" t="s">
        <v>1182</v>
      </c>
      <c r="H189" s="16" t="s">
        <v>1605</v>
      </c>
      <c r="I189" s="18">
        <v>730.76</v>
      </c>
      <c r="K189"/>
      <c r="L189"/>
    </row>
    <row r="190" spans="1:12" hidden="1">
      <c r="A190" s="16" t="s">
        <v>2554</v>
      </c>
      <c r="B190" s="16" t="s">
        <v>2623</v>
      </c>
      <c r="C190" s="17">
        <v>43210</v>
      </c>
      <c r="D190" s="12">
        <f t="shared" si="12"/>
        <v>43251</v>
      </c>
      <c r="E190" s="707" t="s">
        <v>186</v>
      </c>
      <c r="F190" s="707" t="s">
        <v>1607</v>
      </c>
      <c r="G190" s="16" t="s">
        <v>2370</v>
      </c>
      <c r="H190" s="16" t="s">
        <v>1605</v>
      </c>
      <c r="I190" s="18">
        <v>2323.3000000000002</v>
      </c>
      <c r="K190"/>
      <c r="L190"/>
    </row>
    <row r="191" spans="1:12" hidden="1">
      <c r="A191" s="16" t="s">
        <v>2554</v>
      </c>
      <c r="B191" s="16" t="s">
        <v>2630</v>
      </c>
      <c r="C191" s="17">
        <v>43201</v>
      </c>
      <c r="D191" s="12">
        <f t="shared" si="12"/>
        <v>43251</v>
      </c>
      <c r="E191" s="707" t="s">
        <v>186</v>
      </c>
      <c r="F191" s="12" t="s">
        <v>1031</v>
      </c>
      <c r="G191" s="16" t="s">
        <v>2218</v>
      </c>
      <c r="H191" s="16" t="s">
        <v>1605</v>
      </c>
      <c r="I191" s="18">
        <v>6199.82</v>
      </c>
      <c r="K191"/>
      <c r="L191"/>
    </row>
    <row r="192" spans="1:12" s="10" customFormat="1" hidden="1">
      <c r="A192" s="770" t="s">
        <v>312</v>
      </c>
      <c r="B192" s="770" t="s">
        <v>2697</v>
      </c>
      <c r="C192" s="771">
        <v>43212</v>
      </c>
      <c r="D192" s="772">
        <f t="shared" si="12"/>
        <v>43251</v>
      </c>
      <c r="E192" s="773" t="s">
        <v>186</v>
      </c>
      <c r="F192" s="773" t="s">
        <v>1607</v>
      </c>
      <c r="G192" s="770" t="s">
        <v>2695</v>
      </c>
      <c r="H192" s="770" t="s">
        <v>1605</v>
      </c>
      <c r="I192" s="774">
        <v>682.92</v>
      </c>
      <c r="K192" s="7"/>
      <c r="L192" s="7"/>
    </row>
    <row r="193" spans="1:12" hidden="1">
      <c r="A193" s="16" t="s">
        <v>312</v>
      </c>
      <c r="B193" s="16" t="s">
        <v>2698</v>
      </c>
      <c r="C193" s="17">
        <v>43205</v>
      </c>
      <c r="D193" s="12">
        <f t="shared" si="12"/>
        <v>43251</v>
      </c>
      <c r="E193" s="707" t="s">
        <v>186</v>
      </c>
      <c r="F193" s="12" t="s">
        <v>2690</v>
      </c>
      <c r="G193" s="16" t="s">
        <v>2699</v>
      </c>
      <c r="H193" s="16" t="s">
        <v>1605</v>
      </c>
      <c r="I193" s="18">
        <v>3101.94</v>
      </c>
      <c r="K193"/>
      <c r="L193"/>
    </row>
    <row r="194" spans="1:12" hidden="1">
      <c r="A194" s="16" t="s">
        <v>1841</v>
      </c>
      <c r="B194" s="16" t="s">
        <v>840</v>
      </c>
      <c r="C194" s="17">
        <v>43220</v>
      </c>
      <c r="D194" s="12">
        <f t="shared" si="12"/>
        <v>43251</v>
      </c>
      <c r="E194" s="707" t="s">
        <v>186</v>
      </c>
      <c r="F194" s="12" t="s">
        <v>2690</v>
      </c>
      <c r="G194" s="16" t="s">
        <v>2701</v>
      </c>
      <c r="H194" s="16" t="s">
        <v>1605</v>
      </c>
      <c r="I194" s="18">
        <v>11722.05</v>
      </c>
      <c r="K194"/>
      <c r="L194"/>
    </row>
    <row r="195" spans="1:12" hidden="1">
      <c r="A195" s="16" t="s">
        <v>1841</v>
      </c>
      <c r="B195" s="16" t="s">
        <v>2702</v>
      </c>
      <c r="C195" s="17">
        <v>43220</v>
      </c>
      <c r="D195" s="12">
        <f t="shared" ref="D195:D214" si="13">EOMONTH(C195,1)</f>
        <v>43251</v>
      </c>
      <c r="E195" s="707" t="s">
        <v>186</v>
      </c>
      <c r="F195" s="12" t="s">
        <v>1031</v>
      </c>
      <c r="G195" s="16" t="s">
        <v>2314</v>
      </c>
      <c r="H195" s="16" t="s">
        <v>1605</v>
      </c>
      <c r="I195" s="18">
        <v>1431.08</v>
      </c>
      <c r="K195"/>
      <c r="L195"/>
    </row>
    <row r="196" spans="1:12" hidden="1">
      <c r="A196" s="16" t="s">
        <v>1841</v>
      </c>
      <c r="B196" s="16" t="s">
        <v>2703</v>
      </c>
      <c r="C196" s="17">
        <v>43220</v>
      </c>
      <c r="D196" s="12">
        <f t="shared" si="13"/>
        <v>43251</v>
      </c>
      <c r="E196" s="707" t="s">
        <v>186</v>
      </c>
      <c r="F196" s="12" t="s">
        <v>2690</v>
      </c>
      <c r="G196" s="16" t="s">
        <v>2699</v>
      </c>
      <c r="H196" s="16" t="s">
        <v>1605</v>
      </c>
      <c r="I196" s="18">
        <v>2249.6</v>
      </c>
      <c r="K196"/>
      <c r="L196"/>
    </row>
    <row r="197" spans="1:12" hidden="1">
      <c r="A197" s="16" t="s">
        <v>1841</v>
      </c>
      <c r="B197" s="16" t="s">
        <v>2704</v>
      </c>
      <c r="C197" s="17">
        <v>43220</v>
      </c>
      <c r="D197" s="12">
        <f t="shared" si="13"/>
        <v>43251</v>
      </c>
      <c r="E197" s="707" t="s">
        <v>186</v>
      </c>
      <c r="F197" s="12" t="s">
        <v>1031</v>
      </c>
      <c r="G197" s="16" t="s">
        <v>1795</v>
      </c>
      <c r="H197" s="16" t="s">
        <v>1605</v>
      </c>
      <c r="I197" s="18">
        <v>3269.94</v>
      </c>
      <c r="K197"/>
      <c r="L197"/>
    </row>
    <row r="198" spans="1:12" hidden="1">
      <c r="A198" s="16" t="s">
        <v>1841</v>
      </c>
      <c r="B198" s="16" t="s">
        <v>2705</v>
      </c>
      <c r="C198" s="17">
        <v>43220</v>
      </c>
      <c r="D198" s="12">
        <f t="shared" si="13"/>
        <v>43251</v>
      </c>
      <c r="E198" s="707" t="s">
        <v>186</v>
      </c>
      <c r="F198" s="707" t="s">
        <v>1607</v>
      </c>
      <c r="G198" s="16" t="s">
        <v>1083</v>
      </c>
      <c r="H198" s="16" t="s">
        <v>1605</v>
      </c>
      <c r="I198" s="18">
        <v>1680.64</v>
      </c>
      <c r="K198"/>
      <c r="L198"/>
    </row>
    <row r="199" spans="1:12" hidden="1">
      <c r="A199" s="16" t="s">
        <v>1841</v>
      </c>
      <c r="B199" s="16" t="s">
        <v>2706</v>
      </c>
      <c r="C199" s="17">
        <v>43220</v>
      </c>
      <c r="D199" s="12">
        <f t="shared" si="13"/>
        <v>43251</v>
      </c>
      <c r="E199" s="707" t="s">
        <v>186</v>
      </c>
      <c r="F199" s="12" t="s">
        <v>2690</v>
      </c>
      <c r="G199" s="16" t="s">
        <v>2701</v>
      </c>
      <c r="H199" s="16" t="s">
        <v>1605</v>
      </c>
      <c r="I199" s="18">
        <v>13429.89</v>
      </c>
      <c r="K199"/>
      <c r="L199"/>
    </row>
    <row r="200" spans="1:12" hidden="1">
      <c r="A200" s="16" t="s">
        <v>1841</v>
      </c>
      <c r="B200" s="16" t="s">
        <v>2707</v>
      </c>
      <c r="C200" s="17">
        <v>43220</v>
      </c>
      <c r="D200" s="12">
        <f t="shared" si="13"/>
        <v>43251</v>
      </c>
      <c r="E200" s="707" t="s">
        <v>186</v>
      </c>
      <c r="F200" s="12" t="s">
        <v>1031</v>
      </c>
      <c r="G200" s="16" t="s">
        <v>2314</v>
      </c>
      <c r="H200" s="16" t="s">
        <v>1605</v>
      </c>
      <c r="I200" s="18">
        <v>9684.9</v>
      </c>
      <c r="K200"/>
      <c r="L200"/>
    </row>
    <row r="201" spans="1:12" hidden="1">
      <c r="A201" s="16" t="s">
        <v>1841</v>
      </c>
      <c r="B201" s="16" t="s">
        <v>2708</v>
      </c>
      <c r="C201" s="17">
        <v>43220</v>
      </c>
      <c r="D201" s="12">
        <f t="shared" si="13"/>
        <v>43251</v>
      </c>
      <c r="E201" s="707" t="s">
        <v>186</v>
      </c>
      <c r="F201" s="12" t="s">
        <v>1031</v>
      </c>
      <c r="G201" s="16" t="s">
        <v>2186</v>
      </c>
      <c r="H201" s="16" t="s">
        <v>1605</v>
      </c>
      <c r="I201" s="18">
        <v>7231.46</v>
      </c>
      <c r="K201"/>
      <c r="L201"/>
    </row>
    <row r="202" spans="1:12" hidden="1">
      <c r="A202" s="16" t="s">
        <v>1841</v>
      </c>
      <c r="B202" s="16" t="s">
        <v>2709</v>
      </c>
      <c r="C202" s="17">
        <v>43220</v>
      </c>
      <c r="D202" s="12">
        <f t="shared" si="13"/>
        <v>43251</v>
      </c>
      <c r="E202" s="707" t="s">
        <v>186</v>
      </c>
      <c r="F202" s="12" t="s">
        <v>2690</v>
      </c>
      <c r="G202" s="16" t="s">
        <v>2699</v>
      </c>
      <c r="H202" s="16" t="s">
        <v>1605</v>
      </c>
      <c r="I202" s="18">
        <v>7347.64</v>
      </c>
      <c r="K202"/>
      <c r="L202"/>
    </row>
    <row r="203" spans="1:12" hidden="1">
      <c r="A203" s="16" t="s">
        <v>1841</v>
      </c>
      <c r="B203" s="16" t="s">
        <v>2710</v>
      </c>
      <c r="C203" s="17">
        <v>43220</v>
      </c>
      <c r="D203" s="12">
        <f t="shared" si="13"/>
        <v>43251</v>
      </c>
      <c r="E203" s="707" t="s">
        <v>186</v>
      </c>
      <c r="F203" s="12" t="s">
        <v>1031</v>
      </c>
      <c r="G203" s="16" t="s">
        <v>2394</v>
      </c>
      <c r="H203" s="16" t="s">
        <v>1605</v>
      </c>
      <c r="I203" s="18">
        <v>7894.5</v>
      </c>
      <c r="K203"/>
      <c r="L203"/>
    </row>
    <row r="204" spans="1:12" hidden="1">
      <c r="A204" s="16" t="s">
        <v>1841</v>
      </c>
      <c r="B204" s="16" t="s">
        <v>2711</v>
      </c>
      <c r="C204" s="17">
        <v>43220</v>
      </c>
      <c r="D204" s="12">
        <f t="shared" si="13"/>
        <v>43251</v>
      </c>
      <c r="E204" s="707" t="s">
        <v>186</v>
      </c>
      <c r="F204" s="12" t="s">
        <v>1031</v>
      </c>
      <c r="G204" s="16" t="s">
        <v>1226</v>
      </c>
      <c r="H204" s="16" t="s">
        <v>1605</v>
      </c>
      <c r="I204" s="18">
        <v>9603.8700000000008</v>
      </c>
      <c r="K204"/>
      <c r="L204"/>
    </row>
    <row r="205" spans="1:12" hidden="1">
      <c r="A205" s="16" t="s">
        <v>1841</v>
      </c>
      <c r="B205" s="16" t="s">
        <v>2712</v>
      </c>
      <c r="C205" s="17">
        <v>43220</v>
      </c>
      <c r="D205" s="12">
        <f t="shared" si="13"/>
        <v>43251</v>
      </c>
      <c r="E205" s="707" t="s">
        <v>186</v>
      </c>
      <c r="F205" s="12" t="s">
        <v>1031</v>
      </c>
      <c r="G205" s="16" t="s">
        <v>2275</v>
      </c>
      <c r="H205" s="16" t="s">
        <v>1605</v>
      </c>
      <c r="I205" s="18">
        <v>6574.86</v>
      </c>
      <c r="K205"/>
      <c r="L205"/>
    </row>
    <row r="206" spans="1:12" hidden="1">
      <c r="A206" s="16" t="s">
        <v>1841</v>
      </c>
      <c r="B206" s="16" t="s">
        <v>2713</v>
      </c>
      <c r="C206" s="17">
        <v>43220</v>
      </c>
      <c r="D206" s="12">
        <f t="shared" si="13"/>
        <v>43251</v>
      </c>
      <c r="E206" s="707" t="s">
        <v>186</v>
      </c>
      <c r="F206" s="12" t="s">
        <v>1031</v>
      </c>
      <c r="G206" s="16" t="s">
        <v>2349</v>
      </c>
      <c r="H206" s="16" t="s">
        <v>1605</v>
      </c>
      <c r="I206" s="18">
        <v>2156.54</v>
      </c>
      <c r="K206"/>
      <c r="L206"/>
    </row>
    <row r="207" spans="1:12" hidden="1">
      <c r="A207" s="16" t="s">
        <v>2554</v>
      </c>
      <c r="B207" s="16" t="s">
        <v>2727</v>
      </c>
      <c r="C207" s="17">
        <v>43220</v>
      </c>
      <c r="D207" s="12">
        <f t="shared" si="13"/>
        <v>43251</v>
      </c>
      <c r="E207" s="707" t="s">
        <v>186</v>
      </c>
      <c r="F207" s="12" t="s">
        <v>1607</v>
      </c>
      <c r="G207" s="16" t="s">
        <v>2462</v>
      </c>
      <c r="H207" s="16" t="s">
        <v>1605</v>
      </c>
      <c r="I207" s="18">
        <v>3773.27</v>
      </c>
      <c r="K207"/>
      <c r="L207"/>
    </row>
    <row r="208" spans="1:12" hidden="1">
      <c r="A208" s="16" t="s">
        <v>1640</v>
      </c>
      <c r="B208" s="16" t="s">
        <v>2738</v>
      </c>
      <c r="C208" s="17">
        <v>43216</v>
      </c>
      <c r="D208" s="12">
        <f t="shared" si="13"/>
        <v>43251</v>
      </c>
      <c r="E208" s="707" t="s">
        <v>186</v>
      </c>
      <c r="F208" s="12" t="s">
        <v>1031</v>
      </c>
      <c r="G208" s="16" t="s">
        <v>2314</v>
      </c>
      <c r="H208" s="16" t="s">
        <v>1605</v>
      </c>
      <c r="I208" s="18">
        <v>2533.19</v>
      </c>
      <c r="K208"/>
      <c r="L208"/>
    </row>
    <row r="209" spans="1:12" hidden="1">
      <c r="A209" s="16" t="s">
        <v>1640</v>
      </c>
      <c r="B209" s="16" t="s">
        <v>2738</v>
      </c>
      <c r="C209" s="17">
        <v>43216</v>
      </c>
      <c r="D209" s="12">
        <f t="shared" si="13"/>
        <v>43251</v>
      </c>
      <c r="E209" s="707" t="s">
        <v>186</v>
      </c>
      <c r="F209" s="12" t="s">
        <v>1031</v>
      </c>
      <c r="G209" s="16" t="s">
        <v>2253</v>
      </c>
      <c r="H209" s="16" t="s">
        <v>1605</v>
      </c>
      <c r="I209" s="18">
        <v>613.94000000000005</v>
      </c>
      <c r="K209"/>
      <c r="L209"/>
    </row>
    <row r="210" spans="1:12" hidden="1">
      <c r="A210" s="16" t="s">
        <v>1640</v>
      </c>
      <c r="B210" s="16" t="s">
        <v>2738</v>
      </c>
      <c r="C210" s="17">
        <v>43216</v>
      </c>
      <c r="D210" s="12">
        <f t="shared" si="13"/>
        <v>43251</v>
      </c>
      <c r="E210" s="707" t="s">
        <v>186</v>
      </c>
      <c r="F210" s="12" t="s">
        <v>1031</v>
      </c>
      <c r="G210" s="16" t="s">
        <v>2392</v>
      </c>
      <c r="H210" s="16" t="s">
        <v>1605</v>
      </c>
      <c r="I210" s="18">
        <v>4066.58</v>
      </c>
      <c r="K210"/>
      <c r="L210"/>
    </row>
    <row r="211" spans="1:12" hidden="1">
      <c r="A211" s="16" t="s">
        <v>1640</v>
      </c>
      <c r="B211" s="16" t="s">
        <v>2738</v>
      </c>
      <c r="C211" s="17">
        <v>43216</v>
      </c>
      <c r="D211" s="12">
        <f t="shared" si="13"/>
        <v>43251</v>
      </c>
      <c r="E211" s="707" t="s">
        <v>186</v>
      </c>
      <c r="F211" s="12" t="s">
        <v>1607</v>
      </c>
      <c r="G211" s="16" t="s">
        <v>2165</v>
      </c>
      <c r="H211" s="16" t="s">
        <v>1605</v>
      </c>
      <c r="I211" s="18">
        <v>2785.85</v>
      </c>
      <c r="K211"/>
      <c r="L211"/>
    </row>
    <row r="212" spans="1:12" hidden="1">
      <c r="A212" s="16" t="s">
        <v>2271</v>
      </c>
      <c r="B212" s="16" t="s">
        <v>2754</v>
      </c>
      <c r="C212" s="17">
        <v>43223</v>
      </c>
      <c r="D212" s="12">
        <f t="shared" si="13"/>
        <v>43281</v>
      </c>
      <c r="E212" s="707" t="s">
        <v>186</v>
      </c>
      <c r="F212" s="12" t="s">
        <v>1607</v>
      </c>
      <c r="G212" s="16" t="s">
        <v>1854</v>
      </c>
      <c r="H212" s="16" t="s">
        <v>1605</v>
      </c>
      <c r="I212" s="18">
        <v>9927.23</v>
      </c>
      <c r="K212"/>
      <c r="L212"/>
    </row>
    <row r="213" spans="1:12" hidden="1">
      <c r="A213" s="16" t="s">
        <v>2271</v>
      </c>
      <c r="B213" s="16" t="s">
        <v>2755</v>
      </c>
      <c r="C213" s="17">
        <v>43223</v>
      </c>
      <c r="D213" s="12">
        <f t="shared" si="13"/>
        <v>43281</v>
      </c>
      <c r="E213" s="707" t="s">
        <v>186</v>
      </c>
      <c r="F213" s="12" t="s">
        <v>1031</v>
      </c>
      <c r="G213" s="16" t="s">
        <v>1785</v>
      </c>
      <c r="H213" s="16" t="s">
        <v>1605</v>
      </c>
      <c r="I213" s="18">
        <v>1294.92</v>
      </c>
      <c r="K213"/>
      <c r="L213"/>
    </row>
    <row r="214" spans="1:12" hidden="1">
      <c r="A214" s="16" t="s">
        <v>2271</v>
      </c>
      <c r="B214" s="16" t="s">
        <v>2756</v>
      </c>
      <c r="C214" s="17">
        <v>43223</v>
      </c>
      <c r="D214" s="12">
        <f t="shared" si="13"/>
        <v>43281</v>
      </c>
      <c r="E214" s="707" t="s">
        <v>186</v>
      </c>
      <c r="F214" s="12" t="s">
        <v>1031</v>
      </c>
      <c r="G214" s="16" t="s">
        <v>2752</v>
      </c>
      <c r="H214" s="16" t="s">
        <v>1605</v>
      </c>
      <c r="I214" s="18">
        <v>703.2</v>
      </c>
      <c r="K214"/>
      <c r="L214"/>
    </row>
    <row r="215" spans="1:12">
      <c r="A215" s="16" t="s">
        <v>2786</v>
      </c>
      <c r="B215" s="16" t="s">
        <v>2787</v>
      </c>
      <c r="C215" s="17">
        <v>43232</v>
      </c>
      <c r="D215" s="12">
        <f>C215+14</f>
        <v>43246</v>
      </c>
      <c r="E215" s="707" t="s">
        <v>186</v>
      </c>
      <c r="F215" s="12" t="s">
        <v>2789</v>
      </c>
      <c r="G215" s="16" t="s">
        <v>2788</v>
      </c>
      <c r="H215" s="16" t="s">
        <v>2789</v>
      </c>
      <c r="I215" s="18">
        <v>9760</v>
      </c>
      <c r="K215"/>
      <c r="L215"/>
    </row>
    <row r="216" spans="1:12">
      <c r="A216" s="16" t="s">
        <v>2786</v>
      </c>
      <c r="B216" s="16" t="s">
        <v>2790</v>
      </c>
      <c r="C216" s="17">
        <v>43219</v>
      </c>
      <c r="D216" s="12">
        <f>C216+14</f>
        <v>43233</v>
      </c>
      <c r="E216" s="707" t="s">
        <v>186</v>
      </c>
      <c r="F216" s="12" t="s">
        <v>2789</v>
      </c>
      <c r="G216" s="16" t="s">
        <v>2791</v>
      </c>
      <c r="H216" s="16" t="s">
        <v>2789</v>
      </c>
      <c r="I216" s="18">
        <v>3000</v>
      </c>
      <c r="K216"/>
      <c r="L216"/>
    </row>
    <row r="217" spans="1:12" hidden="1">
      <c r="A217" s="16" t="s">
        <v>728</v>
      </c>
      <c r="B217" s="16" t="s">
        <v>2802</v>
      </c>
      <c r="C217" s="17">
        <v>43235</v>
      </c>
      <c r="D217" s="12">
        <f t="shared" ref="D217:D224" si="14">EOMONTH(C217,1)</f>
        <v>43281</v>
      </c>
      <c r="E217" s="707" t="s">
        <v>186</v>
      </c>
      <c r="F217" s="12" t="s">
        <v>1607</v>
      </c>
      <c r="G217" s="16" t="s">
        <v>2562</v>
      </c>
      <c r="H217" s="16" t="s">
        <v>1605</v>
      </c>
      <c r="I217" s="18">
        <v>12047.7</v>
      </c>
      <c r="K217"/>
      <c r="L217"/>
    </row>
    <row r="218" spans="1:12" hidden="1">
      <c r="A218" s="16" t="s">
        <v>728</v>
      </c>
      <c r="B218" s="16" t="s">
        <v>2803</v>
      </c>
      <c r="C218" s="17">
        <v>43235</v>
      </c>
      <c r="D218" s="12">
        <f t="shared" si="14"/>
        <v>43281</v>
      </c>
      <c r="E218" s="707" t="s">
        <v>186</v>
      </c>
      <c r="F218" s="12" t="s">
        <v>1607</v>
      </c>
      <c r="G218" s="16" t="s">
        <v>2562</v>
      </c>
      <c r="H218" s="16" t="s">
        <v>1605</v>
      </c>
      <c r="I218" s="18">
        <v>1298.75</v>
      </c>
      <c r="K218"/>
      <c r="L218"/>
    </row>
    <row r="219" spans="1:12" hidden="1">
      <c r="A219" s="16" t="s">
        <v>312</v>
      </c>
      <c r="B219" s="16" t="s">
        <v>2804</v>
      </c>
      <c r="C219" s="17">
        <v>43233</v>
      </c>
      <c r="D219" s="12">
        <f t="shared" si="14"/>
        <v>43281</v>
      </c>
      <c r="E219" s="707" t="s">
        <v>186</v>
      </c>
      <c r="F219" s="12" t="s">
        <v>2690</v>
      </c>
      <c r="G219" s="16" t="s">
        <v>2805</v>
      </c>
      <c r="H219" s="16" t="s">
        <v>1605</v>
      </c>
      <c r="I219" s="18">
        <v>1954.03</v>
      </c>
      <c r="K219"/>
      <c r="L219"/>
    </row>
    <row r="220" spans="1:12">
      <c r="A220" s="16" t="s">
        <v>2786</v>
      </c>
      <c r="B220" s="16" t="s">
        <v>2819</v>
      </c>
      <c r="C220" s="17">
        <v>43238</v>
      </c>
      <c r="D220" s="12">
        <f>C220+14</f>
        <v>43252</v>
      </c>
      <c r="E220" s="707" t="s">
        <v>186</v>
      </c>
      <c r="F220" s="12" t="s">
        <v>2789</v>
      </c>
      <c r="G220" s="16" t="s">
        <v>2820</v>
      </c>
      <c r="H220" s="16" t="s">
        <v>2789</v>
      </c>
      <c r="I220" s="18">
        <v>11080</v>
      </c>
      <c r="K220"/>
      <c r="L220"/>
    </row>
    <row r="221" spans="1:12" hidden="1">
      <c r="A221" s="16" t="s">
        <v>2554</v>
      </c>
      <c r="B221" s="16" t="s">
        <v>2856</v>
      </c>
      <c r="C221" s="17">
        <v>43243</v>
      </c>
      <c r="D221" s="12">
        <f t="shared" si="14"/>
        <v>43281</v>
      </c>
      <c r="E221" s="12" t="s">
        <v>186</v>
      </c>
      <c r="F221" s="12" t="s">
        <v>1607</v>
      </c>
      <c r="G221" s="16" t="s">
        <v>2371</v>
      </c>
      <c r="H221" s="16" t="s">
        <v>1605</v>
      </c>
      <c r="I221" s="18">
        <v>5405.07</v>
      </c>
      <c r="K221"/>
      <c r="L221"/>
    </row>
    <row r="222" spans="1:12">
      <c r="A222" s="16" t="s">
        <v>2786</v>
      </c>
      <c r="B222" s="16" t="s">
        <v>2911</v>
      </c>
      <c r="C222" s="17">
        <v>43244</v>
      </c>
      <c r="D222" s="12">
        <f>C222+14</f>
        <v>43258</v>
      </c>
      <c r="E222" s="12" t="s">
        <v>186</v>
      </c>
      <c r="F222" s="12" t="s">
        <v>2789</v>
      </c>
      <c r="G222" s="16" t="s">
        <v>2912</v>
      </c>
      <c r="H222" s="16" t="s">
        <v>2789</v>
      </c>
      <c r="I222" s="18">
        <v>15304</v>
      </c>
      <c r="K222"/>
      <c r="L222"/>
    </row>
    <row r="223" spans="1:12" hidden="1">
      <c r="A223" s="16" t="s">
        <v>2554</v>
      </c>
      <c r="B223" s="16" t="s">
        <v>2913</v>
      </c>
      <c r="C223" s="17">
        <v>43243</v>
      </c>
      <c r="D223" s="12">
        <f t="shared" si="14"/>
        <v>43281</v>
      </c>
      <c r="E223" s="12" t="s">
        <v>186</v>
      </c>
      <c r="F223" s="12" t="s">
        <v>1607</v>
      </c>
      <c r="G223" s="16" t="s">
        <v>2527</v>
      </c>
      <c r="H223" s="16" t="s">
        <v>1605</v>
      </c>
      <c r="I223" s="18">
        <v>8266.83</v>
      </c>
      <c r="K223"/>
      <c r="L223"/>
    </row>
    <row r="224" spans="1:12" hidden="1">
      <c r="A224" s="16" t="s">
        <v>2925</v>
      </c>
      <c r="B224" s="16" t="s">
        <v>2926</v>
      </c>
      <c r="C224" s="17">
        <v>43241</v>
      </c>
      <c r="D224" s="12">
        <f t="shared" si="14"/>
        <v>43281</v>
      </c>
      <c r="E224" s="12" t="s">
        <v>186</v>
      </c>
      <c r="F224" s="12" t="s">
        <v>1031</v>
      </c>
      <c r="G224" s="16" t="s">
        <v>2793</v>
      </c>
      <c r="H224" s="16" t="s">
        <v>1605</v>
      </c>
      <c r="I224" s="18">
        <v>4548.67</v>
      </c>
      <c r="K224"/>
      <c r="L224"/>
    </row>
    <row r="225" spans="1:12" hidden="1">
      <c r="A225" s="16" t="s">
        <v>2925</v>
      </c>
      <c r="B225" s="16" t="s">
        <v>2927</v>
      </c>
      <c r="C225" s="17">
        <v>43241</v>
      </c>
      <c r="D225" s="12">
        <f t="shared" ref="D225:D227" si="15">EOMONTH(C225,1)</f>
        <v>43281</v>
      </c>
      <c r="E225" s="12" t="s">
        <v>186</v>
      </c>
      <c r="F225" s="12" t="s">
        <v>1607</v>
      </c>
      <c r="G225" s="16" t="s">
        <v>2739</v>
      </c>
      <c r="H225" s="16" t="s">
        <v>1605</v>
      </c>
      <c r="I225" s="18">
        <v>1960</v>
      </c>
      <c r="K225"/>
      <c r="L225"/>
    </row>
    <row r="226" spans="1:12" hidden="1">
      <c r="A226" s="16" t="s">
        <v>2928</v>
      </c>
      <c r="B226" s="16" t="s">
        <v>2929</v>
      </c>
      <c r="C226" s="17">
        <v>43248</v>
      </c>
      <c r="D226" s="12">
        <f t="shared" si="15"/>
        <v>43281</v>
      </c>
      <c r="E226" s="12" t="s">
        <v>186</v>
      </c>
      <c r="F226" s="12" t="s">
        <v>1031</v>
      </c>
      <c r="G226" s="16" t="s">
        <v>2930</v>
      </c>
      <c r="H226" s="16" t="s">
        <v>1605</v>
      </c>
      <c r="I226" s="18">
        <v>1720</v>
      </c>
      <c r="K226"/>
      <c r="L226"/>
    </row>
    <row r="227" spans="1:12" hidden="1">
      <c r="A227" s="16" t="s">
        <v>1841</v>
      </c>
      <c r="B227" s="16" t="s">
        <v>2942</v>
      </c>
      <c r="C227" s="17">
        <v>43250</v>
      </c>
      <c r="D227" s="12">
        <f t="shared" si="15"/>
        <v>43281</v>
      </c>
      <c r="E227" s="12" t="s">
        <v>186</v>
      </c>
      <c r="F227" s="12" t="s">
        <v>1031</v>
      </c>
      <c r="G227" s="16" t="s">
        <v>2817</v>
      </c>
      <c r="H227" s="16" t="s">
        <v>1605</v>
      </c>
      <c r="I227" s="18">
        <v>1704.24</v>
      </c>
      <c r="K227"/>
      <c r="L227"/>
    </row>
    <row r="228" spans="1:12" hidden="1">
      <c r="A228" s="16" t="s">
        <v>1841</v>
      </c>
      <c r="B228" s="16" t="s">
        <v>2943</v>
      </c>
      <c r="C228" s="17">
        <v>43250</v>
      </c>
      <c r="D228" s="12">
        <f t="shared" ref="D228" si="16">EOMONTH(C228,1)</f>
        <v>43281</v>
      </c>
      <c r="E228" s="12" t="s">
        <v>186</v>
      </c>
      <c r="F228" s="12" t="s">
        <v>1031</v>
      </c>
      <c r="G228" s="16" t="s">
        <v>2793</v>
      </c>
      <c r="H228" s="16" t="s">
        <v>1605</v>
      </c>
      <c r="I228" s="18">
        <v>4902.82</v>
      </c>
      <c r="K228"/>
      <c r="L228"/>
    </row>
    <row r="229" spans="1:12" hidden="1">
      <c r="A229" s="16" t="s">
        <v>1841</v>
      </c>
      <c r="B229" s="16" t="s">
        <v>2944</v>
      </c>
      <c r="C229" s="17">
        <v>43250</v>
      </c>
      <c r="D229" s="12">
        <f t="shared" ref="D229:D241" si="17">EOMONTH(C229,1)</f>
        <v>43281</v>
      </c>
      <c r="E229" s="12" t="s">
        <v>186</v>
      </c>
      <c r="F229" s="12" t="s">
        <v>1031</v>
      </c>
      <c r="G229" s="16" t="s">
        <v>2508</v>
      </c>
      <c r="H229" s="16" t="s">
        <v>1605</v>
      </c>
      <c r="I229" s="18">
        <v>4761.7299999999996</v>
      </c>
      <c r="K229"/>
      <c r="L229"/>
    </row>
    <row r="230" spans="1:12" hidden="1">
      <c r="A230" s="16" t="s">
        <v>1841</v>
      </c>
      <c r="B230" s="16" t="s">
        <v>2945</v>
      </c>
      <c r="C230" s="17">
        <v>43250</v>
      </c>
      <c r="D230" s="12">
        <f t="shared" si="17"/>
        <v>43281</v>
      </c>
      <c r="E230" s="12" t="s">
        <v>186</v>
      </c>
      <c r="F230" s="12" t="s">
        <v>1031</v>
      </c>
      <c r="G230" s="16" t="s">
        <v>2740</v>
      </c>
      <c r="H230" s="16" t="s">
        <v>1605</v>
      </c>
      <c r="I230" s="18">
        <v>4761.2</v>
      </c>
      <c r="K230"/>
      <c r="L230"/>
    </row>
    <row r="231" spans="1:12" hidden="1">
      <c r="A231" s="16" t="s">
        <v>1841</v>
      </c>
      <c r="B231" s="16" t="s">
        <v>2946</v>
      </c>
      <c r="C231" s="17">
        <v>43250</v>
      </c>
      <c r="D231" s="12">
        <f t="shared" si="17"/>
        <v>43281</v>
      </c>
      <c r="E231" s="12" t="s">
        <v>186</v>
      </c>
      <c r="F231" s="12" t="s">
        <v>1031</v>
      </c>
      <c r="G231" s="16" t="s">
        <v>2313</v>
      </c>
      <c r="H231" s="16" t="s">
        <v>1605</v>
      </c>
      <c r="I231" s="18">
        <v>2111.52</v>
      </c>
      <c r="K231"/>
      <c r="L231"/>
    </row>
    <row r="232" spans="1:12" hidden="1">
      <c r="A232" s="16" t="s">
        <v>1841</v>
      </c>
      <c r="B232" s="16" t="s">
        <v>2947</v>
      </c>
      <c r="C232" s="17">
        <v>43250</v>
      </c>
      <c r="D232" s="12">
        <f t="shared" si="17"/>
        <v>43281</v>
      </c>
      <c r="E232" s="12" t="s">
        <v>186</v>
      </c>
      <c r="F232" s="12" t="s">
        <v>1031</v>
      </c>
      <c r="G232" s="16" t="s">
        <v>2793</v>
      </c>
      <c r="H232" s="16" t="s">
        <v>1605</v>
      </c>
      <c r="I232" s="18">
        <v>1875.06</v>
      </c>
      <c r="K232"/>
      <c r="L232"/>
    </row>
    <row r="233" spans="1:12" hidden="1">
      <c r="A233" s="16" t="s">
        <v>1841</v>
      </c>
      <c r="B233" s="16" t="s">
        <v>2948</v>
      </c>
      <c r="C233" s="17">
        <v>43250</v>
      </c>
      <c r="D233" s="12">
        <f t="shared" si="17"/>
        <v>43281</v>
      </c>
      <c r="E233" s="12" t="s">
        <v>186</v>
      </c>
      <c r="F233" s="12" t="s">
        <v>1031</v>
      </c>
      <c r="G233" s="16" t="s">
        <v>2733</v>
      </c>
      <c r="H233" s="16" t="s">
        <v>1605</v>
      </c>
      <c r="I233" s="18">
        <v>6152.49</v>
      </c>
      <c r="K233"/>
      <c r="L233"/>
    </row>
    <row r="234" spans="1:12" hidden="1">
      <c r="A234" s="16" t="s">
        <v>1841</v>
      </c>
      <c r="B234" s="16" t="s">
        <v>2949</v>
      </c>
      <c r="C234" s="17">
        <v>43250</v>
      </c>
      <c r="D234" s="12">
        <f t="shared" si="17"/>
        <v>43281</v>
      </c>
      <c r="E234" s="12" t="s">
        <v>186</v>
      </c>
      <c r="F234" s="12" t="s">
        <v>1031</v>
      </c>
      <c r="G234" s="16" t="s">
        <v>2504</v>
      </c>
      <c r="H234" s="16" t="s">
        <v>1605</v>
      </c>
      <c r="I234" s="18">
        <v>5968.17</v>
      </c>
      <c r="K234"/>
      <c r="L234"/>
    </row>
    <row r="235" spans="1:12" hidden="1">
      <c r="A235" s="16" t="s">
        <v>1841</v>
      </c>
      <c r="B235" s="16" t="s">
        <v>2950</v>
      </c>
      <c r="C235" s="17">
        <v>43250</v>
      </c>
      <c r="D235" s="12">
        <f t="shared" si="17"/>
        <v>43281</v>
      </c>
      <c r="E235" s="12" t="s">
        <v>186</v>
      </c>
      <c r="F235" s="12" t="s">
        <v>1031</v>
      </c>
      <c r="G235" s="16" t="s">
        <v>2816</v>
      </c>
      <c r="H235" s="16" t="s">
        <v>1605</v>
      </c>
      <c r="I235" s="18">
        <v>3925.55</v>
      </c>
      <c r="K235"/>
      <c r="L235"/>
    </row>
    <row r="236" spans="1:12" hidden="1">
      <c r="A236" s="16" t="s">
        <v>1841</v>
      </c>
      <c r="B236" s="16" t="s">
        <v>2951</v>
      </c>
      <c r="C236" s="17">
        <v>43250</v>
      </c>
      <c r="D236" s="12">
        <f t="shared" si="17"/>
        <v>43281</v>
      </c>
      <c r="E236" s="12" t="s">
        <v>186</v>
      </c>
      <c r="F236" s="12" t="s">
        <v>1031</v>
      </c>
      <c r="G236" s="16" t="s">
        <v>2665</v>
      </c>
      <c r="H236" s="16" t="s">
        <v>1605</v>
      </c>
      <c r="I236" s="18">
        <v>4066.44</v>
      </c>
      <c r="K236"/>
      <c r="L236"/>
    </row>
    <row r="237" spans="1:12" hidden="1">
      <c r="A237" s="16" t="s">
        <v>1841</v>
      </c>
      <c r="B237" s="16" t="s">
        <v>2952</v>
      </c>
      <c r="C237" s="17">
        <v>43250</v>
      </c>
      <c r="D237" s="12">
        <f t="shared" si="17"/>
        <v>43281</v>
      </c>
      <c r="E237" s="12" t="s">
        <v>186</v>
      </c>
      <c r="F237" s="12" t="s">
        <v>1031</v>
      </c>
      <c r="G237" s="16" t="s">
        <v>2501</v>
      </c>
      <c r="H237" s="16" t="s">
        <v>1605</v>
      </c>
      <c r="I237" s="18">
        <v>6326.5</v>
      </c>
      <c r="K237"/>
      <c r="L237"/>
    </row>
    <row r="238" spans="1:12" hidden="1">
      <c r="A238" s="16" t="s">
        <v>1841</v>
      </c>
      <c r="B238" s="16" t="s">
        <v>2953</v>
      </c>
      <c r="C238" s="17">
        <v>43250</v>
      </c>
      <c r="D238" s="12">
        <f t="shared" si="17"/>
        <v>43281</v>
      </c>
      <c r="E238" s="12" t="s">
        <v>186</v>
      </c>
      <c r="F238" s="12" t="s">
        <v>1031</v>
      </c>
      <c r="G238" s="16" t="s">
        <v>2394</v>
      </c>
      <c r="H238" s="16" t="s">
        <v>1605</v>
      </c>
      <c r="I238" s="18">
        <v>1583.41</v>
      </c>
      <c r="K238"/>
      <c r="L238"/>
    </row>
    <row r="239" spans="1:12" hidden="1">
      <c r="A239" s="16" t="s">
        <v>1841</v>
      </c>
      <c r="B239" s="16" t="s">
        <v>2954</v>
      </c>
      <c r="C239" s="17">
        <v>43250</v>
      </c>
      <c r="D239" s="12">
        <f t="shared" si="17"/>
        <v>43281</v>
      </c>
      <c r="E239" s="12" t="s">
        <v>186</v>
      </c>
      <c r="F239" s="12" t="s">
        <v>1607</v>
      </c>
      <c r="G239" s="16" t="s">
        <v>2920</v>
      </c>
      <c r="H239" s="16" t="s">
        <v>1605</v>
      </c>
      <c r="I239" s="18">
        <v>1826.69</v>
      </c>
      <c r="K239"/>
      <c r="L239"/>
    </row>
    <row r="240" spans="1:12" hidden="1">
      <c r="A240" s="16" t="s">
        <v>1841</v>
      </c>
      <c r="B240" s="16" t="s">
        <v>2955</v>
      </c>
      <c r="C240" s="17">
        <v>43250</v>
      </c>
      <c r="D240" s="12">
        <f t="shared" si="17"/>
        <v>43281</v>
      </c>
      <c r="E240" s="12" t="s">
        <v>186</v>
      </c>
      <c r="F240" s="12" t="s">
        <v>1031</v>
      </c>
      <c r="G240" s="16" t="s">
        <v>2816</v>
      </c>
      <c r="H240" s="16" t="s">
        <v>1605</v>
      </c>
      <c r="I240" s="18">
        <v>726.33</v>
      </c>
      <c r="K240"/>
      <c r="L240"/>
    </row>
    <row r="241" spans="1:12" hidden="1">
      <c r="A241" s="16" t="s">
        <v>2961</v>
      </c>
      <c r="B241" s="16" t="s">
        <v>2962</v>
      </c>
      <c r="C241" s="17">
        <v>43245</v>
      </c>
      <c r="D241" s="12">
        <f t="shared" si="17"/>
        <v>43281</v>
      </c>
      <c r="E241" s="12" t="s">
        <v>186</v>
      </c>
      <c r="F241" s="12" t="s">
        <v>1607</v>
      </c>
      <c r="G241" s="16" t="s">
        <v>1147</v>
      </c>
      <c r="H241" s="16" t="s">
        <v>1605</v>
      </c>
      <c r="I241" s="18">
        <v>300</v>
      </c>
      <c r="K241"/>
      <c r="L241"/>
    </row>
    <row r="242" spans="1:12" hidden="1">
      <c r="A242" s="16" t="s">
        <v>2961</v>
      </c>
      <c r="B242" s="16" t="s">
        <v>2962</v>
      </c>
      <c r="C242" s="17">
        <v>43245</v>
      </c>
      <c r="D242" s="12">
        <f t="shared" ref="D242:D243" si="18">EOMONTH(C242,1)</f>
        <v>43281</v>
      </c>
      <c r="E242" s="12" t="s">
        <v>186</v>
      </c>
      <c r="F242" s="12" t="s">
        <v>425</v>
      </c>
      <c r="G242" s="16" t="s">
        <v>2311</v>
      </c>
      <c r="H242" s="16" t="s">
        <v>425</v>
      </c>
      <c r="I242" s="18">
        <v>600</v>
      </c>
      <c r="K242"/>
      <c r="L242"/>
    </row>
    <row r="243" spans="1:12" hidden="1">
      <c r="A243" s="16" t="s">
        <v>1841</v>
      </c>
      <c r="B243" s="16" t="s">
        <v>2964</v>
      </c>
      <c r="C243" s="17">
        <v>43251</v>
      </c>
      <c r="D243" s="12">
        <f t="shared" si="18"/>
        <v>43281</v>
      </c>
      <c r="E243" s="707" t="s">
        <v>186</v>
      </c>
      <c r="F243" s="12" t="s">
        <v>2690</v>
      </c>
      <c r="G243" s="16" t="s">
        <v>2805</v>
      </c>
      <c r="H243" s="16" t="s">
        <v>1605</v>
      </c>
      <c r="I243" s="18">
        <v>7982.82</v>
      </c>
      <c r="K243"/>
      <c r="L243"/>
    </row>
    <row r="244" spans="1:12" hidden="1">
      <c r="A244" s="16" t="s">
        <v>1841</v>
      </c>
      <c r="B244" s="16" t="s">
        <v>2965</v>
      </c>
      <c r="C244" s="17">
        <v>43251</v>
      </c>
      <c r="D244" s="12">
        <f t="shared" ref="D244:D247" si="19">EOMONTH(C244,1)</f>
        <v>43281</v>
      </c>
      <c r="E244" s="707" t="s">
        <v>186</v>
      </c>
      <c r="F244" s="12" t="s">
        <v>2690</v>
      </c>
      <c r="G244" s="16" t="s">
        <v>2967</v>
      </c>
      <c r="H244" s="16" t="s">
        <v>1605</v>
      </c>
      <c r="I244" s="18">
        <v>18732.73</v>
      </c>
      <c r="K244"/>
      <c r="L244"/>
    </row>
    <row r="245" spans="1:12" hidden="1">
      <c r="A245" s="16" t="s">
        <v>1841</v>
      </c>
      <c r="B245" s="16" t="s">
        <v>2966</v>
      </c>
      <c r="C245" s="17">
        <v>43251</v>
      </c>
      <c r="D245" s="12">
        <f t="shared" si="19"/>
        <v>43281</v>
      </c>
      <c r="E245" s="12" t="s">
        <v>186</v>
      </c>
      <c r="F245" s="12" t="s">
        <v>1031</v>
      </c>
      <c r="G245" s="16" t="s">
        <v>2817</v>
      </c>
      <c r="H245" s="16" t="s">
        <v>1605</v>
      </c>
      <c r="I245" s="18">
        <v>657.18</v>
      </c>
      <c r="K245"/>
      <c r="L245"/>
    </row>
    <row r="246" spans="1:12" hidden="1">
      <c r="A246" s="16" t="s">
        <v>2970</v>
      </c>
      <c r="B246" s="16" t="s">
        <v>3122</v>
      </c>
      <c r="C246" s="17">
        <v>43251</v>
      </c>
      <c r="D246" s="12">
        <f t="shared" si="19"/>
        <v>43281</v>
      </c>
      <c r="E246" s="12" t="s">
        <v>186</v>
      </c>
      <c r="F246" s="12" t="s">
        <v>1031</v>
      </c>
      <c r="G246" s="16" t="s">
        <v>1782</v>
      </c>
      <c r="H246" s="16" t="s">
        <v>1605</v>
      </c>
      <c r="I246" s="18">
        <v>1051</v>
      </c>
      <c r="K246"/>
      <c r="L246"/>
    </row>
    <row r="247" spans="1:12" hidden="1">
      <c r="A247" s="16" t="s">
        <v>1640</v>
      </c>
      <c r="B247" s="16" t="s">
        <v>2980</v>
      </c>
      <c r="C247" s="17">
        <v>43246</v>
      </c>
      <c r="D247" s="12">
        <f t="shared" si="19"/>
        <v>43281</v>
      </c>
      <c r="E247" s="12" t="s">
        <v>186</v>
      </c>
      <c r="F247" s="12" t="s">
        <v>1031</v>
      </c>
      <c r="G247" s="16" t="s">
        <v>2547</v>
      </c>
      <c r="H247" s="16" t="s">
        <v>1605</v>
      </c>
      <c r="I247" s="18">
        <v>1713.1</v>
      </c>
      <c r="K247"/>
      <c r="L247"/>
    </row>
    <row r="248" spans="1:12" hidden="1">
      <c r="A248" s="16" t="s">
        <v>1640</v>
      </c>
      <c r="B248" s="16" t="s">
        <v>2980</v>
      </c>
      <c r="C248" s="17">
        <v>43246</v>
      </c>
      <c r="D248" s="12">
        <f t="shared" ref="D248:D254" si="20">EOMONTH(C248,1)</f>
        <v>43281</v>
      </c>
      <c r="E248" s="12" t="s">
        <v>186</v>
      </c>
      <c r="F248" s="12" t="s">
        <v>1031</v>
      </c>
      <c r="G248" s="16" t="s">
        <v>2559</v>
      </c>
      <c r="H248" s="16" t="s">
        <v>1605</v>
      </c>
      <c r="I248" s="18">
        <v>1203.8</v>
      </c>
      <c r="K248"/>
      <c r="L248"/>
    </row>
    <row r="249" spans="1:12" hidden="1">
      <c r="A249" s="16" t="s">
        <v>1640</v>
      </c>
      <c r="B249" s="16" t="s">
        <v>2980</v>
      </c>
      <c r="C249" s="17">
        <v>43246</v>
      </c>
      <c r="D249" s="12">
        <f t="shared" si="20"/>
        <v>43281</v>
      </c>
      <c r="E249" s="12" t="s">
        <v>186</v>
      </c>
      <c r="F249" s="12" t="s">
        <v>2690</v>
      </c>
      <c r="G249" s="16" t="s">
        <v>2981</v>
      </c>
      <c r="H249" s="16" t="s">
        <v>1605</v>
      </c>
      <c r="I249" s="18">
        <v>443.04</v>
      </c>
      <c r="K249"/>
      <c r="L249"/>
    </row>
    <row r="250" spans="1:12" hidden="1">
      <c r="A250" s="16" t="s">
        <v>1640</v>
      </c>
      <c r="B250" s="16" t="s">
        <v>2980</v>
      </c>
      <c r="C250" s="17">
        <v>43246</v>
      </c>
      <c r="D250" s="12">
        <f t="shared" si="20"/>
        <v>43281</v>
      </c>
      <c r="E250" s="12" t="s">
        <v>186</v>
      </c>
      <c r="F250" s="12" t="s">
        <v>1607</v>
      </c>
      <c r="G250" s="16" t="s">
        <v>2666</v>
      </c>
      <c r="H250" s="16" t="s">
        <v>1605</v>
      </c>
      <c r="I250" s="18">
        <v>1143.6099999999999</v>
      </c>
      <c r="K250"/>
      <c r="L250"/>
    </row>
    <row r="251" spans="1:12" hidden="1">
      <c r="A251" s="16" t="s">
        <v>1640</v>
      </c>
      <c r="B251" s="16" t="s">
        <v>2980</v>
      </c>
      <c r="C251" s="17">
        <v>43246</v>
      </c>
      <c r="D251" s="12">
        <f t="shared" si="20"/>
        <v>43281</v>
      </c>
      <c r="E251" s="12" t="s">
        <v>186</v>
      </c>
      <c r="F251" s="12" t="s">
        <v>1031</v>
      </c>
      <c r="G251" s="16" t="s">
        <v>2626</v>
      </c>
      <c r="H251" s="16" t="s">
        <v>1605</v>
      </c>
      <c r="I251" s="18">
        <v>1225.45</v>
      </c>
      <c r="K251"/>
      <c r="L251"/>
    </row>
    <row r="252" spans="1:12" hidden="1">
      <c r="A252" s="16" t="s">
        <v>1640</v>
      </c>
      <c r="B252" s="16" t="s">
        <v>2980</v>
      </c>
      <c r="C252" s="17">
        <v>43246</v>
      </c>
      <c r="D252" s="12">
        <f t="shared" si="20"/>
        <v>43281</v>
      </c>
      <c r="E252" s="12" t="s">
        <v>186</v>
      </c>
      <c r="F252" s="12" t="s">
        <v>1031</v>
      </c>
      <c r="G252" s="16" t="s">
        <v>2560</v>
      </c>
      <c r="H252" s="16" t="s">
        <v>1605</v>
      </c>
      <c r="I252" s="18">
        <v>490.78</v>
      </c>
      <c r="K252"/>
      <c r="L252"/>
    </row>
    <row r="253" spans="1:12" hidden="1">
      <c r="A253" s="16" t="s">
        <v>1640</v>
      </c>
      <c r="B253" s="16" t="s">
        <v>2980</v>
      </c>
      <c r="C253" s="17">
        <v>43246</v>
      </c>
      <c r="D253" s="12">
        <f t="shared" si="20"/>
        <v>43281</v>
      </c>
      <c r="E253" s="12" t="s">
        <v>186</v>
      </c>
      <c r="F253" s="12" t="s">
        <v>1031</v>
      </c>
      <c r="G253" s="16" t="s">
        <v>2824</v>
      </c>
      <c r="H253" s="16" t="s">
        <v>1605</v>
      </c>
      <c r="I253" s="18">
        <v>976.93</v>
      </c>
      <c r="K253"/>
      <c r="L253"/>
    </row>
    <row r="254" spans="1:12" hidden="1">
      <c r="A254" s="16" t="s">
        <v>2925</v>
      </c>
      <c r="B254" s="16" t="s">
        <v>2982</v>
      </c>
      <c r="C254" s="17">
        <v>43250</v>
      </c>
      <c r="D254" s="12">
        <f t="shared" si="20"/>
        <v>43281</v>
      </c>
      <c r="E254" s="12" t="s">
        <v>186</v>
      </c>
      <c r="F254" s="12" t="s">
        <v>1607</v>
      </c>
      <c r="G254" s="16" t="s">
        <v>2674</v>
      </c>
      <c r="H254" s="16" t="s">
        <v>1605</v>
      </c>
      <c r="I254" s="18">
        <v>1120</v>
      </c>
      <c r="K254"/>
      <c r="L254"/>
    </row>
    <row r="255" spans="1:12">
      <c r="A255" s="16" t="s">
        <v>2786</v>
      </c>
      <c r="B255" s="16" t="s">
        <v>2991</v>
      </c>
      <c r="C255" s="17">
        <v>43256</v>
      </c>
      <c r="D255" s="12">
        <f>C255+14</f>
        <v>43270</v>
      </c>
      <c r="E255" s="12" t="s">
        <v>186</v>
      </c>
      <c r="F255" s="12" t="s">
        <v>2789</v>
      </c>
      <c r="G255" s="16" t="s">
        <v>2992</v>
      </c>
      <c r="H255" s="16" t="s">
        <v>2789</v>
      </c>
      <c r="I255" s="18">
        <v>1782.5</v>
      </c>
      <c r="K255"/>
      <c r="L255"/>
    </row>
    <row r="256" spans="1:12">
      <c r="A256" s="16" t="s">
        <v>2786</v>
      </c>
      <c r="B256" s="16" t="s">
        <v>2991</v>
      </c>
      <c r="C256" s="17">
        <v>43256</v>
      </c>
      <c r="D256" s="12">
        <f t="shared" ref="D256:D264" si="21">C256+14</f>
        <v>43270</v>
      </c>
      <c r="E256" s="12" t="s">
        <v>186</v>
      </c>
      <c r="F256" s="12" t="s">
        <v>2789</v>
      </c>
      <c r="G256" s="16" t="s">
        <v>2993</v>
      </c>
      <c r="H256" s="16" t="s">
        <v>2789</v>
      </c>
      <c r="I256" s="18">
        <v>4926.5</v>
      </c>
      <c r="K256"/>
      <c r="L256"/>
    </row>
    <row r="257" spans="1:12">
      <c r="A257" s="16" t="s">
        <v>2786</v>
      </c>
      <c r="B257" s="16" t="s">
        <v>2991</v>
      </c>
      <c r="C257" s="17">
        <v>43256</v>
      </c>
      <c r="D257" s="12">
        <f t="shared" si="21"/>
        <v>43270</v>
      </c>
      <c r="E257" s="12" t="s">
        <v>186</v>
      </c>
      <c r="F257" s="12" t="s">
        <v>2789</v>
      </c>
      <c r="G257" s="16" t="s">
        <v>2994</v>
      </c>
      <c r="H257" s="16" t="s">
        <v>2789</v>
      </c>
      <c r="I257" s="18">
        <v>2088.5</v>
      </c>
      <c r="K257"/>
      <c r="L257"/>
    </row>
    <row r="258" spans="1:12">
      <c r="A258" s="16" t="s">
        <v>2786</v>
      </c>
      <c r="B258" s="16" t="s">
        <v>2991</v>
      </c>
      <c r="C258" s="17">
        <v>43256</v>
      </c>
      <c r="D258" s="12">
        <f t="shared" si="21"/>
        <v>43270</v>
      </c>
      <c r="E258" s="12" t="s">
        <v>186</v>
      </c>
      <c r="F258" s="12" t="s">
        <v>2789</v>
      </c>
      <c r="G258" s="16" t="s">
        <v>2995</v>
      </c>
      <c r="H258" s="16" t="s">
        <v>2789</v>
      </c>
      <c r="I258" s="18">
        <v>2547.5</v>
      </c>
      <c r="K258"/>
      <c r="L258"/>
    </row>
    <row r="259" spans="1:12">
      <c r="A259" s="16" t="s">
        <v>2786</v>
      </c>
      <c r="B259" s="16" t="s">
        <v>2999</v>
      </c>
      <c r="C259" s="17">
        <v>43257</v>
      </c>
      <c r="D259" s="12">
        <f t="shared" si="21"/>
        <v>43271</v>
      </c>
      <c r="E259" s="12" t="s">
        <v>186</v>
      </c>
      <c r="F259" s="12" t="s">
        <v>2789</v>
      </c>
      <c r="G259" s="16" t="s">
        <v>3000</v>
      </c>
      <c r="H259" s="16" t="s">
        <v>2789</v>
      </c>
      <c r="I259" s="18">
        <v>34356</v>
      </c>
      <c r="K259"/>
      <c r="L259"/>
    </row>
    <row r="260" spans="1:12" hidden="1">
      <c r="A260" s="16" t="s">
        <v>312</v>
      </c>
      <c r="B260" s="16" t="s">
        <v>2998</v>
      </c>
      <c r="C260" s="17">
        <v>43254</v>
      </c>
      <c r="D260" s="12">
        <f t="shared" ref="D260" si="22">EOMONTH(C260,1)</f>
        <v>43312</v>
      </c>
      <c r="E260" s="12" t="s">
        <v>186</v>
      </c>
      <c r="F260" s="12" t="s">
        <v>1031</v>
      </c>
      <c r="G260" s="16" t="s">
        <v>2669</v>
      </c>
      <c r="H260" s="16" t="s">
        <v>1605</v>
      </c>
      <c r="I260" s="18">
        <v>285</v>
      </c>
      <c r="K260"/>
      <c r="L260"/>
    </row>
    <row r="261" spans="1:12">
      <c r="A261" s="16" t="s">
        <v>2786</v>
      </c>
      <c r="B261" s="16" t="s">
        <v>3040</v>
      </c>
      <c r="C261" s="17">
        <v>43263</v>
      </c>
      <c r="D261" s="12">
        <f t="shared" si="21"/>
        <v>43277</v>
      </c>
      <c r="E261" s="12" t="s">
        <v>186</v>
      </c>
      <c r="F261" s="12" t="s">
        <v>2789</v>
      </c>
      <c r="G261" s="16" t="s">
        <v>3041</v>
      </c>
      <c r="H261" s="16" t="s">
        <v>2789</v>
      </c>
      <c r="I261" s="18">
        <v>5136.5</v>
      </c>
      <c r="K261"/>
      <c r="L261"/>
    </row>
    <row r="262" spans="1:12">
      <c r="A262" s="16" t="s">
        <v>2786</v>
      </c>
      <c r="B262" s="16" t="s">
        <v>3058</v>
      </c>
      <c r="C262" s="17">
        <v>43264</v>
      </c>
      <c r="D262" s="12">
        <f t="shared" si="21"/>
        <v>43278</v>
      </c>
      <c r="E262" s="12" t="s">
        <v>186</v>
      </c>
      <c r="F262" s="12" t="s">
        <v>2789</v>
      </c>
      <c r="G262" s="16" t="s">
        <v>3059</v>
      </c>
      <c r="H262" s="16" t="s">
        <v>2789</v>
      </c>
      <c r="I262" s="18">
        <v>9452</v>
      </c>
      <c r="K262"/>
      <c r="L262"/>
    </row>
    <row r="263" spans="1:12" hidden="1">
      <c r="A263" s="16" t="s">
        <v>327</v>
      </c>
      <c r="B263" s="16" t="s">
        <v>3063</v>
      </c>
      <c r="C263" s="17">
        <v>43262</v>
      </c>
      <c r="D263" s="12">
        <f t="shared" ref="D263" si="23">EOMONTH(C263,1)</f>
        <v>43312</v>
      </c>
      <c r="E263" s="12" t="s">
        <v>186</v>
      </c>
      <c r="F263" s="12" t="s">
        <v>2690</v>
      </c>
      <c r="G263" s="16" t="s">
        <v>2967</v>
      </c>
      <c r="H263" s="16" t="s">
        <v>1605</v>
      </c>
      <c r="I263" s="18">
        <v>8902.3799999999992</v>
      </c>
      <c r="K263"/>
      <c r="L263"/>
    </row>
    <row r="264" spans="1:12">
      <c r="A264" s="16" t="s">
        <v>2786</v>
      </c>
      <c r="B264" s="16" t="s">
        <v>3076</v>
      </c>
      <c r="C264" s="17">
        <v>43268</v>
      </c>
      <c r="D264" s="12">
        <f t="shared" si="21"/>
        <v>43282</v>
      </c>
      <c r="E264" s="12" t="s">
        <v>186</v>
      </c>
      <c r="F264" s="12" t="s">
        <v>2789</v>
      </c>
      <c r="G264" s="16" t="s">
        <v>3077</v>
      </c>
      <c r="H264" s="16" t="s">
        <v>2789</v>
      </c>
      <c r="I264" s="18">
        <v>9325.25</v>
      </c>
      <c r="K264"/>
      <c r="L264"/>
    </row>
    <row r="265" spans="1:12" hidden="1">
      <c r="A265" s="16" t="s">
        <v>2554</v>
      </c>
      <c r="B265" s="16" t="s">
        <v>3092</v>
      </c>
      <c r="C265" s="17">
        <v>43253</v>
      </c>
      <c r="D265" s="12">
        <f t="shared" ref="D265:D266" si="24">EOMONTH(C265,1)</f>
        <v>43312</v>
      </c>
      <c r="E265" s="12" t="s">
        <v>186</v>
      </c>
      <c r="F265" s="12" t="s">
        <v>1607</v>
      </c>
      <c r="G265" s="16" t="s">
        <v>2825</v>
      </c>
      <c r="H265" s="16" t="s">
        <v>1605</v>
      </c>
      <c r="I265" s="18">
        <v>2459.0700000000002</v>
      </c>
      <c r="K265"/>
      <c r="L265"/>
    </row>
    <row r="266" spans="1:12" hidden="1">
      <c r="A266" s="16" t="s">
        <v>2554</v>
      </c>
      <c r="B266" s="16" t="s">
        <v>3093</v>
      </c>
      <c r="C266" s="17">
        <v>43270</v>
      </c>
      <c r="D266" s="12">
        <f t="shared" si="24"/>
        <v>43312</v>
      </c>
      <c r="E266" s="12" t="s">
        <v>186</v>
      </c>
      <c r="F266" s="12" t="s">
        <v>1607</v>
      </c>
      <c r="G266" s="16" t="s">
        <v>2825</v>
      </c>
      <c r="H266" s="16" t="s">
        <v>1605</v>
      </c>
      <c r="I266" s="18">
        <v>-100.8</v>
      </c>
      <c r="K266"/>
      <c r="L266"/>
    </row>
    <row r="267" spans="1:12">
      <c r="A267" s="16" t="s">
        <v>2786</v>
      </c>
      <c r="B267" s="16" t="s">
        <v>3105</v>
      </c>
      <c r="C267" s="17">
        <v>43272</v>
      </c>
      <c r="D267" s="12">
        <f t="shared" ref="D267" si="25">C267+14</f>
        <v>43286</v>
      </c>
      <c r="E267" s="12" t="s">
        <v>186</v>
      </c>
      <c r="F267" s="12" t="s">
        <v>2789</v>
      </c>
      <c r="G267" s="16" t="s">
        <v>3104</v>
      </c>
      <c r="H267" s="16" t="s">
        <v>2789</v>
      </c>
      <c r="I267" s="18">
        <v>1467.5</v>
      </c>
      <c r="K267"/>
      <c r="L267"/>
    </row>
    <row r="268" spans="1:12">
      <c r="A268" s="16" t="s">
        <v>2786</v>
      </c>
      <c r="B268" s="16" t="s">
        <v>3106</v>
      </c>
      <c r="C268" s="17">
        <v>43272</v>
      </c>
      <c r="D268" s="12">
        <f t="shared" ref="D268" si="26">C268+14</f>
        <v>43286</v>
      </c>
      <c r="E268" s="12" t="s">
        <v>186</v>
      </c>
      <c r="F268" s="12" t="s">
        <v>2789</v>
      </c>
      <c r="G268" s="16" t="s">
        <v>3107</v>
      </c>
      <c r="H268" s="16" t="s">
        <v>2789</v>
      </c>
      <c r="I268" s="18">
        <v>1151</v>
      </c>
      <c r="K268"/>
      <c r="L268"/>
    </row>
    <row r="269" spans="1:12">
      <c r="A269" s="16" t="s">
        <v>2786</v>
      </c>
      <c r="B269" s="16" t="s">
        <v>3109</v>
      </c>
      <c r="C269" s="17">
        <v>43272</v>
      </c>
      <c r="D269" s="12">
        <f t="shared" ref="D269" si="27">C269+14</f>
        <v>43286</v>
      </c>
      <c r="E269" s="12" t="s">
        <v>186</v>
      </c>
      <c r="F269" s="12" t="s">
        <v>2789</v>
      </c>
      <c r="G269" s="16" t="s">
        <v>3108</v>
      </c>
      <c r="H269" s="16" t="s">
        <v>2789</v>
      </c>
      <c r="I269" s="18">
        <v>10256.5</v>
      </c>
      <c r="K269"/>
      <c r="L269"/>
    </row>
    <row r="270" spans="1:12" hidden="1">
      <c r="A270" s="16" t="s">
        <v>2970</v>
      </c>
      <c r="B270" s="16" t="s">
        <v>3121</v>
      </c>
      <c r="C270" s="17">
        <v>43273</v>
      </c>
      <c r="D270" s="12">
        <f t="shared" ref="D270:D271" si="28">EOMONTH(C270,1)</f>
        <v>43312</v>
      </c>
      <c r="E270" s="12" t="s">
        <v>186</v>
      </c>
      <c r="F270" s="12" t="s">
        <v>2690</v>
      </c>
      <c r="G270" s="16" t="s">
        <v>2699</v>
      </c>
      <c r="H270" s="16" t="s">
        <v>1605</v>
      </c>
      <c r="I270" s="18">
        <v>2695</v>
      </c>
      <c r="K270"/>
      <c r="L270"/>
    </row>
    <row r="271" spans="1:12" hidden="1">
      <c r="A271" s="16" t="s">
        <v>327</v>
      </c>
      <c r="B271" s="16" t="s">
        <v>3132</v>
      </c>
      <c r="C271" s="17">
        <v>43273</v>
      </c>
      <c r="D271" s="12">
        <f t="shared" si="28"/>
        <v>43312</v>
      </c>
      <c r="E271" s="12" t="s">
        <v>186</v>
      </c>
      <c r="F271" s="12" t="s">
        <v>2690</v>
      </c>
      <c r="G271" s="16" t="s">
        <v>2805</v>
      </c>
      <c r="H271" s="16" t="s">
        <v>1605</v>
      </c>
      <c r="I271" s="18">
        <v>12873.26</v>
      </c>
      <c r="K271"/>
      <c r="L271"/>
    </row>
    <row r="272" spans="1:12" hidden="1">
      <c r="A272" s="811" t="s">
        <v>3138</v>
      </c>
      <c r="B272" s="811" t="s">
        <v>3137</v>
      </c>
      <c r="C272" s="812"/>
      <c r="D272" s="812"/>
      <c r="E272" s="812" t="s">
        <v>186</v>
      </c>
      <c r="F272" s="812" t="s">
        <v>1031</v>
      </c>
      <c r="G272" s="811" t="s">
        <v>3025</v>
      </c>
      <c r="H272" s="16" t="s">
        <v>1605</v>
      </c>
      <c r="I272" s="813">
        <v>1036.8</v>
      </c>
      <c r="K272"/>
      <c r="L272"/>
    </row>
    <row r="273" spans="1:12">
      <c r="A273" s="16" t="s">
        <v>2786</v>
      </c>
      <c r="B273" s="16" t="s">
        <v>3139</v>
      </c>
      <c r="C273" s="17">
        <v>43278</v>
      </c>
      <c r="D273" s="12">
        <f t="shared" ref="D273:D276" si="29">C273+14</f>
        <v>43292</v>
      </c>
      <c r="E273" s="12" t="s">
        <v>186</v>
      </c>
      <c r="F273" s="12" t="s">
        <v>2789</v>
      </c>
      <c r="G273" s="16" t="s">
        <v>3140</v>
      </c>
      <c r="H273" s="16" t="s">
        <v>2789</v>
      </c>
      <c r="I273" s="18">
        <v>12840</v>
      </c>
      <c r="K273"/>
      <c r="L273"/>
    </row>
    <row r="274" spans="1:12">
      <c r="A274" s="16" t="s">
        <v>2786</v>
      </c>
      <c r="B274" s="16" t="s">
        <v>3141</v>
      </c>
      <c r="C274" s="17">
        <v>43278</v>
      </c>
      <c r="D274" s="12">
        <f t="shared" si="29"/>
        <v>43292</v>
      </c>
      <c r="E274" s="12" t="s">
        <v>186</v>
      </c>
      <c r="F274" s="12" t="s">
        <v>2789</v>
      </c>
      <c r="G274" s="16" t="s">
        <v>3143</v>
      </c>
      <c r="H274" s="16" t="s">
        <v>2789</v>
      </c>
      <c r="I274" s="18">
        <v>8924</v>
      </c>
      <c r="K274"/>
      <c r="L274"/>
    </row>
    <row r="275" spans="1:12">
      <c r="A275" s="16" t="s">
        <v>2786</v>
      </c>
      <c r="B275" s="16" t="s">
        <v>3142</v>
      </c>
      <c r="C275" s="17">
        <v>43278</v>
      </c>
      <c r="D275" s="12">
        <f t="shared" si="29"/>
        <v>43292</v>
      </c>
      <c r="E275" s="12" t="s">
        <v>186</v>
      </c>
      <c r="F275" s="12" t="s">
        <v>2789</v>
      </c>
      <c r="G275" s="16" t="s">
        <v>3144</v>
      </c>
      <c r="H275" s="16" t="s">
        <v>2789</v>
      </c>
      <c r="I275" s="18">
        <v>7472</v>
      </c>
      <c r="K275"/>
      <c r="L275"/>
    </row>
    <row r="276" spans="1:12">
      <c r="A276" s="16" t="s">
        <v>2786</v>
      </c>
      <c r="B276" s="16" t="s">
        <v>2926</v>
      </c>
      <c r="C276" s="17">
        <v>43278</v>
      </c>
      <c r="D276" s="12">
        <f t="shared" si="29"/>
        <v>43292</v>
      </c>
      <c r="E276" s="12" t="s">
        <v>186</v>
      </c>
      <c r="F276" s="12" t="s">
        <v>2789</v>
      </c>
      <c r="G276" s="16" t="s">
        <v>3145</v>
      </c>
      <c r="H276" s="16" t="s">
        <v>2789</v>
      </c>
      <c r="I276" s="18">
        <v>13060</v>
      </c>
      <c r="K276"/>
      <c r="L276"/>
    </row>
    <row r="277" spans="1:12" hidden="1">
      <c r="A277" s="16" t="s">
        <v>846</v>
      </c>
      <c r="B277" s="16" t="s">
        <v>3150</v>
      </c>
      <c r="C277" s="17">
        <v>43279</v>
      </c>
      <c r="D277" s="12">
        <f t="shared" ref="D277:D278" si="30">EOMONTH(C277,1)</f>
        <v>43312</v>
      </c>
      <c r="E277" s="12" t="s">
        <v>186</v>
      </c>
      <c r="F277" s="12" t="s">
        <v>1031</v>
      </c>
      <c r="G277" s="16" t="s">
        <v>3151</v>
      </c>
      <c r="H277" s="16" t="s">
        <v>1605</v>
      </c>
      <c r="I277" s="18">
        <v>3361.68</v>
      </c>
      <c r="K277"/>
      <c r="L277"/>
    </row>
    <row r="278" spans="1:12" hidden="1">
      <c r="A278" s="16" t="s">
        <v>1841</v>
      </c>
      <c r="B278" s="16" t="s">
        <v>3166</v>
      </c>
      <c r="C278" s="17">
        <v>43277</v>
      </c>
      <c r="D278" s="12">
        <f t="shared" si="30"/>
        <v>43312</v>
      </c>
      <c r="E278" s="12" t="s">
        <v>186</v>
      </c>
      <c r="F278" s="12" t="s">
        <v>1031</v>
      </c>
      <c r="G278" s="16" t="s">
        <v>2348</v>
      </c>
      <c r="H278" s="16" t="s">
        <v>1605</v>
      </c>
      <c r="I278" s="18">
        <v>913.46</v>
      </c>
      <c r="K278"/>
      <c r="L278"/>
    </row>
    <row r="279" spans="1:12" hidden="1">
      <c r="A279" s="16" t="s">
        <v>1841</v>
      </c>
      <c r="B279" s="16" t="s">
        <v>3174</v>
      </c>
      <c r="C279" s="17">
        <v>43280</v>
      </c>
      <c r="D279" s="12">
        <f t="shared" ref="D279" si="31">EOMONTH(C279,1)</f>
        <v>43312</v>
      </c>
      <c r="E279" s="12" t="s">
        <v>186</v>
      </c>
      <c r="F279" s="12" t="s">
        <v>1031</v>
      </c>
      <c r="G279" s="16" t="s">
        <v>3025</v>
      </c>
      <c r="H279" s="16" t="s">
        <v>1605</v>
      </c>
      <c r="I279" s="18">
        <v>7873.12</v>
      </c>
      <c r="K279"/>
      <c r="L279"/>
    </row>
    <row r="280" spans="1:12" hidden="1">
      <c r="A280" s="16" t="s">
        <v>1841</v>
      </c>
      <c r="B280" s="16" t="s">
        <v>3173</v>
      </c>
      <c r="C280" s="17">
        <v>43280</v>
      </c>
      <c r="D280" s="12">
        <f t="shared" ref="D280" si="32">EOMONTH(C280,1)</f>
        <v>43312</v>
      </c>
      <c r="E280" s="12" t="s">
        <v>186</v>
      </c>
      <c r="F280" s="12" t="s">
        <v>1031</v>
      </c>
      <c r="G280" s="16" t="s">
        <v>2745</v>
      </c>
      <c r="H280" s="16" t="s">
        <v>1605</v>
      </c>
      <c r="I280" s="18">
        <v>3901.61</v>
      </c>
      <c r="K280"/>
      <c r="L280"/>
    </row>
    <row r="281" spans="1:12" hidden="1">
      <c r="A281" s="16" t="s">
        <v>1841</v>
      </c>
      <c r="B281" s="16" t="s">
        <v>3175</v>
      </c>
      <c r="C281" s="17">
        <v>43280</v>
      </c>
      <c r="D281" s="12">
        <f t="shared" ref="D281" si="33">EOMONTH(C281,1)</f>
        <v>43312</v>
      </c>
      <c r="E281" s="12" t="s">
        <v>186</v>
      </c>
      <c r="F281" s="12" t="s">
        <v>1031</v>
      </c>
      <c r="G281" s="16" t="s">
        <v>2624</v>
      </c>
      <c r="H281" s="16" t="s">
        <v>1605</v>
      </c>
      <c r="I281" s="18">
        <v>4453.75</v>
      </c>
      <c r="K281"/>
      <c r="L281"/>
    </row>
    <row r="282" spans="1:12" hidden="1">
      <c r="A282" s="16" t="s">
        <v>1841</v>
      </c>
      <c r="B282" s="16" t="s">
        <v>3176</v>
      </c>
      <c r="C282" s="17">
        <v>43280</v>
      </c>
      <c r="D282" s="12">
        <f t="shared" ref="D282" si="34">EOMONTH(C282,1)</f>
        <v>43312</v>
      </c>
      <c r="E282" s="12" t="s">
        <v>186</v>
      </c>
      <c r="F282" s="12" t="s">
        <v>1031</v>
      </c>
      <c r="G282" s="16" t="s">
        <v>2669</v>
      </c>
      <c r="H282" s="16" t="s">
        <v>1605</v>
      </c>
      <c r="I282" s="18">
        <v>9455.19</v>
      </c>
      <c r="K282"/>
      <c r="L282"/>
    </row>
    <row r="283" spans="1:12" hidden="1">
      <c r="A283" s="16" t="s">
        <v>1841</v>
      </c>
      <c r="B283" s="16" t="s">
        <v>3177</v>
      </c>
      <c r="C283" s="17">
        <v>43280</v>
      </c>
      <c r="D283" s="12">
        <f t="shared" ref="D283" si="35">EOMONTH(C283,1)</f>
        <v>43312</v>
      </c>
      <c r="E283" s="12" t="s">
        <v>186</v>
      </c>
      <c r="F283" s="12" t="s">
        <v>1031</v>
      </c>
      <c r="G283" s="16" t="s">
        <v>2881</v>
      </c>
      <c r="H283" s="16" t="s">
        <v>1605</v>
      </c>
      <c r="I283" s="18">
        <v>3866.63</v>
      </c>
      <c r="K283"/>
      <c r="L283"/>
    </row>
    <row r="284" spans="1:12" hidden="1">
      <c r="A284" s="16" t="s">
        <v>1841</v>
      </c>
      <c r="B284" s="16" t="s">
        <v>3178</v>
      </c>
      <c r="C284" s="17">
        <v>43280</v>
      </c>
      <c r="D284" s="12">
        <f t="shared" ref="D284" si="36">EOMONTH(C284,1)</f>
        <v>43312</v>
      </c>
      <c r="E284" s="12" t="s">
        <v>186</v>
      </c>
      <c r="F284" s="12" t="s">
        <v>1031</v>
      </c>
      <c r="G284" s="16" t="s">
        <v>2625</v>
      </c>
      <c r="H284" s="16" t="s">
        <v>1605</v>
      </c>
      <c r="I284" s="18">
        <v>3140.46</v>
      </c>
      <c r="K284"/>
      <c r="L284"/>
    </row>
    <row r="285" spans="1:12" hidden="1">
      <c r="A285" s="16" t="s">
        <v>1841</v>
      </c>
      <c r="B285" s="16" t="s">
        <v>3179</v>
      </c>
      <c r="C285" s="17">
        <v>43280</v>
      </c>
      <c r="D285" s="12">
        <f t="shared" ref="D285" si="37">EOMONTH(C285,1)</f>
        <v>43312</v>
      </c>
      <c r="E285" s="12" t="s">
        <v>186</v>
      </c>
      <c r="F285" s="12" t="s">
        <v>1031</v>
      </c>
      <c r="G285" s="16" t="s">
        <v>2543</v>
      </c>
      <c r="H285" s="16" t="s">
        <v>1605</v>
      </c>
      <c r="I285" s="18">
        <v>3074</v>
      </c>
      <c r="K285"/>
      <c r="L285"/>
    </row>
    <row r="286" spans="1:12" hidden="1">
      <c r="A286" s="16" t="s">
        <v>1841</v>
      </c>
      <c r="B286" s="16" t="s">
        <v>3180</v>
      </c>
      <c r="C286" s="17">
        <v>43280</v>
      </c>
      <c r="D286" s="12">
        <f t="shared" ref="D286" si="38">EOMONTH(C286,1)</f>
        <v>43312</v>
      </c>
      <c r="E286" s="12" t="s">
        <v>186</v>
      </c>
      <c r="F286" s="12" t="s">
        <v>1031</v>
      </c>
      <c r="G286" s="16" t="s">
        <v>1047</v>
      </c>
      <c r="H286" s="16" t="s">
        <v>1605</v>
      </c>
      <c r="I286" s="18">
        <v>2974.72</v>
      </c>
      <c r="K286"/>
      <c r="L286"/>
    </row>
    <row r="287" spans="1:12" hidden="1">
      <c r="A287" s="16" t="s">
        <v>1841</v>
      </c>
      <c r="B287" s="16" t="s">
        <v>3181</v>
      </c>
      <c r="C287" s="17">
        <v>43280</v>
      </c>
      <c r="D287" s="12">
        <f t="shared" ref="D287:D289" si="39">EOMONTH(C287,1)</f>
        <v>43312</v>
      </c>
      <c r="E287" s="12" t="s">
        <v>186</v>
      </c>
      <c r="F287" s="12" t="s">
        <v>1031</v>
      </c>
      <c r="G287" s="16" t="s">
        <v>3031</v>
      </c>
      <c r="H287" s="16" t="s">
        <v>1605</v>
      </c>
      <c r="I287" s="18">
        <v>9921.16</v>
      </c>
      <c r="K287"/>
      <c r="L287"/>
    </row>
    <row r="288" spans="1:12" hidden="1">
      <c r="A288" s="16" t="s">
        <v>1841</v>
      </c>
      <c r="B288" s="16" t="s">
        <v>3182</v>
      </c>
      <c r="C288" s="17">
        <v>43280</v>
      </c>
      <c r="D288" s="12">
        <f t="shared" si="39"/>
        <v>43312</v>
      </c>
      <c r="E288" s="12" t="s">
        <v>186</v>
      </c>
      <c r="F288" s="12" t="s">
        <v>1031</v>
      </c>
      <c r="G288" s="16" t="s">
        <v>3025</v>
      </c>
      <c r="H288" s="16" t="s">
        <v>1605</v>
      </c>
      <c r="I288" s="18">
        <v>8652.34</v>
      </c>
      <c r="K288"/>
      <c r="L288"/>
    </row>
    <row r="289" spans="1:12" hidden="1">
      <c r="A289" s="16" t="s">
        <v>2554</v>
      </c>
      <c r="B289" s="16" t="s">
        <v>3184</v>
      </c>
      <c r="C289" s="17">
        <v>43279</v>
      </c>
      <c r="D289" s="12">
        <f t="shared" si="39"/>
        <v>43312</v>
      </c>
      <c r="E289" s="12" t="s">
        <v>186</v>
      </c>
      <c r="F289" s="12" t="s">
        <v>1607</v>
      </c>
      <c r="G289" s="16" t="s">
        <v>2736</v>
      </c>
      <c r="H289" s="16" t="s">
        <v>1605</v>
      </c>
      <c r="I289" s="18">
        <v>3003.86</v>
      </c>
      <c r="K289"/>
      <c r="L289"/>
    </row>
    <row r="290" spans="1:12" hidden="1">
      <c r="A290" s="16" t="s">
        <v>2554</v>
      </c>
      <c r="B290" s="16" t="s">
        <v>3185</v>
      </c>
      <c r="C290" s="17">
        <v>43279</v>
      </c>
      <c r="D290" s="12">
        <f t="shared" ref="D290:D291" si="40">EOMONTH(C290,1)</f>
        <v>43312</v>
      </c>
      <c r="E290" s="12" t="s">
        <v>186</v>
      </c>
      <c r="F290" s="12" t="s">
        <v>1031</v>
      </c>
      <c r="G290" s="16" t="s">
        <v>2682</v>
      </c>
      <c r="H290" s="16" t="s">
        <v>1605</v>
      </c>
      <c r="I290" s="18">
        <v>4422.17</v>
      </c>
      <c r="K290"/>
      <c r="L290"/>
    </row>
    <row r="291" spans="1:12" hidden="1">
      <c r="A291" s="16" t="s">
        <v>3223</v>
      </c>
      <c r="B291" s="16" t="s">
        <v>3224</v>
      </c>
      <c r="C291" s="17">
        <v>43275</v>
      </c>
      <c r="D291" s="12">
        <f t="shared" si="40"/>
        <v>43312</v>
      </c>
      <c r="E291" s="12" t="s">
        <v>186</v>
      </c>
      <c r="F291" s="12" t="s">
        <v>1031</v>
      </c>
      <c r="G291" s="16" t="s">
        <v>2989</v>
      </c>
      <c r="H291" s="16" t="s">
        <v>1605</v>
      </c>
      <c r="I291" s="18">
        <v>1502.68</v>
      </c>
      <c r="K291"/>
      <c r="L291"/>
    </row>
    <row r="292" spans="1:12" hidden="1">
      <c r="A292" s="16" t="s">
        <v>3223</v>
      </c>
      <c r="B292" s="16" t="s">
        <v>3225</v>
      </c>
      <c r="C292" s="17">
        <v>43275</v>
      </c>
      <c r="D292" s="12">
        <f t="shared" ref="D292:D294" si="41">EOMONTH(C292,1)</f>
        <v>43312</v>
      </c>
      <c r="E292" s="12" t="s">
        <v>186</v>
      </c>
      <c r="F292" s="12" t="s">
        <v>1031</v>
      </c>
      <c r="G292" s="16" t="s">
        <v>3008</v>
      </c>
      <c r="H292" s="16" t="s">
        <v>1605</v>
      </c>
      <c r="I292" s="18">
        <v>1932.82</v>
      </c>
      <c r="K292"/>
      <c r="L292"/>
    </row>
    <row r="293" spans="1:12" hidden="1">
      <c r="A293" s="16" t="s">
        <v>3223</v>
      </c>
      <c r="B293" s="16" t="s">
        <v>3226</v>
      </c>
      <c r="C293" s="17">
        <v>43275</v>
      </c>
      <c r="D293" s="12">
        <f t="shared" si="41"/>
        <v>43312</v>
      </c>
      <c r="E293" s="12" t="s">
        <v>186</v>
      </c>
      <c r="F293" s="12" t="s">
        <v>1607</v>
      </c>
      <c r="G293" s="16" t="s">
        <v>3084</v>
      </c>
      <c r="H293" s="16" t="s">
        <v>1605</v>
      </c>
      <c r="I293" s="18">
        <v>2229.52</v>
      </c>
      <c r="K293"/>
      <c r="L293"/>
    </row>
    <row r="294" spans="1:12" hidden="1">
      <c r="A294" s="16" t="s">
        <v>1239</v>
      </c>
      <c r="B294" s="16" t="s">
        <v>3227</v>
      </c>
      <c r="C294" s="17">
        <v>43282</v>
      </c>
      <c r="D294" s="12">
        <f t="shared" si="41"/>
        <v>43343</v>
      </c>
      <c r="E294" s="12" t="s">
        <v>186</v>
      </c>
      <c r="F294" s="12" t="s">
        <v>1607</v>
      </c>
      <c r="G294" s="16" t="s">
        <v>2914</v>
      </c>
      <c r="H294" s="16" t="s">
        <v>1605</v>
      </c>
      <c r="I294" s="18">
        <v>5530.26</v>
      </c>
      <c r="K294"/>
      <c r="L294"/>
    </row>
    <row r="295" spans="1:12" hidden="1">
      <c r="A295" s="16" t="s">
        <v>1239</v>
      </c>
      <c r="B295" s="16" t="s">
        <v>3228</v>
      </c>
      <c r="C295" s="17">
        <v>43282</v>
      </c>
      <c r="D295" s="12">
        <f t="shared" ref="D295:D302" si="42">EOMONTH(C295,1)</f>
        <v>43343</v>
      </c>
      <c r="E295" s="12" t="s">
        <v>186</v>
      </c>
      <c r="F295" s="12" t="s">
        <v>1607</v>
      </c>
      <c r="G295" s="16" t="s">
        <v>2538</v>
      </c>
      <c r="H295" s="16" t="s">
        <v>1605</v>
      </c>
      <c r="I295" s="18">
        <v>2366.54</v>
      </c>
      <c r="K295"/>
      <c r="L295"/>
    </row>
    <row r="296" spans="1:12">
      <c r="A296" s="16" t="s">
        <v>2786</v>
      </c>
      <c r="B296" s="16" t="s">
        <v>2927</v>
      </c>
      <c r="C296" s="17">
        <v>43283</v>
      </c>
      <c r="D296" s="12">
        <f t="shared" ref="D296" si="43">C296+14</f>
        <v>43297</v>
      </c>
      <c r="E296" s="12" t="s">
        <v>186</v>
      </c>
      <c r="F296" s="12" t="s">
        <v>2789</v>
      </c>
      <c r="G296" s="16" t="s">
        <v>3237</v>
      </c>
      <c r="H296" s="16" t="s">
        <v>2789</v>
      </c>
      <c r="I296" s="18">
        <v>20672</v>
      </c>
      <c r="K296"/>
      <c r="L296"/>
    </row>
    <row r="297" spans="1:12" hidden="1">
      <c r="A297" s="16" t="s">
        <v>1640</v>
      </c>
      <c r="B297" s="16" t="s">
        <v>3242</v>
      </c>
      <c r="C297" s="17">
        <v>43277</v>
      </c>
      <c r="D297" s="12">
        <f t="shared" si="42"/>
        <v>43312</v>
      </c>
      <c r="E297" s="12" t="s">
        <v>186</v>
      </c>
      <c r="F297" s="12" t="s">
        <v>1031</v>
      </c>
      <c r="G297" s="16" t="s">
        <v>1659</v>
      </c>
      <c r="H297" s="16" t="s">
        <v>1605</v>
      </c>
      <c r="I297" s="18">
        <v>1221.19</v>
      </c>
      <c r="K297"/>
      <c r="L297"/>
    </row>
    <row r="298" spans="1:12" hidden="1">
      <c r="A298" s="16" t="s">
        <v>1640</v>
      </c>
      <c r="B298" s="16" t="s">
        <v>3242</v>
      </c>
      <c r="C298" s="17">
        <v>43277</v>
      </c>
      <c r="D298" s="12">
        <f t="shared" si="42"/>
        <v>43312</v>
      </c>
      <c r="E298" s="12" t="s">
        <v>186</v>
      </c>
      <c r="F298" s="12" t="s">
        <v>1031</v>
      </c>
      <c r="G298" s="16" t="s">
        <v>2851</v>
      </c>
      <c r="H298" s="16" t="s">
        <v>1605</v>
      </c>
      <c r="I298" s="18">
        <v>3524.25</v>
      </c>
      <c r="K298"/>
      <c r="L298"/>
    </row>
    <row r="299" spans="1:12" hidden="1">
      <c r="A299" s="16" t="s">
        <v>1640</v>
      </c>
      <c r="B299" s="16" t="s">
        <v>3242</v>
      </c>
      <c r="C299" s="17">
        <v>43277</v>
      </c>
      <c r="D299" s="12">
        <f t="shared" si="42"/>
        <v>43312</v>
      </c>
      <c r="E299" s="12" t="s">
        <v>186</v>
      </c>
      <c r="F299" s="12" t="s">
        <v>1031</v>
      </c>
      <c r="G299" s="16" t="s">
        <v>2390</v>
      </c>
      <c r="H299" s="16" t="s">
        <v>1605</v>
      </c>
      <c r="I299" s="18">
        <v>1434.4</v>
      </c>
      <c r="K299"/>
      <c r="L299"/>
    </row>
    <row r="300" spans="1:12" hidden="1">
      <c r="A300" s="16" t="s">
        <v>1640</v>
      </c>
      <c r="B300" s="16" t="s">
        <v>3242</v>
      </c>
      <c r="C300" s="17">
        <v>43277</v>
      </c>
      <c r="D300" s="12">
        <f t="shared" si="42"/>
        <v>43312</v>
      </c>
      <c r="E300" s="12" t="s">
        <v>186</v>
      </c>
      <c r="F300" s="12" t="s">
        <v>1031</v>
      </c>
      <c r="G300" s="16" t="s">
        <v>3006</v>
      </c>
      <c r="H300" s="16" t="s">
        <v>1605</v>
      </c>
      <c r="I300" s="18">
        <v>7183.72</v>
      </c>
      <c r="K300"/>
      <c r="L300"/>
    </row>
    <row r="301" spans="1:12" hidden="1">
      <c r="A301" s="16" t="s">
        <v>1640</v>
      </c>
      <c r="B301" s="16" t="s">
        <v>3242</v>
      </c>
      <c r="C301" s="17">
        <v>43277</v>
      </c>
      <c r="D301" s="12">
        <f t="shared" si="42"/>
        <v>43312</v>
      </c>
      <c r="E301" s="12" t="s">
        <v>186</v>
      </c>
      <c r="F301" s="12" t="s">
        <v>1031</v>
      </c>
      <c r="G301" s="16" t="s">
        <v>3168</v>
      </c>
      <c r="H301" s="16" t="s">
        <v>1605</v>
      </c>
      <c r="I301" s="18">
        <v>1285</v>
      </c>
      <c r="K301"/>
      <c r="L301"/>
    </row>
    <row r="302" spans="1:12" hidden="1">
      <c r="A302" s="16" t="s">
        <v>3223</v>
      </c>
      <c r="B302" s="16" t="s">
        <v>3243</v>
      </c>
      <c r="C302" s="17">
        <v>43234</v>
      </c>
      <c r="D302" s="12">
        <f t="shared" si="42"/>
        <v>43281</v>
      </c>
      <c r="E302" s="12" t="s">
        <v>186</v>
      </c>
      <c r="F302" s="12" t="s">
        <v>1031</v>
      </c>
      <c r="G302" s="16" t="s">
        <v>2547</v>
      </c>
      <c r="H302" s="16" t="s">
        <v>1605</v>
      </c>
      <c r="I302" s="18">
        <v>1443.94</v>
      </c>
      <c r="K302"/>
      <c r="L302"/>
    </row>
    <row r="303" spans="1:12" hidden="1">
      <c r="A303" s="16" t="s">
        <v>3223</v>
      </c>
      <c r="B303" s="16" t="s">
        <v>3243</v>
      </c>
      <c r="C303" s="17">
        <v>43234</v>
      </c>
      <c r="D303" s="12">
        <f t="shared" ref="D303:D308" si="44">EOMONTH(C303,1)</f>
        <v>43281</v>
      </c>
      <c r="E303" s="12" t="s">
        <v>186</v>
      </c>
      <c r="F303" s="12" t="s">
        <v>1031</v>
      </c>
      <c r="G303" s="16" t="s">
        <v>2694</v>
      </c>
      <c r="H303" s="16" t="s">
        <v>1605</v>
      </c>
      <c r="I303" s="18">
        <v>306.39999999999998</v>
      </c>
      <c r="K303"/>
      <c r="L303"/>
    </row>
    <row r="304" spans="1:12" hidden="1">
      <c r="A304" s="16" t="s">
        <v>3223</v>
      </c>
      <c r="B304" s="16" t="s">
        <v>3243</v>
      </c>
      <c r="C304" s="17">
        <v>43234</v>
      </c>
      <c r="D304" s="12">
        <f t="shared" si="44"/>
        <v>43281</v>
      </c>
      <c r="E304" s="12" t="s">
        <v>186</v>
      </c>
      <c r="F304" s="12" t="s">
        <v>1031</v>
      </c>
      <c r="G304" s="16" t="s">
        <v>2665</v>
      </c>
      <c r="H304" s="16" t="s">
        <v>1605</v>
      </c>
      <c r="I304" s="18">
        <v>2423</v>
      </c>
      <c r="K304"/>
      <c r="L304"/>
    </row>
    <row r="305" spans="1:13" hidden="1">
      <c r="A305" s="16" t="s">
        <v>3264</v>
      </c>
      <c r="B305" s="16" t="s">
        <v>3265</v>
      </c>
      <c r="C305" s="17">
        <v>43285</v>
      </c>
      <c r="D305" s="12">
        <f t="shared" si="44"/>
        <v>43343</v>
      </c>
      <c r="E305" s="12" t="s">
        <v>186</v>
      </c>
      <c r="F305" s="12" t="s">
        <v>1607</v>
      </c>
      <c r="G305" s="16" t="s">
        <v>2915</v>
      </c>
      <c r="H305" s="16" t="s">
        <v>1605</v>
      </c>
      <c r="I305" s="18">
        <v>5714.37</v>
      </c>
      <c r="K305"/>
      <c r="L305"/>
    </row>
    <row r="306" spans="1:13" hidden="1">
      <c r="A306" s="16" t="s">
        <v>3310</v>
      </c>
      <c r="B306" s="16" t="s">
        <v>3327</v>
      </c>
      <c r="C306" s="17">
        <v>43287</v>
      </c>
      <c r="D306" s="12">
        <f t="shared" si="44"/>
        <v>43343</v>
      </c>
      <c r="E306" s="12" t="s">
        <v>186</v>
      </c>
      <c r="F306" s="12" t="s">
        <v>1031</v>
      </c>
      <c r="G306" s="16" t="s">
        <v>2740</v>
      </c>
      <c r="H306" s="16" t="s">
        <v>1605</v>
      </c>
      <c r="I306" s="18">
        <v>1664</v>
      </c>
      <c r="K306"/>
      <c r="L306"/>
    </row>
    <row r="307" spans="1:13" hidden="1">
      <c r="A307" s="16" t="s">
        <v>3326</v>
      </c>
      <c r="B307" s="16" t="s">
        <v>3328</v>
      </c>
      <c r="C307" s="17">
        <v>43297</v>
      </c>
      <c r="D307" s="12">
        <f t="shared" si="44"/>
        <v>43343</v>
      </c>
      <c r="E307" s="12" t="s">
        <v>186</v>
      </c>
      <c r="F307" s="12" t="s">
        <v>1031</v>
      </c>
      <c r="G307" s="16" t="s">
        <v>2348</v>
      </c>
      <c r="H307" s="16" t="s">
        <v>1605</v>
      </c>
      <c r="I307" s="18">
        <v>990</v>
      </c>
      <c r="K307"/>
      <c r="L307"/>
    </row>
    <row r="308" spans="1:13" hidden="1">
      <c r="A308" s="16" t="s">
        <v>3264</v>
      </c>
      <c r="B308" s="16" t="s">
        <v>3329</v>
      </c>
      <c r="C308" s="17">
        <v>43292</v>
      </c>
      <c r="D308" s="12">
        <f t="shared" si="44"/>
        <v>43343</v>
      </c>
      <c r="E308" s="12" t="s">
        <v>186</v>
      </c>
      <c r="F308" s="12" t="s">
        <v>1607</v>
      </c>
      <c r="G308" s="16" t="s">
        <v>2758</v>
      </c>
      <c r="H308" s="16" t="s">
        <v>1605</v>
      </c>
      <c r="I308" s="18">
        <v>7339.16</v>
      </c>
      <c r="K308"/>
      <c r="L308"/>
    </row>
    <row r="309" spans="1:13">
      <c r="A309" s="16" t="s">
        <v>2786</v>
      </c>
      <c r="B309" s="16" t="s">
        <v>3330</v>
      </c>
      <c r="C309" s="17">
        <v>43292</v>
      </c>
      <c r="D309" s="12">
        <f t="shared" ref="D309" si="45">C309+14</f>
        <v>43306</v>
      </c>
      <c r="E309" s="12" t="s">
        <v>186</v>
      </c>
      <c r="F309" s="12" t="s">
        <v>2789</v>
      </c>
      <c r="G309" s="16" t="s">
        <v>3331</v>
      </c>
      <c r="H309" s="16" t="s">
        <v>2789</v>
      </c>
      <c r="I309" s="18">
        <v>15876</v>
      </c>
      <c r="K309"/>
      <c r="L309"/>
    </row>
    <row r="310" spans="1:13">
      <c r="A310" s="16"/>
      <c r="B310" s="16"/>
      <c r="C310" s="17"/>
      <c r="D310" s="12"/>
      <c r="E310" s="12"/>
      <c r="F310" s="12"/>
      <c r="G310" s="16"/>
      <c r="H310" s="16"/>
      <c r="I310" s="18"/>
      <c r="K310"/>
      <c r="L310"/>
    </row>
    <row r="311" spans="1:13">
      <c r="A311" s="16"/>
      <c r="B311" s="16"/>
      <c r="C311" s="17"/>
      <c r="D311" s="12"/>
      <c r="E311" s="12"/>
      <c r="F311" s="12"/>
      <c r="G311" s="16"/>
      <c r="H311" s="16"/>
      <c r="I311" s="18"/>
      <c r="K311"/>
      <c r="L311"/>
    </row>
    <row r="312" spans="1:13">
      <c r="A312" s="16"/>
      <c r="B312" s="16"/>
      <c r="C312" s="17"/>
      <c r="D312" s="12"/>
      <c r="E312" s="12"/>
      <c r="F312" s="12"/>
      <c r="G312" s="16"/>
      <c r="H312" s="16"/>
      <c r="I312" s="18"/>
      <c r="K312"/>
      <c r="L312"/>
    </row>
    <row r="313" spans="1:13">
      <c r="A313" s="16"/>
      <c r="B313" s="16"/>
      <c r="C313" s="17"/>
      <c r="D313" s="12"/>
      <c r="E313" s="12"/>
      <c r="F313" s="12"/>
      <c r="G313" s="16"/>
      <c r="H313" s="16"/>
      <c r="I313" s="18"/>
      <c r="K313"/>
      <c r="L313"/>
    </row>
    <row r="314" spans="1:13">
      <c r="A314" s="16"/>
      <c r="B314" s="16"/>
      <c r="C314" s="17"/>
      <c r="D314" s="12"/>
      <c r="E314" s="12"/>
      <c r="F314" s="12"/>
      <c r="G314" s="16"/>
      <c r="H314" s="16"/>
      <c r="I314" s="18"/>
      <c r="K314"/>
      <c r="L314"/>
    </row>
    <row r="315" spans="1:13">
      <c r="A315" s="16"/>
      <c r="B315" s="16"/>
      <c r="C315" s="17"/>
      <c r="D315" s="12"/>
      <c r="E315" s="12"/>
      <c r="F315" s="12"/>
      <c r="G315" s="16"/>
      <c r="H315" s="16"/>
      <c r="I315" s="18"/>
      <c r="K315"/>
      <c r="L315"/>
    </row>
    <row r="316" spans="1:13">
      <c r="A316" s="16"/>
      <c r="B316" s="16"/>
      <c r="C316" s="17"/>
      <c r="D316" s="12"/>
      <c r="E316" s="12"/>
      <c r="F316" s="12"/>
      <c r="G316" s="16"/>
      <c r="H316" s="16"/>
      <c r="I316" s="18"/>
      <c r="K316"/>
      <c r="L316"/>
    </row>
    <row r="317" spans="1:13">
      <c r="A317" s="16"/>
      <c r="B317" s="16"/>
      <c r="C317" s="17"/>
      <c r="D317" s="12"/>
      <c r="E317" s="12"/>
      <c r="F317" s="12"/>
      <c r="G317" s="16"/>
      <c r="H317" s="16"/>
      <c r="I317" s="18"/>
      <c r="K317"/>
      <c r="L317"/>
    </row>
    <row r="318" spans="1:13">
      <c r="A318" s="16"/>
      <c r="B318" s="16"/>
      <c r="C318" s="17"/>
      <c r="D318" s="12"/>
      <c r="E318" s="12"/>
      <c r="F318" s="12"/>
      <c r="G318" s="16"/>
      <c r="H318" s="16"/>
      <c r="I318" s="18"/>
      <c r="K318"/>
      <c r="L318"/>
    </row>
    <row r="319" spans="1:13">
      <c r="A319" s="16"/>
      <c r="B319" s="16"/>
      <c r="C319" s="17"/>
      <c r="D319" s="12"/>
      <c r="E319" s="12"/>
      <c r="F319" s="12"/>
      <c r="G319" s="16"/>
      <c r="H319" s="16"/>
      <c r="I319" s="18"/>
      <c r="K319"/>
      <c r="L319"/>
    </row>
    <row r="320" spans="1:13">
      <c r="A320" s="16"/>
      <c r="B320" s="16"/>
      <c r="C320" s="17"/>
      <c r="D320" s="12"/>
      <c r="E320" s="12"/>
      <c r="F320" s="12"/>
      <c r="G320" s="16"/>
      <c r="H320" s="16"/>
      <c r="I320" s="18"/>
      <c r="K320"/>
      <c r="L320"/>
      <c r="M320" s="59"/>
    </row>
    <row r="321" spans="1:25">
      <c r="A321" s="16"/>
      <c r="B321" s="16"/>
      <c r="C321" s="17"/>
      <c r="D321" s="12"/>
      <c r="E321" s="12"/>
      <c r="F321" s="12"/>
      <c r="G321" s="16"/>
      <c r="H321" s="16"/>
      <c r="I321" s="18"/>
      <c r="K321"/>
      <c r="L321"/>
      <c r="M321" s="59"/>
    </row>
    <row r="322" spans="1:25">
      <c r="A322" s="16"/>
      <c r="B322" s="16"/>
      <c r="C322" s="17"/>
      <c r="D322" s="12"/>
      <c r="E322" s="12"/>
      <c r="F322" s="12"/>
      <c r="G322" s="16"/>
      <c r="H322" s="16"/>
      <c r="I322" s="18"/>
      <c r="K322"/>
      <c r="L322"/>
    </row>
    <row r="323" spans="1:25">
      <c r="A323" s="16"/>
      <c r="B323" s="16"/>
      <c r="C323" s="17"/>
      <c r="D323" s="12"/>
      <c r="E323" s="12"/>
      <c r="F323" s="12"/>
      <c r="G323" s="16"/>
      <c r="H323" s="16"/>
      <c r="I323" s="18"/>
      <c r="K323"/>
      <c r="L323"/>
    </row>
    <row r="324" spans="1:25">
      <c r="A324" s="16"/>
      <c r="B324" s="16"/>
      <c r="C324" s="17"/>
      <c r="D324" s="12"/>
      <c r="E324" s="12"/>
      <c r="F324" s="12"/>
      <c r="G324" s="16"/>
      <c r="H324" s="16"/>
      <c r="I324" s="18"/>
      <c r="K324"/>
      <c r="L324"/>
    </row>
    <row r="325" spans="1:25">
      <c r="A325" s="16"/>
      <c r="B325" s="16"/>
      <c r="C325" s="17"/>
      <c r="D325" s="12"/>
      <c r="E325" s="12"/>
      <c r="F325" s="12"/>
      <c r="G325" s="16"/>
      <c r="H325" s="16"/>
      <c r="I325" s="18"/>
      <c r="K325"/>
      <c r="L325"/>
    </row>
    <row r="326" spans="1:25">
      <c r="A326" s="16"/>
      <c r="B326" s="16"/>
      <c r="C326" s="17"/>
      <c r="D326" s="12"/>
      <c r="E326" s="12"/>
      <c r="F326" s="12"/>
      <c r="G326" s="16"/>
      <c r="H326" s="16"/>
      <c r="I326" s="18"/>
      <c r="K326"/>
      <c r="L326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</row>
    <row r="327" spans="1:25">
      <c r="A327" s="16"/>
      <c r="B327" s="16"/>
      <c r="C327" s="17"/>
      <c r="D327" s="12"/>
      <c r="E327" s="12"/>
      <c r="F327" s="12"/>
      <c r="G327" s="16"/>
      <c r="H327" s="16"/>
      <c r="I327" s="18"/>
      <c r="K327"/>
      <c r="L327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</row>
    <row r="328" spans="1:25">
      <c r="A328" s="16"/>
      <c r="B328" s="16"/>
      <c r="C328" s="17"/>
      <c r="D328" s="12"/>
      <c r="E328" s="12"/>
      <c r="F328" s="12"/>
      <c r="G328" s="16"/>
      <c r="H328" s="16"/>
      <c r="I328" s="18"/>
      <c r="K328"/>
      <c r="L328"/>
    </row>
    <row r="329" spans="1:25">
      <c r="A329" s="16"/>
      <c r="B329" s="16"/>
      <c r="C329" s="17"/>
      <c r="D329" s="12"/>
      <c r="E329" s="12"/>
      <c r="F329" s="12"/>
      <c r="G329" s="16"/>
      <c r="H329" s="16"/>
      <c r="I329" s="18"/>
      <c r="K329"/>
      <c r="L329"/>
    </row>
    <row r="330" spans="1:25" s="59" customFormat="1">
      <c r="A330" s="16"/>
      <c r="B330" s="16"/>
      <c r="C330" s="17"/>
      <c r="D330" s="12"/>
      <c r="E330" s="12"/>
      <c r="F330" s="12"/>
      <c r="G330" s="16"/>
      <c r="H330" s="16"/>
      <c r="I330" s="18"/>
      <c r="K330"/>
      <c r="L330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s="59" customFormat="1">
      <c r="A331" s="16"/>
      <c r="B331" s="16"/>
      <c r="C331" s="17"/>
      <c r="D331" s="12"/>
      <c r="E331" s="12"/>
      <c r="F331" s="12"/>
      <c r="G331" s="16"/>
      <c r="H331" s="16"/>
      <c r="I331" s="18"/>
      <c r="K331"/>
      <c r="L331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>
      <c r="A332" s="16"/>
      <c r="B332" s="16"/>
      <c r="C332" s="17"/>
      <c r="D332" s="12"/>
      <c r="E332" s="12"/>
      <c r="F332" s="12"/>
      <c r="G332" s="16"/>
      <c r="H332" s="16"/>
      <c r="I332" s="18"/>
      <c r="K332"/>
      <c r="L332"/>
    </row>
    <row r="333" spans="1:25">
      <c r="K333"/>
      <c r="L333"/>
    </row>
    <row r="334" spans="1:25">
      <c r="K334"/>
      <c r="L334"/>
    </row>
    <row r="335" spans="1:25">
      <c r="K335"/>
      <c r="L335"/>
    </row>
    <row r="336" spans="1:25">
      <c r="K336"/>
      <c r="L336"/>
    </row>
    <row r="337" spans="11:12">
      <c r="K337"/>
      <c r="L337"/>
    </row>
    <row r="338" spans="11:12">
      <c r="K338"/>
      <c r="L338"/>
    </row>
    <row r="339" spans="11:12">
      <c r="K339"/>
      <c r="L339"/>
    </row>
    <row r="340" spans="11:12">
      <c r="K340"/>
      <c r="L340"/>
    </row>
    <row r="341" spans="11:12">
      <c r="K341"/>
      <c r="L341"/>
    </row>
    <row r="342" spans="11:12">
      <c r="K342"/>
      <c r="L342"/>
    </row>
    <row r="343" spans="11:12">
      <c r="K343"/>
      <c r="L343"/>
    </row>
    <row r="344" spans="11:12">
      <c r="K344"/>
      <c r="L344"/>
    </row>
    <row r="345" spans="11:12">
      <c r="K345"/>
      <c r="L345"/>
    </row>
    <row r="346" spans="11:12">
      <c r="K346"/>
      <c r="L346"/>
    </row>
    <row r="347" spans="11:12">
      <c r="K347"/>
      <c r="L347"/>
    </row>
    <row r="348" spans="11:12">
      <c r="K348"/>
      <c r="L348"/>
    </row>
    <row r="349" spans="11:12">
      <c r="K349"/>
      <c r="L349"/>
    </row>
    <row r="350" spans="11:12">
      <c r="K350"/>
      <c r="L350"/>
    </row>
    <row r="351" spans="11:12">
      <c r="K351"/>
      <c r="L351"/>
    </row>
    <row r="352" spans="11:12">
      <c r="K352"/>
      <c r="L352"/>
    </row>
    <row r="353" spans="1:25">
      <c r="K353"/>
      <c r="L353"/>
    </row>
    <row r="354" spans="1:25">
      <c r="K354"/>
      <c r="L354"/>
      <c r="M354" s="162"/>
    </row>
    <row r="355" spans="1:25">
      <c r="K355"/>
      <c r="L355"/>
    </row>
    <row r="356" spans="1:25">
      <c r="K356"/>
      <c r="L356"/>
    </row>
    <row r="357" spans="1:25">
      <c r="K357"/>
      <c r="L357"/>
    </row>
    <row r="358" spans="1:25">
      <c r="K358"/>
      <c r="L358"/>
    </row>
    <row r="359" spans="1:25">
      <c r="K359"/>
      <c r="L359"/>
    </row>
    <row r="360" spans="1:25">
      <c r="K360"/>
      <c r="L360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</row>
    <row r="361" spans="1:25">
      <c r="K361"/>
      <c r="L361"/>
    </row>
    <row r="362" spans="1:25">
      <c r="K362"/>
      <c r="L362"/>
    </row>
    <row r="363" spans="1:25">
      <c r="K363"/>
      <c r="L363"/>
    </row>
    <row r="364" spans="1:25" s="162" customFormat="1">
      <c r="A364" s="13"/>
      <c r="B364" s="13"/>
      <c r="C364" s="13"/>
      <c r="D364" s="13"/>
      <c r="E364" s="13"/>
      <c r="F364" s="13"/>
      <c r="G364" s="13"/>
      <c r="H364" s="13"/>
      <c r="I364" s="13"/>
      <c r="K364"/>
      <c r="L364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>
      <c r="K365"/>
      <c r="L365"/>
    </row>
    <row r="366" spans="1:25">
      <c r="K366"/>
      <c r="L366"/>
    </row>
    <row r="367" spans="1:25">
      <c r="K367"/>
      <c r="L367"/>
      <c r="M367" s="164"/>
    </row>
    <row r="368" spans="1:25">
      <c r="K368"/>
      <c r="L368"/>
    </row>
    <row r="369" spans="1:25">
      <c r="K369"/>
      <c r="L369"/>
    </row>
    <row r="370" spans="1:25">
      <c r="K370"/>
      <c r="L370"/>
    </row>
    <row r="371" spans="1:25">
      <c r="K371"/>
      <c r="L371"/>
    </row>
    <row r="372" spans="1:25">
      <c r="K372"/>
      <c r="L372"/>
    </row>
    <row r="373" spans="1:25">
      <c r="K373"/>
      <c r="L373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</row>
    <row r="374" spans="1:25">
      <c r="K374"/>
      <c r="L374"/>
    </row>
    <row r="375" spans="1:25">
      <c r="K375"/>
      <c r="L375"/>
    </row>
    <row r="376" spans="1:25">
      <c r="K376"/>
      <c r="L376"/>
    </row>
    <row r="377" spans="1:25" s="164" customForma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/>
      <c r="L377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>
      <c r="J378" s="19">
        <v>1880</v>
      </c>
      <c r="K378"/>
      <c r="L378"/>
    </row>
    <row r="379" spans="1:25">
      <c r="K379"/>
      <c r="L379"/>
      <c r="M379" s="164"/>
    </row>
    <row r="380" spans="1:25">
      <c r="K380"/>
      <c r="L380"/>
      <c r="M380" s="162"/>
    </row>
    <row r="381" spans="1:25">
      <c r="K381"/>
      <c r="L381"/>
      <c r="M381" s="164"/>
    </row>
    <row r="382" spans="1:25">
      <c r="K382"/>
      <c r="L382"/>
      <c r="M382" s="162"/>
    </row>
    <row r="383" spans="1:25">
      <c r="K383"/>
      <c r="L383"/>
      <c r="M383" s="162"/>
    </row>
    <row r="384" spans="1:25">
      <c r="K384"/>
      <c r="L384"/>
      <c r="M384" s="162"/>
    </row>
    <row r="385" spans="1:25">
      <c r="K385"/>
      <c r="L385"/>
      <c r="M385" s="162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</row>
    <row r="386" spans="1:25">
      <c r="K386"/>
      <c r="L386"/>
      <c r="M386" s="164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</row>
    <row r="387" spans="1:25">
      <c r="K387"/>
      <c r="L387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</row>
    <row r="388" spans="1:25">
      <c r="K388"/>
      <c r="L388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</row>
    <row r="389" spans="1:25" s="164" customForma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/>
      <c r="L389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</row>
    <row r="390" spans="1:25" s="162" customForma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/>
      <c r="L390"/>
      <c r="M390" s="164"/>
    </row>
    <row r="391" spans="1:25" s="164" customForma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/>
      <c r="L391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</row>
    <row r="392" spans="1:25" s="162" customForma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/>
      <c r="L392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</row>
    <row r="393" spans="1:25" s="162" customForma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/>
      <c r="L393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</row>
    <row r="394" spans="1:25" s="162" customForma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/>
      <c r="L394"/>
    </row>
    <row r="395" spans="1:25" s="162" customForma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/>
      <c r="L395"/>
      <c r="M395" s="59"/>
    </row>
    <row r="396" spans="1:25" s="164" customForma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/>
      <c r="L396"/>
      <c r="M396" s="13"/>
    </row>
    <row r="397" spans="1:25" s="164" customForma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/>
      <c r="L397"/>
      <c r="M397" s="13"/>
    </row>
    <row r="398" spans="1:25" s="162" customForma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/>
      <c r="L398"/>
      <c r="M398" s="13"/>
    </row>
    <row r="399" spans="1:25" s="162" customForma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/>
      <c r="L399"/>
      <c r="M399" s="13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</row>
    <row r="400" spans="1:25" s="164" customForma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/>
      <c r="L400"/>
      <c r="M400" s="59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</row>
    <row r="401" spans="1:25" s="164" customForma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/>
      <c r="L401"/>
      <c r="M401" s="13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</row>
    <row r="402" spans="1:25" s="162" customForma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/>
      <c r="L402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s="164" customForma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/>
      <c r="L40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s="162" customForma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/>
      <c r="L404"/>
      <c r="M404" s="59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s="59" customFormat="1">
      <c r="A405" s="13"/>
      <c r="B405" s="13"/>
      <c r="C405" s="13"/>
      <c r="D405" s="13"/>
      <c r="E405" s="13"/>
      <c r="F405" s="13"/>
      <c r="G405" s="13"/>
      <c r="H405" s="13"/>
      <c r="I405" s="13"/>
      <c r="K405"/>
      <c r="L405"/>
      <c r="M405" s="162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>
      <c r="K406"/>
      <c r="L406"/>
      <c r="M406" s="162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</row>
    <row r="407" spans="1:25">
      <c r="K407"/>
      <c r="L407"/>
      <c r="M407" s="162"/>
    </row>
    <row r="408" spans="1:25">
      <c r="K408"/>
      <c r="L408"/>
    </row>
    <row r="409" spans="1:25">
      <c r="K409"/>
      <c r="L409"/>
    </row>
    <row r="410" spans="1:25" s="59" customFormat="1">
      <c r="A410" s="13"/>
      <c r="B410" s="13"/>
      <c r="C410" s="13"/>
      <c r="D410" s="13"/>
      <c r="E410" s="13"/>
      <c r="F410" s="13"/>
      <c r="G410" s="13"/>
      <c r="H410" s="13"/>
      <c r="I410" s="13"/>
      <c r="K410"/>
      <c r="L410"/>
      <c r="M410" s="13"/>
    </row>
    <row r="411" spans="1:25">
      <c r="K411"/>
      <c r="L411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</row>
    <row r="412" spans="1:25">
      <c r="K412"/>
      <c r="L41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</row>
    <row r="413" spans="1:25">
      <c r="K413"/>
      <c r="L413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</row>
    <row r="414" spans="1:25" s="59" customFormat="1">
      <c r="A414" s="13"/>
      <c r="B414" s="13"/>
      <c r="C414" s="13"/>
      <c r="D414" s="13"/>
      <c r="E414" s="13"/>
      <c r="F414" s="13"/>
      <c r="G414" s="13"/>
      <c r="H414" s="13"/>
      <c r="I414" s="13"/>
      <c r="K414"/>
      <c r="L414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s="162" customFormat="1">
      <c r="A415" s="13"/>
      <c r="B415" s="13"/>
      <c r="C415" s="13"/>
      <c r="D415" s="13"/>
      <c r="E415" s="13"/>
      <c r="F415" s="13"/>
      <c r="G415" s="13"/>
      <c r="H415" s="13"/>
      <c r="I415" s="13"/>
      <c r="K415"/>
      <c r="L415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s="162" customFormat="1">
      <c r="A416" s="13"/>
      <c r="B416" s="13"/>
      <c r="C416" s="13"/>
      <c r="D416" s="13"/>
      <c r="E416" s="13"/>
      <c r="F416" s="13"/>
      <c r="G416" s="13"/>
      <c r="H416" s="13"/>
      <c r="I416" s="13"/>
      <c r="K416"/>
      <c r="L416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s="162" customFormat="1">
      <c r="A417" s="13"/>
      <c r="B417" s="13"/>
      <c r="C417" s="13"/>
      <c r="D417" s="13"/>
      <c r="E417" s="13"/>
      <c r="F417" s="13"/>
      <c r="G417" s="13"/>
      <c r="H417" s="13"/>
      <c r="I417" s="13"/>
      <c r="K417"/>
      <c r="L417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>
      <c r="K418"/>
      <c r="L418"/>
    </row>
    <row r="419" spans="1:25">
      <c r="K419"/>
      <c r="L419"/>
    </row>
    <row r="420" spans="1:25">
      <c r="K420"/>
      <c r="L420"/>
    </row>
    <row r="421" spans="1:25">
      <c r="K421"/>
      <c r="L421"/>
    </row>
    <row r="422" spans="1:25">
      <c r="K422"/>
      <c r="L422"/>
    </row>
    <row r="423" spans="1:25">
      <c r="K423"/>
      <c r="L423"/>
    </row>
    <row r="424" spans="1:25">
      <c r="K424"/>
      <c r="L424"/>
    </row>
    <row r="425" spans="1:25">
      <c r="K425"/>
      <c r="L425"/>
    </row>
    <row r="426" spans="1:25">
      <c r="K426"/>
      <c r="L426"/>
    </row>
    <row r="427" spans="1:25">
      <c r="K427"/>
      <c r="L427"/>
    </row>
    <row r="428" spans="1:25">
      <c r="J428" s="181" t="s">
        <v>93</v>
      </c>
      <c r="K428"/>
      <c r="L428"/>
    </row>
    <row r="429" spans="1:25">
      <c r="K429"/>
      <c r="L429"/>
    </row>
    <row r="430" spans="1:25">
      <c r="K430"/>
      <c r="L430"/>
    </row>
    <row r="431" spans="1:25">
      <c r="K431"/>
      <c r="L431"/>
    </row>
    <row r="432" spans="1:25">
      <c r="K432"/>
      <c r="L432"/>
    </row>
    <row r="433" spans="10:13">
      <c r="K433"/>
      <c r="L433"/>
    </row>
    <row r="434" spans="10:13">
      <c r="K434"/>
      <c r="L434"/>
    </row>
    <row r="435" spans="10:13">
      <c r="K435"/>
      <c r="L435"/>
    </row>
    <row r="436" spans="10:13">
      <c r="K436"/>
      <c r="L436"/>
    </row>
    <row r="437" spans="10:13">
      <c r="K437"/>
      <c r="L437"/>
    </row>
    <row r="438" spans="10:13">
      <c r="J438" s="60"/>
      <c r="K438"/>
      <c r="L438"/>
    </row>
    <row r="439" spans="10:13">
      <c r="J439" s="59"/>
      <c r="K439"/>
      <c r="L439"/>
    </row>
    <row r="440" spans="10:13">
      <c r="J440" s="59"/>
      <c r="K440"/>
      <c r="L440"/>
    </row>
    <row r="441" spans="10:13">
      <c r="K441"/>
      <c r="L441"/>
    </row>
    <row r="442" spans="10:13">
      <c r="K442"/>
      <c r="L442"/>
    </row>
    <row r="443" spans="10:13">
      <c r="K443"/>
      <c r="L443"/>
    </row>
    <row r="444" spans="10:13">
      <c r="K444"/>
      <c r="L444"/>
    </row>
    <row r="445" spans="10:13">
      <c r="K445"/>
      <c r="L445"/>
    </row>
    <row r="446" spans="10:13">
      <c r="K446"/>
      <c r="L446"/>
    </row>
    <row r="447" spans="10:13">
      <c r="K447"/>
      <c r="L447"/>
    </row>
    <row r="448" spans="10:13">
      <c r="K448"/>
      <c r="L448"/>
      <c r="M448" s="59"/>
    </row>
    <row r="449" spans="1:25">
      <c r="K449"/>
      <c r="L449"/>
    </row>
    <row r="450" spans="1:25">
      <c r="K450"/>
      <c r="L450"/>
      <c r="M450" s="59"/>
    </row>
    <row r="451" spans="1:25">
      <c r="K451"/>
      <c r="L451"/>
      <c r="M451" s="59"/>
    </row>
    <row r="452" spans="1:25">
      <c r="K452"/>
      <c r="L452"/>
    </row>
    <row r="453" spans="1:25">
      <c r="K453"/>
      <c r="L453"/>
      <c r="M453" s="59"/>
    </row>
    <row r="454" spans="1:25">
      <c r="K454"/>
      <c r="L454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</row>
    <row r="455" spans="1:25">
      <c r="K455"/>
      <c r="L455"/>
      <c r="M455" s="59"/>
    </row>
    <row r="456" spans="1:25">
      <c r="K456"/>
      <c r="L456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</row>
    <row r="457" spans="1:25">
      <c r="K457"/>
      <c r="L457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</row>
    <row r="458" spans="1:25" s="59" customFormat="1">
      <c r="A458" s="13"/>
      <c r="B458" s="13"/>
      <c r="C458" s="13"/>
      <c r="D458" s="13"/>
      <c r="E458" s="13"/>
      <c r="F458" s="13"/>
      <c r="G458" s="13"/>
      <c r="H458" s="13"/>
      <c r="I458" s="13"/>
      <c r="K458"/>
      <c r="L458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>
      <c r="K459"/>
      <c r="L4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</row>
    <row r="460" spans="1:25" s="59" customFormat="1">
      <c r="A460" s="13"/>
      <c r="B460" s="13"/>
      <c r="C460" s="13"/>
      <c r="D460" s="13"/>
      <c r="E460" s="13"/>
      <c r="F460" s="13"/>
      <c r="G460" s="13"/>
      <c r="H460" s="13"/>
      <c r="I460" s="13"/>
      <c r="K460"/>
      <c r="L460"/>
      <c r="M460" s="162"/>
    </row>
    <row r="461" spans="1:25" s="59" customFormat="1">
      <c r="A461" s="13"/>
      <c r="B461" s="13"/>
      <c r="C461" s="13"/>
      <c r="D461" s="13"/>
      <c r="E461" s="13"/>
      <c r="F461" s="13"/>
      <c r="G461" s="13"/>
      <c r="H461" s="13"/>
      <c r="I461" s="13"/>
      <c r="K461"/>
      <c r="L461"/>
    </row>
    <row r="462" spans="1:25">
      <c r="K462"/>
      <c r="L462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</row>
    <row r="463" spans="1:25" s="59" customFormat="1">
      <c r="A463" s="13"/>
      <c r="B463" s="13"/>
      <c r="C463" s="13"/>
      <c r="D463" s="13"/>
      <c r="E463" s="13"/>
      <c r="F463" s="13"/>
      <c r="G463" s="13"/>
      <c r="H463" s="13"/>
      <c r="I463" s="13"/>
      <c r="K463"/>
      <c r="L463"/>
    </row>
    <row r="464" spans="1:25" s="59" customFormat="1">
      <c r="A464" s="13"/>
      <c r="B464" s="13"/>
      <c r="C464" s="13"/>
      <c r="D464" s="13"/>
      <c r="E464" s="13"/>
      <c r="F464" s="13"/>
      <c r="G464" s="13"/>
      <c r="H464" s="13"/>
      <c r="I464" s="13"/>
      <c r="K464"/>
      <c r="L464"/>
    </row>
    <row r="465" spans="1:25" s="59" customFormat="1">
      <c r="A465" s="13"/>
      <c r="B465" s="13"/>
      <c r="C465" s="13"/>
      <c r="D465" s="13"/>
      <c r="E465" s="13"/>
      <c r="F465" s="13"/>
      <c r="G465" s="13"/>
      <c r="H465" s="13"/>
      <c r="I465" s="13"/>
      <c r="K465"/>
      <c r="L465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s="59" customFormat="1">
      <c r="A466" s="13"/>
      <c r="B466" s="13"/>
      <c r="C466" s="13"/>
      <c r="D466" s="13"/>
      <c r="E466" s="13"/>
      <c r="F466" s="13"/>
      <c r="G466" s="13"/>
      <c r="H466" s="13"/>
      <c r="I466" s="13"/>
      <c r="K466"/>
      <c r="L466"/>
      <c r="M466" s="13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</row>
    <row r="467" spans="1:25" s="59" customFormat="1">
      <c r="A467" s="13"/>
      <c r="B467" s="13"/>
      <c r="C467" s="13"/>
      <c r="D467" s="13"/>
      <c r="E467" s="13"/>
      <c r="F467" s="13"/>
      <c r="G467" s="13"/>
      <c r="H467" s="13"/>
      <c r="I467" s="13"/>
      <c r="K467"/>
      <c r="L467"/>
      <c r="M467" s="13"/>
    </row>
    <row r="468" spans="1:25" s="59" customFormat="1">
      <c r="A468" s="13"/>
      <c r="B468" s="13"/>
      <c r="C468" s="13"/>
      <c r="D468" s="13"/>
      <c r="E468" s="13"/>
      <c r="F468" s="13"/>
      <c r="G468" s="13"/>
      <c r="H468" s="13"/>
      <c r="I468" s="13"/>
      <c r="K468"/>
      <c r="L468"/>
      <c r="M468" s="13"/>
    </row>
    <row r="469" spans="1:25">
      <c r="K469"/>
      <c r="L46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</row>
    <row r="470" spans="1:25" s="162" customFormat="1">
      <c r="A470" s="13"/>
      <c r="B470" s="13"/>
      <c r="C470" s="13"/>
      <c r="D470" s="13"/>
      <c r="E470" s="13"/>
      <c r="F470" s="13"/>
      <c r="G470" s="13"/>
      <c r="H470" s="13"/>
      <c r="I470" s="13"/>
      <c r="K470"/>
      <c r="L470"/>
      <c r="M470" s="13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</row>
    <row r="471" spans="1:25" s="59" customFormat="1">
      <c r="A471" s="13"/>
      <c r="B471" s="13"/>
      <c r="C471" s="13"/>
      <c r="D471" s="13"/>
      <c r="E471" s="13"/>
      <c r="F471" s="13"/>
      <c r="G471" s="13"/>
      <c r="H471" s="13"/>
      <c r="I471" s="13"/>
      <c r="K471"/>
      <c r="L471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s="59" customFormat="1">
      <c r="A472" s="13"/>
      <c r="B472" s="13"/>
      <c r="C472" s="13"/>
      <c r="D472" s="13"/>
      <c r="E472" s="13"/>
      <c r="F472" s="13"/>
      <c r="G472" s="13"/>
      <c r="H472" s="13"/>
      <c r="I472" s="13"/>
      <c r="K472"/>
      <c r="L472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s="59" customFormat="1">
      <c r="A473" s="13"/>
      <c r="B473" s="13"/>
      <c r="C473" s="13"/>
      <c r="D473" s="13"/>
      <c r="E473" s="13"/>
      <c r="F473" s="13"/>
      <c r="G473" s="13"/>
      <c r="H473" s="13"/>
      <c r="I473" s="13"/>
      <c r="K473"/>
      <c r="L47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s="59" customFormat="1">
      <c r="A474" s="13"/>
      <c r="B474" s="13"/>
      <c r="C474" s="13"/>
      <c r="D474" s="13"/>
      <c r="E474" s="13"/>
      <c r="F474" s="13"/>
      <c r="G474" s="13"/>
      <c r="H474" s="13"/>
      <c r="I474" s="13"/>
      <c r="K474"/>
      <c r="L474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>
      <c r="K475"/>
      <c r="L475"/>
    </row>
    <row r="476" spans="1:25">
      <c r="K476"/>
      <c r="L476"/>
    </row>
    <row r="477" spans="1:25">
      <c r="K477"/>
      <c r="L477"/>
    </row>
    <row r="478" spans="1:25">
      <c r="K478"/>
      <c r="L478"/>
    </row>
    <row r="479" spans="1:25">
      <c r="K479"/>
      <c r="L479"/>
    </row>
    <row r="480" spans="1:25">
      <c r="K480"/>
      <c r="L480"/>
    </row>
    <row r="481" spans="11:13">
      <c r="K481"/>
      <c r="L481"/>
    </row>
    <row r="482" spans="11:13">
      <c r="K482"/>
      <c r="L482"/>
    </row>
    <row r="483" spans="11:13">
      <c r="K483"/>
      <c r="L483"/>
    </row>
    <row r="484" spans="11:13">
      <c r="K484"/>
      <c r="L484"/>
    </row>
    <row r="485" spans="11:13">
      <c r="K485"/>
      <c r="L485"/>
    </row>
    <row r="486" spans="11:13">
      <c r="K486"/>
      <c r="L486"/>
    </row>
    <row r="487" spans="11:13">
      <c r="K487"/>
      <c r="L487"/>
    </row>
    <row r="488" spans="11:13">
      <c r="K488"/>
      <c r="L488"/>
    </row>
    <row r="489" spans="11:13">
      <c r="K489"/>
      <c r="L489"/>
    </row>
    <row r="490" spans="11:13">
      <c r="K490"/>
      <c r="L490"/>
    </row>
    <row r="491" spans="11:13">
      <c r="K491"/>
      <c r="L491"/>
      <c r="M491" s="59"/>
    </row>
    <row r="492" spans="11:13">
      <c r="K492"/>
      <c r="L492"/>
    </row>
    <row r="493" spans="11:13">
      <c r="K493"/>
      <c r="L493"/>
    </row>
    <row r="494" spans="11:13">
      <c r="K494"/>
      <c r="L494"/>
    </row>
    <row r="495" spans="11:13">
      <c r="K495"/>
      <c r="L495"/>
      <c r="M495" s="59"/>
    </row>
    <row r="496" spans="11:13">
      <c r="K496"/>
      <c r="L496"/>
      <c r="M496" s="42"/>
    </row>
    <row r="497" spans="1:25">
      <c r="K497"/>
      <c r="L497"/>
      <c r="M497" s="42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</row>
    <row r="498" spans="1:25">
      <c r="K498"/>
      <c r="L498"/>
      <c r="M498" s="42"/>
    </row>
    <row r="499" spans="1:25">
      <c r="K499"/>
      <c r="L499"/>
      <c r="M499" s="42"/>
    </row>
    <row r="500" spans="1:25">
      <c r="K500"/>
      <c r="L500"/>
      <c r="M500" s="42"/>
    </row>
    <row r="501" spans="1:25" s="59" customFormat="1">
      <c r="A501" s="13"/>
      <c r="B501" s="13"/>
      <c r="C501" s="13"/>
      <c r="D501" s="13"/>
      <c r="E501" s="13"/>
      <c r="F501" s="13"/>
      <c r="G501" s="13"/>
      <c r="H501" s="13"/>
      <c r="I501" s="13"/>
      <c r="K501"/>
      <c r="L501"/>
      <c r="M501" s="42"/>
    </row>
    <row r="502" spans="1:25">
      <c r="K502"/>
      <c r="L50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</row>
    <row r="503" spans="1:25">
      <c r="K503"/>
      <c r="L503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</row>
    <row r="504" spans="1:25">
      <c r="K504"/>
      <c r="L504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</row>
    <row r="505" spans="1:25" s="59" customFormat="1">
      <c r="A505" s="13"/>
      <c r="B505" s="13"/>
      <c r="C505" s="13"/>
      <c r="D505" s="13"/>
      <c r="E505" s="13"/>
      <c r="F505" s="13"/>
      <c r="G505" s="13"/>
      <c r="H505" s="13"/>
      <c r="I505" s="13"/>
      <c r="K505"/>
      <c r="L505"/>
      <c r="M505" s="13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</row>
    <row r="506" spans="1:25" s="42" customFormat="1">
      <c r="A506" s="13"/>
      <c r="B506" s="13"/>
      <c r="C506" s="13"/>
      <c r="D506" s="13"/>
      <c r="E506" s="13"/>
      <c r="F506" s="13"/>
      <c r="G506" s="13"/>
      <c r="H506" s="13"/>
      <c r="I506" s="13"/>
      <c r="K506"/>
      <c r="L506"/>
      <c r="M506" s="13"/>
    </row>
    <row r="507" spans="1:25" s="42" customFormat="1">
      <c r="A507" s="13"/>
      <c r="B507" s="13"/>
      <c r="C507" s="13"/>
      <c r="D507" s="13"/>
      <c r="E507" s="13"/>
      <c r="F507" s="13"/>
      <c r="G507" s="13"/>
      <c r="H507" s="13"/>
      <c r="I507" s="13"/>
      <c r="K507"/>
      <c r="L507"/>
      <c r="M507" s="13"/>
    </row>
    <row r="508" spans="1:25" s="42" customFormat="1">
      <c r="A508" s="13"/>
      <c r="B508" s="13"/>
      <c r="C508" s="13"/>
      <c r="D508" s="13"/>
      <c r="E508" s="13"/>
      <c r="F508" s="13"/>
      <c r="G508" s="13"/>
      <c r="H508" s="13"/>
      <c r="I508" s="13"/>
      <c r="K508"/>
      <c r="L508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s="42" customFormat="1">
      <c r="A509" s="13"/>
      <c r="B509" s="13"/>
      <c r="C509" s="13"/>
      <c r="D509" s="13"/>
      <c r="E509" s="13"/>
      <c r="F509" s="13"/>
      <c r="G509" s="13"/>
      <c r="H509" s="13"/>
      <c r="I509" s="13"/>
      <c r="K509"/>
      <c r="L509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s="42" customFormat="1">
      <c r="A510" s="13"/>
      <c r="B510" s="13"/>
      <c r="C510" s="13"/>
      <c r="D510" s="13"/>
      <c r="E510" s="13"/>
      <c r="F510" s="13"/>
      <c r="G510" s="13"/>
      <c r="H510" s="13"/>
      <c r="I510" s="13"/>
      <c r="K510"/>
      <c r="L510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s="42" customFormat="1">
      <c r="A511" s="13"/>
      <c r="B511" s="13"/>
      <c r="C511" s="13"/>
      <c r="D511" s="13"/>
      <c r="E511" s="13"/>
      <c r="F511" s="13"/>
      <c r="G511" s="13"/>
      <c r="H511" s="13"/>
      <c r="I511" s="13"/>
      <c r="K511"/>
      <c r="L511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>
      <c r="K512"/>
      <c r="L512"/>
    </row>
    <row r="513" spans="11:12">
      <c r="K513"/>
      <c r="L513"/>
    </row>
    <row r="514" spans="11:12">
      <c r="K514"/>
      <c r="L514"/>
    </row>
    <row r="515" spans="11:12">
      <c r="K515"/>
      <c r="L515"/>
    </row>
    <row r="516" spans="11:12">
      <c r="K516"/>
      <c r="L516"/>
    </row>
    <row r="517" spans="11:12">
      <c r="K517"/>
      <c r="L517"/>
    </row>
    <row r="518" spans="11:12">
      <c r="K518"/>
      <c r="L518"/>
    </row>
    <row r="519" spans="11:12">
      <c r="K519"/>
      <c r="L519"/>
    </row>
    <row r="520" spans="11:12">
      <c r="K520"/>
      <c r="L520"/>
    </row>
    <row r="521" spans="11:12">
      <c r="K521"/>
      <c r="L521"/>
    </row>
    <row r="522" spans="11:12">
      <c r="K522"/>
      <c r="L522"/>
    </row>
    <row r="523" spans="11:12">
      <c r="K523"/>
      <c r="L523"/>
    </row>
    <row r="524" spans="11:12">
      <c r="K524"/>
      <c r="L524"/>
    </row>
    <row r="525" spans="11:12">
      <c r="K525"/>
      <c r="L525"/>
    </row>
    <row r="526" spans="11:12">
      <c r="K526"/>
      <c r="L526"/>
    </row>
    <row r="527" spans="11:12">
      <c r="K527"/>
      <c r="L527"/>
    </row>
    <row r="528" spans="11:12">
      <c r="K528"/>
      <c r="L528"/>
    </row>
    <row r="529" spans="11:12">
      <c r="K529"/>
      <c r="L529"/>
    </row>
    <row r="530" spans="11:12">
      <c r="K530"/>
      <c r="L530"/>
    </row>
    <row r="531" spans="11:12">
      <c r="K531"/>
      <c r="L531"/>
    </row>
    <row r="532" spans="11:12">
      <c r="K532"/>
      <c r="L532"/>
    </row>
    <row r="533" spans="11:12">
      <c r="K533"/>
      <c r="L533"/>
    </row>
    <row r="534" spans="11:12">
      <c r="K534"/>
      <c r="L534"/>
    </row>
    <row r="535" spans="11:12">
      <c r="K535"/>
      <c r="L535"/>
    </row>
    <row r="536" spans="11:12">
      <c r="K536"/>
      <c r="L536"/>
    </row>
    <row r="537" spans="11:12">
      <c r="K537"/>
      <c r="L537"/>
    </row>
    <row r="538" spans="11:12">
      <c r="K538"/>
      <c r="L538"/>
    </row>
    <row r="539" spans="11:12">
      <c r="K539"/>
      <c r="L539"/>
    </row>
    <row r="540" spans="11:12">
      <c r="K540"/>
      <c r="L540"/>
    </row>
    <row r="541" spans="11:12">
      <c r="K541"/>
      <c r="L541"/>
    </row>
    <row r="542" spans="11:12">
      <c r="K542"/>
      <c r="L542"/>
    </row>
    <row r="543" spans="11:12">
      <c r="K543"/>
      <c r="L543"/>
    </row>
    <row r="544" spans="11:12">
      <c r="K544"/>
      <c r="L544"/>
    </row>
    <row r="545" spans="11:12">
      <c r="K545"/>
      <c r="L545"/>
    </row>
    <row r="546" spans="11:12">
      <c r="K546"/>
      <c r="L546"/>
    </row>
    <row r="547" spans="11:12">
      <c r="K547"/>
      <c r="L547"/>
    </row>
    <row r="548" spans="11:12">
      <c r="K548"/>
      <c r="L548"/>
    </row>
    <row r="549" spans="11:12">
      <c r="K549"/>
      <c r="L549"/>
    </row>
    <row r="550" spans="11:12">
      <c r="K550"/>
      <c r="L550"/>
    </row>
    <row r="551" spans="11:12">
      <c r="K551"/>
      <c r="L551"/>
    </row>
    <row r="552" spans="11:12">
      <c r="K552"/>
      <c r="L552"/>
    </row>
    <row r="553" spans="11:12">
      <c r="K553"/>
      <c r="L553"/>
    </row>
    <row r="554" spans="11:12">
      <c r="K554"/>
      <c r="L554"/>
    </row>
    <row r="555" spans="11:12">
      <c r="K555"/>
      <c r="L555"/>
    </row>
    <row r="556" spans="11:12">
      <c r="K556"/>
      <c r="L556"/>
    </row>
    <row r="557" spans="11:12">
      <c r="K557"/>
      <c r="L557"/>
    </row>
    <row r="558" spans="11:12">
      <c r="K558"/>
      <c r="L558"/>
    </row>
    <row r="559" spans="11:12">
      <c r="K559"/>
      <c r="L559"/>
    </row>
    <row r="560" spans="11:12">
      <c r="K560"/>
      <c r="L560"/>
    </row>
    <row r="561" spans="11:12">
      <c r="K561"/>
      <c r="L561"/>
    </row>
    <row r="562" spans="11:12">
      <c r="K562"/>
      <c r="L562"/>
    </row>
    <row r="563" spans="11:12">
      <c r="K563"/>
      <c r="L563"/>
    </row>
    <row r="564" spans="11:12">
      <c r="K564"/>
      <c r="L564"/>
    </row>
    <row r="565" spans="11:12">
      <c r="K565"/>
      <c r="L565"/>
    </row>
    <row r="840" spans="10:10">
      <c r="J840" s="85"/>
    </row>
  </sheetData>
  <autoFilter ref="A1:I309">
    <filterColumn colId="0">
      <filters>
        <filter val="Nintey Nine Group"/>
      </filters>
    </filterColumn>
    <sortState ref="A274:I739">
      <sortCondition ref="D1:D760"/>
    </sortState>
  </autoFilter>
  <sortState ref="A98:Y111">
    <sortCondition ref="B98:B11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9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39" sqref="C39"/>
    </sheetView>
  </sheetViews>
  <sheetFormatPr defaultColWidth="9" defaultRowHeight="14"/>
  <cols>
    <col min="1" max="1" width="43.1171875" style="354" customWidth="1"/>
    <col min="2" max="2" width="12.234375" style="369" bestFit="1" customWidth="1"/>
    <col min="3" max="4" width="13.87890625" style="369" customWidth="1"/>
    <col min="5" max="13" width="13.87890625" style="354" customWidth="1"/>
    <col min="14" max="14" width="13.234375" style="354" customWidth="1"/>
    <col min="15" max="15" width="3.1171875" style="354" customWidth="1"/>
    <col min="16" max="16" width="3.234375" style="354" customWidth="1"/>
    <col min="17" max="16384" width="9" style="354"/>
  </cols>
  <sheetData>
    <row r="1" spans="1:14" ht="10.5" customHeight="1" thickBot="1"/>
    <row r="2" spans="1:14" s="457" customFormat="1" ht="14.35" thickBot="1">
      <c r="A2" s="454" t="s">
        <v>17</v>
      </c>
      <c r="B2" s="455">
        <v>42917</v>
      </c>
      <c r="C2" s="455">
        <v>42948</v>
      </c>
      <c r="D2" s="455">
        <v>42979</v>
      </c>
      <c r="E2" s="455">
        <v>43009</v>
      </c>
      <c r="F2" s="455">
        <v>43040</v>
      </c>
      <c r="G2" s="455">
        <v>43070</v>
      </c>
      <c r="H2" s="455">
        <v>43101</v>
      </c>
      <c r="I2" s="455">
        <v>43132</v>
      </c>
      <c r="J2" s="455">
        <v>43160</v>
      </c>
      <c r="K2" s="455">
        <v>43191</v>
      </c>
      <c r="L2" s="455">
        <v>43221</v>
      </c>
      <c r="M2" s="455">
        <v>43252</v>
      </c>
      <c r="N2" s="456" t="s">
        <v>176</v>
      </c>
    </row>
    <row r="3" spans="1:14">
      <c r="A3" s="457" t="s">
        <v>1673</v>
      </c>
      <c r="B3" s="525">
        <f>SUMIFS('Xero Data'!$J:$J,'Xero Data'!$H:$H,'Cash Flow'!B$2,'Xero Data'!$E:$E,'Cash Flow'!$A3)</f>
        <v>-2</v>
      </c>
      <c r="C3" s="525">
        <f>SUMIFS('Xero Data'!$J:$J,'Xero Data'!$H:$H,'Cash Flow'!C$2,'Xero Data'!$E:$E,'Cash Flow'!$A3)</f>
        <v>-6239.62</v>
      </c>
      <c r="D3" s="525">
        <f>SUMIFS('Xero Data'!$J:$J,'Xero Data'!$H:$H,'Cash Flow'!D$2,'Xero Data'!$E:$E,'Cash Flow'!$A3)</f>
        <v>0</v>
      </c>
      <c r="E3" s="525">
        <f>SUMIFS('Xero Data'!$J:$J,'Xero Data'!$H:$H,'Cash Flow'!E$2,'Xero Data'!$E:$E,'Cash Flow'!$A3)</f>
        <v>0</v>
      </c>
      <c r="F3" s="525">
        <f>SUMIFS('Xero Data'!$J:$J,'Xero Data'!$H:$H,'Cash Flow'!F$2,'Xero Data'!$E:$E,'Cash Flow'!$A3)</f>
        <v>0</v>
      </c>
      <c r="G3" s="525">
        <f>SUMIFS('Xero Data'!$J:$J,'Xero Data'!$H:$H,'Cash Flow'!G$2,'Xero Data'!$E:$E,'Cash Flow'!$A3)</f>
        <v>0</v>
      </c>
      <c r="H3" s="525">
        <f>SUMIFS('Xero Data'!$J:$J,'Xero Data'!$H:$H,'Cash Flow'!H$2,'Xero Data'!$E:$E,'Cash Flow'!$A3)</f>
        <v>0</v>
      </c>
      <c r="I3" s="525">
        <f>SUMIFS('Xero Data'!$J:$J,'Xero Data'!$H:$H,'Cash Flow'!I$2,'Xero Data'!$E:$E,'Cash Flow'!$A3)</f>
        <v>0</v>
      </c>
      <c r="J3" s="525">
        <f>SUMIFS('Xero Data'!$J:$J,'Xero Data'!$H:$H,'Cash Flow'!J$2,'Xero Data'!$E:$E,'Cash Flow'!$A3)</f>
        <v>0</v>
      </c>
      <c r="K3" s="525">
        <f>SUMIFS('Xero Data'!$J:$J,'Xero Data'!$H:$H,'Cash Flow'!K$2,'Xero Data'!$E:$E,'Cash Flow'!$A3)</f>
        <v>0</v>
      </c>
      <c r="L3" s="525">
        <f>SUMIFS('Xero Data'!$J:$J,'Xero Data'!$H:$H,'Cash Flow'!L$2,'Xero Data'!$E:$E,'Cash Flow'!$A3)</f>
        <v>0</v>
      </c>
      <c r="M3" s="525">
        <f>SUMIFS('Xero Data'!$J:$J,'Xero Data'!$H:$H,'Cash Flow'!M$2,'Xero Data'!$E:$E,'Cash Flow'!$A3)</f>
        <v>0</v>
      </c>
      <c r="N3" s="458">
        <f t="shared" ref="N3:N19" si="0">SUM(B3:M3)</f>
        <v>-6241.62</v>
      </c>
    </row>
    <row r="4" spans="1:14">
      <c r="A4" s="457" t="s">
        <v>1674</v>
      </c>
      <c r="B4" s="525">
        <f>SUMIFS('Xero Data'!$J:$J,'Xero Data'!$H:$H,'Cash Flow'!B$2,'Xero Data'!$E:$E,'Cash Flow'!$A4)</f>
        <v>-2247.4299999999998</v>
      </c>
      <c r="C4" s="525">
        <f>SUMIFS('Xero Data'!$J:$J,'Xero Data'!$H:$H,'Cash Flow'!C$2,'Xero Data'!$E:$E,'Cash Flow'!$A4)</f>
        <v>-13228.89</v>
      </c>
      <c r="D4" s="525">
        <f>SUMIFS('Xero Data'!$J:$J,'Xero Data'!$H:$H,'Cash Flow'!D$2,'Xero Data'!$E:$E,'Cash Flow'!$A4)</f>
        <v>0</v>
      </c>
      <c r="E4" s="525">
        <f>SUMIFS('Xero Data'!$J:$J,'Xero Data'!$H:$H,'Cash Flow'!E$2,'Xero Data'!$E:$E,'Cash Flow'!$A4)</f>
        <v>0</v>
      </c>
      <c r="F4" s="525">
        <f>SUMIFS('Xero Data'!$J:$J,'Xero Data'!$H:$H,'Cash Flow'!F$2,'Xero Data'!$E:$E,'Cash Flow'!$A4)</f>
        <v>0</v>
      </c>
      <c r="G4" s="525">
        <f>SUMIFS('Xero Data'!$J:$J,'Xero Data'!$H:$H,'Cash Flow'!G$2,'Xero Data'!$E:$E,'Cash Flow'!$A4)</f>
        <v>0</v>
      </c>
      <c r="H4" s="525">
        <f>SUMIFS('Xero Data'!$J:$J,'Xero Data'!$H:$H,'Cash Flow'!H$2,'Xero Data'!$E:$E,'Cash Flow'!$A4)</f>
        <v>0</v>
      </c>
      <c r="I4" s="525">
        <f>SUMIFS('Xero Data'!$J:$J,'Xero Data'!$H:$H,'Cash Flow'!I$2,'Xero Data'!$E:$E,'Cash Flow'!$A4)</f>
        <v>0</v>
      </c>
      <c r="J4" s="525">
        <f>SUMIFS('Xero Data'!$J:$J,'Xero Data'!$H:$H,'Cash Flow'!J$2,'Xero Data'!$E:$E,'Cash Flow'!$A4)</f>
        <v>0</v>
      </c>
      <c r="K4" s="525">
        <f>SUMIFS('Xero Data'!$J:$J,'Xero Data'!$H:$H,'Cash Flow'!K$2,'Xero Data'!$E:$E,'Cash Flow'!$A4)</f>
        <v>0</v>
      </c>
      <c r="L4" s="525">
        <f>SUMIFS('Xero Data'!$J:$J,'Xero Data'!$H:$H,'Cash Flow'!L$2,'Xero Data'!$E:$E,'Cash Flow'!$A4)</f>
        <v>0</v>
      </c>
      <c r="M4" s="525">
        <f>SUMIFS('Xero Data'!$J:$J,'Xero Data'!$H:$H,'Cash Flow'!M$2,'Xero Data'!$E:$E,'Cash Flow'!$A4)</f>
        <v>0</v>
      </c>
      <c r="N4" s="458">
        <f t="shared" si="0"/>
        <v>-15476.32</v>
      </c>
    </row>
    <row r="5" spans="1:14">
      <c r="A5" s="457" t="s">
        <v>1675</v>
      </c>
      <c r="B5" s="525">
        <f>SUMIFS('Xero Data'!$J:$J,'Xero Data'!$H:$H,'Cash Flow'!B$2,'Xero Data'!$E:$E,'Cash Flow'!$A5)</f>
        <v>-0.06</v>
      </c>
      <c r="C5" s="525">
        <f>SUMIFS('Xero Data'!$J:$J,'Xero Data'!$H:$H,'Cash Flow'!C$2,'Xero Data'!$E:$E,'Cash Flow'!$A5)</f>
        <v>0</v>
      </c>
      <c r="D5" s="525">
        <f>SUMIFS('Xero Data'!$J:$J,'Xero Data'!$H:$H,'Cash Flow'!D$2,'Xero Data'!$E:$E,'Cash Flow'!$A5)</f>
        <v>0</v>
      </c>
      <c r="E5" s="525">
        <f>SUMIFS('Xero Data'!$J:$J,'Xero Data'!$H:$H,'Cash Flow'!E$2,'Xero Data'!$E:$E,'Cash Flow'!$A5)</f>
        <v>0</v>
      </c>
      <c r="F5" s="525">
        <f>SUMIFS('Xero Data'!$J:$J,'Xero Data'!$H:$H,'Cash Flow'!F$2,'Xero Data'!$E:$E,'Cash Flow'!$A5)</f>
        <v>0</v>
      </c>
      <c r="G5" s="525">
        <f>SUMIFS('Xero Data'!$J:$J,'Xero Data'!$H:$H,'Cash Flow'!G$2,'Xero Data'!$E:$E,'Cash Flow'!$A5)</f>
        <v>0</v>
      </c>
      <c r="H5" s="525">
        <f>SUMIFS('Xero Data'!$J:$J,'Xero Data'!$H:$H,'Cash Flow'!H$2,'Xero Data'!$E:$E,'Cash Flow'!$A5)</f>
        <v>0</v>
      </c>
      <c r="I5" s="525">
        <f>SUMIFS('Xero Data'!$J:$J,'Xero Data'!$H:$H,'Cash Flow'!I$2,'Xero Data'!$E:$E,'Cash Flow'!$A5)</f>
        <v>0</v>
      </c>
      <c r="J5" s="525">
        <f>SUMIFS('Xero Data'!$J:$J,'Xero Data'!$H:$H,'Cash Flow'!J$2,'Xero Data'!$E:$E,'Cash Flow'!$A5)</f>
        <v>0</v>
      </c>
      <c r="K5" s="525">
        <f>SUMIFS('Xero Data'!$J:$J,'Xero Data'!$H:$H,'Cash Flow'!K$2,'Xero Data'!$E:$E,'Cash Flow'!$A5)</f>
        <v>0</v>
      </c>
      <c r="L5" s="525">
        <f>SUMIFS('Xero Data'!$J:$J,'Xero Data'!$H:$H,'Cash Flow'!L$2,'Xero Data'!$E:$E,'Cash Flow'!$A5)</f>
        <v>0</v>
      </c>
      <c r="M5" s="525">
        <f>SUMIFS('Xero Data'!$J:$J,'Xero Data'!$H:$H,'Cash Flow'!M$2,'Xero Data'!$E:$E,'Cash Flow'!$A5)</f>
        <v>0</v>
      </c>
      <c r="N5" s="458">
        <f>SUM(B5:M5)</f>
        <v>-0.06</v>
      </c>
    </row>
    <row r="6" spans="1:14">
      <c r="A6" s="457" t="s">
        <v>647</v>
      </c>
      <c r="B6" s="525">
        <f>SUMIFS('Xero Data'!$J:$J,'Xero Data'!$H:$H,'Cash Flow'!B$2,'Xero Data'!$E:$E,'Cash Flow'!$A6)</f>
        <v>0</v>
      </c>
      <c r="C6" s="525">
        <f>SUMIFS('Xero Data'!$J:$J,'Xero Data'!$H:$H,'Cash Flow'!C$2,'Xero Data'!$E:$E,'Cash Flow'!$A6)</f>
        <v>0</v>
      </c>
      <c r="D6" s="525">
        <f>SUMIFS('Xero Data'!$J:$J,'Xero Data'!$H:$H,'Cash Flow'!D$2,'Xero Data'!$E:$E,'Cash Flow'!$A6)</f>
        <v>0</v>
      </c>
      <c r="E6" s="525">
        <f>SUMIFS('Xero Data'!$J:$J,'Xero Data'!$H:$H,'Cash Flow'!E$2,'Xero Data'!$E:$E,'Cash Flow'!$A6)</f>
        <v>0</v>
      </c>
      <c r="F6" s="525">
        <f>SUMIFS('Xero Data'!$J:$J,'Xero Data'!$H:$H,'Cash Flow'!F$2,'Xero Data'!$E:$E,'Cash Flow'!$A6)</f>
        <v>0</v>
      </c>
      <c r="G6" s="525">
        <f>SUMIFS('Xero Data'!$J:$J,'Xero Data'!$H:$H,'Cash Flow'!G$2,'Xero Data'!$E:$E,'Cash Flow'!$A6)</f>
        <v>0</v>
      </c>
      <c r="H6" s="525">
        <f>SUMIFS('Xero Data'!$J:$J,'Xero Data'!$H:$H,'Cash Flow'!H$2,'Xero Data'!$E:$E,'Cash Flow'!$A6)</f>
        <v>0</v>
      </c>
      <c r="I6" s="525">
        <f>SUMIFS('Xero Data'!$J:$J,'Xero Data'!$H:$H,'Cash Flow'!I$2,'Xero Data'!$E:$E,'Cash Flow'!$A6)</f>
        <v>0</v>
      </c>
      <c r="J6" s="525">
        <f>SUMIFS('Xero Data'!$J:$J,'Xero Data'!$H:$H,'Cash Flow'!J$2,'Xero Data'!$E:$E,'Cash Flow'!$A6)</f>
        <v>0</v>
      </c>
      <c r="K6" s="525">
        <f>SUMIFS('Xero Data'!$J:$J,'Xero Data'!$H:$H,'Cash Flow'!K$2,'Xero Data'!$E:$E,'Cash Flow'!$A6)</f>
        <v>0</v>
      </c>
      <c r="L6" s="525">
        <f>SUMIFS('Xero Data'!$J:$J,'Xero Data'!$H:$H,'Cash Flow'!L$2,'Xero Data'!$E:$E,'Cash Flow'!$A6)</f>
        <v>0</v>
      </c>
      <c r="M6" s="525">
        <f>SUMIFS('Xero Data'!$J:$J,'Xero Data'!$H:$H,'Cash Flow'!M$2,'Xero Data'!$E:$E,'Cash Flow'!$A6)</f>
        <v>0</v>
      </c>
      <c r="N6" s="458">
        <f t="shared" si="0"/>
        <v>0</v>
      </c>
    </row>
    <row r="7" spans="1:14">
      <c r="A7" s="457" t="s">
        <v>1015</v>
      </c>
      <c r="B7" s="525">
        <f>SUMIFS('Xero Data'!$J:$J,'Xero Data'!$H:$H,'Cash Flow'!B$2,'Xero Data'!$E:$E,'Cash Flow'!$A7)</f>
        <v>0</v>
      </c>
      <c r="C7" s="525">
        <f>SUMIFS('Xero Data'!$J:$J,'Xero Data'!$H:$H,'Cash Flow'!C$2,'Xero Data'!$E:$E,'Cash Flow'!$A7)</f>
        <v>0</v>
      </c>
      <c r="D7" s="525">
        <f>SUMIFS('Xero Data'!$J:$J,'Xero Data'!$H:$H,'Cash Flow'!D$2,'Xero Data'!$E:$E,'Cash Flow'!$A7)</f>
        <v>0</v>
      </c>
      <c r="E7" s="525">
        <f>SUMIFS('Xero Data'!$J:$J,'Xero Data'!$H:$H,'Cash Flow'!E$2,'Xero Data'!$E:$E,'Cash Flow'!$A7)</f>
        <v>0</v>
      </c>
      <c r="F7" s="525">
        <f>SUMIFS('Xero Data'!$J:$J,'Xero Data'!$H:$H,'Cash Flow'!F$2,'Xero Data'!$E:$E,'Cash Flow'!$A7)</f>
        <v>0</v>
      </c>
      <c r="G7" s="525">
        <f>SUMIFS('Xero Data'!$J:$J,'Xero Data'!$H:$H,'Cash Flow'!G$2,'Xero Data'!$E:$E,'Cash Flow'!$A7)</f>
        <v>0</v>
      </c>
      <c r="H7" s="525">
        <f>SUMIFS('Xero Data'!$J:$J,'Xero Data'!$H:$H,'Cash Flow'!H$2,'Xero Data'!$E:$E,'Cash Flow'!$A7)</f>
        <v>0</v>
      </c>
      <c r="I7" s="525">
        <f>SUMIFS('Xero Data'!$J:$J,'Xero Data'!$H:$H,'Cash Flow'!I$2,'Xero Data'!$E:$E,'Cash Flow'!$A7)</f>
        <v>0</v>
      </c>
      <c r="J7" s="525">
        <f>SUMIFS('Xero Data'!$J:$J,'Xero Data'!$H:$H,'Cash Flow'!J$2,'Xero Data'!$E:$E,'Cash Flow'!$A7)</f>
        <v>0</v>
      </c>
      <c r="K7" s="525">
        <f>SUMIFS('Xero Data'!$J:$J,'Xero Data'!$H:$H,'Cash Flow'!K$2,'Xero Data'!$E:$E,'Cash Flow'!$A7)</f>
        <v>0</v>
      </c>
      <c r="L7" s="525">
        <f>SUMIFS('Xero Data'!$J:$J,'Xero Data'!$H:$H,'Cash Flow'!L$2,'Xero Data'!$E:$E,'Cash Flow'!$A7)</f>
        <v>0</v>
      </c>
      <c r="M7" s="525">
        <f>SUMIFS('Xero Data'!$J:$J,'Xero Data'!$H:$H,'Cash Flow'!M$2,'Xero Data'!$E:$E,'Cash Flow'!$A7)</f>
        <v>0</v>
      </c>
      <c r="N7" s="458">
        <f t="shared" si="0"/>
        <v>0</v>
      </c>
    </row>
    <row r="8" spans="1:14">
      <c r="A8" s="457" t="s">
        <v>1016</v>
      </c>
      <c r="B8" s="525">
        <f>SUMIFS('Xero Data'!$J:$J,'Xero Data'!$H:$H,'Cash Flow'!B$2,'Xero Data'!$E:$E,'Cash Flow'!$A8)</f>
        <v>0</v>
      </c>
      <c r="C8" s="525">
        <f>SUMIFS('Xero Data'!$J:$J,'Xero Data'!$H:$H,'Cash Flow'!C$2,'Xero Data'!$E:$E,'Cash Flow'!$A8)</f>
        <v>0</v>
      </c>
      <c r="D8" s="525">
        <f>SUMIFS('Xero Data'!$J:$J,'Xero Data'!$H:$H,'Cash Flow'!D$2,'Xero Data'!$E:$E,'Cash Flow'!$A8)</f>
        <v>0</v>
      </c>
      <c r="E8" s="525">
        <f>SUMIFS('Xero Data'!$J:$J,'Xero Data'!$H:$H,'Cash Flow'!E$2,'Xero Data'!$E:$E,'Cash Flow'!$A8)</f>
        <v>0</v>
      </c>
      <c r="F8" s="525">
        <f>SUMIFS('Xero Data'!$J:$J,'Xero Data'!$H:$H,'Cash Flow'!F$2,'Xero Data'!$E:$E,'Cash Flow'!$A8)</f>
        <v>0</v>
      </c>
      <c r="G8" s="525">
        <f>SUMIFS('Xero Data'!$J:$J,'Xero Data'!$H:$H,'Cash Flow'!G$2,'Xero Data'!$E:$E,'Cash Flow'!$A8)</f>
        <v>0</v>
      </c>
      <c r="H8" s="525">
        <f>SUMIFS('Xero Data'!$J:$J,'Xero Data'!$H:$H,'Cash Flow'!H$2,'Xero Data'!$E:$E,'Cash Flow'!$A8)</f>
        <v>0</v>
      </c>
      <c r="I8" s="525">
        <f>SUMIFS('Xero Data'!$J:$J,'Xero Data'!$H:$H,'Cash Flow'!I$2,'Xero Data'!$E:$E,'Cash Flow'!$A8)</f>
        <v>0</v>
      </c>
      <c r="J8" s="525">
        <f>SUMIFS('Xero Data'!$J:$J,'Xero Data'!$H:$H,'Cash Flow'!J$2,'Xero Data'!$E:$E,'Cash Flow'!$A8)</f>
        <v>0</v>
      </c>
      <c r="K8" s="525">
        <f>SUMIFS('Xero Data'!$J:$J,'Xero Data'!$H:$H,'Cash Flow'!K$2,'Xero Data'!$E:$E,'Cash Flow'!$A8)</f>
        <v>0</v>
      </c>
      <c r="L8" s="525">
        <f>SUMIFS('Xero Data'!$J:$J,'Xero Data'!$H:$H,'Cash Flow'!L$2,'Xero Data'!$E:$E,'Cash Flow'!$A8)</f>
        <v>0</v>
      </c>
      <c r="M8" s="525">
        <f>SUMIFS('Xero Data'!$J:$J,'Xero Data'!$H:$H,'Cash Flow'!M$2,'Xero Data'!$E:$E,'Cash Flow'!$A8)</f>
        <v>0</v>
      </c>
      <c r="N8" s="458">
        <f t="shared" si="0"/>
        <v>0</v>
      </c>
    </row>
    <row r="9" spans="1:14">
      <c r="A9" s="457" t="s">
        <v>1017</v>
      </c>
      <c r="B9" s="525">
        <f>SUMIFS('Xero Data'!$J:$J,'Xero Data'!$H:$H,'Cash Flow'!B$2,'Xero Data'!$E:$E,'Cash Flow'!$A9)</f>
        <v>0</v>
      </c>
      <c r="C9" s="525">
        <f>SUMIFS('Xero Data'!$J:$J,'Xero Data'!$H:$H,'Cash Flow'!C$2,'Xero Data'!$E:$E,'Cash Flow'!$A9)</f>
        <v>0</v>
      </c>
      <c r="D9" s="525">
        <f>SUMIFS('Xero Data'!$J:$J,'Xero Data'!$H:$H,'Cash Flow'!D$2,'Xero Data'!$E:$E,'Cash Flow'!$A9)</f>
        <v>0</v>
      </c>
      <c r="E9" s="525">
        <f>SUMIFS('Xero Data'!$J:$J,'Xero Data'!$H:$H,'Cash Flow'!E$2,'Xero Data'!$E:$E,'Cash Flow'!$A9)</f>
        <v>0</v>
      </c>
      <c r="F9" s="525">
        <f>SUMIFS('Xero Data'!$J:$J,'Xero Data'!$H:$H,'Cash Flow'!F$2,'Xero Data'!$E:$E,'Cash Flow'!$A9)</f>
        <v>0</v>
      </c>
      <c r="G9" s="525">
        <f>SUMIFS('Xero Data'!$J:$J,'Xero Data'!$H:$H,'Cash Flow'!G$2,'Xero Data'!$E:$E,'Cash Flow'!$A9)</f>
        <v>0</v>
      </c>
      <c r="H9" s="525">
        <f>SUMIFS('Xero Data'!$J:$J,'Xero Data'!$H:$H,'Cash Flow'!H$2,'Xero Data'!$E:$E,'Cash Flow'!$A9)</f>
        <v>0</v>
      </c>
      <c r="I9" s="525">
        <f>SUMIFS('Xero Data'!$J:$J,'Xero Data'!$H:$H,'Cash Flow'!I$2,'Xero Data'!$E:$E,'Cash Flow'!$A9)</f>
        <v>0</v>
      </c>
      <c r="J9" s="525">
        <f>SUMIFS('Xero Data'!$J:$J,'Xero Data'!$H:$H,'Cash Flow'!J$2,'Xero Data'!$E:$E,'Cash Flow'!$A9)</f>
        <v>0</v>
      </c>
      <c r="K9" s="525">
        <f>SUMIFS('Xero Data'!$J:$J,'Xero Data'!$H:$H,'Cash Flow'!K$2,'Xero Data'!$E:$E,'Cash Flow'!$A9)</f>
        <v>0</v>
      </c>
      <c r="L9" s="525">
        <f>SUMIFS('Xero Data'!$J:$J,'Xero Data'!$H:$H,'Cash Flow'!L$2,'Xero Data'!$E:$E,'Cash Flow'!$A9)</f>
        <v>0</v>
      </c>
      <c r="M9" s="525">
        <f>SUMIFS('Xero Data'!$J:$J,'Xero Data'!$H:$H,'Cash Flow'!M$2,'Xero Data'!$E:$E,'Cash Flow'!$A9)</f>
        <v>0</v>
      </c>
      <c r="N9" s="458">
        <f t="shared" si="0"/>
        <v>0</v>
      </c>
    </row>
    <row r="10" spans="1:14">
      <c r="A10" s="457" t="s">
        <v>1667</v>
      </c>
      <c r="B10" s="523">
        <f>SUMIFS('Xero Data'!$L:$L,'Xero Data'!$H:$H,'Cash Flow'!B$2,'Xero Data'!$E:$E,'Cash Flow'!$A10)</f>
        <v>0</v>
      </c>
      <c r="C10" s="523">
        <f>SUMIFS('Xero Data'!$L:$L,'Xero Data'!$H:$H,'Cash Flow'!C$2,'Xero Data'!$E:$E,'Cash Flow'!$A10)</f>
        <v>7965.87</v>
      </c>
      <c r="D10" s="523">
        <f>SUMIFS('Xero Data'!$L:$L,'Xero Data'!$H:$H,'Cash Flow'!D$2,'Xero Data'!$E:$E,'Cash Flow'!$A10)</f>
        <v>0</v>
      </c>
      <c r="E10" s="523">
        <f>SUMIFS('Xero Data'!$L:$L,'Xero Data'!$H:$H,'Cash Flow'!E$2,'Xero Data'!$E:$E,'Cash Flow'!$A10)</f>
        <v>0</v>
      </c>
      <c r="F10" s="686">
        <f>SUMIFS('Xero Data'!$L:$L,'Xero Data'!$H:$H,'Cash Flow'!F$2,'Xero Data'!$E:$E,'Cash Flow'!$A10)</f>
        <v>0</v>
      </c>
      <c r="G10" s="523">
        <f>SUMIFS('Xero Data'!$L:$L,'Xero Data'!$H:$H,'Cash Flow'!G$2,'Xero Data'!$E:$E,'Cash Flow'!$A10)</f>
        <v>0</v>
      </c>
      <c r="H10" s="523">
        <f>SUMIFS('Xero Data'!$L:$L,'Xero Data'!$H:$H,'Cash Flow'!H$2,'Xero Data'!$E:$E,'Cash Flow'!$A10)</f>
        <v>0</v>
      </c>
      <c r="I10" s="523">
        <f>SUMIFS('Xero Data'!$L:$L,'Xero Data'!$H:$H,'Cash Flow'!I$2,'Xero Data'!$E:$E,'Cash Flow'!$A10)</f>
        <v>0</v>
      </c>
      <c r="J10" s="523">
        <f>SUMIFS('Xero Data'!$L:$L,'Xero Data'!$H:$H,'Cash Flow'!J$2,'Xero Data'!$E:$E,'Cash Flow'!$A10)</f>
        <v>0</v>
      </c>
      <c r="K10" s="607">
        <f>SUMIFS('Xero Data'!$L:$L,'Xero Data'!$H:$H,'Cash Flow'!K$2,'Xero Data'!$E:$E,'Cash Flow'!$A10)</f>
        <v>0</v>
      </c>
      <c r="L10" s="523">
        <f>SUMIFS('Xero Data'!$L:$L,'Xero Data'!$H:$H,'Cash Flow'!L$2,'Xero Data'!$E:$E,'Cash Flow'!$A10)</f>
        <v>0</v>
      </c>
      <c r="M10" s="523">
        <f>SUMIFS('Xero Data'!$L:$L,'Xero Data'!$H:$H,'Cash Flow'!M$2,'Xero Data'!$E:$E,'Cash Flow'!$A10)</f>
        <v>0</v>
      </c>
      <c r="N10" s="458">
        <f t="shared" si="0"/>
        <v>7965.87</v>
      </c>
    </row>
    <row r="11" spans="1:14">
      <c r="A11" s="457" t="s">
        <v>1672</v>
      </c>
      <c r="B11" s="523">
        <f>SUMIFS('Xero Data'!$L:$L,'Xero Data'!$H:$H,'Cash Flow'!B$2,'Xero Data'!$E:$E,'Cash Flow'!$A11)</f>
        <v>0</v>
      </c>
      <c r="C11" s="523">
        <f>SUMIFS('Xero Data'!$L:$L,'Xero Data'!$H:$H,'Cash Flow'!C$2,'Xero Data'!$E:$E,'Cash Flow'!$A11)</f>
        <v>0</v>
      </c>
      <c r="D11" s="523">
        <f>SUMIFS('Xero Data'!$L:$L,'Xero Data'!$H:$H,'Cash Flow'!D$2,'Xero Data'!$E:$E,'Cash Flow'!$A11)</f>
        <v>0</v>
      </c>
      <c r="E11" s="523">
        <f>SUMIFS('Xero Data'!$L:$L,'Xero Data'!$H:$H,'Cash Flow'!E$2,'Xero Data'!$E:$E,'Cash Flow'!$A11)</f>
        <v>0</v>
      </c>
      <c r="F11" s="523">
        <f>SUMIFS('Xero Data'!$L:$L,'Xero Data'!$H:$H,'Cash Flow'!F$2,'Xero Data'!$E:$E,'Cash Flow'!$A11)</f>
        <v>0</v>
      </c>
      <c r="G11" s="523">
        <f>SUMIFS('Xero Data'!$L:$L,'Xero Data'!$H:$H,'Cash Flow'!G$2,'Xero Data'!$E:$E,'Cash Flow'!$A11)</f>
        <v>0</v>
      </c>
      <c r="H11" s="523">
        <f>SUMIFS('Xero Data'!$L:$L,'Xero Data'!$H:$H,'Cash Flow'!H$2,'Xero Data'!$E:$E,'Cash Flow'!$A11)</f>
        <v>0</v>
      </c>
      <c r="I11" s="523">
        <f>SUMIFS('Xero Data'!$L:$L,'Xero Data'!$H:$H,'Cash Flow'!I$2,'Xero Data'!$E:$E,'Cash Flow'!$A11)</f>
        <v>0</v>
      </c>
      <c r="J11" s="523">
        <f>SUMIFS('Xero Data'!$L:$L,'Xero Data'!$H:$H,'Cash Flow'!J$2,'Xero Data'!$E:$E,'Cash Flow'!$A11)</f>
        <v>0</v>
      </c>
      <c r="K11" s="607">
        <f>SUMIFS('Xero Data'!$L:$L,'Xero Data'!$H:$H,'Cash Flow'!K$2,'Xero Data'!$E:$E,'Cash Flow'!$A11)</f>
        <v>0</v>
      </c>
      <c r="L11" s="523">
        <f>SUMIFS('Xero Data'!$L:$L,'Xero Data'!$H:$H,'Cash Flow'!L$2,'Xero Data'!$E:$E,'Cash Flow'!$A11)</f>
        <v>0</v>
      </c>
      <c r="M11" s="523">
        <f>SUMIFS('Xero Data'!$L:$L,'Xero Data'!$H:$H,'Cash Flow'!M$2,'Xero Data'!$E:$E,'Cash Flow'!$A11)</f>
        <v>0</v>
      </c>
      <c r="N11" s="458">
        <f t="shared" si="0"/>
        <v>0</v>
      </c>
    </row>
    <row r="12" spans="1:14" ht="14.7" customHeight="1">
      <c r="A12" s="457" t="s">
        <v>911</v>
      </c>
      <c r="B12" s="523">
        <f>SUMIFS('Xero Data'!$L:$L,'Xero Data'!$H:$H,'Cash Flow'!B$2,'Xero Data'!$E:$E,'Cash Flow'!$A12)</f>
        <v>0</v>
      </c>
      <c r="C12" s="523">
        <f>SUMIFS('Xero Data'!$L:$L,'Xero Data'!$H:$H,'Cash Flow'!C$2,'Xero Data'!$E:$E,'Cash Flow'!$A12)</f>
        <v>2575.9499999999998</v>
      </c>
      <c r="D12" s="523">
        <f>SUMIFS('Xero Data'!$L:$L,'Xero Data'!$H:$H,'Cash Flow'!D$2,'Xero Data'!$E:$E,'Cash Flow'!$A12)</f>
        <v>0</v>
      </c>
      <c r="E12" s="523">
        <f>SUMIFS('Xero Data'!$L:$L,'Xero Data'!$H:$H,'Cash Flow'!E$2,'Xero Data'!$E:$E,'Cash Flow'!$A12)</f>
        <v>0</v>
      </c>
      <c r="F12" s="523">
        <f>SUMIFS('Xero Data'!$L:$L,'Xero Data'!$H:$H,'Cash Flow'!F$2,'Xero Data'!$E:$E,'Cash Flow'!$A12)</f>
        <v>0</v>
      </c>
      <c r="G12" s="523">
        <f>SUMIFS('Xero Data'!$L:$L,'Xero Data'!$H:$H,'Cash Flow'!G$2,'Xero Data'!$E:$E,'Cash Flow'!$A12)</f>
        <v>0</v>
      </c>
      <c r="H12" s="523">
        <f>SUMIFS('Xero Data'!$L:$L,'Xero Data'!$H:$H,'Cash Flow'!H$2,'Xero Data'!$E:$E,'Cash Flow'!$A12)</f>
        <v>0</v>
      </c>
      <c r="I12" s="523">
        <f>SUMIFS('Xero Data'!$L:$L,'Xero Data'!$H:$H,'Cash Flow'!I$2,'Xero Data'!$E:$E,'Cash Flow'!$A12)</f>
        <v>0</v>
      </c>
      <c r="J12" s="523">
        <f>SUMIFS('Xero Data'!$L:$L,'Xero Data'!$H:$H,'Cash Flow'!J$2,'Xero Data'!$E:$E,'Cash Flow'!$A12)</f>
        <v>0</v>
      </c>
      <c r="K12" s="607">
        <f>SUMIFS('Xero Data'!$L:$L,'Xero Data'!$H:$H,'Cash Flow'!K$2,'Xero Data'!$E:$E,'Cash Flow'!$A12)</f>
        <v>0</v>
      </c>
      <c r="L12" s="523">
        <f>SUMIFS('Xero Data'!$L:$L,'Xero Data'!$H:$H,'Cash Flow'!L$2,'Xero Data'!$E:$E,'Cash Flow'!$A12)</f>
        <v>0</v>
      </c>
      <c r="M12" s="523">
        <f>SUMIFS('Xero Data'!$L:$L,'Xero Data'!$H:$H,'Cash Flow'!M$2,'Xero Data'!$E:$E,'Cash Flow'!$A12)</f>
        <v>0</v>
      </c>
      <c r="N12" s="458">
        <f t="shared" si="0"/>
        <v>2575.9499999999998</v>
      </c>
    </row>
    <row r="13" spans="1:14">
      <c r="A13" s="457" t="s">
        <v>32</v>
      </c>
      <c r="B13" s="523">
        <f>SUMIFS('Xero Data'!$L:$L,'Xero Data'!$H:$H,'Cash Flow'!B$2,'Xero Data'!$E:$E,'Cash Flow'!$A13)</f>
        <v>0</v>
      </c>
      <c r="C13" s="523">
        <f>SUMIFS('Xero Data'!$L:$L,'Xero Data'!$H:$H,'Cash Flow'!C$2,'Xero Data'!$E:$E,'Cash Flow'!$A13)</f>
        <v>0</v>
      </c>
      <c r="D13" s="523">
        <f>SUMIFS('Xero Data'!$L:$L,'Xero Data'!$H:$H,'Cash Flow'!D$2,'Xero Data'!$E:$E,'Cash Flow'!$A13)</f>
        <v>0</v>
      </c>
      <c r="E13" s="523">
        <f>SUMIFS('Xero Data'!$L:$L,'Xero Data'!$H:$H,'Cash Flow'!E$2,'Xero Data'!$E:$E,'Cash Flow'!$A13)</f>
        <v>0</v>
      </c>
      <c r="F13" s="523">
        <f>SUMIFS('Xero Data'!$L:$L,'Xero Data'!$H:$H,'Cash Flow'!F$2,'Xero Data'!$E:$E,'Cash Flow'!$A13)</f>
        <v>0</v>
      </c>
      <c r="G13" s="523">
        <f>SUMIFS('Xero Data'!$L:$L,'Xero Data'!$H:$H,'Cash Flow'!G$2,'Xero Data'!$E:$E,'Cash Flow'!$A13)</f>
        <v>0</v>
      </c>
      <c r="H13" s="523">
        <f>SUMIFS('Xero Data'!$L:$L,'Xero Data'!$H:$H,'Cash Flow'!H$2,'Xero Data'!$E:$E,'Cash Flow'!$A13)</f>
        <v>0</v>
      </c>
      <c r="I13" s="523">
        <f>SUMIFS('Xero Data'!$L:$L,'Xero Data'!$H:$H,'Cash Flow'!I$2,'Xero Data'!$E:$E,'Cash Flow'!$A13)</f>
        <v>0</v>
      </c>
      <c r="J13" s="523">
        <f>SUMIFS('Xero Data'!$L:$L,'Xero Data'!$H:$H,'Cash Flow'!J$2,'Xero Data'!$E:$E,'Cash Flow'!$A13)</f>
        <v>0</v>
      </c>
      <c r="K13" s="607">
        <f>SUMIFS('Xero Data'!$L:$L,'Xero Data'!$H:$H,'Cash Flow'!K$2,'Xero Data'!$E:$E,'Cash Flow'!$A13)</f>
        <v>0</v>
      </c>
      <c r="L13" s="523">
        <f>SUMIFS('Xero Data'!$L:$L,'Xero Data'!$H:$H,'Cash Flow'!L$2,'Xero Data'!$E:$E,'Cash Flow'!$A13)</f>
        <v>0</v>
      </c>
      <c r="M13" s="523">
        <f>SUMIFS('Xero Data'!$L:$L,'Xero Data'!$H:$H,'Cash Flow'!M$2,'Xero Data'!$E:$E,'Cash Flow'!$A13)</f>
        <v>0</v>
      </c>
      <c r="N13" s="458">
        <f t="shared" si="0"/>
        <v>0</v>
      </c>
    </row>
    <row r="14" spans="1:14">
      <c r="A14" s="457" t="s">
        <v>646</v>
      </c>
      <c r="B14" s="523">
        <f>SUMIFS('Xero Data'!$L:$L,'Xero Data'!$H:$H,'Cash Flow'!B$2,'Xero Data'!$E:$E,'Cash Flow'!$A14)</f>
        <v>0</v>
      </c>
      <c r="C14" s="523">
        <f>SUMIFS('Xero Data'!$L:$L,'Xero Data'!$H:$H,'Cash Flow'!C$2,'Xero Data'!$E:$E,'Cash Flow'!$A14)</f>
        <v>0</v>
      </c>
      <c r="D14" s="523">
        <f>SUMIFS('Xero Data'!$L:$L,'Xero Data'!$H:$H,'Cash Flow'!D$2,'Xero Data'!$E:$E,'Cash Flow'!$A14)</f>
        <v>0</v>
      </c>
      <c r="E14" s="523">
        <f>SUMIFS('Xero Data'!$L:$L,'Xero Data'!$H:$H,'Cash Flow'!E$2,'Xero Data'!$E:$E,'Cash Flow'!$A14)</f>
        <v>0</v>
      </c>
      <c r="F14" s="523">
        <f>SUMIFS('Xero Data'!$L:$L,'Xero Data'!$H:$H,'Cash Flow'!F$2,'Xero Data'!$E:$E,'Cash Flow'!$A14)</f>
        <v>0</v>
      </c>
      <c r="G14" s="523">
        <f>SUMIFS('Xero Data'!$L:$L,'Xero Data'!$H:$H,'Cash Flow'!G$2,'Xero Data'!$E:$E,'Cash Flow'!$A14)</f>
        <v>0</v>
      </c>
      <c r="H14" s="523">
        <f>SUMIFS('Xero Data'!$L:$L,'Xero Data'!$H:$H,'Cash Flow'!H$2,'Xero Data'!$E:$E,'Cash Flow'!$A14)</f>
        <v>0</v>
      </c>
      <c r="I14" s="523">
        <f>SUMIFS('Xero Data'!$L:$L,'Xero Data'!$H:$H,'Cash Flow'!I$2,'Xero Data'!$E:$E,'Cash Flow'!$A14)</f>
        <v>0</v>
      </c>
      <c r="J14" s="523">
        <f>SUMIFS('Xero Data'!$L:$L,'Xero Data'!$H:$H,'Cash Flow'!J$2,'Xero Data'!$E:$E,'Cash Flow'!$A14)</f>
        <v>0</v>
      </c>
      <c r="K14" s="523">
        <f>SUMIFS('Xero Data'!$L:$L,'Xero Data'!$H:$H,'Cash Flow'!K$2,'Xero Data'!$E:$E,'Cash Flow'!$A14)</f>
        <v>0</v>
      </c>
      <c r="L14" s="523">
        <f>SUMIFS('Xero Data'!$L:$L,'Xero Data'!$H:$H,'Cash Flow'!L$2,'Xero Data'!$E:$E,'Cash Flow'!$A14)</f>
        <v>0</v>
      </c>
      <c r="M14" s="523">
        <f>SUMIFS('Xero Data'!$L:$L,'Xero Data'!$H:$H,'Cash Flow'!M$2,'Xero Data'!$E:$E,'Cash Flow'!$A14)</f>
        <v>0</v>
      </c>
      <c r="N14" s="458">
        <f t="shared" si="0"/>
        <v>0</v>
      </c>
    </row>
    <row r="15" spans="1:14">
      <c r="A15" s="457" t="s">
        <v>905</v>
      </c>
      <c r="B15" s="523">
        <f>SUMIFS('Xero Data'!$L:$L,'Xero Data'!$H:$H,'Cash Flow'!B$2,'Xero Data'!$E:$E,'Cash Flow'!$A15)</f>
        <v>0</v>
      </c>
      <c r="C15" s="523">
        <f>SUMIFS('Xero Data'!$L:$L,'Xero Data'!$H:$H,'Cash Flow'!C$2,'Xero Data'!$E:$E,'Cash Flow'!$A15)</f>
        <v>0</v>
      </c>
      <c r="D15" s="523">
        <f>SUMIFS('Xero Data'!$L:$L,'Xero Data'!$H:$H,'Cash Flow'!D$2,'Xero Data'!$E:$E,'Cash Flow'!$A15)</f>
        <v>0</v>
      </c>
      <c r="E15" s="523">
        <f>SUMIFS('Xero Data'!$L:$L,'Xero Data'!$H:$H,'Cash Flow'!E$2,'Xero Data'!$E:$E,'Cash Flow'!$A15)</f>
        <v>0</v>
      </c>
      <c r="F15" s="523">
        <f>SUMIFS('Xero Data'!$L:$L,'Xero Data'!$H:$H,'Cash Flow'!F$2,'Xero Data'!$E:$E,'Cash Flow'!$A15)</f>
        <v>0</v>
      </c>
      <c r="G15" s="523">
        <f>SUMIFS('Xero Data'!$L:$L,'Xero Data'!$H:$H,'Cash Flow'!G$2,'Xero Data'!$E:$E,'Cash Flow'!$A15)</f>
        <v>0</v>
      </c>
      <c r="H15" s="523">
        <f>SUMIFS('Xero Data'!$L:$L,'Xero Data'!$H:$H,'Cash Flow'!H$2,'Xero Data'!$E:$E,'Cash Flow'!$A15)</f>
        <v>0</v>
      </c>
      <c r="I15" s="523">
        <f>SUMIFS('Xero Data'!$L:$L,'Xero Data'!$H:$H,'Cash Flow'!I$2,'Xero Data'!$E:$E,'Cash Flow'!$A15)</f>
        <v>0</v>
      </c>
      <c r="J15" s="523">
        <f>SUMIFS('Xero Data'!$L:$L,'Xero Data'!$H:$H,'Cash Flow'!J$2,'Xero Data'!$E:$E,'Cash Flow'!$A15)</f>
        <v>0</v>
      </c>
      <c r="K15" s="523">
        <f>SUMIFS('Xero Data'!$L:$L,'Xero Data'!$H:$H,'Cash Flow'!K$2,'Xero Data'!$E:$E,'Cash Flow'!$A15)</f>
        <v>0</v>
      </c>
      <c r="L15" s="523">
        <f>SUMIFS('Xero Data'!$L:$L,'Xero Data'!$H:$H,'Cash Flow'!L$2,'Xero Data'!$E:$E,'Cash Flow'!$A15)</f>
        <v>0</v>
      </c>
      <c r="M15" s="523">
        <f>SUMIFS('Xero Data'!$L:$L,'Xero Data'!$H:$H,'Cash Flow'!M$2,'Xero Data'!$E:$E,'Cash Flow'!$A15)</f>
        <v>0</v>
      </c>
      <c r="N15" s="458">
        <f t="shared" si="0"/>
        <v>0</v>
      </c>
    </row>
    <row r="16" spans="1:14">
      <c r="A16" s="457" t="s">
        <v>648</v>
      </c>
      <c r="B16" s="523">
        <f>SUMIFS('Xero Data'!$L:$L,'Xero Data'!$H:$H,'Cash Flow'!B$2,'Xero Data'!$E:$E,'Cash Flow'!$A16)</f>
        <v>0</v>
      </c>
      <c r="C16" s="523">
        <f>SUMIFS('Xero Data'!$L:$L,'Xero Data'!$H:$H,'Cash Flow'!C$2,'Xero Data'!$E:$E,'Cash Flow'!$A16)</f>
        <v>0</v>
      </c>
      <c r="D16" s="523">
        <f>SUMIFS('Xero Data'!$L:$L,'Xero Data'!$H:$H,'Cash Flow'!D$2,'Xero Data'!$E:$E,'Cash Flow'!$A16)</f>
        <v>0</v>
      </c>
      <c r="E16" s="523">
        <f>SUMIFS('Xero Data'!$L:$L,'Xero Data'!$H:$H,'Cash Flow'!E$2,'Xero Data'!$E:$E,'Cash Flow'!$A16)</f>
        <v>0</v>
      </c>
      <c r="F16" s="523">
        <f>SUMIFS('Xero Data'!$L:$L,'Xero Data'!$H:$H,'Cash Flow'!F$2,'Xero Data'!$E:$E,'Cash Flow'!$A16)</f>
        <v>0</v>
      </c>
      <c r="G16" s="523">
        <f>SUMIFS('Xero Data'!$L:$L,'Xero Data'!$H:$H,'Cash Flow'!G$2,'Xero Data'!$E:$E,'Cash Flow'!$A16)</f>
        <v>0</v>
      </c>
      <c r="H16" s="523">
        <f>SUMIFS('Xero Data'!$L:$L,'Xero Data'!$H:$H,'Cash Flow'!H$2,'Xero Data'!$E:$E,'Cash Flow'!$A16)</f>
        <v>0</v>
      </c>
      <c r="I16" s="523">
        <f>SUMIFS('Xero Data'!$L:$L,'Xero Data'!$H:$H,'Cash Flow'!I$2,'Xero Data'!$E:$E,'Cash Flow'!$A16)</f>
        <v>0</v>
      </c>
      <c r="J16" s="523">
        <f>SUMIFS('Xero Data'!$L:$L,'Xero Data'!$H:$H,'Cash Flow'!J$2,'Xero Data'!$E:$E,'Cash Flow'!$A16)</f>
        <v>0</v>
      </c>
      <c r="K16" s="523">
        <f>SUMIFS('Xero Data'!$L:$L,'Xero Data'!$H:$H,'Cash Flow'!K$2,'Xero Data'!$E:$E,'Cash Flow'!$A16)</f>
        <v>0</v>
      </c>
      <c r="L16" s="523">
        <f>SUMIFS('Xero Data'!$L:$L,'Xero Data'!$H:$H,'Cash Flow'!L$2,'Xero Data'!$E:$E,'Cash Flow'!$A16)</f>
        <v>0</v>
      </c>
      <c r="M16" s="523">
        <f>SUMIFS('Xero Data'!$L:$L,'Xero Data'!$H:$H,'Cash Flow'!M$2,'Xero Data'!$E:$E,'Cash Flow'!$A16)</f>
        <v>0</v>
      </c>
      <c r="N16" s="458">
        <f t="shared" si="0"/>
        <v>0</v>
      </c>
    </row>
    <row r="17" spans="1:14" ht="16.2" customHeight="1">
      <c r="A17" s="457" t="s">
        <v>98</v>
      </c>
      <c r="B17" s="523">
        <f>SUMIFS('Xero Data'!$L:$L,'Xero Data'!$H:$H,'Cash Flow'!B$2,'Xero Data'!$E:$E,'Cash Flow'!$A17)</f>
        <v>0</v>
      </c>
      <c r="C17" s="523">
        <f>SUMIFS('Xero Data'!$L:$L,'Xero Data'!$H:$H,'Cash Flow'!C$2,'Xero Data'!$E:$E,'Cash Flow'!$A17)</f>
        <v>0</v>
      </c>
      <c r="D17" s="523">
        <f>SUMIFS('Xero Data'!$L:$L,'Xero Data'!$H:$H,'Cash Flow'!D$2,'Xero Data'!$E:$E,'Cash Flow'!$A17)</f>
        <v>0</v>
      </c>
      <c r="E17" s="523">
        <f>SUMIFS('Xero Data'!$L:$L,'Xero Data'!$H:$H,'Cash Flow'!E$2,'Xero Data'!$E:$E,'Cash Flow'!$A17)</f>
        <v>0</v>
      </c>
      <c r="F17" s="523">
        <f>SUMIFS('Xero Data'!$L:$L,'Xero Data'!$H:$H,'Cash Flow'!F$2,'Xero Data'!$E:$E,'Cash Flow'!$A17)</f>
        <v>0</v>
      </c>
      <c r="G17" s="523">
        <f>SUMIFS('Xero Data'!$L:$L,'Xero Data'!$H:$H,'Cash Flow'!G$2,'Xero Data'!$E:$E,'Cash Flow'!$A17)</f>
        <v>0</v>
      </c>
      <c r="H17" s="523">
        <f>SUMIFS('Xero Data'!$L:$L,'Xero Data'!$H:$H,'Cash Flow'!H$2,'Xero Data'!$E:$E,'Cash Flow'!$A17)</f>
        <v>0</v>
      </c>
      <c r="I17" s="523">
        <f>SUMIFS('Xero Data'!$L:$L,'Xero Data'!$H:$H,'Cash Flow'!I$2,'Xero Data'!$E:$E,'Cash Flow'!$A17)</f>
        <v>0</v>
      </c>
      <c r="J17" s="523">
        <f>SUMIFS('Xero Data'!$L:$L,'Xero Data'!$H:$H,'Cash Flow'!J$2,'Xero Data'!$E:$E,'Cash Flow'!$A17)</f>
        <v>0</v>
      </c>
      <c r="K17" s="523">
        <f>SUMIFS('Xero Data'!$L:$L,'Xero Data'!$H:$H,'Cash Flow'!K$2,'Xero Data'!$E:$E,'Cash Flow'!$A17)</f>
        <v>0</v>
      </c>
      <c r="L17" s="523">
        <f>SUMIFS('Xero Data'!$L:$L,'Xero Data'!$H:$H,'Cash Flow'!L$2,'Xero Data'!$E:$E,'Cash Flow'!$A17)</f>
        <v>0</v>
      </c>
      <c r="M17" s="523">
        <f>SUMIFS('Xero Data'!$L:$L,'Xero Data'!$H:$H,'Cash Flow'!M$2,'Xero Data'!$E:$E,'Cash Flow'!$A17)</f>
        <v>0</v>
      </c>
      <c r="N17" s="458">
        <f t="shared" si="0"/>
        <v>0</v>
      </c>
    </row>
    <row r="18" spans="1:14" ht="16.2" customHeight="1">
      <c r="A18" s="457" t="s">
        <v>760</v>
      </c>
      <c r="B18" s="523">
        <f>SUMIFS('Xero Data'!$L:$L,'Xero Data'!$H:$H,'Cash Flow'!B$2,'Xero Data'!$E:$E,'Cash Flow'!$A18)</f>
        <v>0</v>
      </c>
      <c r="C18" s="523">
        <f>SUMIFS('Xero Data'!$L:$L,'Xero Data'!$H:$H,'Cash Flow'!C$2,'Xero Data'!$E:$E,'Cash Flow'!$A18)</f>
        <v>0</v>
      </c>
      <c r="D18" s="523">
        <f>SUMIFS('Xero Data'!$L:$L,'Xero Data'!$H:$H,'Cash Flow'!D$2,'Xero Data'!$E:$E,'Cash Flow'!$A18)</f>
        <v>0</v>
      </c>
      <c r="E18" s="523">
        <f>SUMIFS('Xero Data'!$L:$L,'Xero Data'!$H:$H,'Cash Flow'!E$2,'Xero Data'!$E:$E,'Cash Flow'!$A18)</f>
        <v>0</v>
      </c>
      <c r="F18" s="523">
        <f>SUMIFS('Xero Data'!$L:$L,'Xero Data'!$H:$H,'Cash Flow'!F$2,'Xero Data'!$E:$E,'Cash Flow'!$A18)</f>
        <v>0</v>
      </c>
      <c r="G18" s="523">
        <f>SUMIFS('Xero Data'!$L:$L,'Xero Data'!$H:$H,'Cash Flow'!G$2,'Xero Data'!$E:$E,'Cash Flow'!$A18)</f>
        <v>0</v>
      </c>
      <c r="H18" s="523">
        <f>SUMIFS('Xero Data'!$L:$L,'Xero Data'!$H:$H,'Cash Flow'!H$2,'Xero Data'!$E:$E,'Cash Flow'!$A18)</f>
        <v>0</v>
      </c>
      <c r="I18" s="523">
        <f>SUMIFS('Xero Data'!$L:$L,'Xero Data'!$H:$H,'Cash Flow'!I$2,'Xero Data'!$E:$E,'Cash Flow'!$A18)</f>
        <v>0</v>
      </c>
      <c r="J18" s="523">
        <f>SUMIFS('Xero Data'!$L:$L,'Xero Data'!$H:$H,'Cash Flow'!J$2,'Xero Data'!$E:$E,'Cash Flow'!$A18)</f>
        <v>0</v>
      </c>
      <c r="K18" s="523">
        <f>SUMIFS('Xero Data'!$L:$L,'Xero Data'!$H:$H,'Cash Flow'!K$2,'Xero Data'!$E:$E,'Cash Flow'!$A18)</f>
        <v>0</v>
      </c>
      <c r="L18" s="523">
        <f>SUMIFS('Xero Data'!$L:$L,'Xero Data'!$H:$H,'Cash Flow'!L$2,'Xero Data'!$E:$E,'Cash Flow'!$A18)</f>
        <v>0</v>
      </c>
      <c r="M18" s="523">
        <f>SUMIFS('Xero Data'!$L:$L,'Xero Data'!$H:$H,'Cash Flow'!M$2,'Xero Data'!$E:$E,'Cash Flow'!$A18)</f>
        <v>0</v>
      </c>
      <c r="N18" s="458">
        <f>SUM(B18:M18)</f>
        <v>0</v>
      </c>
    </row>
    <row r="19" spans="1:14" s="457" customFormat="1" ht="16.2" customHeight="1">
      <c r="A19" s="526" t="s">
        <v>650</v>
      </c>
      <c r="B19" s="528">
        <f t="shared" ref="B19:L19" si="1">SUM(B3:B18)</f>
        <v>-2249.4899999999998</v>
      </c>
      <c r="C19" s="528">
        <f t="shared" si="1"/>
        <v>-8926.6899999999987</v>
      </c>
      <c r="D19" s="528">
        <f t="shared" si="1"/>
        <v>0</v>
      </c>
      <c r="E19" s="528">
        <f t="shared" si="1"/>
        <v>0</v>
      </c>
      <c r="F19" s="528">
        <f t="shared" si="1"/>
        <v>0</v>
      </c>
      <c r="G19" s="528">
        <f t="shared" si="1"/>
        <v>0</v>
      </c>
      <c r="H19" s="528">
        <f t="shared" si="1"/>
        <v>0</v>
      </c>
      <c r="I19" s="528">
        <f t="shared" si="1"/>
        <v>0</v>
      </c>
      <c r="J19" s="528">
        <f t="shared" si="1"/>
        <v>0</v>
      </c>
      <c r="K19" s="528">
        <f t="shared" si="1"/>
        <v>0</v>
      </c>
      <c r="L19" s="528">
        <f t="shared" si="1"/>
        <v>0</v>
      </c>
      <c r="M19" s="528">
        <f>SUM(M3:M17)</f>
        <v>0</v>
      </c>
      <c r="N19" s="458">
        <f t="shared" si="0"/>
        <v>-11176.179999999998</v>
      </c>
    </row>
    <row r="20" spans="1:14" s="457" customFormat="1" ht="16.2" customHeight="1">
      <c r="A20" s="306"/>
      <c r="B20" s="529"/>
      <c r="C20" s="529"/>
      <c r="D20" s="529"/>
      <c r="E20" s="529"/>
      <c r="F20" s="529"/>
      <c r="G20" s="529"/>
      <c r="H20" s="529"/>
      <c r="I20" s="529"/>
      <c r="J20" s="529"/>
      <c r="K20" s="529"/>
      <c r="L20" s="529"/>
      <c r="M20" s="529"/>
      <c r="N20" s="463"/>
    </row>
    <row r="21" spans="1:14">
      <c r="A21" s="459" t="s">
        <v>45</v>
      </c>
      <c r="B21" s="460"/>
      <c r="C21" s="460"/>
      <c r="D21" s="460"/>
      <c r="E21" s="460"/>
      <c r="F21" s="460"/>
      <c r="G21" s="460"/>
      <c r="H21" s="460"/>
      <c r="I21" s="460"/>
      <c r="J21" s="460"/>
      <c r="K21" s="460"/>
      <c r="L21" s="460"/>
      <c r="M21" s="461"/>
      <c r="N21" s="462"/>
    </row>
    <row r="22" spans="1:14">
      <c r="A22" s="457" t="s">
        <v>15</v>
      </c>
      <c r="B22" s="523">
        <f>SUMIFS('Xero Data'!$J:$J,'Xero Data'!$H:$H,'Cash Flow'!B$2,'Xero Data'!$E:$E,'Cash Flow'!$A22)</f>
        <v>63172.078690000002</v>
      </c>
      <c r="C22" s="523">
        <f>SUMIFS('Xero Data'!$J:$J,'Xero Data'!$H:$H,'Cash Flow'!C$2,'Xero Data'!$E:$E,'Cash Flow'!$A22)</f>
        <v>789.36000000000013</v>
      </c>
      <c r="D22" s="523">
        <f>SUMIFS('Xero Data'!$J:$J,'Xero Data'!$H:$H,'Cash Flow'!D$2,'Xero Data'!$E:$E,'Cash Flow'!$A22)</f>
        <v>0</v>
      </c>
      <c r="E22" s="523">
        <f>SUMIFS('Xero Data'!$J:$J,'Xero Data'!$H:$H,'Cash Flow'!E$2,'Xero Data'!$E:$E,'Cash Flow'!$A22)</f>
        <v>0</v>
      </c>
      <c r="F22" s="523">
        <f>SUMIFS('Xero Data'!$J:$J,'Xero Data'!$H:$H,'Cash Flow'!F$2,'Xero Data'!$E:$E,'Cash Flow'!$A22)</f>
        <v>0</v>
      </c>
      <c r="G22" s="523">
        <f>SUMIFS('Xero Data'!$J:$J,'Xero Data'!$H:$H,'Cash Flow'!G$2,'Xero Data'!$E:$E,'Cash Flow'!$A22)</f>
        <v>0</v>
      </c>
      <c r="H22" s="523">
        <f>SUMIFS('Xero Data'!$J:$J,'Xero Data'!$H:$H,'Cash Flow'!H$2,'Xero Data'!$E:$E,'Cash Flow'!$A22)</f>
        <v>0</v>
      </c>
      <c r="I22" s="523">
        <f>SUMIFS('Xero Data'!$J:$J,'Xero Data'!$H:$H,'Cash Flow'!I$2,'Xero Data'!$E:$E,'Cash Flow'!$A22)</f>
        <v>0</v>
      </c>
      <c r="J22" s="523">
        <f>SUMIFS('Xero Data'!$J:$J,'Xero Data'!$H:$H,'Cash Flow'!J$2,'Xero Data'!$E:$E,'Cash Flow'!$A22)</f>
        <v>0</v>
      </c>
      <c r="K22" s="523">
        <f>SUMIFS('Xero Data'!$J:$J,'Xero Data'!$H:$H,'Cash Flow'!K$2,'Xero Data'!$E:$E,'Cash Flow'!$A22)</f>
        <v>0</v>
      </c>
      <c r="L22" s="523">
        <f>SUMIFS('Xero Data'!$J:$J,'Xero Data'!$H:$H,'Cash Flow'!L$2,'Xero Data'!$E:$E,'Cash Flow'!$A22)</f>
        <v>0</v>
      </c>
      <c r="M22" s="523">
        <f>SUMIFS('Xero Data'!$J:$J,'Xero Data'!$H:$H,'Cash Flow'!M$2,'Xero Data'!$E:$E,'Cash Flow'!$A22)</f>
        <v>0</v>
      </c>
      <c r="N22" s="458">
        <f>SUM(B22:M22)</f>
        <v>63961.438690000003</v>
      </c>
    </row>
    <row r="23" spans="1:14" hidden="1">
      <c r="A23" s="457" t="s">
        <v>645</v>
      </c>
      <c r="B23" s="523">
        <f>SUMIFS('Xero Data'!$J:$J,'Xero Data'!$H:$H,'Cash Flow'!B$2,'Xero Data'!$E:$E,'Cash Flow'!$A23)</f>
        <v>0</v>
      </c>
      <c r="C23" s="523">
        <f>SUMIFS('Xero Data'!$J:$J,'Xero Data'!$H:$H,'Cash Flow'!C$2,'Xero Data'!$E:$E,'Cash Flow'!$A23)</f>
        <v>0</v>
      </c>
      <c r="D23" s="523">
        <f>SUMIFS('Xero Data'!$J:$J,'Xero Data'!$H:$H,'Cash Flow'!D$2,'Xero Data'!$E:$E,'Cash Flow'!$A23)</f>
        <v>0</v>
      </c>
      <c r="E23" s="523">
        <f>SUMIFS('Xero Data'!$J:$J,'Xero Data'!$H:$H,'Cash Flow'!E$2,'Xero Data'!$E:$E,'Cash Flow'!$A23)</f>
        <v>0</v>
      </c>
      <c r="F23" s="523">
        <f>SUMIFS('Xero Data'!$J:$J,'Xero Data'!$H:$H,'Cash Flow'!F$2,'Xero Data'!$E:$E,'Cash Flow'!$A23)</f>
        <v>0</v>
      </c>
      <c r="G23" s="523">
        <f>SUMIFS('Xero Data'!$J:$J,'Xero Data'!$H:$H,'Cash Flow'!G$2,'Xero Data'!$E:$E,'Cash Flow'!$A23)</f>
        <v>0</v>
      </c>
      <c r="H23" s="523">
        <f>SUMIFS('Xero Data'!$J:$J,'Xero Data'!$H:$H,'Cash Flow'!H$2,'Xero Data'!$E:$E,'Cash Flow'!$A23)</f>
        <v>0</v>
      </c>
      <c r="I23" s="523">
        <f>SUMIFS('Xero Data'!$J:$J,'Xero Data'!$H:$H,'Cash Flow'!I$2,'Xero Data'!$E:$E,'Cash Flow'!$A23)</f>
        <v>0</v>
      </c>
      <c r="J23" s="523">
        <f>SUMIFS('Xero Data'!$J:$J,'Xero Data'!$H:$H,'Cash Flow'!J$2,'Xero Data'!$E:$E,'Cash Flow'!$A23)</f>
        <v>0</v>
      </c>
      <c r="K23" s="523">
        <f>SUMIFS('Xero Data'!$J:$J,'Xero Data'!$H:$H,'Cash Flow'!K$2,'Xero Data'!$E:$E,'Cash Flow'!$A23)</f>
        <v>0</v>
      </c>
      <c r="L23" s="523">
        <f>SUMIFS('Xero Data'!$J:$J,'Xero Data'!$H:$H,'Cash Flow'!L$2,'Xero Data'!$E:$E,'Cash Flow'!$A23)</f>
        <v>0</v>
      </c>
      <c r="M23" s="523">
        <f>SUMIFS('Xero Data'!$J:$J,'Xero Data'!$H:$H,'Cash Flow'!M$2,'Xero Data'!$E:$E,'Cash Flow'!$A23)</f>
        <v>0</v>
      </c>
      <c r="N23" s="458">
        <f t="shared" ref="N23:N43" si="2">SUM(B23:M23)</f>
        <v>0</v>
      </c>
    </row>
    <row r="24" spans="1:14" hidden="1">
      <c r="A24" s="457" t="s">
        <v>649</v>
      </c>
      <c r="B24" s="523">
        <f>SUMIFS('Xero Data'!$J:$J,'Xero Data'!$H:$H,'Cash Flow'!B$2,'Xero Data'!$E:$E,'Cash Flow'!$A24)</f>
        <v>0</v>
      </c>
      <c r="C24" s="523">
        <f>SUMIFS('Xero Data'!$J:$J,'Xero Data'!$H:$H,'Cash Flow'!C$2,'Xero Data'!$E:$E,'Cash Flow'!$A24)</f>
        <v>0</v>
      </c>
      <c r="D24" s="523">
        <f>SUMIFS('Xero Data'!$J:$J,'Xero Data'!$H:$H,'Cash Flow'!D$2,'Xero Data'!$E:$E,'Cash Flow'!$A24)</f>
        <v>0</v>
      </c>
      <c r="E24" s="523">
        <f>SUMIFS('Xero Data'!$J:$J,'Xero Data'!$H:$H,'Cash Flow'!E$2,'Xero Data'!$E:$E,'Cash Flow'!$A24)</f>
        <v>0</v>
      </c>
      <c r="F24" s="523">
        <f>SUMIFS('Xero Data'!$J:$J,'Xero Data'!$H:$H,'Cash Flow'!F$2,'Xero Data'!$E:$E,'Cash Flow'!$A24)</f>
        <v>0</v>
      </c>
      <c r="G24" s="523">
        <f>SUMIFS('Xero Data'!$J:$J,'Xero Data'!$H:$H,'Cash Flow'!G$2,'Xero Data'!$E:$E,'Cash Flow'!$A24)</f>
        <v>0</v>
      </c>
      <c r="H24" s="523">
        <f>SUMIFS('Xero Data'!$J:$J,'Xero Data'!$H:$H,'Cash Flow'!H$2,'Xero Data'!$E:$E,'Cash Flow'!$A24)</f>
        <v>0</v>
      </c>
      <c r="I24" s="523">
        <f>SUMIFS('Xero Data'!$J:$J,'Xero Data'!$H:$H,'Cash Flow'!I$2,'Xero Data'!$E:$E,'Cash Flow'!$A24)</f>
        <v>0</v>
      </c>
      <c r="J24" s="523">
        <f>SUMIFS('Xero Data'!$J:$J,'Xero Data'!$H:$H,'Cash Flow'!J$2,'Xero Data'!$E:$E,'Cash Flow'!$A24)</f>
        <v>0</v>
      </c>
      <c r="K24" s="523">
        <f>SUMIFS('Xero Data'!$J:$J,'Xero Data'!$H:$H,'Cash Flow'!K$2,'Xero Data'!$E:$E,'Cash Flow'!$A24)</f>
        <v>0</v>
      </c>
      <c r="L24" s="523">
        <f>SUMIFS('Xero Data'!$J:$J,'Xero Data'!$H:$H,'Cash Flow'!L$2,'Xero Data'!$E:$E,'Cash Flow'!$A24)</f>
        <v>0</v>
      </c>
      <c r="M24" s="523">
        <f>SUMIFS('Xero Data'!$J:$J,'Xero Data'!$H:$H,'Cash Flow'!M$2,'Xero Data'!$E:$E,'Cash Flow'!$A24)</f>
        <v>0</v>
      </c>
      <c r="N24" s="458">
        <f t="shared" si="2"/>
        <v>0</v>
      </c>
    </row>
    <row r="25" spans="1:14" hidden="1">
      <c r="A25" s="457" t="s">
        <v>71</v>
      </c>
      <c r="B25" s="523">
        <f>SUMIFS('Xero Data'!$J:$J,'Xero Data'!$H:$H,'Cash Flow'!B$2,'Xero Data'!$E:$E,'Cash Flow'!$A25)</f>
        <v>0</v>
      </c>
      <c r="C25" s="523">
        <f>SUMIFS('Xero Data'!$J:$J,'Xero Data'!$H:$H,'Cash Flow'!C$2,'Xero Data'!$E:$E,'Cash Flow'!$A25)</f>
        <v>0</v>
      </c>
      <c r="D25" s="523">
        <f>SUMIFS('Xero Data'!$J:$J,'Xero Data'!$H:$H,'Cash Flow'!D$2,'Xero Data'!$E:$E,'Cash Flow'!$A25)</f>
        <v>0</v>
      </c>
      <c r="E25" s="523">
        <f>SUMIFS('Xero Data'!$J:$J,'Xero Data'!$H:$H,'Cash Flow'!E$2,'Xero Data'!$E:$E,'Cash Flow'!$A25)</f>
        <v>0</v>
      </c>
      <c r="F25" s="523">
        <f>SUMIFS('Xero Data'!$J:$J,'Xero Data'!$H:$H,'Cash Flow'!F$2,'Xero Data'!$E:$E,'Cash Flow'!$A25)</f>
        <v>0</v>
      </c>
      <c r="G25" s="523">
        <f>SUMIFS('Xero Data'!$J:$J,'Xero Data'!$H:$H,'Cash Flow'!G$2,'Xero Data'!$E:$E,'Cash Flow'!$A25)</f>
        <v>0</v>
      </c>
      <c r="H25" s="523">
        <f>SUMIFS('Xero Data'!$J:$J,'Xero Data'!$H:$H,'Cash Flow'!H$2,'Xero Data'!$E:$E,'Cash Flow'!$A25)</f>
        <v>0</v>
      </c>
      <c r="I25" s="523">
        <f>SUMIFS('Xero Data'!$J:$J,'Xero Data'!$H:$H,'Cash Flow'!I$2,'Xero Data'!$E:$E,'Cash Flow'!$A25)</f>
        <v>0</v>
      </c>
      <c r="J25" s="523">
        <f>SUMIFS('Xero Data'!$J:$J,'Xero Data'!$H:$H,'Cash Flow'!J$2,'Xero Data'!$E:$E,'Cash Flow'!$A25)</f>
        <v>0</v>
      </c>
      <c r="K25" s="523">
        <f>SUMIFS('Xero Data'!$J:$J,'Xero Data'!$H:$H,'Cash Flow'!K$2,'Xero Data'!$E:$E,'Cash Flow'!$A25)</f>
        <v>0</v>
      </c>
      <c r="L25" s="523">
        <f>SUMIFS('Xero Data'!$J:$J,'Xero Data'!$H:$H,'Cash Flow'!L$2,'Xero Data'!$E:$E,'Cash Flow'!$A25)</f>
        <v>0</v>
      </c>
      <c r="M25" s="523">
        <f>SUMIFS('Xero Data'!$J:$J,'Xero Data'!$H:$H,'Cash Flow'!M$2,'Xero Data'!$E:$E,'Cash Flow'!$A25)</f>
        <v>0</v>
      </c>
      <c r="N25" s="458">
        <f t="shared" si="2"/>
        <v>0</v>
      </c>
    </row>
    <row r="26" spans="1:14" hidden="1">
      <c r="A26" s="457" t="s">
        <v>72</v>
      </c>
      <c r="B26" s="523">
        <f>SUMIFS('Xero Data'!$J:$J,'Xero Data'!$H:$H,'Cash Flow'!B$2,'Xero Data'!$E:$E,'Cash Flow'!$A26)</f>
        <v>0</v>
      </c>
      <c r="C26" s="523">
        <f>SUMIFS('Xero Data'!$J:$J,'Xero Data'!$H:$H,'Cash Flow'!C$2,'Xero Data'!$E:$E,'Cash Flow'!$A26)</f>
        <v>0</v>
      </c>
      <c r="D26" s="523">
        <f>SUMIFS('Xero Data'!$J:$J,'Xero Data'!$H:$H,'Cash Flow'!D$2,'Xero Data'!$E:$E,'Cash Flow'!$A26)</f>
        <v>0</v>
      </c>
      <c r="E26" s="523">
        <f>SUMIFS('Xero Data'!$J:$J,'Xero Data'!$H:$H,'Cash Flow'!E$2,'Xero Data'!$E:$E,'Cash Flow'!$A26)</f>
        <v>0</v>
      </c>
      <c r="F26" s="523">
        <f>SUMIFS('Xero Data'!$J:$J,'Xero Data'!$H:$H,'Cash Flow'!F$2,'Xero Data'!$E:$E,'Cash Flow'!$A26)</f>
        <v>0</v>
      </c>
      <c r="G26" s="523">
        <f>SUMIFS('Xero Data'!$J:$J,'Xero Data'!$H:$H,'Cash Flow'!G$2,'Xero Data'!$E:$E,'Cash Flow'!$A26)</f>
        <v>0</v>
      </c>
      <c r="H26" s="523">
        <f>SUMIFS('Xero Data'!$J:$J,'Xero Data'!$H:$H,'Cash Flow'!H$2,'Xero Data'!$E:$E,'Cash Flow'!$A26)</f>
        <v>0</v>
      </c>
      <c r="I26" s="523">
        <f>SUMIFS('Xero Data'!$J:$J,'Xero Data'!$H:$H,'Cash Flow'!I$2,'Xero Data'!$E:$E,'Cash Flow'!$A26)</f>
        <v>0</v>
      </c>
      <c r="J26" s="523">
        <f>SUMIFS('Xero Data'!$J:$J,'Xero Data'!$H:$H,'Cash Flow'!J$2,'Xero Data'!$E:$E,'Cash Flow'!$A26)</f>
        <v>0</v>
      </c>
      <c r="K26" s="523">
        <f>SUMIFS('Xero Data'!$J:$J,'Xero Data'!$H:$H,'Cash Flow'!K$2,'Xero Data'!$E:$E,'Cash Flow'!$A26)</f>
        <v>0</v>
      </c>
      <c r="L26" s="523">
        <f>SUMIFS('Xero Data'!$J:$J,'Xero Data'!$H:$H,'Cash Flow'!L$2,'Xero Data'!$E:$E,'Cash Flow'!$A26)</f>
        <v>0</v>
      </c>
      <c r="M26" s="523">
        <f>SUMIFS('Xero Data'!$J:$J,'Xero Data'!$H:$H,'Cash Flow'!M$2,'Xero Data'!$E:$E,'Cash Flow'!$A26)</f>
        <v>0</v>
      </c>
      <c r="N26" s="458">
        <f t="shared" si="2"/>
        <v>0</v>
      </c>
    </row>
    <row r="27" spans="1:14" hidden="1">
      <c r="A27" s="457" t="s">
        <v>146</v>
      </c>
      <c r="B27" s="523">
        <f>SUMIFS('Xero Data'!$J:$J,'Xero Data'!$H:$H,'Cash Flow'!B$2,'Xero Data'!$E:$E,'Cash Flow'!$A27)</f>
        <v>0</v>
      </c>
      <c r="C27" s="523">
        <f>SUMIFS('Xero Data'!$J:$J,'Xero Data'!$H:$H,'Cash Flow'!C$2,'Xero Data'!$E:$E,'Cash Flow'!$A27)</f>
        <v>0</v>
      </c>
      <c r="D27" s="523">
        <f>SUMIFS('Xero Data'!$J:$J,'Xero Data'!$H:$H,'Cash Flow'!D$2,'Xero Data'!$E:$E,'Cash Flow'!$A27)</f>
        <v>0</v>
      </c>
      <c r="E27" s="523">
        <f>SUMIFS('Xero Data'!$J:$J,'Xero Data'!$H:$H,'Cash Flow'!E$2,'Xero Data'!$E:$E,'Cash Flow'!$A27)</f>
        <v>0</v>
      </c>
      <c r="F27" s="523">
        <f>SUMIFS('Xero Data'!$J:$J,'Xero Data'!$H:$H,'Cash Flow'!F$2,'Xero Data'!$E:$E,'Cash Flow'!$A27)</f>
        <v>0</v>
      </c>
      <c r="G27" s="523">
        <f>SUMIFS('Xero Data'!$J:$J,'Xero Data'!$H:$H,'Cash Flow'!G$2,'Xero Data'!$E:$E,'Cash Flow'!$A27)</f>
        <v>0</v>
      </c>
      <c r="H27" s="523">
        <f>SUMIFS('Xero Data'!$J:$J,'Xero Data'!$H:$H,'Cash Flow'!H$2,'Xero Data'!$E:$E,'Cash Flow'!$A27)</f>
        <v>0</v>
      </c>
      <c r="I27" s="523">
        <f>SUMIFS('Xero Data'!$J:$J,'Xero Data'!$H:$H,'Cash Flow'!I$2,'Xero Data'!$E:$E,'Cash Flow'!$A27)</f>
        <v>0</v>
      </c>
      <c r="J27" s="523">
        <f>SUMIFS('Xero Data'!$J:$J,'Xero Data'!$H:$H,'Cash Flow'!J$2,'Xero Data'!$E:$E,'Cash Flow'!$A27)</f>
        <v>0</v>
      </c>
      <c r="K27" s="523">
        <f>SUMIFS('Xero Data'!$J:$J,'Xero Data'!$H:$H,'Cash Flow'!K$2,'Xero Data'!$E:$E,'Cash Flow'!$A27)</f>
        <v>0</v>
      </c>
      <c r="L27" s="523">
        <f>SUMIFS('Xero Data'!$J:$J,'Xero Data'!$H:$H,'Cash Flow'!L$2,'Xero Data'!$E:$E,'Cash Flow'!$A27)</f>
        <v>0</v>
      </c>
      <c r="M27" s="523">
        <f>SUMIFS('Xero Data'!$J:$J,'Xero Data'!$H:$H,'Cash Flow'!M$2,'Xero Data'!$E:$E,'Cash Flow'!$A27)</f>
        <v>0</v>
      </c>
      <c r="N27" s="458">
        <f t="shared" si="2"/>
        <v>0</v>
      </c>
    </row>
    <row r="28" spans="1:14">
      <c r="A28" s="457" t="s">
        <v>643</v>
      </c>
      <c r="B28" s="523">
        <f>SUMIFS('Xero Data'!$J:$J,'Xero Data'!$H:$H,'Cash Flow'!B$2,'Xero Data'!$E:$E,'Cash Flow'!$A28)</f>
        <v>0</v>
      </c>
      <c r="C28" s="523">
        <f>SUMIFS('Xero Data'!$J:$J,'Xero Data'!$H:$H,'Cash Flow'!C$2,'Xero Data'!$E:$E,'Cash Flow'!$A28)</f>
        <v>0</v>
      </c>
      <c r="D28" s="523">
        <f>SUMIFS('Xero Data'!$J:$J,'Xero Data'!$H:$H,'Cash Flow'!D$2,'Xero Data'!$E:$E,'Cash Flow'!$A28)</f>
        <v>0</v>
      </c>
      <c r="E28" s="523">
        <f>SUMIFS('Xero Data'!$J:$J,'Xero Data'!$H:$H,'Cash Flow'!E$2,'Xero Data'!$E:$E,'Cash Flow'!$A28)</f>
        <v>0</v>
      </c>
      <c r="F28" s="523">
        <f>SUMIFS('Xero Data'!$J:$J,'Xero Data'!$H:$H,'Cash Flow'!F$2,'Xero Data'!$E:$E,'Cash Flow'!$A28)</f>
        <v>0</v>
      </c>
      <c r="G28" s="523">
        <f>SUMIFS('Xero Data'!$J:$J,'Xero Data'!$H:$H,'Cash Flow'!G$2,'Xero Data'!$E:$E,'Cash Flow'!$A28)</f>
        <v>0</v>
      </c>
      <c r="H28" s="523">
        <f>SUMIFS('Xero Data'!$J:$J,'Xero Data'!$H:$H,'Cash Flow'!H$2,'Xero Data'!$E:$E,'Cash Flow'!$A28)</f>
        <v>0</v>
      </c>
      <c r="I28" s="523">
        <f>SUMIFS('Xero Data'!$J:$J,'Xero Data'!$H:$H,'Cash Flow'!I$2,'Xero Data'!$E:$E,'Cash Flow'!$A28)</f>
        <v>0</v>
      </c>
      <c r="J28" s="523">
        <f>SUMIFS('Xero Data'!$J:$J,'Xero Data'!$H:$H,'Cash Flow'!J$2,'Xero Data'!$E:$E,'Cash Flow'!$A28)</f>
        <v>0</v>
      </c>
      <c r="K28" s="523">
        <f>SUMIFS('Xero Data'!$J:$J,'Xero Data'!$H:$H,'Cash Flow'!K$2,'Xero Data'!$E:$E,'Cash Flow'!$A28)</f>
        <v>0</v>
      </c>
      <c r="L28" s="523">
        <f>SUMIFS('Xero Data'!$J:$J,'Xero Data'!$H:$H,'Cash Flow'!L$2,'Xero Data'!$E:$E,'Cash Flow'!$A28)</f>
        <v>0</v>
      </c>
      <c r="M28" s="523">
        <f>SUMIFS('Xero Data'!$J:$J,'Xero Data'!$H:$H,'Cash Flow'!M$2,'Xero Data'!$E:$E,'Cash Flow'!$A28)</f>
        <v>0</v>
      </c>
      <c r="N28" s="458">
        <f t="shared" si="2"/>
        <v>0</v>
      </c>
    </row>
    <row r="29" spans="1:14">
      <c r="A29" s="457" t="s">
        <v>761</v>
      </c>
      <c r="B29" s="523">
        <f>SUMIFS('Xero Data'!$J:$J,'Xero Data'!$H:$H,'Cash Flow'!B$2,'Xero Data'!$E:$E,'Cash Flow'!$A29)</f>
        <v>2504.27</v>
      </c>
      <c r="C29" s="523">
        <f>SUMIFS('Xero Data'!$J:$J,'Xero Data'!$H:$H,'Cash Flow'!C$2,'Xero Data'!$E:$E,'Cash Flow'!$A29)</f>
        <v>0</v>
      </c>
      <c r="D29" s="523">
        <f>SUMIFS('Xero Data'!$J:$J,'Xero Data'!$H:$H,'Cash Flow'!D$2,'Xero Data'!$E:$E,'Cash Flow'!$A29)</f>
        <v>0</v>
      </c>
      <c r="E29" s="523">
        <f>SUMIFS('Xero Data'!$J:$J,'Xero Data'!$H:$H,'Cash Flow'!E$2,'Xero Data'!$E:$E,'Cash Flow'!$A29)</f>
        <v>0</v>
      </c>
      <c r="F29" s="523">
        <f>SUMIFS('Xero Data'!$J:$J,'Xero Data'!$H:$H,'Cash Flow'!F$2,'Xero Data'!$E:$E,'Cash Flow'!$A29)</f>
        <v>0</v>
      </c>
      <c r="G29" s="523">
        <f>SUMIFS('Xero Data'!$J:$J,'Xero Data'!$H:$H,'Cash Flow'!G$2,'Xero Data'!$E:$E,'Cash Flow'!$A29)</f>
        <v>0</v>
      </c>
      <c r="H29" s="523">
        <f>SUMIFS('Xero Data'!$J:$J,'Xero Data'!$H:$H,'Cash Flow'!H$2,'Xero Data'!$E:$E,'Cash Flow'!$A29)</f>
        <v>0</v>
      </c>
      <c r="I29" s="523">
        <f>SUMIFS('Xero Data'!$J:$J,'Xero Data'!$H:$H,'Cash Flow'!I$2,'Xero Data'!$E:$E,'Cash Flow'!$A29)</f>
        <v>0</v>
      </c>
      <c r="J29" s="523">
        <f>SUMIFS('Xero Data'!$J:$J,'Xero Data'!$H:$H,'Cash Flow'!J$2,'Xero Data'!$E:$E,'Cash Flow'!$A29)</f>
        <v>0</v>
      </c>
      <c r="K29" s="523">
        <f>SUMIFS('Xero Data'!$J:$J,'Xero Data'!$H:$H,'Cash Flow'!K$2,'Xero Data'!$E:$E,'Cash Flow'!$A29)</f>
        <v>0</v>
      </c>
      <c r="L29" s="523">
        <f>SUMIFS('Xero Data'!$J:$J,'Xero Data'!$H:$H,'Cash Flow'!L$2,'Xero Data'!$E:$E,'Cash Flow'!$A29)</f>
        <v>0</v>
      </c>
      <c r="M29" s="523">
        <f>SUMIFS('Xero Data'!$J:$J,'Xero Data'!$H:$H,'Cash Flow'!M$2,'Xero Data'!$E:$E,'Cash Flow'!$A29)</f>
        <v>0</v>
      </c>
      <c r="N29" s="458">
        <f t="shared" si="2"/>
        <v>2504.27</v>
      </c>
    </row>
    <row r="30" spans="1:14">
      <c r="A30" s="457" t="s">
        <v>907</v>
      </c>
      <c r="B30" s="523">
        <f>SUMIFS('Xero Data'!$J:$J,'Xero Data'!$H:$H,'Cash Flow'!B$2,'Xero Data'!$E:$E,'Cash Flow'!$A30)</f>
        <v>1305.5600000000002</v>
      </c>
      <c r="C30" s="523">
        <f>SUMIFS('Xero Data'!$J:$J,'Xero Data'!$H:$H,'Cash Flow'!C$2,'Xero Data'!$E:$E,'Cash Flow'!$A30)</f>
        <v>0</v>
      </c>
      <c r="D30" s="523">
        <f>SUMIFS('Xero Data'!$J:$J,'Xero Data'!$H:$H,'Cash Flow'!D$2,'Xero Data'!$E:$E,'Cash Flow'!$A30)</f>
        <v>0</v>
      </c>
      <c r="E30" s="523">
        <f>SUMIFS('Xero Data'!$J:$J,'Xero Data'!$H:$H,'Cash Flow'!E$2,'Xero Data'!$E:$E,'Cash Flow'!$A30)</f>
        <v>0</v>
      </c>
      <c r="F30" s="523">
        <f>SUMIFS('Xero Data'!$J:$J,'Xero Data'!$H:$H,'Cash Flow'!F$2,'Xero Data'!$E:$E,'Cash Flow'!$A30)</f>
        <v>0</v>
      </c>
      <c r="G30" s="523">
        <f>SUMIFS('Xero Data'!$J:$J,'Xero Data'!$H:$H,'Cash Flow'!G$2,'Xero Data'!$E:$E,'Cash Flow'!$A30)</f>
        <v>0</v>
      </c>
      <c r="H30" s="523">
        <f>SUMIFS('Xero Data'!$J:$J,'Xero Data'!$H:$H,'Cash Flow'!H$2,'Xero Data'!$E:$E,'Cash Flow'!$A30)</f>
        <v>0</v>
      </c>
      <c r="I30" s="523">
        <f>SUMIFS('Xero Data'!$J:$J,'Xero Data'!$H:$H,'Cash Flow'!I$2,'Xero Data'!$E:$E,'Cash Flow'!$A30)</f>
        <v>0</v>
      </c>
      <c r="J30" s="523">
        <f>SUMIFS('Xero Data'!$J:$J,'Xero Data'!$H:$H,'Cash Flow'!J$2,'Xero Data'!$E:$E,'Cash Flow'!$A30)</f>
        <v>0</v>
      </c>
      <c r="K30" s="523">
        <f>SUMIFS('Xero Data'!$J:$J,'Xero Data'!$H:$H,'Cash Flow'!K$2,'Xero Data'!$E:$E,'Cash Flow'!$A30)</f>
        <v>0</v>
      </c>
      <c r="L30" s="523">
        <f>SUMIFS('Xero Data'!$J:$J,'Xero Data'!$H:$H,'Cash Flow'!L$2,'Xero Data'!$E:$E,'Cash Flow'!$A30)</f>
        <v>0</v>
      </c>
      <c r="M30" s="523">
        <f>SUMIFS('Xero Data'!$J:$J,'Xero Data'!$H:$H,'Cash Flow'!M$2,'Xero Data'!$E:$E,'Cash Flow'!$A30)</f>
        <v>0</v>
      </c>
      <c r="N30" s="458">
        <f t="shared" si="2"/>
        <v>1305.5600000000002</v>
      </c>
    </row>
    <row r="31" spans="1:14">
      <c r="A31" s="457" t="s">
        <v>1668</v>
      </c>
      <c r="B31" s="523">
        <f>SUMIFS('Xero Data'!$J:$J,'Xero Data'!$H:$H,'Cash Flow'!B$2,'Xero Data'!$E:$E,'Cash Flow'!$A31)</f>
        <v>82.854545454545445</v>
      </c>
      <c r="C31" s="523">
        <f>SUMIFS('Xero Data'!$J:$J,'Xero Data'!$H:$H,'Cash Flow'!C$2,'Xero Data'!$E:$E,'Cash Flow'!$A31)</f>
        <v>0</v>
      </c>
      <c r="D31" s="523">
        <f>SUMIFS('Xero Data'!$J:$J,'Xero Data'!$H:$H,'Cash Flow'!D$2,'Xero Data'!$E:$E,'Cash Flow'!$A31)</f>
        <v>0</v>
      </c>
      <c r="E31" s="523">
        <f>SUMIFS('Xero Data'!$J:$J,'Xero Data'!$H:$H,'Cash Flow'!E$2,'Xero Data'!$E:$E,'Cash Flow'!$A31)</f>
        <v>0</v>
      </c>
      <c r="F31" s="523">
        <f>SUMIFS('Xero Data'!$J:$J,'Xero Data'!$H:$H,'Cash Flow'!F$2,'Xero Data'!$E:$E,'Cash Flow'!$A31)</f>
        <v>0</v>
      </c>
      <c r="G31" s="523">
        <f>SUMIFS('Xero Data'!$J:$J,'Xero Data'!$H:$H,'Cash Flow'!G$2,'Xero Data'!$E:$E,'Cash Flow'!$A31)</f>
        <v>0</v>
      </c>
      <c r="H31" s="523">
        <f>SUMIFS('Xero Data'!$J:$J,'Xero Data'!$H:$H,'Cash Flow'!H$2,'Xero Data'!$E:$E,'Cash Flow'!$A31)</f>
        <v>0</v>
      </c>
      <c r="I31" s="523">
        <f>SUMIFS('Xero Data'!$J:$J,'Xero Data'!$H:$H,'Cash Flow'!I$2,'Xero Data'!$E:$E,'Cash Flow'!$A31)</f>
        <v>0</v>
      </c>
      <c r="J31" s="523">
        <f>SUMIFS('Xero Data'!$J:$J,'Xero Data'!$H:$H,'Cash Flow'!J$2,'Xero Data'!$E:$E,'Cash Flow'!$A31)</f>
        <v>0</v>
      </c>
      <c r="K31" s="607">
        <f>SUMIFS('Xero Data'!$J:$J,'Xero Data'!$H:$H,'Cash Flow'!K$2,'Xero Data'!$E:$E,'Cash Flow'!$A31)</f>
        <v>0</v>
      </c>
      <c r="L31" s="523">
        <f>SUMIFS('Xero Data'!$J:$J,'Xero Data'!$H:$H,'Cash Flow'!L$2,'Xero Data'!$E:$E,'Cash Flow'!$A31)</f>
        <v>0</v>
      </c>
      <c r="M31" s="523">
        <f>SUMIFS('Xero Data'!$J:$J,'Xero Data'!$H:$H,'Cash Flow'!M$2,'Xero Data'!$E:$E,'Cash Flow'!$A31)</f>
        <v>0</v>
      </c>
      <c r="N31" s="458">
        <f t="shared" si="2"/>
        <v>82.854545454545445</v>
      </c>
    </row>
    <row r="32" spans="1:14">
      <c r="A32" s="457" t="s">
        <v>1669</v>
      </c>
      <c r="B32" s="523">
        <f>SUMIFS('Xero Data'!$J:$J,'Xero Data'!$H:$H,'Cash Flow'!B$2,'Xero Data'!$E:$E,'Cash Flow'!$A32)</f>
        <v>14236.13</v>
      </c>
      <c r="C32" s="523">
        <f>SUMIFS('Xero Data'!$J:$J,'Xero Data'!$H:$H,'Cash Flow'!C$2,'Xero Data'!$E:$E,'Cash Flow'!$A32)</f>
        <v>29.69</v>
      </c>
      <c r="D32" s="523">
        <f>SUMIFS('Xero Data'!$J:$J,'Xero Data'!$H:$H,'Cash Flow'!D$2,'Xero Data'!$E:$E,'Cash Flow'!$A32)</f>
        <v>0</v>
      </c>
      <c r="E32" s="523">
        <f>SUMIFS('Xero Data'!$J:$J,'Xero Data'!$H:$H,'Cash Flow'!E$2,'Xero Data'!$E:$E,'Cash Flow'!$A32)</f>
        <v>0</v>
      </c>
      <c r="F32" s="523">
        <f>SUMIFS('Xero Data'!$J:$J,'Xero Data'!$H:$H,'Cash Flow'!F$2,'Xero Data'!$E:$E,'Cash Flow'!$A32)</f>
        <v>0</v>
      </c>
      <c r="G32" s="523">
        <f>SUMIFS('Xero Data'!$J:$J,'Xero Data'!$H:$H,'Cash Flow'!G$2,'Xero Data'!$E:$E,'Cash Flow'!$A32)</f>
        <v>0</v>
      </c>
      <c r="H32" s="523">
        <f>SUMIFS('Xero Data'!$J:$J,'Xero Data'!$H:$H,'Cash Flow'!H$2,'Xero Data'!$E:$E,'Cash Flow'!$A32)</f>
        <v>0</v>
      </c>
      <c r="I32" s="523">
        <f>SUMIFS('Xero Data'!$J:$J,'Xero Data'!$H:$H,'Cash Flow'!I$2,'Xero Data'!$E:$E,'Cash Flow'!$A32)</f>
        <v>0</v>
      </c>
      <c r="J32" s="523">
        <f>SUMIFS('Xero Data'!$J:$J,'Xero Data'!$H:$H,'Cash Flow'!J$2,'Xero Data'!$E:$E,'Cash Flow'!$A32)</f>
        <v>0</v>
      </c>
      <c r="K32" s="607">
        <f>SUMIFS('Xero Data'!$J:$J,'Xero Data'!$H:$H,'Cash Flow'!K$2,'Xero Data'!$E:$E,'Cash Flow'!$A32)</f>
        <v>0</v>
      </c>
      <c r="L32" s="523">
        <f>SUMIFS('Xero Data'!$J:$J,'Xero Data'!$H:$H,'Cash Flow'!L$2,'Xero Data'!$E:$E,'Cash Flow'!$A32)</f>
        <v>0</v>
      </c>
      <c r="M32" s="523">
        <f>SUMIFS('Xero Data'!$J:$J,'Xero Data'!$H:$H,'Cash Flow'!M$2,'Xero Data'!$E:$E,'Cash Flow'!$A32)</f>
        <v>0</v>
      </c>
      <c r="N32" s="458">
        <f t="shared" si="2"/>
        <v>14265.82</v>
      </c>
    </row>
    <row r="33" spans="1:14">
      <c r="A33" s="457" t="s">
        <v>1670</v>
      </c>
      <c r="B33" s="523">
        <f>SUMIFS('Xero Data'!$J:$J,'Xero Data'!$H:$H,'Cash Flow'!B$2,'Xero Data'!$E:$E,'Cash Flow'!$A33)</f>
        <v>9055.3882912918671</v>
      </c>
      <c r="C33" s="523">
        <f>SUMIFS('Xero Data'!$J:$J,'Xero Data'!$H:$H,'Cash Flow'!C$2,'Xero Data'!$E:$E,'Cash Flow'!$A33)</f>
        <v>0</v>
      </c>
      <c r="D33" s="523">
        <f>SUMIFS('Xero Data'!$J:$J,'Xero Data'!$H:$H,'Cash Flow'!D$2,'Xero Data'!$E:$E,'Cash Flow'!$A33)</f>
        <v>0</v>
      </c>
      <c r="E33" s="523">
        <f>SUMIFS('Xero Data'!$J:$J,'Xero Data'!$H:$H,'Cash Flow'!E$2,'Xero Data'!$E:$E,'Cash Flow'!$A33)</f>
        <v>0</v>
      </c>
      <c r="F33" s="523">
        <f>SUMIFS('Xero Data'!$J:$J,'Xero Data'!$H:$H,'Cash Flow'!F$2,'Xero Data'!$E:$E,'Cash Flow'!$A33)</f>
        <v>0</v>
      </c>
      <c r="G33" s="523">
        <f>SUMIFS('Xero Data'!$J:$J,'Xero Data'!$H:$H,'Cash Flow'!G$2,'Xero Data'!$E:$E,'Cash Flow'!$A33)</f>
        <v>0</v>
      </c>
      <c r="H33" s="523">
        <f>SUMIFS('Xero Data'!$J:$J,'Xero Data'!$H:$H,'Cash Flow'!H$2,'Xero Data'!$E:$E,'Cash Flow'!$A33)</f>
        <v>0</v>
      </c>
      <c r="I33" s="523">
        <f>SUMIFS('Xero Data'!$J:$J,'Xero Data'!$H:$H,'Cash Flow'!I$2,'Xero Data'!$E:$E,'Cash Flow'!$A33)</f>
        <v>0</v>
      </c>
      <c r="J33" s="523">
        <f>SUMIFS('Xero Data'!$J:$J,'Xero Data'!$H:$H,'Cash Flow'!J$2,'Xero Data'!$E:$E,'Cash Flow'!$A33)</f>
        <v>0</v>
      </c>
      <c r="K33" s="607">
        <f>SUMIFS('Xero Data'!$J:$J,'Xero Data'!$H:$H,'Cash Flow'!K$2,'Xero Data'!$E:$E,'Cash Flow'!$A33)</f>
        <v>0</v>
      </c>
      <c r="L33" s="523">
        <f>SUMIFS('Xero Data'!$J:$J,'Xero Data'!$H:$H,'Cash Flow'!L$2,'Xero Data'!$E:$E,'Cash Flow'!$A33)</f>
        <v>0</v>
      </c>
      <c r="M33" s="523">
        <f>SUMIFS('Xero Data'!$J:$J,'Xero Data'!$H:$H,'Cash Flow'!M$2,'Xero Data'!$E:$E,'Cash Flow'!$A33)</f>
        <v>0</v>
      </c>
      <c r="N33" s="458">
        <f t="shared" si="2"/>
        <v>9055.3882912918671</v>
      </c>
    </row>
    <row r="34" spans="1:14">
      <c r="A34" s="457" t="s">
        <v>1671</v>
      </c>
      <c r="B34" s="523">
        <f>SUMIFS('Xero Data'!$J:$J,'Xero Data'!$H:$H,'Cash Flow'!B$2,'Xero Data'!$E:$E,'Cash Flow'!$A34)</f>
        <v>0</v>
      </c>
      <c r="C34" s="523">
        <f>SUMIFS('Xero Data'!$J:$J,'Xero Data'!$H:$H,'Cash Flow'!C$2,'Xero Data'!$E:$E,'Cash Flow'!$A34)</f>
        <v>0</v>
      </c>
      <c r="D34" s="523">
        <f>SUMIFS('Xero Data'!$J:$J,'Xero Data'!$H:$H,'Cash Flow'!D$2,'Xero Data'!$E:$E,'Cash Flow'!$A34)</f>
        <v>0</v>
      </c>
      <c r="E34" s="523">
        <f>SUMIFS('Xero Data'!$J:$J,'Xero Data'!$H:$H,'Cash Flow'!E$2,'Xero Data'!$E:$E,'Cash Flow'!$A34)</f>
        <v>0</v>
      </c>
      <c r="F34" s="523">
        <f>SUMIFS('Xero Data'!$J:$J,'Xero Data'!$H:$H,'Cash Flow'!F$2,'Xero Data'!$E:$E,'Cash Flow'!$A34)</f>
        <v>0</v>
      </c>
      <c r="G34" s="523">
        <f>SUMIFS('Xero Data'!$J:$J,'Xero Data'!$H:$H,'Cash Flow'!G$2,'Xero Data'!$E:$E,'Cash Flow'!$A34)</f>
        <v>0</v>
      </c>
      <c r="H34" s="523">
        <f>SUMIFS('Xero Data'!$J:$J,'Xero Data'!$H:$H,'Cash Flow'!H$2,'Xero Data'!$E:$E,'Cash Flow'!$A34)</f>
        <v>0</v>
      </c>
      <c r="I34" s="523">
        <f>SUMIFS('Xero Data'!$J:$J,'Xero Data'!$H:$H,'Cash Flow'!I$2,'Xero Data'!$E:$E,'Cash Flow'!$A34)</f>
        <v>0</v>
      </c>
      <c r="J34" s="523">
        <f>SUMIFS('Xero Data'!$J:$J,'Xero Data'!$H:$H,'Cash Flow'!J$2,'Xero Data'!$E:$E,'Cash Flow'!$A34)</f>
        <v>0</v>
      </c>
      <c r="K34" s="607">
        <f>SUMIFS('Xero Data'!$J:$J,'Xero Data'!$H:$H,'Cash Flow'!K$2,'Xero Data'!$E:$E,'Cash Flow'!$A34)</f>
        <v>0</v>
      </c>
      <c r="L34" s="523">
        <f>SUMIFS('Xero Data'!$J:$J,'Xero Data'!$H:$H,'Cash Flow'!L$2,'Xero Data'!$E:$E,'Cash Flow'!$A34)</f>
        <v>0</v>
      </c>
      <c r="M34" s="523">
        <f>SUMIFS('Xero Data'!$J:$J,'Xero Data'!$H:$H,'Cash Flow'!M$2,'Xero Data'!$E:$E,'Cash Flow'!$A34)</f>
        <v>0</v>
      </c>
      <c r="N34" s="458">
        <f t="shared" si="2"/>
        <v>0</v>
      </c>
    </row>
    <row r="35" spans="1:14">
      <c r="A35" s="457" t="s">
        <v>909</v>
      </c>
      <c r="B35" s="523">
        <f>SUMIFS('Xero Data'!$J:$J,'Xero Data'!$H:$H,'Cash Flow'!B$2,'Xero Data'!$E:$E,'Cash Flow'!$A35)</f>
        <v>33.630000000000003</v>
      </c>
      <c r="C35" s="523">
        <f>SUMIFS('Xero Data'!$J:$J,'Xero Data'!$H:$H,'Cash Flow'!C$2,'Xero Data'!$E:$E,'Cash Flow'!$A35)</f>
        <v>0</v>
      </c>
      <c r="D35" s="523">
        <f>SUMIFS('Xero Data'!$J:$J,'Xero Data'!$H:$H,'Cash Flow'!D$2,'Xero Data'!$E:$E,'Cash Flow'!$A35)</f>
        <v>0</v>
      </c>
      <c r="E35" s="523">
        <f>SUMIFS('Xero Data'!$J:$J,'Xero Data'!$H:$H,'Cash Flow'!E$2,'Xero Data'!$E:$E,'Cash Flow'!$A35)</f>
        <v>0</v>
      </c>
      <c r="F35" s="523">
        <f>SUMIFS('Xero Data'!$J:$J,'Xero Data'!$H:$H,'Cash Flow'!F$2,'Xero Data'!$E:$E,'Cash Flow'!$A35)</f>
        <v>0</v>
      </c>
      <c r="G35" s="523">
        <f>SUMIFS('Xero Data'!$J:$J,'Xero Data'!$H:$H,'Cash Flow'!G$2,'Xero Data'!$E:$E,'Cash Flow'!$A35)</f>
        <v>0</v>
      </c>
      <c r="H35" s="523">
        <f>SUMIFS('Xero Data'!$J:$J,'Xero Data'!$H:$H,'Cash Flow'!H$2,'Xero Data'!$E:$E,'Cash Flow'!$A35)</f>
        <v>0</v>
      </c>
      <c r="I35" s="523">
        <f>SUMIFS('Xero Data'!$J:$J,'Xero Data'!$H:$H,'Cash Flow'!I$2,'Xero Data'!$E:$E,'Cash Flow'!$A35)</f>
        <v>0</v>
      </c>
      <c r="J35" s="523">
        <f>SUMIFS('Xero Data'!$J:$J,'Xero Data'!$H:$H,'Cash Flow'!J$2,'Xero Data'!$E:$E,'Cash Flow'!$A35)</f>
        <v>0</v>
      </c>
      <c r="K35" s="607">
        <f>SUMIFS('Xero Data'!$J:$J,'Xero Data'!$H:$H,'Cash Flow'!K$2,'Xero Data'!$E:$E,'Cash Flow'!$A35)</f>
        <v>0</v>
      </c>
      <c r="L35" s="523">
        <f>SUMIFS('Xero Data'!$J:$J,'Xero Data'!$H:$H,'Cash Flow'!L$2,'Xero Data'!$E:$E,'Cash Flow'!$A35)</f>
        <v>0</v>
      </c>
      <c r="M35" s="523">
        <f>SUMIFS('Xero Data'!$J:$J,'Xero Data'!$H:$H,'Cash Flow'!M$2,'Xero Data'!$E:$E,'Cash Flow'!$A35)</f>
        <v>0</v>
      </c>
      <c r="N35" s="458">
        <f t="shared" si="2"/>
        <v>33.630000000000003</v>
      </c>
    </row>
    <row r="36" spans="1:14">
      <c r="A36" s="457" t="s">
        <v>910</v>
      </c>
      <c r="B36" s="523">
        <f>SUMIFS('Xero Data'!$J:$J,'Xero Data'!$H:$H,'Cash Flow'!B$2,'Xero Data'!$E:$E,'Cash Flow'!$A36)</f>
        <v>14982.43414956939</v>
      </c>
      <c r="C36" s="523">
        <f>SUMIFS('Xero Data'!$J:$J,'Xero Data'!$H:$H,'Cash Flow'!C$2,'Xero Data'!$E:$E,'Cash Flow'!$A36)</f>
        <v>0</v>
      </c>
      <c r="D36" s="523">
        <f>SUMIFS('Xero Data'!$J:$J,'Xero Data'!$H:$H,'Cash Flow'!D$2,'Xero Data'!$E:$E,'Cash Flow'!$A36)</f>
        <v>0</v>
      </c>
      <c r="E36" s="523">
        <f>SUMIFS('Xero Data'!$J:$J,'Xero Data'!$H:$H,'Cash Flow'!E$2,'Xero Data'!$E:$E,'Cash Flow'!$A36)</f>
        <v>0</v>
      </c>
      <c r="F36" s="523">
        <f>SUMIFS('Xero Data'!$J:$J,'Xero Data'!$H:$H,'Cash Flow'!F$2,'Xero Data'!$E:$E,'Cash Flow'!$A36)</f>
        <v>0</v>
      </c>
      <c r="G36" s="523">
        <f>SUMIFS('Xero Data'!$J:$J,'Xero Data'!$H:$H,'Cash Flow'!G$2,'Xero Data'!$E:$E,'Cash Flow'!$A36)</f>
        <v>0</v>
      </c>
      <c r="H36" s="523">
        <f>SUMIFS('Xero Data'!$J:$J,'Xero Data'!$H:$H,'Cash Flow'!H$2,'Xero Data'!$E:$E,'Cash Flow'!$A36)</f>
        <v>0</v>
      </c>
      <c r="I36" s="523">
        <f>SUMIFS('Xero Data'!$J:$J,'Xero Data'!$H:$H,'Cash Flow'!I$2,'Xero Data'!$E:$E,'Cash Flow'!$A36)</f>
        <v>0</v>
      </c>
      <c r="J36" s="523">
        <f>SUMIFS('Xero Data'!$J:$J,'Xero Data'!$H:$H,'Cash Flow'!J$2,'Xero Data'!$E:$E,'Cash Flow'!$A36)</f>
        <v>0</v>
      </c>
      <c r="K36" s="607">
        <f>SUMIFS('Xero Data'!$J:$J,'Xero Data'!$H:$H,'Cash Flow'!K$2,'Xero Data'!$E:$E,'Cash Flow'!$A36)</f>
        <v>0</v>
      </c>
      <c r="L36" s="523">
        <f>SUMIFS('Xero Data'!$J:$J,'Xero Data'!$H:$H,'Cash Flow'!L$2,'Xero Data'!$E:$E,'Cash Flow'!$A36)</f>
        <v>0</v>
      </c>
      <c r="M36" s="523">
        <f>SUMIFS('Xero Data'!$J:$J,'Xero Data'!$H:$H,'Cash Flow'!M$2,'Xero Data'!$E:$E,'Cash Flow'!$A36)</f>
        <v>0</v>
      </c>
      <c r="N36" s="458">
        <f t="shared" si="2"/>
        <v>14982.43414956939</v>
      </c>
    </row>
    <row r="37" spans="1:14">
      <c r="A37" s="457" t="s">
        <v>32</v>
      </c>
      <c r="B37" s="523">
        <f>SUMIFS('Xero Data'!$J:$J,'Xero Data'!$H:$H,'Cash Flow'!B$2,'Xero Data'!$E:$E,'Cash Flow'!$A37)</f>
        <v>0</v>
      </c>
      <c r="C37" s="523">
        <f>SUMIFS('Xero Data'!$J:$J,'Xero Data'!$H:$H,'Cash Flow'!C$2,'Xero Data'!$E:$E,'Cash Flow'!$A37)</f>
        <v>0</v>
      </c>
      <c r="D37" s="523">
        <f>SUMIFS('Xero Data'!$J:$J,'Xero Data'!$H:$H,'Cash Flow'!D$2,'Xero Data'!$E:$E,'Cash Flow'!$A37)</f>
        <v>0</v>
      </c>
      <c r="E37" s="523">
        <f>SUMIFS('Xero Data'!$J:$J,'Xero Data'!$H:$H,'Cash Flow'!E$2,'Xero Data'!$E:$E,'Cash Flow'!$A37)</f>
        <v>0</v>
      </c>
      <c r="F37" s="523">
        <f>SUMIFS('Xero Data'!$J:$J,'Xero Data'!$H:$H,'Cash Flow'!F$2,'Xero Data'!$E:$E,'Cash Flow'!$A37)</f>
        <v>0</v>
      </c>
      <c r="G37" s="523">
        <f>SUMIFS('Xero Data'!$J:$J,'Xero Data'!$H:$H,'Cash Flow'!G$2,'Xero Data'!$E:$E,'Cash Flow'!$A37)</f>
        <v>0</v>
      </c>
      <c r="H37" s="523">
        <f>SUMIFS('Xero Data'!$J:$J,'Xero Data'!$H:$H,'Cash Flow'!H$2,'Xero Data'!$E:$E,'Cash Flow'!$A37)</f>
        <v>0</v>
      </c>
      <c r="I37" s="523">
        <f>SUMIFS('Xero Data'!$J:$J,'Xero Data'!$H:$H,'Cash Flow'!I$2,'Xero Data'!$E:$E,'Cash Flow'!$A37)</f>
        <v>0</v>
      </c>
      <c r="J37" s="523">
        <f>SUMIFS('Xero Data'!$J:$J,'Xero Data'!$H:$H,'Cash Flow'!J$2,'Xero Data'!$E:$E,'Cash Flow'!$A37)</f>
        <v>0</v>
      </c>
      <c r="K37" s="607">
        <f>SUMIFS('Xero Data'!$J:$J,'Xero Data'!$H:$H,'Cash Flow'!K$2,'Xero Data'!$E:$E,'Cash Flow'!$A37)</f>
        <v>0</v>
      </c>
      <c r="L37" s="523">
        <f>SUMIFS('Xero Data'!$J:$J,'Xero Data'!$H:$H,'Cash Flow'!L$2,'Xero Data'!$E:$E,'Cash Flow'!$A37)</f>
        <v>0</v>
      </c>
      <c r="M37" s="523">
        <f>SUMIFS('Xero Data'!$J:$J,'Xero Data'!$H:$H,'Cash Flow'!M$2,'Xero Data'!$E:$E,'Cash Flow'!$A37)</f>
        <v>0</v>
      </c>
      <c r="N37" s="458">
        <f t="shared" si="2"/>
        <v>0</v>
      </c>
    </row>
    <row r="38" spans="1:14">
      <c r="A38" s="457" t="s">
        <v>646</v>
      </c>
      <c r="B38" s="523">
        <f>SUMIFS('Xero Data'!$J:$J,'Xero Data'!$H:$H,'Cash Flow'!B$2,'Xero Data'!$E:$E,'Cash Flow'!$A38)</f>
        <v>0</v>
      </c>
      <c r="C38" s="523">
        <f>SUMIFS('Xero Data'!$J:$J,'Xero Data'!$H:$H,'Cash Flow'!C$2,'Xero Data'!$E:$E,'Cash Flow'!$A38)</f>
        <v>0</v>
      </c>
      <c r="D38" s="523">
        <f>SUMIFS('Xero Data'!$J:$J,'Xero Data'!$H:$H,'Cash Flow'!D$2,'Xero Data'!$E:$E,'Cash Flow'!$A38)</f>
        <v>0</v>
      </c>
      <c r="E38" s="523">
        <f>SUMIFS('Xero Data'!$J:$J,'Xero Data'!$H:$H,'Cash Flow'!E$2,'Xero Data'!$E:$E,'Cash Flow'!$A38)</f>
        <v>0</v>
      </c>
      <c r="F38" s="523">
        <f>SUMIFS('Xero Data'!$J:$J,'Xero Data'!$H:$H,'Cash Flow'!F$2,'Xero Data'!$E:$E,'Cash Flow'!$A38)</f>
        <v>0</v>
      </c>
      <c r="G38" s="523">
        <f>SUMIFS('Xero Data'!$J:$J,'Xero Data'!$H:$H,'Cash Flow'!G$2,'Xero Data'!$E:$E,'Cash Flow'!$A38)</f>
        <v>0</v>
      </c>
      <c r="H38" s="523">
        <f>SUMIFS('Xero Data'!$J:$J,'Xero Data'!$H:$H,'Cash Flow'!H$2,'Xero Data'!$E:$E,'Cash Flow'!$A38)</f>
        <v>0</v>
      </c>
      <c r="I38" s="523">
        <f>SUMIFS('Xero Data'!$J:$J,'Xero Data'!$H:$H,'Cash Flow'!I$2,'Xero Data'!$E:$E,'Cash Flow'!$A38)</f>
        <v>0</v>
      </c>
      <c r="J38" s="523">
        <f>SUMIFS('Xero Data'!$J:$J,'Xero Data'!$H:$H,'Cash Flow'!J$2,'Xero Data'!$E:$E,'Cash Flow'!$A38)</f>
        <v>0</v>
      </c>
      <c r="K38" s="607">
        <f>SUMIFS('Xero Data'!$J:$J,'Xero Data'!$H:$H,'Cash Flow'!K$2,'Xero Data'!$E:$E,'Cash Flow'!$A38)</f>
        <v>0</v>
      </c>
      <c r="L38" s="523">
        <f>SUMIFS('Xero Data'!$J:$J,'Xero Data'!$H:$H,'Cash Flow'!L$2,'Xero Data'!$E:$E,'Cash Flow'!$A38)</f>
        <v>0</v>
      </c>
      <c r="M38" s="523">
        <f>SUMIFS('Xero Data'!$J:$J,'Xero Data'!$H:$H,'Cash Flow'!M$2,'Xero Data'!$E:$E,'Cash Flow'!$A38)</f>
        <v>0</v>
      </c>
      <c r="N38" s="458">
        <f t="shared" si="2"/>
        <v>0</v>
      </c>
    </row>
    <row r="39" spans="1:14">
      <c r="A39" s="457" t="s">
        <v>759</v>
      </c>
      <c r="B39" s="523">
        <f>SUMIFS('Xero Data'!$J:$J,'Xero Data'!$H:$H,'Cash Flow'!B$2,'Xero Data'!$E:$E,'Cash Flow'!$A39)</f>
        <v>693.32999999999993</v>
      </c>
      <c r="C39" s="523">
        <f>SUMIFS('Xero Data'!$J:$J,'Xero Data'!$H:$H,'Cash Flow'!C$2,'Xero Data'!$E:$E,'Cash Flow'!$A39)</f>
        <v>0</v>
      </c>
      <c r="D39" s="523">
        <f>SUMIFS('Xero Data'!$J:$J,'Xero Data'!$H:$H,'Cash Flow'!D$2,'Xero Data'!$E:$E,'Cash Flow'!$A39)</f>
        <v>0</v>
      </c>
      <c r="E39" s="523">
        <f>SUMIFS('Xero Data'!$J:$J,'Xero Data'!$H:$H,'Cash Flow'!E$2,'Xero Data'!$E:$E,'Cash Flow'!$A39)</f>
        <v>0</v>
      </c>
      <c r="F39" s="523">
        <f>SUMIFS('Xero Data'!$J:$J,'Xero Data'!$H:$H,'Cash Flow'!F$2,'Xero Data'!$E:$E,'Cash Flow'!$A39)</f>
        <v>0</v>
      </c>
      <c r="G39" s="523">
        <f>SUMIFS('Xero Data'!$J:$J,'Xero Data'!$H:$H,'Cash Flow'!G$2,'Xero Data'!$E:$E,'Cash Flow'!$A39)</f>
        <v>0</v>
      </c>
      <c r="H39" s="523">
        <f>SUMIFS('Xero Data'!$J:$J,'Xero Data'!$H:$H,'Cash Flow'!H$2,'Xero Data'!$E:$E,'Cash Flow'!$A39)</f>
        <v>0</v>
      </c>
      <c r="I39" s="523">
        <f>SUMIFS('Xero Data'!$J:$J,'Xero Data'!$H:$H,'Cash Flow'!I$2,'Xero Data'!$E:$E,'Cash Flow'!$A39)</f>
        <v>0</v>
      </c>
      <c r="J39" s="523">
        <f>SUMIFS('Xero Data'!$J:$J,'Xero Data'!$H:$H,'Cash Flow'!J$2,'Xero Data'!$E:$E,'Cash Flow'!$A39)</f>
        <v>0</v>
      </c>
      <c r="K39" s="607">
        <f>SUMIFS('Xero Data'!$J:$J,'Xero Data'!$H:$H,'Cash Flow'!K$2,'Xero Data'!$E:$E,'Cash Flow'!$A39)</f>
        <v>0</v>
      </c>
      <c r="L39" s="523">
        <f>SUMIFS('Xero Data'!$J:$J,'Xero Data'!$H:$H,'Cash Flow'!L$2,'Xero Data'!$E:$E,'Cash Flow'!$A39)</f>
        <v>0</v>
      </c>
      <c r="M39" s="523">
        <f>SUMIFS('Xero Data'!$J:$J,'Xero Data'!$H:$H,'Cash Flow'!M$2,'Xero Data'!$E:$E,'Cash Flow'!$A39)</f>
        <v>0</v>
      </c>
      <c r="N39" s="458">
        <f t="shared" si="2"/>
        <v>693.32999999999993</v>
      </c>
    </row>
    <row r="40" spans="1:14">
      <c r="A40" s="457" t="s">
        <v>906</v>
      </c>
      <c r="B40" s="523">
        <f>SUMIFS('Xero Data'!$J:$J,'Xero Data'!$H:$H,'Cash Flow'!B$2,'Xero Data'!$E:$E,'Cash Flow'!$A40)</f>
        <v>0</v>
      </c>
      <c r="C40" s="523">
        <f>SUMIFS('Xero Data'!$J:$J,'Xero Data'!$H:$H,'Cash Flow'!C$2,'Xero Data'!$E:$E,'Cash Flow'!$A40)</f>
        <v>92.03</v>
      </c>
      <c r="D40" s="523">
        <f>SUMIFS('Xero Data'!$J:$J,'Xero Data'!$H:$H,'Cash Flow'!D$2,'Xero Data'!$E:$E,'Cash Flow'!$A40)</f>
        <v>0</v>
      </c>
      <c r="E40" s="523">
        <f>SUMIFS('Xero Data'!$J:$J,'Xero Data'!$H:$H,'Cash Flow'!E$2,'Xero Data'!$E:$E,'Cash Flow'!$A40)</f>
        <v>0</v>
      </c>
      <c r="F40" s="523">
        <f>SUMIFS('Xero Data'!$J:$J,'Xero Data'!$H:$H,'Cash Flow'!F$2,'Xero Data'!$E:$E,'Cash Flow'!$A40)</f>
        <v>0</v>
      </c>
      <c r="G40" s="523">
        <f>SUMIFS('Xero Data'!$J:$J,'Xero Data'!$H:$H,'Cash Flow'!G$2,'Xero Data'!$E:$E,'Cash Flow'!$A40)</f>
        <v>0</v>
      </c>
      <c r="H40" s="523">
        <f>SUMIFS('Xero Data'!$J:$J,'Xero Data'!$H:$H,'Cash Flow'!H$2,'Xero Data'!$E:$E,'Cash Flow'!$A40)</f>
        <v>0</v>
      </c>
      <c r="I40" s="523">
        <f>SUMIFS('Xero Data'!$J:$J,'Xero Data'!$H:$H,'Cash Flow'!I$2,'Xero Data'!$E:$E,'Cash Flow'!$A40)</f>
        <v>0</v>
      </c>
      <c r="J40" s="523">
        <f>SUMIFS('Xero Data'!$J:$J,'Xero Data'!$H:$H,'Cash Flow'!J$2,'Xero Data'!$E:$E,'Cash Flow'!$A40)</f>
        <v>0</v>
      </c>
      <c r="K40" s="607">
        <f>SUMIFS('Xero Data'!$J:$J,'Xero Data'!$H:$H,'Cash Flow'!K$2,'Xero Data'!$E:$E,'Cash Flow'!$A40)</f>
        <v>0</v>
      </c>
      <c r="L40" s="523">
        <f>SUMIFS('Xero Data'!$J:$J,'Xero Data'!$H:$H,'Cash Flow'!L$2,'Xero Data'!$E:$E,'Cash Flow'!$A40)</f>
        <v>0</v>
      </c>
      <c r="M40" s="523">
        <f>SUMIFS('Xero Data'!$J:$J,'Xero Data'!$H:$H,'Cash Flow'!M$2,'Xero Data'!$E:$E,'Cash Flow'!$A40)</f>
        <v>0</v>
      </c>
      <c r="N40" s="458">
        <f t="shared" si="2"/>
        <v>92.03</v>
      </c>
    </row>
    <row r="41" spans="1:14">
      <c r="A41" s="457" t="s">
        <v>908</v>
      </c>
      <c r="B41" s="523">
        <f>SUMIFS('Xero Data'!$J:$J,'Xero Data'!$H:$H,'Cash Flow'!B$2,'Xero Data'!$E:$E,'Cash Flow'!$A41)</f>
        <v>2362.5</v>
      </c>
      <c r="C41" s="523">
        <f>SUMIFS('Xero Data'!$J:$J,'Xero Data'!$H:$H,'Cash Flow'!C$2,'Xero Data'!$E:$E,'Cash Flow'!$A41)</f>
        <v>1452.23</v>
      </c>
      <c r="D41" s="523">
        <f>SUMIFS('Xero Data'!$J:$J,'Xero Data'!$H:$H,'Cash Flow'!D$2,'Xero Data'!$E:$E,'Cash Flow'!$A41)</f>
        <v>0</v>
      </c>
      <c r="E41" s="523">
        <f>SUMIFS('Xero Data'!$J:$J,'Xero Data'!$H:$H,'Cash Flow'!E$2,'Xero Data'!$E:$E,'Cash Flow'!$A41)</f>
        <v>0</v>
      </c>
      <c r="F41" s="523">
        <f>SUMIFS('Xero Data'!$J:$J,'Xero Data'!$H:$H,'Cash Flow'!F$2,'Xero Data'!$E:$E,'Cash Flow'!$A41)</f>
        <v>0</v>
      </c>
      <c r="G41" s="523">
        <f>SUMIFS('Xero Data'!$J:$J,'Xero Data'!$H:$H,'Cash Flow'!G$2,'Xero Data'!$E:$E,'Cash Flow'!$A41)</f>
        <v>0</v>
      </c>
      <c r="H41" s="523">
        <f>SUMIFS('Xero Data'!$J:$J,'Xero Data'!$H:$H,'Cash Flow'!H$2,'Xero Data'!$E:$E,'Cash Flow'!$A41)</f>
        <v>0</v>
      </c>
      <c r="I41" s="523">
        <f>SUMIFS('Xero Data'!$J:$J,'Xero Data'!$H:$H,'Cash Flow'!I$2,'Xero Data'!$E:$E,'Cash Flow'!$A41)</f>
        <v>0</v>
      </c>
      <c r="J41" s="523">
        <f>SUMIFS('Xero Data'!$J:$J,'Xero Data'!$H:$H,'Cash Flow'!J$2,'Xero Data'!$E:$E,'Cash Flow'!$A41)</f>
        <v>0</v>
      </c>
      <c r="K41" s="607">
        <f>SUMIFS('Xero Data'!$J:$J,'Xero Data'!$H:$H,'Cash Flow'!K$2,'Xero Data'!$E:$E,'Cash Flow'!$A41)</f>
        <v>0</v>
      </c>
      <c r="L41" s="523">
        <f>SUMIFS('Xero Data'!$J:$J,'Xero Data'!$H:$H,'Cash Flow'!L$2,'Xero Data'!$E:$E,'Cash Flow'!$A41)</f>
        <v>0</v>
      </c>
      <c r="M41" s="523">
        <f>SUMIFS('Xero Data'!$J:$J,'Xero Data'!$H:$H,'Cash Flow'!M$2,'Xero Data'!$E:$E,'Cash Flow'!$A41)</f>
        <v>0</v>
      </c>
      <c r="N41" s="458">
        <f t="shared" si="2"/>
        <v>3814.73</v>
      </c>
    </row>
    <row r="42" spans="1:14">
      <c r="A42" s="457" t="s">
        <v>912</v>
      </c>
      <c r="B42" s="523">
        <f>SUMIFS('Xero Data'!$J:$J,'Xero Data'!$H:$H,'Cash Flow'!B$2,'Xero Data'!$E:$E,'Cash Flow'!$A42)</f>
        <v>3970.83</v>
      </c>
      <c r="C42" s="523">
        <f>SUMIFS('Xero Data'!$J:$J,'Xero Data'!$H:$H,'Cash Flow'!C$2,'Xero Data'!$E:$E,'Cash Flow'!$A42)</f>
        <v>0</v>
      </c>
      <c r="D42" s="523">
        <f>SUMIFS('Xero Data'!$J:$J,'Xero Data'!$H:$H,'Cash Flow'!D$2,'Xero Data'!$E:$E,'Cash Flow'!$A42)</f>
        <v>0</v>
      </c>
      <c r="E42" s="523">
        <f>SUMIFS('Xero Data'!$J:$J,'Xero Data'!$H:$H,'Cash Flow'!E$2,'Xero Data'!$E:$E,'Cash Flow'!$A42)</f>
        <v>0</v>
      </c>
      <c r="F42" s="523">
        <f>SUMIFS('Xero Data'!$J:$J,'Xero Data'!$H:$H,'Cash Flow'!F$2,'Xero Data'!$E:$E,'Cash Flow'!$A42)</f>
        <v>0</v>
      </c>
      <c r="G42" s="523">
        <f>SUMIFS('Xero Data'!$J:$J,'Xero Data'!$H:$H,'Cash Flow'!G$2,'Xero Data'!$E:$E,'Cash Flow'!$A42)</f>
        <v>0</v>
      </c>
      <c r="H42" s="523">
        <f>SUMIFS('Xero Data'!$J:$J,'Xero Data'!$H:$H,'Cash Flow'!H$2,'Xero Data'!$E:$E,'Cash Flow'!$A42)</f>
        <v>0</v>
      </c>
      <c r="I42" s="523">
        <f>SUMIFS('Xero Data'!$J:$J,'Xero Data'!$H:$H,'Cash Flow'!I$2,'Xero Data'!$E:$E,'Cash Flow'!$A42)</f>
        <v>0</v>
      </c>
      <c r="J42" s="523">
        <f>SUMIFS('Xero Data'!$J:$J,'Xero Data'!$H:$H,'Cash Flow'!J$2,'Xero Data'!$E:$E,'Cash Flow'!$A42)</f>
        <v>0</v>
      </c>
      <c r="K42" s="607">
        <f>SUMIFS('Xero Data'!$J:$J,'Xero Data'!$H:$H,'Cash Flow'!K$2,'Xero Data'!$E:$E,'Cash Flow'!$A42)</f>
        <v>0</v>
      </c>
      <c r="L42" s="523">
        <f>SUMIFS('Xero Data'!$J:$J,'Xero Data'!$H:$H,'Cash Flow'!L$2,'Xero Data'!$E:$E,'Cash Flow'!$A42)</f>
        <v>0</v>
      </c>
      <c r="M42" s="523">
        <f>SUMIFS('Xero Data'!$J:$J,'Xero Data'!$H:$H,'Cash Flow'!M$2,'Xero Data'!$E:$E,'Cash Flow'!$A42)</f>
        <v>0</v>
      </c>
      <c r="N42" s="458">
        <f t="shared" si="2"/>
        <v>3970.83</v>
      </c>
    </row>
    <row r="43" spans="1:14">
      <c r="A43" s="457" t="s">
        <v>648</v>
      </c>
      <c r="B43" s="523">
        <f>SUMIFS('Xero Data'!$J:$J,'Xero Data'!$H:$H,'Cash Flow'!B$2,'Xero Data'!$E:$E,'Cash Flow'!$A43)</f>
        <v>0</v>
      </c>
      <c r="C43" s="523">
        <f>SUMIFS('Xero Data'!$J:$J,'Xero Data'!$H:$H,'Cash Flow'!C$2,'Xero Data'!$E:$E,'Cash Flow'!$A43)</f>
        <v>0</v>
      </c>
      <c r="D43" s="523">
        <f>SUMIFS('Xero Data'!$J:$J,'Xero Data'!$H:$H,'Cash Flow'!D$2,'Xero Data'!$E:$E,'Cash Flow'!$A43)</f>
        <v>0</v>
      </c>
      <c r="E43" s="523">
        <f>SUMIFS('Xero Data'!$J:$J,'Xero Data'!$H:$H,'Cash Flow'!E$2,'Xero Data'!$E:$E,'Cash Flow'!$A43)</f>
        <v>0</v>
      </c>
      <c r="F43" s="523">
        <f>SUMIFS('Xero Data'!$J:$J,'Xero Data'!$H:$H,'Cash Flow'!F$2,'Xero Data'!$E:$E,'Cash Flow'!$A43)</f>
        <v>0</v>
      </c>
      <c r="G43" s="523">
        <f>SUMIFS('Xero Data'!$J:$J,'Xero Data'!$H:$H,'Cash Flow'!G$2,'Xero Data'!$E:$E,'Cash Flow'!$A43)</f>
        <v>0</v>
      </c>
      <c r="H43" s="523">
        <f>SUMIFS('Xero Data'!$J:$J,'Xero Data'!$H:$H,'Cash Flow'!H$2,'Xero Data'!$E:$E,'Cash Flow'!$A43)</f>
        <v>0</v>
      </c>
      <c r="I43" s="523">
        <f>SUMIFS('Xero Data'!$J:$J,'Xero Data'!$H:$H,'Cash Flow'!I$2,'Xero Data'!$E:$E,'Cash Flow'!$A43)</f>
        <v>0</v>
      </c>
      <c r="J43" s="523">
        <f>SUMIFS('Xero Data'!$J:$J,'Xero Data'!$H:$H,'Cash Flow'!J$2,'Xero Data'!$E:$E,'Cash Flow'!$A43)</f>
        <v>0</v>
      </c>
      <c r="K43" s="523">
        <f>SUMIFS('Xero Data'!$J:$J,'Xero Data'!$H:$H,'Cash Flow'!K$2,'Xero Data'!$E:$E,'Cash Flow'!$A43)</f>
        <v>0</v>
      </c>
      <c r="L43" s="523">
        <f>SUMIFS('Xero Data'!$J:$J,'Xero Data'!$H:$H,'Cash Flow'!L$2,'Xero Data'!$E:$E,'Cash Flow'!$A43)</f>
        <v>0</v>
      </c>
      <c r="M43" s="523">
        <f>SUMIFS('Xero Data'!$J:$J,'Xero Data'!$H:$H,'Cash Flow'!M$2,'Xero Data'!$E:$E,'Cash Flow'!$A43)</f>
        <v>0</v>
      </c>
      <c r="N43" s="458">
        <f t="shared" si="2"/>
        <v>0</v>
      </c>
    </row>
    <row r="44" spans="1:14">
      <c r="A44" s="457" t="s">
        <v>737</v>
      </c>
      <c r="B44" s="523">
        <f>SUMIFS('Xero Data'!$J:$J,'Xero Data'!$H:$H,'Cash Flow'!B$2,'Xero Data'!$E:$E,'Cash Flow'!$A44)</f>
        <v>0</v>
      </c>
      <c r="C44" s="523">
        <f>SUMIFS('Xero Data'!$J:$J,'Xero Data'!$H:$H,'Cash Flow'!C$2,'Xero Data'!$E:$E,'Cash Flow'!$A44)</f>
        <v>0</v>
      </c>
      <c r="D44" s="523">
        <f>SUMIFS('Xero Data'!$J:$J,'Xero Data'!$H:$H,'Cash Flow'!D$2,'Xero Data'!$E:$E,'Cash Flow'!$A44)</f>
        <v>0</v>
      </c>
      <c r="E44" s="523">
        <f>SUMIFS('Xero Data'!$J:$J,'Xero Data'!$H:$H,'Cash Flow'!E$2,'Xero Data'!$E:$E,'Cash Flow'!$A44)</f>
        <v>0</v>
      </c>
      <c r="F44" s="523">
        <f>SUMIFS('Xero Data'!$J:$J,'Xero Data'!$H:$H,'Cash Flow'!F$2,'Xero Data'!$E:$E,'Cash Flow'!$A44)</f>
        <v>0</v>
      </c>
      <c r="G44" s="523">
        <f>SUMIFS('Xero Data'!$J:$J,'Xero Data'!$H:$H,'Cash Flow'!G$2,'Xero Data'!$E:$E,'Cash Flow'!$A44)</f>
        <v>0</v>
      </c>
      <c r="H44" s="523">
        <f>SUMIFS('Xero Data'!$J:$J,'Xero Data'!$H:$H,'Cash Flow'!H$2,'Xero Data'!$E:$E,'Cash Flow'!$A44)</f>
        <v>0</v>
      </c>
      <c r="I44" s="523">
        <f>SUMIFS('Xero Data'!$J:$J,'Xero Data'!$H:$H,'Cash Flow'!I$2,'Xero Data'!$E:$E,'Cash Flow'!$A44)</f>
        <v>0</v>
      </c>
      <c r="J44" s="523">
        <f>SUMIFS('Xero Data'!$J:$J,'Xero Data'!$H:$H,'Cash Flow'!J$2,'Xero Data'!$E:$E,'Cash Flow'!$A44)</f>
        <v>0</v>
      </c>
      <c r="K44" s="523">
        <f>SUMIFS('Xero Data'!$J:$J,'Xero Data'!$H:$H,'Cash Flow'!K$2,'Xero Data'!$E:$E,'Cash Flow'!$A44)</f>
        <v>0</v>
      </c>
      <c r="L44" s="523">
        <f>SUMIFS('Xero Data'!$J:$J,'Xero Data'!$H:$H,'Cash Flow'!L$2,'Xero Data'!$E:$E,'Cash Flow'!$A44)</f>
        <v>0</v>
      </c>
      <c r="M44" s="523">
        <f>SUMIFS('Xero Data'!$J:$J,'Xero Data'!$H:$H,'Cash Flow'!M$2,'Xero Data'!$E:$E,'Cash Flow'!$A44)</f>
        <v>0</v>
      </c>
      <c r="N44" s="458">
        <f t="shared" ref="N44:N49" si="3">SUM(B44:M44)</f>
        <v>0</v>
      </c>
    </row>
    <row r="45" spans="1:14">
      <c r="A45" s="457" t="s">
        <v>98</v>
      </c>
      <c r="B45" s="523">
        <f>SUMIFS('Xero Data'!$J:$J,'Xero Data'!$H:$H,'Cash Flow'!B$2,'Xero Data'!$E:$E,'Cash Flow'!$A45)</f>
        <v>0</v>
      </c>
      <c r="C45" s="523">
        <f>SUMIFS('Xero Data'!$J:$J,'Xero Data'!$H:$H,'Cash Flow'!C$2,'Xero Data'!$E:$E,'Cash Flow'!$A45)</f>
        <v>0</v>
      </c>
      <c r="D45" s="523">
        <f>SUMIFS('Xero Data'!$J:$J,'Xero Data'!$H:$H,'Cash Flow'!D$2,'Xero Data'!$E:$E,'Cash Flow'!$A45)</f>
        <v>0</v>
      </c>
      <c r="E45" s="523">
        <f>SUMIFS('Xero Data'!$J:$J,'Xero Data'!$H:$H,'Cash Flow'!E$2,'Xero Data'!$E:$E,'Cash Flow'!$A45)</f>
        <v>0</v>
      </c>
      <c r="F45" s="523">
        <f>SUMIFS('Xero Data'!$J:$J,'Xero Data'!$H:$H,'Cash Flow'!F$2,'Xero Data'!$E:$E,'Cash Flow'!$A45)</f>
        <v>0</v>
      </c>
      <c r="G45" s="523">
        <f>SUMIFS('Xero Data'!$J:$J,'Xero Data'!$H:$H,'Cash Flow'!G$2,'Xero Data'!$E:$E,'Cash Flow'!$A45)</f>
        <v>0</v>
      </c>
      <c r="H45" s="523">
        <f>SUMIFS('Xero Data'!$J:$J,'Xero Data'!$H:$H,'Cash Flow'!H$2,'Xero Data'!$E:$E,'Cash Flow'!$A45)</f>
        <v>0</v>
      </c>
      <c r="I45" s="523">
        <f>SUMIFS('Xero Data'!$J:$J,'Xero Data'!$H:$H,'Cash Flow'!I$2,'Xero Data'!$E:$E,'Cash Flow'!$A45)</f>
        <v>0</v>
      </c>
      <c r="J45" s="523">
        <f>SUMIFS('Xero Data'!$J:$J,'Xero Data'!$H:$H,'Cash Flow'!J$2,'Xero Data'!$E:$E,'Cash Flow'!$A45)</f>
        <v>0</v>
      </c>
      <c r="K45" s="523">
        <f>SUMIFS('Xero Data'!$J:$J,'Xero Data'!$H:$H,'Cash Flow'!K$2,'Xero Data'!$E:$E,'Cash Flow'!$A45)</f>
        <v>0</v>
      </c>
      <c r="L45" s="523">
        <f>SUMIFS('Xero Data'!$J:$J,'Xero Data'!$H:$H,'Cash Flow'!L$2,'Xero Data'!$E:$E,'Cash Flow'!$A45)</f>
        <v>0</v>
      </c>
      <c r="M45" s="523">
        <f>SUMIFS('Xero Data'!$J:$J,'Xero Data'!$H:$H,'Cash Flow'!M$2,'Xero Data'!$E:$E,'Cash Flow'!$A45)</f>
        <v>0</v>
      </c>
      <c r="N45" s="458">
        <f t="shared" si="3"/>
        <v>0</v>
      </c>
    </row>
    <row r="46" spans="1:14">
      <c r="A46" s="457"/>
      <c r="B46" s="523"/>
      <c r="C46" s="523"/>
      <c r="D46" s="523"/>
      <c r="E46" s="523"/>
      <c r="F46" s="523"/>
      <c r="G46" s="523"/>
      <c r="H46" s="523"/>
      <c r="I46" s="523"/>
      <c r="J46" s="523"/>
      <c r="K46" s="523"/>
      <c r="L46" s="523"/>
      <c r="M46" s="523"/>
      <c r="N46" s="458">
        <f t="shared" si="3"/>
        <v>0</v>
      </c>
    </row>
    <row r="47" spans="1:14">
      <c r="A47" s="526" t="s">
        <v>650</v>
      </c>
      <c r="B47" s="527">
        <f t="shared" ref="B47:M47" si="4">SUM(B22:B46)</f>
        <v>112399.00567631581</v>
      </c>
      <c r="C47" s="527">
        <f t="shared" si="4"/>
        <v>2363.3100000000004</v>
      </c>
      <c r="D47" s="527">
        <f t="shared" si="4"/>
        <v>0</v>
      </c>
      <c r="E47" s="527">
        <f t="shared" si="4"/>
        <v>0</v>
      </c>
      <c r="F47" s="527">
        <f t="shared" si="4"/>
        <v>0</v>
      </c>
      <c r="G47" s="527">
        <f t="shared" si="4"/>
        <v>0</v>
      </c>
      <c r="H47" s="527">
        <f t="shared" si="4"/>
        <v>0</v>
      </c>
      <c r="I47" s="527">
        <f t="shared" si="4"/>
        <v>0</v>
      </c>
      <c r="J47" s="527">
        <f t="shared" si="4"/>
        <v>0</v>
      </c>
      <c r="K47" s="527">
        <f t="shared" si="4"/>
        <v>0</v>
      </c>
      <c r="L47" s="527">
        <f t="shared" si="4"/>
        <v>0</v>
      </c>
      <c r="M47" s="527">
        <f t="shared" si="4"/>
        <v>0</v>
      </c>
      <c r="N47" s="458">
        <f t="shared" si="3"/>
        <v>114762.3156763158</v>
      </c>
    </row>
    <row r="48" spans="1:14">
      <c r="A48" s="306"/>
      <c r="B48" s="530"/>
      <c r="C48" s="530"/>
      <c r="D48" s="530"/>
      <c r="E48" s="530"/>
      <c r="F48" s="530"/>
      <c r="G48" s="530"/>
      <c r="H48" s="530"/>
      <c r="I48" s="530"/>
      <c r="J48" s="530"/>
      <c r="K48" s="530"/>
      <c r="L48" s="530"/>
      <c r="M48" s="530"/>
      <c r="N48" s="463"/>
    </row>
    <row r="49" spans="1:14" ht="14.35" thickBot="1">
      <c r="A49" s="464" t="s">
        <v>70</v>
      </c>
      <c r="B49" s="465">
        <f t="shared" ref="B49:M49" si="5">SUM(B3:B14)-SUM(B22:B45)</f>
        <v>-114648.49567631581</v>
      </c>
      <c r="C49" s="465">
        <f t="shared" si="5"/>
        <v>-11290</v>
      </c>
      <c r="D49" s="465">
        <f t="shared" si="5"/>
        <v>0</v>
      </c>
      <c r="E49" s="465">
        <f t="shared" si="5"/>
        <v>0</v>
      </c>
      <c r="F49" s="465">
        <f t="shared" si="5"/>
        <v>0</v>
      </c>
      <c r="G49" s="465">
        <f t="shared" si="5"/>
        <v>0</v>
      </c>
      <c r="H49" s="465">
        <f t="shared" si="5"/>
        <v>0</v>
      </c>
      <c r="I49" s="465">
        <f t="shared" si="5"/>
        <v>0</v>
      </c>
      <c r="J49" s="465">
        <f t="shared" si="5"/>
        <v>0</v>
      </c>
      <c r="K49" s="465">
        <f t="shared" si="5"/>
        <v>0</v>
      </c>
      <c r="L49" s="465">
        <f t="shared" si="5"/>
        <v>0</v>
      </c>
      <c r="M49" s="466">
        <f t="shared" si="5"/>
        <v>0</v>
      </c>
      <c r="N49" s="458">
        <f t="shared" si="3"/>
        <v>-125938.49567631581</v>
      </c>
    </row>
    <row r="50" spans="1:14" ht="14.35" thickBot="1">
      <c r="A50" s="467" t="s">
        <v>16</v>
      </c>
      <c r="B50" s="468"/>
      <c r="C50" s="468"/>
      <c r="D50" s="468"/>
      <c r="E50" s="468">
        <v>41943</v>
      </c>
      <c r="F50" s="468">
        <v>41973</v>
      </c>
      <c r="G50" s="468">
        <v>42004</v>
      </c>
      <c r="H50" s="469">
        <v>42035</v>
      </c>
      <c r="I50" s="469">
        <v>42063</v>
      </c>
      <c r="J50" s="469">
        <v>42094</v>
      </c>
      <c r="K50" s="469">
        <v>42124</v>
      </c>
      <c r="L50" s="469">
        <v>42155</v>
      </c>
      <c r="M50" s="470">
        <v>42185</v>
      </c>
      <c r="N50" s="456" t="s">
        <v>176</v>
      </c>
    </row>
    <row r="51" spans="1:14">
      <c r="A51" s="457" t="s">
        <v>37</v>
      </c>
      <c r="B51" s="471">
        <f t="shared" ref="B51:M51" si="6">SUM(B3:B17)</f>
        <v>-2249.4899999999998</v>
      </c>
      <c r="C51" s="471">
        <f t="shared" si="6"/>
        <v>-8926.6899999999987</v>
      </c>
      <c r="D51" s="471">
        <f t="shared" si="6"/>
        <v>0</v>
      </c>
      <c r="E51" s="471">
        <f t="shared" si="6"/>
        <v>0</v>
      </c>
      <c r="F51" s="471">
        <f t="shared" si="6"/>
        <v>0</v>
      </c>
      <c r="G51" s="471">
        <f t="shared" si="6"/>
        <v>0</v>
      </c>
      <c r="H51" s="471">
        <f t="shared" si="6"/>
        <v>0</v>
      </c>
      <c r="I51" s="471">
        <f t="shared" si="6"/>
        <v>0</v>
      </c>
      <c r="J51" s="471">
        <f t="shared" si="6"/>
        <v>0</v>
      </c>
      <c r="K51" s="471">
        <f t="shared" si="6"/>
        <v>0</v>
      </c>
      <c r="L51" s="471">
        <f t="shared" si="6"/>
        <v>0</v>
      </c>
      <c r="M51" s="471">
        <f t="shared" si="6"/>
        <v>0</v>
      </c>
      <c r="N51" s="472">
        <f>SUM(B51:M51)</f>
        <v>-11176.179999999998</v>
      </c>
    </row>
    <row r="52" spans="1:14">
      <c r="A52" s="457" t="s">
        <v>102</v>
      </c>
      <c r="B52" s="473">
        <f t="shared" ref="B52:M52" si="7">SUM(B22:B45)</f>
        <v>112399.00567631581</v>
      </c>
      <c r="C52" s="473">
        <f t="shared" si="7"/>
        <v>2363.3100000000004</v>
      </c>
      <c r="D52" s="473">
        <f t="shared" si="7"/>
        <v>0</v>
      </c>
      <c r="E52" s="473">
        <f t="shared" si="7"/>
        <v>0</v>
      </c>
      <c r="F52" s="473">
        <f t="shared" si="7"/>
        <v>0</v>
      </c>
      <c r="G52" s="473">
        <f t="shared" si="7"/>
        <v>0</v>
      </c>
      <c r="H52" s="473">
        <f t="shared" si="7"/>
        <v>0</v>
      </c>
      <c r="I52" s="473">
        <f t="shared" si="7"/>
        <v>0</v>
      </c>
      <c r="J52" s="473">
        <f t="shared" si="7"/>
        <v>0</v>
      </c>
      <c r="K52" s="473">
        <f t="shared" si="7"/>
        <v>0</v>
      </c>
      <c r="L52" s="473">
        <f t="shared" si="7"/>
        <v>0</v>
      </c>
      <c r="M52" s="474">
        <f t="shared" si="7"/>
        <v>0</v>
      </c>
      <c r="N52" s="472">
        <f>SUM(B52:M52)</f>
        <v>114762.3156763158</v>
      </c>
    </row>
    <row r="53" spans="1:14">
      <c r="A53" s="457" t="s">
        <v>103</v>
      </c>
      <c r="B53" s="473">
        <f t="shared" ref="B53:M53" si="8">SUM(B40,B35,B34,B32,B37,B38,B42)</f>
        <v>18240.589999999997</v>
      </c>
      <c r="C53" s="473">
        <f t="shared" si="8"/>
        <v>121.72</v>
      </c>
      <c r="D53" s="473">
        <f t="shared" si="8"/>
        <v>0</v>
      </c>
      <c r="E53" s="473">
        <f t="shared" si="8"/>
        <v>0</v>
      </c>
      <c r="F53" s="473">
        <f t="shared" si="8"/>
        <v>0</v>
      </c>
      <c r="G53" s="473">
        <f t="shared" si="8"/>
        <v>0</v>
      </c>
      <c r="H53" s="473">
        <f t="shared" si="8"/>
        <v>0</v>
      </c>
      <c r="I53" s="473">
        <f t="shared" si="8"/>
        <v>0</v>
      </c>
      <c r="J53" s="473">
        <f t="shared" si="8"/>
        <v>0</v>
      </c>
      <c r="K53" s="473">
        <f t="shared" si="8"/>
        <v>0</v>
      </c>
      <c r="L53" s="473">
        <f t="shared" si="8"/>
        <v>0</v>
      </c>
      <c r="M53" s="473">
        <f t="shared" si="8"/>
        <v>0</v>
      </c>
      <c r="N53" s="475">
        <f>SUM(B53:M53)</f>
        <v>18362.309999999998</v>
      </c>
    </row>
    <row r="54" spans="1:14">
      <c r="A54" s="457" t="s">
        <v>39</v>
      </c>
      <c r="B54" s="473">
        <f t="shared" ref="B54:M54" si="9">B51-B52</f>
        <v>-114648.49567631581</v>
      </c>
      <c r="C54" s="473">
        <f t="shared" si="9"/>
        <v>-11290</v>
      </c>
      <c r="D54" s="473">
        <f t="shared" si="9"/>
        <v>0</v>
      </c>
      <c r="E54" s="473">
        <f t="shared" si="9"/>
        <v>0</v>
      </c>
      <c r="F54" s="473">
        <f t="shared" si="9"/>
        <v>0</v>
      </c>
      <c r="G54" s="473">
        <f t="shared" si="9"/>
        <v>0</v>
      </c>
      <c r="H54" s="473">
        <f t="shared" si="9"/>
        <v>0</v>
      </c>
      <c r="I54" s="473">
        <f t="shared" si="9"/>
        <v>0</v>
      </c>
      <c r="J54" s="473">
        <f t="shared" si="9"/>
        <v>0</v>
      </c>
      <c r="K54" s="473">
        <f t="shared" si="9"/>
        <v>0</v>
      </c>
      <c r="L54" s="473">
        <f t="shared" si="9"/>
        <v>0</v>
      </c>
      <c r="M54" s="474">
        <f t="shared" si="9"/>
        <v>0</v>
      </c>
      <c r="N54" s="475">
        <f>SUM(B54:M54)</f>
        <v>-125938.49567631581</v>
      </c>
    </row>
    <row r="55" spans="1:14">
      <c r="A55" s="457" t="s">
        <v>40</v>
      </c>
      <c r="B55" s="476">
        <f>B54/B51</f>
        <v>50.966439360173119</v>
      </c>
      <c r="C55" s="476">
        <f>C54/C51</f>
        <v>1.264746507384036</v>
      </c>
      <c r="D55" s="476" t="e">
        <f>D54/D51</f>
        <v>#DIV/0!</v>
      </c>
      <c r="E55" s="477" t="e">
        <f>E54/E51</f>
        <v>#DIV/0!</v>
      </c>
      <c r="F55" s="476" t="e">
        <f>F54/F51</f>
        <v>#DIV/0!</v>
      </c>
      <c r="G55" s="476" t="e">
        <f t="shared" ref="G55:M55" si="10">G54/G51</f>
        <v>#DIV/0!</v>
      </c>
      <c r="H55" s="476" t="e">
        <f t="shared" si="10"/>
        <v>#DIV/0!</v>
      </c>
      <c r="I55" s="476" t="e">
        <f t="shared" si="10"/>
        <v>#DIV/0!</v>
      </c>
      <c r="J55" s="476" t="e">
        <f t="shared" si="10"/>
        <v>#DIV/0!</v>
      </c>
      <c r="K55" s="476" t="e">
        <f t="shared" si="10"/>
        <v>#DIV/0!</v>
      </c>
      <c r="L55" s="476" t="e">
        <f t="shared" si="10"/>
        <v>#DIV/0!</v>
      </c>
      <c r="M55" s="476" t="e">
        <f t="shared" si="10"/>
        <v>#DIV/0!</v>
      </c>
      <c r="N55" s="479" t="e">
        <f>AVERAGE(B55:M55)</f>
        <v>#DIV/0!</v>
      </c>
    </row>
    <row r="56" spans="1:14">
      <c r="A56" s="457"/>
      <c r="B56" s="476"/>
      <c r="C56" s="476"/>
      <c r="D56" s="476"/>
      <c r="E56" s="476"/>
      <c r="F56" s="476"/>
      <c r="G56" s="476"/>
      <c r="H56" s="476"/>
      <c r="I56" s="476"/>
      <c r="J56" s="476"/>
      <c r="K56" s="476"/>
      <c r="L56" s="476"/>
      <c r="M56" s="478"/>
      <c r="N56" s="480"/>
    </row>
    <row r="57" spans="1:14">
      <c r="A57" s="457" t="s">
        <v>41</v>
      </c>
      <c r="B57" s="481">
        <f>B51</f>
        <v>-2249.4899999999998</v>
      </c>
      <c r="C57" s="481">
        <f t="shared" ref="C57:M58" si="11">B57+C51</f>
        <v>-11176.179999999998</v>
      </c>
      <c r="D57" s="481">
        <f t="shared" si="11"/>
        <v>-11176.179999999998</v>
      </c>
      <c r="E57" s="481">
        <f t="shared" si="11"/>
        <v>-11176.179999999998</v>
      </c>
      <c r="F57" s="481">
        <f t="shared" si="11"/>
        <v>-11176.179999999998</v>
      </c>
      <c r="G57" s="481">
        <f t="shared" si="11"/>
        <v>-11176.179999999998</v>
      </c>
      <c r="H57" s="481">
        <f t="shared" si="11"/>
        <v>-11176.179999999998</v>
      </c>
      <c r="I57" s="481">
        <f t="shared" si="11"/>
        <v>-11176.179999999998</v>
      </c>
      <c r="J57" s="481">
        <f t="shared" si="11"/>
        <v>-11176.179999999998</v>
      </c>
      <c r="K57" s="481">
        <f t="shared" si="11"/>
        <v>-11176.179999999998</v>
      </c>
      <c r="L57" s="481">
        <f t="shared" si="11"/>
        <v>-11176.179999999998</v>
      </c>
      <c r="M57" s="482">
        <f t="shared" si="11"/>
        <v>-11176.179999999998</v>
      </c>
      <c r="N57" s="475">
        <f>M57</f>
        <v>-11176.179999999998</v>
      </c>
    </row>
    <row r="58" spans="1:14">
      <c r="A58" s="457" t="s">
        <v>42</v>
      </c>
      <c r="B58" s="481">
        <f>B52</f>
        <v>112399.00567631581</v>
      </c>
      <c r="C58" s="481">
        <f>B58+C52</f>
        <v>114762.3156763158</v>
      </c>
      <c r="D58" s="481">
        <f t="shared" si="11"/>
        <v>114762.3156763158</v>
      </c>
      <c r="E58" s="481">
        <f t="shared" si="11"/>
        <v>114762.3156763158</v>
      </c>
      <c r="F58" s="481">
        <f t="shared" si="11"/>
        <v>114762.3156763158</v>
      </c>
      <c r="G58" s="481">
        <f t="shared" si="11"/>
        <v>114762.3156763158</v>
      </c>
      <c r="H58" s="481">
        <f t="shared" si="11"/>
        <v>114762.3156763158</v>
      </c>
      <c r="I58" s="481">
        <f t="shared" si="11"/>
        <v>114762.3156763158</v>
      </c>
      <c r="J58" s="481">
        <f t="shared" si="11"/>
        <v>114762.3156763158</v>
      </c>
      <c r="K58" s="481">
        <f t="shared" si="11"/>
        <v>114762.3156763158</v>
      </c>
      <c r="L58" s="481">
        <f t="shared" si="11"/>
        <v>114762.3156763158</v>
      </c>
      <c r="M58" s="481">
        <f t="shared" si="11"/>
        <v>114762.3156763158</v>
      </c>
      <c r="N58" s="475">
        <f>M58</f>
        <v>114762.3156763158</v>
      </c>
    </row>
    <row r="59" spans="1:14">
      <c r="A59" s="457" t="s">
        <v>43</v>
      </c>
      <c r="B59" s="473">
        <f>B51-B58</f>
        <v>-114648.49567631581</v>
      </c>
      <c r="C59" s="473">
        <f>C57-C58</f>
        <v>-125938.4956763158</v>
      </c>
      <c r="D59" s="473">
        <f>D57-D58</f>
        <v>-125938.4956763158</v>
      </c>
      <c r="E59" s="473">
        <f>E57-E58</f>
        <v>-125938.4956763158</v>
      </c>
      <c r="F59" s="473">
        <f>F57-F58</f>
        <v>-125938.4956763158</v>
      </c>
      <c r="G59" s="473">
        <f>G57-G58</f>
        <v>-125938.4956763158</v>
      </c>
      <c r="H59" s="473">
        <f t="shared" ref="H59:M59" si="12">H57-H58</f>
        <v>-125938.4956763158</v>
      </c>
      <c r="I59" s="473">
        <f t="shared" si="12"/>
        <v>-125938.4956763158</v>
      </c>
      <c r="J59" s="473">
        <f>J57-J58</f>
        <v>-125938.4956763158</v>
      </c>
      <c r="K59" s="473">
        <f t="shared" si="12"/>
        <v>-125938.4956763158</v>
      </c>
      <c r="L59" s="473">
        <f t="shared" si="12"/>
        <v>-125938.4956763158</v>
      </c>
      <c r="M59" s="474">
        <f t="shared" si="12"/>
        <v>-125938.4956763158</v>
      </c>
      <c r="N59" s="475">
        <f>M59</f>
        <v>-125938.4956763158</v>
      </c>
    </row>
    <row r="60" spans="1:14" ht="14.35" thickBot="1">
      <c r="A60" s="483" t="s">
        <v>44</v>
      </c>
      <c r="B60" s="570">
        <f>B59/B57</f>
        <v>50.966439360173119</v>
      </c>
      <c r="C60" s="570">
        <f>C59/C57</f>
        <v>11.268474172419898</v>
      </c>
      <c r="D60" s="570">
        <f>D59/D57</f>
        <v>11.268474172419898</v>
      </c>
      <c r="E60" s="570">
        <f>E59/E57</f>
        <v>11.268474172419898</v>
      </c>
      <c r="F60" s="570">
        <f t="shared" ref="F60:M60" si="13">F59/F57</f>
        <v>11.268474172419898</v>
      </c>
      <c r="G60" s="570">
        <f t="shared" si="13"/>
        <v>11.268474172419898</v>
      </c>
      <c r="H60" s="570">
        <f t="shared" si="13"/>
        <v>11.268474172419898</v>
      </c>
      <c r="I60" s="485">
        <f t="shared" si="13"/>
        <v>11.268474172419898</v>
      </c>
      <c r="J60" s="484">
        <f t="shared" si="13"/>
        <v>11.268474172419898</v>
      </c>
      <c r="K60" s="484">
        <f t="shared" si="13"/>
        <v>11.268474172419898</v>
      </c>
      <c r="L60" s="484">
        <f>L59/L57</f>
        <v>11.268474172419898</v>
      </c>
      <c r="M60" s="484">
        <f t="shared" si="13"/>
        <v>11.268474172419898</v>
      </c>
      <c r="N60" s="486">
        <f>AVERAGE(B60:M60)</f>
        <v>14.576637938066</v>
      </c>
    </row>
    <row r="61" spans="1:14">
      <c r="N61" s="218"/>
    </row>
    <row r="62" spans="1:14">
      <c r="G62" s="487">
        <f>AVERAGE(B51)</f>
        <v>-2249.4899999999998</v>
      </c>
      <c r="H62" s="354" t="s">
        <v>1209</v>
      </c>
    </row>
    <row r="63" spans="1:14">
      <c r="G63" s="487">
        <f>AVERAGE(B52)</f>
        <v>112399.00567631581</v>
      </c>
      <c r="H63" s="354" t="s">
        <v>1208</v>
      </c>
    </row>
    <row r="64" spans="1:14">
      <c r="G64" s="487">
        <f>AVERAGE(B54)</f>
        <v>-114648.49567631581</v>
      </c>
      <c r="H64" s="354" t="s">
        <v>1207</v>
      </c>
    </row>
    <row r="65" spans="7:8">
      <c r="G65" s="488">
        <f>G64/G62</f>
        <v>50.966439360173119</v>
      </c>
      <c r="H65" s="354" t="s">
        <v>1206</v>
      </c>
    </row>
    <row r="67" spans="7:8">
      <c r="G67" s="489">
        <f>AVERAGE(B53)</f>
        <v>18240.589999999997</v>
      </c>
      <c r="H67" s="354" t="s">
        <v>1205</v>
      </c>
    </row>
    <row r="68" spans="7:8">
      <c r="G68" s="489">
        <f>SUM(B22:M22,B28:M30)/1</f>
        <v>67771.268689999997</v>
      </c>
      <c r="H68" s="354" t="s">
        <v>1204</v>
      </c>
    </row>
    <row r="69" spans="7:8">
      <c r="G69" s="581">
        <f>G68/G62</f>
        <v>-30.127392737909485</v>
      </c>
      <c r="H69" s="354" t="s">
        <v>1203</v>
      </c>
    </row>
  </sheetData>
  <conditionalFormatting sqref="H59:M59">
    <cfRule type="cellIs" dxfId="39" priority="6" operator="lessThan">
      <formula>0</formula>
    </cfRule>
  </conditionalFormatting>
  <conditionalFormatting sqref="F54:M54">
    <cfRule type="cellIs" dxfId="38" priority="7" operator="lessThan">
      <formula>0</formula>
    </cfRule>
  </conditionalFormatting>
  <conditionalFormatting sqref="G60:I60">
    <cfRule type="cellIs" dxfId="37" priority="5" operator="lessThan">
      <formula>0</formula>
    </cfRule>
  </conditionalFormatting>
  <conditionalFormatting sqref="B54:E54">
    <cfRule type="cellIs" dxfId="36" priority="4" operator="lessThan">
      <formula>0</formula>
    </cfRule>
  </conditionalFormatting>
  <conditionalFormatting sqref="B59:G59">
    <cfRule type="cellIs" dxfId="35" priority="3" operator="lessThan">
      <formula>0</formula>
    </cfRule>
  </conditionalFormatting>
  <conditionalFormatting sqref="D60:F60">
    <cfRule type="cellIs" dxfId="34" priority="2" operator="lessThan">
      <formula>0</formula>
    </cfRule>
  </conditionalFormatting>
  <conditionalFormatting sqref="J60:M60">
    <cfRule type="cellIs" dxfId="33" priority="1" operator="lessThan">
      <formula>0</formula>
    </cfRule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58"/>
  <sheetViews>
    <sheetView topLeftCell="A163" zoomScale="80" zoomScaleNormal="80" workbookViewId="0">
      <selection activeCell="B196" sqref="B196"/>
    </sheetView>
  </sheetViews>
  <sheetFormatPr defaultRowHeight="14.35"/>
  <cols>
    <col min="1" max="1" width="76.3515625" customWidth="1"/>
    <col min="2" max="2" width="13.5859375" customWidth="1"/>
    <col min="3" max="7" width="10.41015625" bestFit="1" customWidth="1"/>
    <col min="8" max="8" width="10.41015625" customWidth="1"/>
    <col min="9" max="13" width="10.41015625" bestFit="1" customWidth="1"/>
    <col min="14" max="14" width="10.8203125" bestFit="1" customWidth="1"/>
    <col min="15" max="15" width="9.8203125" style="13" customWidth="1"/>
    <col min="16" max="16" width="9.8203125" customWidth="1"/>
    <col min="17" max="20" width="10.41015625" customWidth="1"/>
    <col min="21" max="21" width="10.8203125" customWidth="1"/>
    <col min="22" max="22" width="9.41015625" customWidth="1"/>
    <col min="23" max="23" width="9.8203125" customWidth="1"/>
    <col min="24" max="24" width="10.8203125" customWidth="1"/>
    <col min="25" max="25" width="12.3515625" customWidth="1"/>
    <col min="26" max="26" width="10.8203125" customWidth="1"/>
    <col min="27" max="28" width="12.3515625" customWidth="1"/>
    <col min="29" max="29" width="11.76171875" customWidth="1"/>
    <col min="30" max="30" width="11.76171875" bestFit="1" customWidth="1"/>
    <col min="31" max="31" width="5.76171875" customWidth="1"/>
    <col min="32" max="32" width="6.76171875" customWidth="1"/>
    <col min="33" max="34" width="4.76171875" customWidth="1"/>
    <col min="35" max="35" width="6.76171875" customWidth="1"/>
    <col min="36" max="36" width="7.76171875" bestFit="1" customWidth="1"/>
    <col min="37" max="37" width="4.76171875" customWidth="1"/>
    <col min="38" max="39" width="7.76171875" bestFit="1" customWidth="1"/>
    <col min="40" max="40" width="11.76171875" bestFit="1" customWidth="1"/>
    <col min="41" max="43" width="7.76171875" customWidth="1"/>
    <col min="44" max="44" width="7.76171875" bestFit="1" customWidth="1"/>
    <col min="45" max="45" width="7.76171875" customWidth="1"/>
    <col min="46" max="46" width="7.76171875" bestFit="1" customWidth="1"/>
    <col min="47" max="49" width="4.76171875" customWidth="1"/>
    <col min="50" max="50" width="7.76171875" bestFit="1" customWidth="1"/>
    <col min="51" max="51" width="4.76171875" customWidth="1"/>
    <col min="52" max="52" width="6.76171875" customWidth="1"/>
    <col min="53" max="53" width="7.76171875" customWidth="1"/>
    <col min="54" max="54" width="11.76171875" customWidth="1"/>
    <col min="55" max="55" width="4.76171875" customWidth="1"/>
    <col min="56" max="56" width="7.76171875" bestFit="1" customWidth="1"/>
    <col min="57" max="57" width="4.76171875" customWidth="1"/>
    <col min="58" max="59" width="7.76171875" customWidth="1"/>
    <col min="60" max="60" width="7.76171875" bestFit="1" customWidth="1"/>
    <col min="61" max="61" width="6.76171875" customWidth="1"/>
    <col min="62" max="62" width="7.76171875" bestFit="1" customWidth="1"/>
    <col min="63" max="63" width="4.76171875" customWidth="1"/>
    <col min="64" max="68" width="7.76171875" bestFit="1" customWidth="1"/>
    <col min="69" max="69" width="6.76171875" customWidth="1"/>
    <col min="70" max="71" width="7.76171875" bestFit="1" customWidth="1"/>
    <col min="72" max="72" width="7.76171875" customWidth="1"/>
    <col min="73" max="73" width="6.76171875" customWidth="1"/>
    <col min="74" max="83" width="7.76171875" customWidth="1"/>
    <col min="84" max="85" width="7.76171875" bestFit="1" customWidth="1"/>
    <col min="86" max="89" width="4.76171875" customWidth="1"/>
    <col min="90" max="92" width="7.76171875" bestFit="1" customWidth="1"/>
    <col min="93" max="95" width="7.76171875" customWidth="1"/>
    <col min="96" max="96" width="7.76171875" bestFit="1" customWidth="1"/>
    <col min="97" max="97" width="4.76171875" customWidth="1"/>
    <col min="98" max="98" width="7.76171875" customWidth="1"/>
    <col min="99" max="99" width="7.76171875" bestFit="1" customWidth="1"/>
    <col min="100" max="100" width="4.76171875" customWidth="1"/>
    <col min="101" max="101" width="6.76171875" bestFit="1" customWidth="1"/>
    <col min="102" max="105" width="7.76171875" customWidth="1"/>
    <col min="106" max="106" width="6.76171875" customWidth="1"/>
    <col min="107" max="107" width="7.76171875" customWidth="1"/>
    <col min="108" max="108" width="7.76171875" bestFit="1" customWidth="1"/>
    <col min="109" max="109" width="6.76171875" customWidth="1"/>
    <col min="110" max="110" width="7.76171875" bestFit="1" customWidth="1"/>
    <col min="111" max="111" width="4.76171875" customWidth="1"/>
    <col min="112" max="112" width="7.76171875" customWidth="1"/>
    <col min="113" max="115" width="7.76171875" bestFit="1" customWidth="1"/>
    <col min="116" max="116" width="7.76171875" customWidth="1"/>
    <col min="117" max="117" width="7.76171875" bestFit="1" customWidth="1"/>
    <col min="118" max="120" width="7.76171875" customWidth="1"/>
    <col min="121" max="121" width="7.76171875" bestFit="1" customWidth="1"/>
    <col min="122" max="123" width="7.76171875" customWidth="1"/>
    <col min="124" max="125" width="7.76171875" bestFit="1" customWidth="1"/>
    <col min="126" max="126" width="7.76171875" customWidth="1"/>
    <col min="127" max="127" width="7.76171875" bestFit="1" customWidth="1"/>
    <col min="128" max="128" width="7.76171875" customWidth="1"/>
    <col min="129" max="129" width="6.76171875" customWidth="1"/>
    <col min="130" max="131" width="7.76171875" bestFit="1" customWidth="1"/>
    <col min="132" max="132" width="7.76171875" customWidth="1"/>
    <col min="133" max="133" width="7.76171875" bestFit="1" customWidth="1"/>
    <col min="134" max="134" width="6.76171875" customWidth="1"/>
    <col min="135" max="140" width="7.76171875" bestFit="1" customWidth="1"/>
    <col min="141" max="141" width="7.76171875" customWidth="1"/>
    <col min="142" max="142" width="6.76171875" customWidth="1"/>
    <col min="143" max="144" width="7.76171875" customWidth="1"/>
    <col min="145" max="145" width="4.76171875" customWidth="1"/>
    <col min="146" max="147" width="7.76171875" customWidth="1"/>
    <col min="148" max="148" width="7.76171875" bestFit="1" customWidth="1"/>
    <col min="149" max="149" width="4.76171875" customWidth="1"/>
    <col min="150" max="150" width="7.76171875" customWidth="1"/>
    <col min="151" max="161" width="7.76171875" bestFit="1" customWidth="1"/>
    <col min="162" max="162" width="8.76171875" bestFit="1" customWidth="1"/>
    <col min="163" max="163" width="6.41015625" customWidth="1"/>
    <col min="164" max="164" width="10.234375" bestFit="1" customWidth="1"/>
    <col min="165" max="188" width="7.5859375" bestFit="1" customWidth="1"/>
    <col min="189" max="189" width="7.703125" bestFit="1" customWidth="1"/>
    <col min="190" max="193" width="7.5859375" bestFit="1" customWidth="1"/>
    <col min="194" max="194" width="27.87890625" bestFit="1" customWidth="1"/>
    <col min="195" max="195" width="20" bestFit="1" customWidth="1"/>
    <col min="196" max="196" width="14.5859375" bestFit="1" customWidth="1"/>
    <col min="197" max="197" width="19.5859375" bestFit="1" customWidth="1"/>
    <col min="198" max="198" width="17" bestFit="1" customWidth="1"/>
    <col min="199" max="199" width="17.1171875" bestFit="1" customWidth="1"/>
    <col min="200" max="200" width="18.87890625" bestFit="1" customWidth="1"/>
    <col min="201" max="202" width="19.1171875" bestFit="1" customWidth="1"/>
    <col min="203" max="203" width="19.5859375" bestFit="1" customWidth="1"/>
    <col min="204" max="204" width="19.1171875" bestFit="1" customWidth="1"/>
    <col min="205" max="205" width="21" bestFit="1" customWidth="1"/>
    <col min="206" max="206" width="18.41015625" bestFit="1" customWidth="1"/>
    <col min="207" max="208" width="19.1171875" bestFit="1" customWidth="1"/>
    <col min="209" max="209" width="22.703125" bestFit="1" customWidth="1"/>
    <col min="210" max="211" width="19.1171875" bestFit="1" customWidth="1"/>
    <col min="212" max="212" width="15" bestFit="1" customWidth="1"/>
    <col min="213" max="213" width="8.1171875" bestFit="1" customWidth="1"/>
    <col min="214" max="214" width="11" bestFit="1" customWidth="1"/>
    <col min="215" max="215" width="10.703125" bestFit="1" customWidth="1"/>
  </cols>
  <sheetData>
    <row r="3" spans="1:25">
      <c r="A3" s="5" t="s">
        <v>30</v>
      </c>
      <c r="B3" s="5" t="s">
        <v>35</v>
      </c>
      <c r="O3"/>
    </row>
    <row r="4" spans="1:25">
      <c r="A4" s="5" t="s">
        <v>29</v>
      </c>
      <c r="B4" s="86">
        <v>42947</v>
      </c>
      <c r="C4" s="86">
        <v>42978</v>
      </c>
      <c r="D4" s="86">
        <v>43008</v>
      </c>
      <c r="E4" s="86">
        <v>43039</v>
      </c>
      <c r="F4" s="86">
        <v>43069</v>
      </c>
      <c r="G4" s="86">
        <v>43100</v>
      </c>
      <c r="H4" s="86">
        <v>43131</v>
      </c>
      <c r="I4" s="86">
        <v>43159</v>
      </c>
      <c r="J4" s="86">
        <v>43190</v>
      </c>
      <c r="K4" s="86">
        <v>43220</v>
      </c>
      <c r="L4" s="86">
        <v>43233</v>
      </c>
      <c r="M4" s="86">
        <v>43246</v>
      </c>
      <c r="N4" s="86">
        <v>43251</v>
      </c>
      <c r="O4" s="86">
        <v>43252</v>
      </c>
      <c r="P4" s="86">
        <v>43258</v>
      </c>
      <c r="Q4" s="86">
        <v>43270</v>
      </c>
      <c r="R4" s="86">
        <v>43271</v>
      </c>
      <c r="S4" s="86">
        <v>43277</v>
      </c>
      <c r="T4" s="86">
        <v>43278</v>
      </c>
      <c r="U4" s="86">
        <v>43281</v>
      </c>
      <c r="V4" s="86">
        <v>43282</v>
      </c>
      <c r="W4" s="86">
        <v>43286</v>
      </c>
      <c r="X4" s="86">
        <v>43312</v>
      </c>
      <c r="Y4" s="704" t="s">
        <v>28</v>
      </c>
    </row>
    <row r="5" spans="1:25">
      <c r="A5" s="6" t="s">
        <v>312</v>
      </c>
      <c r="B5" s="31">
        <v>1789.04</v>
      </c>
      <c r="C5" s="31">
        <v>2234.21</v>
      </c>
      <c r="D5" s="31">
        <v>5528.47</v>
      </c>
      <c r="E5" s="31"/>
      <c r="F5" s="31"/>
      <c r="G5" s="31"/>
      <c r="H5" s="31">
        <v>3269.75</v>
      </c>
      <c r="I5" s="31"/>
      <c r="J5" s="31">
        <v>17427.669999999998</v>
      </c>
      <c r="K5" s="31">
        <v>8950.7099999999991</v>
      </c>
      <c r="L5" s="31"/>
      <c r="M5" s="31"/>
      <c r="N5" s="31">
        <v>3784.86</v>
      </c>
      <c r="O5" s="31"/>
      <c r="P5" s="31"/>
      <c r="Q5" s="31"/>
      <c r="R5" s="31"/>
      <c r="S5" s="31"/>
      <c r="T5" s="31"/>
      <c r="U5" s="31">
        <v>1954.03</v>
      </c>
      <c r="V5" s="31"/>
      <c r="W5" s="31"/>
      <c r="X5" s="31">
        <v>285</v>
      </c>
      <c r="Y5" s="253">
        <v>45223.74</v>
      </c>
    </row>
    <row r="6" spans="1:25">
      <c r="A6" s="6" t="s">
        <v>327</v>
      </c>
      <c r="B6" s="31">
        <v>2050.94</v>
      </c>
      <c r="C6" s="31">
        <v>9273.49</v>
      </c>
      <c r="D6" s="31">
        <v>3276.9</v>
      </c>
      <c r="E6" s="31"/>
      <c r="F6" s="31">
        <v>19016.23</v>
      </c>
      <c r="G6" s="31">
        <v>1746.62</v>
      </c>
      <c r="H6" s="31">
        <v>9051.32</v>
      </c>
      <c r="I6" s="31">
        <v>3187.16</v>
      </c>
      <c r="J6" s="31">
        <v>6505.68</v>
      </c>
      <c r="K6" s="31">
        <v>2399.96</v>
      </c>
      <c r="L6" s="31"/>
      <c r="M6" s="31"/>
      <c r="N6" s="31">
        <v>30267.859999999997</v>
      </c>
      <c r="O6" s="31"/>
      <c r="P6" s="31"/>
      <c r="Q6" s="31"/>
      <c r="R6" s="31"/>
      <c r="S6" s="31"/>
      <c r="T6" s="31"/>
      <c r="U6" s="31"/>
      <c r="V6" s="31"/>
      <c r="W6" s="31"/>
      <c r="X6" s="31">
        <v>21775.64</v>
      </c>
      <c r="Y6" s="91">
        <v>108551.8</v>
      </c>
    </row>
    <row r="7" spans="1:25">
      <c r="A7" s="6" t="s">
        <v>961</v>
      </c>
      <c r="B7" s="31"/>
      <c r="C7" s="31">
        <v>7000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253">
        <v>7000</v>
      </c>
    </row>
    <row r="8" spans="1:25">
      <c r="A8" s="6" t="s">
        <v>270</v>
      </c>
      <c r="B8" s="31"/>
      <c r="C8" s="31"/>
      <c r="D8" s="31">
        <v>23778.19</v>
      </c>
      <c r="E8" s="31">
        <v>29325.93</v>
      </c>
      <c r="F8" s="31">
        <v>47578.58</v>
      </c>
      <c r="G8" s="31">
        <v>45508.729999999996</v>
      </c>
      <c r="H8" s="31">
        <v>27388.61</v>
      </c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91">
        <v>173580.03999999998</v>
      </c>
    </row>
    <row r="9" spans="1:25">
      <c r="A9" s="6" t="s">
        <v>2472</v>
      </c>
      <c r="B9" s="31"/>
      <c r="C9" s="31"/>
      <c r="D9" s="31"/>
      <c r="E9" s="31"/>
      <c r="F9" s="31"/>
      <c r="G9" s="31"/>
      <c r="H9" s="31"/>
      <c r="I9" s="31"/>
      <c r="J9" s="31"/>
      <c r="K9" s="31">
        <v>1360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253">
        <v>1360</v>
      </c>
    </row>
    <row r="10" spans="1:25">
      <c r="A10" s="6" t="s">
        <v>2925</v>
      </c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>
        <v>7628.67</v>
      </c>
      <c r="V10" s="31"/>
      <c r="W10" s="31"/>
      <c r="X10" s="31"/>
      <c r="Y10" s="253">
        <v>7628.67</v>
      </c>
    </row>
    <row r="11" spans="1:25">
      <c r="A11" s="6" t="s">
        <v>728</v>
      </c>
      <c r="B11" s="31"/>
      <c r="C11" s="31"/>
      <c r="D11" s="31"/>
      <c r="E11" s="31">
        <v>6331.58</v>
      </c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>
        <v>13346.45</v>
      </c>
      <c r="V11" s="31"/>
      <c r="W11" s="31"/>
      <c r="X11" s="31"/>
      <c r="Y11" s="253">
        <v>19678.03</v>
      </c>
    </row>
    <row r="12" spans="1:25">
      <c r="A12" s="6" t="s">
        <v>1135</v>
      </c>
      <c r="B12" s="31"/>
      <c r="C12" s="31"/>
      <c r="D12" s="31">
        <v>12519.54</v>
      </c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253">
        <v>12519.54</v>
      </c>
    </row>
    <row r="13" spans="1:25">
      <c r="A13" s="6" t="s">
        <v>242</v>
      </c>
      <c r="B13" s="31"/>
      <c r="C13" s="31">
        <v>4740.05</v>
      </c>
      <c r="D13" s="31"/>
      <c r="E13" s="31">
        <v>1265</v>
      </c>
      <c r="F13" s="31"/>
      <c r="G13" s="31">
        <v>748</v>
      </c>
      <c r="H13" s="31">
        <v>9353.57</v>
      </c>
      <c r="I13" s="31">
        <v>1934.64</v>
      </c>
      <c r="J13" s="31"/>
      <c r="K13" s="31">
        <v>903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253">
        <v>18944.259999999998</v>
      </c>
    </row>
    <row r="14" spans="1:25">
      <c r="A14" s="6" t="s">
        <v>578</v>
      </c>
      <c r="B14" s="31">
        <v>1925.79</v>
      </c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253">
        <v>1925.79</v>
      </c>
    </row>
    <row r="15" spans="1:25">
      <c r="A15" s="6" t="s">
        <v>756</v>
      </c>
      <c r="B15" s="31"/>
      <c r="C15" s="31">
        <v>90</v>
      </c>
      <c r="D15" s="31"/>
      <c r="E15" s="31"/>
      <c r="F15" s="31">
        <v>450</v>
      </c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253">
        <v>540</v>
      </c>
    </row>
    <row r="16" spans="1:25">
      <c r="A16" s="6" t="s">
        <v>839</v>
      </c>
      <c r="B16" s="31">
        <v>3615.9300000000003</v>
      </c>
      <c r="C16" s="31">
        <v>581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253">
        <v>4196.93</v>
      </c>
    </row>
    <row r="17" spans="1:25">
      <c r="A17" s="6" t="s">
        <v>846</v>
      </c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>
        <v>4410.54</v>
      </c>
      <c r="O17" s="31"/>
      <c r="P17" s="31"/>
      <c r="Q17" s="31"/>
      <c r="R17" s="31"/>
      <c r="S17" s="31"/>
      <c r="T17" s="31"/>
      <c r="U17" s="31"/>
      <c r="V17" s="31"/>
      <c r="W17" s="31"/>
      <c r="X17" s="31">
        <v>3361.68</v>
      </c>
      <c r="Y17" s="253">
        <v>7772.2199999999993</v>
      </c>
    </row>
    <row r="18" spans="1:25">
      <c r="A18" s="6" t="s">
        <v>870</v>
      </c>
      <c r="B18" s="31">
        <v>77.27</v>
      </c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253">
        <v>77.27</v>
      </c>
    </row>
    <row r="19" spans="1:25">
      <c r="A19" s="6" t="s">
        <v>1060</v>
      </c>
      <c r="B19" s="31"/>
      <c r="C19" s="31"/>
      <c r="D19" s="31"/>
      <c r="E19" s="31">
        <v>150</v>
      </c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253">
        <v>150</v>
      </c>
    </row>
    <row r="20" spans="1:25">
      <c r="A20" s="6" t="s">
        <v>1229</v>
      </c>
      <c r="B20" s="31"/>
      <c r="C20" s="31"/>
      <c r="D20" s="31"/>
      <c r="E20" s="31"/>
      <c r="F20" s="31">
        <v>1610</v>
      </c>
      <c r="G20" s="31"/>
      <c r="H20" s="31"/>
      <c r="I20" s="31">
        <v>2315</v>
      </c>
      <c r="J20" s="31"/>
      <c r="K20" s="31">
        <v>2299</v>
      </c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253">
        <v>6224</v>
      </c>
    </row>
    <row r="21" spans="1:25">
      <c r="A21" s="6" t="s">
        <v>1239</v>
      </c>
      <c r="B21" s="31"/>
      <c r="C21" s="31"/>
      <c r="D21" s="31">
        <v>8825.86</v>
      </c>
      <c r="E21" s="31"/>
      <c r="F21" s="31">
        <v>1480</v>
      </c>
      <c r="G21" s="31">
        <v>4369.75</v>
      </c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253">
        <v>14675.61</v>
      </c>
    </row>
    <row r="22" spans="1:25">
      <c r="A22" s="6" t="s">
        <v>1640</v>
      </c>
      <c r="B22" s="31"/>
      <c r="C22" s="31"/>
      <c r="D22" s="31"/>
      <c r="E22" s="31"/>
      <c r="F22" s="31"/>
      <c r="G22" s="31">
        <v>6578.5363636363636</v>
      </c>
      <c r="H22" s="31"/>
      <c r="I22" s="31">
        <v>5537.3300000000008</v>
      </c>
      <c r="J22" s="31"/>
      <c r="K22" s="31">
        <v>15787.039999999999</v>
      </c>
      <c r="L22" s="31"/>
      <c r="M22" s="31"/>
      <c r="N22" s="31">
        <v>9999.56</v>
      </c>
      <c r="O22" s="31"/>
      <c r="P22" s="31"/>
      <c r="Q22" s="31"/>
      <c r="R22" s="31"/>
      <c r="S22" s="31"/>
      <c r="T22" s="31"/>
      <c r="U22" s="31">
        <v>7196.7099999999991</v>
      </c>
      <c r="V22" s="31"/>
      <c r="W22" s="31"/>
      <c r="X22" s="31">
        <v>14648.560000000001</v>
      </c>
      <c r="Y22" s="253">
        <v>59747.736363636359</v>
      </c>
    </row>
    <row r="23" spans="1:25">
      <c r="A23" s="6" t="s">
        <v>1652</v>
      </c>
      <c r="B23" s="31"/>
      <c r="C23" s="31"/>
      <c r="D23" s="31"/>
      <c r="E23" s="31"/>
      <c r="F23" s="31"/>
      <c r="G23" s="31">
        <v>5039.5</v>
      </c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253">
        <v>5039.5</v>
      </c>
    </row>
    <row r="24" spans="1:25">
      <c r="A24" s="6" t="s">
        <v>1841</v>
      </c>
      <c r="B24" s="31"/>
      <c r="C24" s="31"/>
      <c r="D24" s="31"/>
      <c r="E24" s="31"/>
      <c r="F24" s="31"/>
      <c r="G24" s="31"/>
      <c r="H24" s="31"/>
      <c r="I24" s="31">
        <v>42090.93</v>
      </c>
      <c r="J24" s="31">
        <v>10636.42</v>
      </c>
      <c r="K24" s="31">
        <v>49447.270000000004</v>
      </c>
      <c r="L24" s="31"/>
      <c r="M24" s="31"/>
      <c r="N24" s="31">
        <v>84276.969999999987</v>
      </c>
      <c r="O24" s="31"/>
      <c r="P24" s="31"/>
      <c r="Q24" s="31"/>
      <c r="R24" s="31"/>
      <c r="S24" s="31"/>
      <c r="T24" s="31"/>
      <c r="U24" s="31">
        <v>78064.88</v>
      </c>
      <c r="V24" s="31"/>
      <c r="W24" s="31"/>
      <c r="X24" s="31">
        <v>58226.44</v>
      </c>
      <c r="Y24" s="253">
        <v>322742.90999999997</v>
      </c>
    </row>
    <row r="25" spans="1:25">
      <c r="A25" s="6" t="s">
        <v>2271</v>
      </c>
      <c r="B25" s="31"/>
      <c r="C25" s="31"/>
      <c r="D25" s="31"/>
      <c r="E25" s="31"/>
      <c r="F25" s="31"/>
      <c r="G25" s="31"/>
      <c r="H25" s="31"/>
      <c r="I25" s="31">
        <v>6761.06</v>
      </c>
      <c r="J25" s="31">
        <v>7239.6600000000008</v>
      </c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>
        <v>11925.35</v>
      </c>
      <c r="V25" s="31"/>
      <c r="W25" s="31"/>
      <c r="X25" s="31"/>
      <c r="Y25" s="253">
        <v>25926.07</v>
      </c>
    </row>
    <row r="26" spans="1:25">
      <c r="A26" s="6" t="s">
        <v>2378</v>
      </c>
      <c r="B26" s="31"/>
      <c r="C26" s="31"/>
      <c r="D26" s="31"/>
      <c r="E26" s="31"/>
      <c r="F26" s="31"/>
      <c r="G26" s="31"/>
      <c r="H26" s="31"/>
      <c r="I26" s="31"/>
      <c r="J26" s="31">
        <v>6420</v>
      </c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253">
        <v>6420</v>
      </c>
    </row>
    <row r="27" spans="1:25">
      <c r="A27" s="6" t="s">
        <v>2498</v>
      </c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>
        <v>320</v>
      </c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253">
        <v>320</v>
      </c>
    </row>
    <row r="28" spans="1:25">
      <c r="A28" s="6" t="s">
        <v>2554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>
        <v>15309.470000000001</v>
      </c>
      <c r="O28" s="31"/>
      <c r="P28" s="31"/>
      <c r="Q28" s="31"/>
      <c r="R28" s="31"/>
      <c r="S28" s="31"/>
      <c r="T28" s="31"/>
      <c r="U28" s="31">
        <v>13671.9</v>
      </c>
      <c r="V28" s="31"/>
      <c r="W28" s="31"/>
      <c r="X28" s="31">
        <v>9784.2999999999993</v>
      </c>
      <c r="Y28" s="253">
        <v>38765.67</v>
      </c>
    </row>
    <row r="29" spans="1:25">
      <c r="A29" s="6" t="s">
        <v>2576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>
        <v>1092.96</v>
      </c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253">
        <v>1092.96</v>
      </c>
    </row>
    <row r="30" spans="1:25">
      <c r="A30" s="6" t="s">
        <v>2786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>
        <v>3000</v>
      </c>
      <c r="M30" s="31">
        <v>9760</v>
      </c>
      <c r="N30" s="31"/>
      <c r="O30" s="31">
        <v>11080</v>
      </c>
      <c r="P30" s="31">
        <v>15304</v>
      </c>
      <c r="Q30" s="31">
        <v>11345</v>
      </c>
      <c r="R30" s="31">
        <v>34356</v>
      </c>
      <c r="S30" s="31">
        <v>5136.5</v>
      </c>
      <c r="T30" s="31">
        <v>9452</v>
      </c>
      <c r="U30" s="31"/>
      <c r="V30" s="31">
        <v>9325.25</v>
      </c>
      <c r="W30" s="31">
        <v>12875</v>
      </c>
      <c r="X30" s="31"/>
      <c r="Y30" s="253">
        <v>121633.75</v>
      </c>
    </row>
    <row r="31" spans="1:25">
      <c r="A31" s="6" t="s">
        <v>2928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>
        <v>1720</v>
      </c>
      <c r="V31" s="31"/>
      <c r="W31" s="31"/>
      <c r="X31" s="31"/>
      <c r="Y31" s="253">
        <v>1720</v>
      </c>
    </row>
    <row r="32" spans="1:25">
      <c r="A32" s="6" t="s">
        <v>2961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>
        <v>900</v>
      </c>
      <c r="V32" s="31"/>
      <c r="W32" s="31"/>
      <c r="X32" s="31"/>
      <c r="Y32" s="253">
        <v>900</v>
      </c>
    </row>
    <row r="33" spans="1:25">
      <c r="A33" s="6" t="s">
        <v>2970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>
        <v>1051</v>
      </c>
      <c r="V33" s="31"/>
      <c r="W33" s="31"/>
      <c r="X33" s="31">
        <v>2695</v>
      </c>
      <c r="Y33" s="253">
        <v>3746</v>
      </c>
    </row>
    <row r="34" spans="1:25">
      <c r="A34" s="6" t="s">
        <v>3223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>
        <v>4173.34</v>
      </c>
      <c r="V34" s="31"/>
      <c r="W34" s="31"/>
      <c r="X34" s="31">
        <v>5665.02</v>
      </c>
      <c r="Y34" s="253">
        <v>9838.36</v>
      </c>
    </row>
    <row r="35" spans="1:25">
      <c r="A35" s="6" t="s">
        <v>28</v>
      </c>
      <c r="B35" s="31">
        <v>9458.9700000000012</v>
      </c>
      <c r="C35" s="31">
        <v>23918.75</v>
      </c>
      <c r="D35" s="31">
        <v>53928.959999999999</v>
      </c>
      <c r="E35" s="31">
        <v>37072.51</v>
      </c>
      <c r="F35" s="31">
        <v>70134.81</v>
      </c>
      <c r="G35" s="31">
        <v>63991.13636363636</v>
      </c>
      <c r="H35" s="31">
        <v>49063.25</v>
      </c>
      <c r="I35" s="31">
        <v>61826.119999999995</v>
      </c>
      <c r="J35" s="31">
        <v>48229.43</v>
      </c>
      <c r="K35" s="31">
        <v>81146.98000000001</v>
      </c>
      <c r="L35" s="31">
        <v>3000</v>
      </c>
      <c r="M35" s="31">
        <v>9760</v>
      </c>
      <c r="N35" s="31">
        <v>149462.21999999997</v>
      </c>
      <c r="O35" s="31">
        <v>11080</v>
      </c>
      <c r="P35" s="31">
        <v>15304</v>
      </c>
      <c r="Q35" s="31">
        <v>11345</v>
      </c>
      <c r="R35" s="31">
        <v>34356</v>
      </c>
      <c r="S35" s="31">
        <v>5136.5</v>
      </c>
      <c r="T35" s="31">
        <v>9452</v>
      </c>
      <c r="U35" s="31">
        <v>141632.33000000002</v>
      </c>
      <c r="V35" s="31">
        <v>9325.25</v>
      </c>
      <c r="W35" s="31">
        <v>12875</v>
      </c>
      <c r="X35" s="31">
        <v>116441.64000000001</v>
      </c>
      <c r="Y35" s="68">
        <v>1027940.8563636361</v>
      </c>
    </row>
    <row r="43" spans="1:25">
      <c r="A43" s="5" t="s">
        <v>29</v>
      </c>
      <c r="B43" t="s">
        <v>30</v>
      </c>
    </row>
    <row r="44" spans="1:25">
      <c r="A44" s="6" t="s">
        <v>2222</v>
      </c>
      <c r="B44" s="22">
        <v>2952.6</v>
      </c>
    </row>
    <row r="45" spans="1:25">
      <c r="A45" s="6" t="s">
        <v>2992</v>
      </c>
      <c r="B45" s="22">
        <v>1782.5</v>
      </c>
    </row>
    <row r="46" spans="1:25">
      <c r="A46" s="6" t="s">
        <v>3077</v>
      </c>
      <c r="B46" s="22">
        <v>9325.25</v>
      </c>
    </row>
    <row r="47" spans="1:25">
      <c r="A47" s="6" t="s">
        <v>1132</v>
      </c>
      <c r="B47" s="22">
        <v>2300</v>
      </c>
    </row>
    <row r="48" spans="1:25">
      <c r="A48" s="6" t="s">
        <v>1131</v>
      </c>
      <c r="B48" s="22">
        <v>1736.5</v>
      </c>
    </row>
    <row r="49" spans="1:2">
      <c r="A49" s="6" t="s">
        <v>1231</v>
      </c>
      <c r="B49" s="22">
        <v>1700</v>
      </c>
    </row>
    <row r="50" spans="1:2">
      <c r="A50" s="6" t="s">
        <v>3108</v>
      </c>
      <c r="B50" s="22">
        <v>10256.5</v>
      </c>
    </row>
    <row r="51" spans="1:2">
      <c r="A51" s="6" t="s">
        <v>3059</v>
      </c>
      <c r="B51" s="22">
        <v>9452</v>
      </c>
    </row>
    <row r="52" spans="1:2">
      <c r="A52" s="6" t="s">
        <v>3107</v>
      </c>
      <c r="B52" s="22">
        <v>1151</v>
      </c>
    </row>
    <row r="53" spans="1:2">
      <c r="A53" s="6" t="s">
        <v>2993</v>
      </c>
      <c r="B53" s="22">
        <v>4926.5</v>
      </c>
    </row>
    <row r="54" spans="1:2">
      <c r="A54" s="6" t="s">
        <v>2820</v>
      </c>
      <c r="B54" s="22">
        <v>11080</v>
      </c>
    </row>
    <row r="55" spans="1:2">
      <c r="A55" s="6" t="s">
        <v>3237</v>
      </c>
      <c r="B55" s="22">
        <v>20672</v>
      </c>
    </row>
    <row r="56" spans="1:2">
      <c r="A56" s="6" t="s">
        <v>3000</v>
      </c>
      <c r="B56" s="22">
        <v>34356</v>
      </c>
    </row>
    <row r="57" spans="1:2">
      <c r="A57" s="6" t="s">
        <v>2912</v>
      </c>
      <c r="B57" s="22">
        <v>15304</v>
      </c>
    </row>
    <row r="58" spans="1:2">
      <c r="A58" s="6" t="s">
        <v>2791</v>
      </c>
      <c r="B58" s="22">
        <v>3000</v>
      </c>
    </row>
    <row r="59" spans="1:2">
      <c r="A59" s="6" t="s">
        <v>3140</v>
      </c>
      <c r="B59" s="22">
        <v>12840</v>
      </c>
    </row>
    <row r="60" spans="1:2">
      <c r="A60" s="6" t="s">
        <v>2788</v>
      </c>
      <c r="B60" s="22">
        <v>9760</v>
      </c>
    </row>
    <row r="61" spans="1:2">
      <c r="A61" s="6" t="s">
        <v>3145</v>
      </c>
      <c r="B61" s="22">
        <v>13060</v>
      </c>
    </row>
    <row r="62" spans="1:2">
      <c r="A62" s="6" t="s">
        <v>3041</v>
      </c>
      <c r="B62" s="22">
        <v>5136.5</v>
      </c>
    </row>
    <row r="63" spans="1:2">
      <c r="A63" s="6" t="s">
        <v>3104</v>
      </c>
      <c r="B63" s="22">
        <v>1467.5</v>
      </c>
    </row>
    <row r="64" spans="1:2">
      <c r="A64" s="6" t="s">
        <v>3143</v>
      </c>
      <c r="B64" s="22">
        <v>8924</v>
      </c>
    </row>
    <row r="65" spans="1:2">
      <c r="A65" s="6" t="s">
        <v>3144</v>
      </c>
      <c r="B65" s="22">
        <v>7472</v>
      </c>
    </row>
    <row r="66" spans="1:2">
      <c r="A66" s="6" t="s">
        <v>2995</v>
      </c>
      <c r="B66" s="22">
        <v>2547.5</v>
      </c>
    </row>
    <row r="67" spans="1:2">
      <c r="A67" s="6" t="s">
        <v>2994</v>
      </c>
      <c r="B67" s="22">
        <v>2088.5</v>
      </c>
    </row>
    <row r="68" spans="1:2">
      <c r="A68" s="6" t="s">
        <v>2915</v>
      </c>
      <c r="B68" s="22">
        <v>5714.37</v>
      </c>
    </row>
    <row r="69" spans="1:2">
      <c r="A69" s="6" t="s">
        <v>750</v>
      </c>
      <c r="B69" s="22">
        <v>27168.080000000002</v>
      </c>
    </row>
    <row r="70" spans="1:2">
      <c r="A70" s="6" t="s">
        <v>837</v>
      </c>
      <c r="B70" s="22">
        <v>13667.57</v>
      </c>
    </row>
    <row r="71" spans="1:2">
      <c r="A71" s="6" t="s">
        <v>2264</v>
      </c>
      <c r="B71" s="22">
        <v>2590</v>
      </c>
    </row>
    <row r="72" spans="1:2">
      <c r="A72" s="6" t="s">
        <v>2408</v>
      </c>
      <c r="B72" s="22">
        <v>1295</v>
      </c>
    </row>
    <row r="73" spans="1:2">
      <c r="A73" s="6" t="s">
        <v>2407</v>
      </c>
      <c r="B73" s="22">
        <v>2849</v>
      </c>
    </row>
    <row r="74" spans="1:2">
      <c r="A74" s="6" t="s">
        <v>2416</v>
      </c>
      <c r="B74" s="22">
        <v>2849</v>
      </c>
    </row>
    <row r="75" spans="1:2">
      <c r="A75" s="6" t="s">
        <v>2424</v>
      </c>
      <c r="B75" s="22">
        <v>1036</v>
      </c>
    </row>
    <row r="76" spans="1:2">
      <c r="A76" s="6" t="s">
        <v>2433</v>
      </c>
      <c r="B76" s="22">
        <v>1360</v>
      </c>
    </row>
    <row r="77" spans="1:2">
      <c r="A77" s="6" t="s">
        <v>2470</v>
      </c>
      <c r="B77" s="22">
        <v>1925.79</v>
      </c>
    </row>
    <row r="78" spans="1:2">
      <c r="A78" s="6" t="s">
        <v>1226</v>
      </c>
      <c r="B78" s="22">
        <v>9603.8700000000008</v>
      </c>
    </row>
    <row r="79" spans="1:2">
      <c r="A79" s="6" t="s">
        <v>1186</v>
      </c>
      <c r="B79" s="22">
        <v>254.54545454545456</v>
      </c>
    </row>
    <row r="80" spans="1:2">
      <c r="A80" s="6" t="s">
        <v>973</v>
      </c>
      <c r="B80" s="22">
        <v>2317</v>
      </c>
    </row>
    <row r="81" spans="1:2">
      <c r="A81" s="6" t="s">
        <v>2485</v>
      </c>
      <c r="B81" s="22">
        <v>1574.16</v>
      </c>
    </row>
    <row r="82" spans="1:2">
      <c r="A82" s="6" t="s">
        <v>1064</v>
      </c>
      <c r="B82" s="22">
        <v>1702.74</v>
      </c>
    </row>
    <row r="83" spans="1:2">
      <c r="A83" s="6" t="s">
        <v>937</v>
      </c>
      <c r="B83" s="22">
        <v>10142.709999999999</v>
      </c>
    </row>
    <row r="84" spans="1:2">
      <c r="A84" s="6" t="s">
        <v>1185</v>
      </c>
      <c r="B84" s="22">
        <v>12574.74</v>
      </c>
    </row>
    <row r="85" spans="1:2">
      <c r="A85" s="6" t="s">
        <v>1083</v>
      </c>
      <c r="B85" s="22">
        <v>3486.54</v>
      </c>
    </row>
    <row r="86" spans="1:2">
      <c r="A86" s="6" t="s">
        <v>1079</v>
      </c>
      <c r="B86" s="22">
        <v>549.22</v>
      </c>
    </row>
    <row r="87" spans="1:2">
      <c r="A87" s="6" t="s">
        <v>858</v>
      </c>
      <c r="B87" s="22">
        <v>235</v>
      </c>
    </row>
    <row r="88" spans="1:2">
      <c r="A88" s="6" t="s">
        <v>1215</v>
      </c>
      <c r="B88" s="22">
        <v>9914.77</v>
      </c>
    </row>
    <row r="89" spans="1:2">
      <c r="A89" s="6" t="s">
        <v>1093</v>
      </c>
      <c r="B89" s="22">
        <v>6348.9</v>
      </c>
    </row>
    <row r="90" spans="1:2">
      <c r="A90" s="6" t="s">
        <v>2471</v>
      </c>
      <c r="B90" s="22">
        <v>235</v>
      </c>
    </row>
    <row r="91" spans="1:2">
      <c r="A91" s="6" t="s">
        <v>965</v>
      </c>
      <c r="B91" s="22">
        <v>2095.98</v>
      </c>
    </row>
    <row r="92" spans="1:2">
      <c r="A92" s="6" t="s">
        <v>1078</v>
      </c>
      <c r="B92" s="22">
        <v>3682.66</v>
      </c>
    </row>
    <row r="93" spans="1:2">
      <c r="A93" s="6" t="s">
        <v>1100</v>
      </c>
      <c r="B93" s="22">
        <v>935.3</v>
      </c>
    </row>
    <row r="94" spans="1:2">
      <c r="A94" s="6" t="s">
        <v>805</v>
      </c>
      <c r="B94" s="22">
        <v>1501.72</v>
      </c>
    </row>
    <row r="95" spans="1:2">
      <c r="A95" s="6" t="s">
        <v>2546</v>
      </c>
      <c r="B95" s="22">
        <v>4410.54</v>
      </c>
    </row>
    <row r="96" spans="1:2">
      <c r="A96" s="6" t="s">
        <v>1058</v>
      </c>
      <c r="B96" s="22">
        <v>2486.86</v>
      </c>
    </row>
    <row r="97" spans="1:2">
      <c r="A97" s="6" t="s">
        <v>1184</v>
      </c>
      <c r="B97" s="22">
        <v>7738.49</v>
      </c>
    </row>
    <row r="98" spans="1:2">
      <c r="A98" s="6" t="s">
        <v>1183</v>
      </c>
      <c r="B98" s="22">
        <v>235</v>
      </c>
    </row>
    <row r="99" spans="1:2">
      <c r="A99" s="6" t="s">
        <v>1048</v>
      </c>
      <c r="B99" s="22">
        <v>10667.8</v>
      </c>
    </row>
    <row r="100" spans="1:2">
      <c r="A100" s="6" t="s">
        <v>942</v>
      </c>
      <c r="B100" s="22">
        <v>9711.4490909090891</v>
      </c>
    </row>
    <row r="101" spans="1:2">
      <c r="A101" s="6" t="s">
        <v>2230</v>
      </c>
      <c r="B101" s="22">
        <v>5328.82</v>
      </c>
    </row>
    <row r="102" spans="1:2">
      <c r="A102" s="6" t="s">
        <v>2469</v>
      </c>
      <c r="B102" s="22">
        <v>1612.32</v>
      </c>
    </row>
    <row r="103" spans="1:2">
      <c r="A103" s="6" t="s">
        <v>1851</v>
      </c>
      <c r="B103" s="22">
        <v>26378.379999999997</v>
      </c>
    </row>
    <row r="104" spans="1:2">
      <c r="A104" s="6" t="s">
        <v>1182</v>
      </c>
      <c r="B104" s="22">
        <v>3777.5600000000004</v>
      </c>
    </row>
    <row r="105" spans="1:2">
      <c r="A105" s="6" t="s">
        <v>903</v>
      </c>
      <c r="B105" s="22">
        <v>6233.7</v>
      </c>
    </row>
    <row r="106" spans="1:2">
      <c r="A106" s="6" t="s">
        <v>1046</v>
      </c>
      <c r="B106" s="22">
        <v>8083.95</v>
      </c>
    </row>
    <row r="107" spans="1:2">
      <c r="A107" s="6" t="s">
        <v>828</v>
      </c>
      <c r="B107" s="22">
        <v>1257.96</v>
      </c>
    </row>
    <row r="108" spans="1:2">
      <c r="A108" s="6" t="s">
        <v>1089</v>
      </c>
      <c r="B108" s="22">
        <v>6043.99</v>
      </c>
    </row>
    <row r="109" spans="1:2">
      <c r="A109" s="6" t="s">
        <v>1811</v>
      </c>
      <c r="B109" s="22">
        <v>5237.6000000000004</v>
      </c>
    </row>
    <row r="110" spans="1:2">
      <c r="A110" s="6" t="s">
        <v>968</v>
      </c>
      <c r="B110" s="22">
        <v>6117.91</v>
      </c>
    </row>
    <row r="111" spans="1:2">
      <c r="A111" s="6" t="s">
        <v>1634</v>
      </c>
      <c r="B111" s="22">
        <v>1480</v>
      </c>
    </row>
    <row r="112" spans="1:2">
      <c r="A112" s="6" t="s">
        <v>1012</v>
      </c>
      <c r="B112" s="22">
        <v>2573.9699999999998</v>
      </c>
    </row>
    <row r="113" spans="1:2">
      <c r="A113" s="6" t="s">
        <v>1047</v>
      </c>
      <c r="B113" s="22">
        <v>2974.72</v>
      </c>
    </row>
    <row r="114" spans="1:2">
      <c r="A114" s="6" t="s">
        <v>2816</v>
      </c>
      <c r="B114" s="22">
        <v>4651.88</v>
      </c>
    </row>
    <row r="115" spans="1:2">
      <c r="A115" s="6" t="s">
        <v>1044</v>
      </c>
      <c r="B115" s="22">
        <v>4280.95</v>
      </c>
    </row>
    <row r="116" spans="1:2">
      <c r="A116" s="6" t="s">
        <v>2477</v>
      </c>
      <c r="B116" s="22">
        <v>2739.01</v>
      </c>
    </row>
    <row r="117" spans="1:2">
      <c r="A117" s="6" t="s">
        <v>2484</v>
      </c>
      <c r="B117" s="22">
        <v>1039.3</v>
      </c>
    </row>
    <row r="118" spans="1:2">
      <c r="A118" s="6" t="s">
        <v>900</v>
      </c>
      <c r="B118" s="22">
        <v>5913.37</v>
      </c>
    </row>
    <row r="119" spans="1:2">
      <c r="A119" s="6" t="s">
        <v>1636</v>
      </c>
      <c r="B119" s="22">
        <v>4349.75</v>
      </c>
    </row>
    <row r="120" spans="1:2">
      <c r="A120" s="6" t="s">
        <v>1180</v>
      </c>
      <c r="B120" s="22">
        <v>27764.9</v>
      </c>
    </row>
    <row r="121" spans="1:2">
      <c r="A121" s="6" t="s">
        <v>950</v>
      </c>
      <c r="B121" s="22">
        <v>2919.77</v>
      </c>
    </row>
    <row r="122" spans="1:2">
      <c r="A122" s="6" t="s">
        <v>954</v>
      </c>
      <c r="B122" s="22">
        <v>6294.34</v>
      </c>
    </row>
    <row r="123" spans="1:2">
      <c r="A123" s="6" t="s">
        <v>1864</v>
      </c>
      <c r="B123" s="22">
        <v>8499.5</v>
      </c>
    </row>
    <row r="124" spans="1:2">
      <c r="A124" s="6" t="s">
        <v>2474</v>
      </c>
      <c r="B124" s="22">
        <v>1725.57</v>
      </c>
    </row>
    <row r="125" spans="1:2">
      <c r="A125" s="6" t="s">
        <v>1260</v>
      </c>
      <c r="B125" s="22">
        <v>689.79</v>
      </c>
    </row>
    <row r="126" spans="1:2">
      <c r="A126" s="6" t="s">
        <v>1141</v>
      </c>
      <c r="B126" s="22">
        <v>2570.91</v>
      </c>
    </row>
    <row r="127" spans="1:2">
      <c r="A127" s="6" t="s">
        <v>1029</v>
      </c>
      <c r="B127" s="22">
        <v>4410.54</v>
      </c>
    </row>
    <row r="128" spans="1:2">
      <c r="A128" s="6" t="s">
        <v>2475</v>
      </c>
      <c r="B128" s="22">
        <v>10608.279999999999</v>
      </c>
    </row>
    <row r="129" spans="1:2">
      <c r="A129" s="6" t="s">
        <v>1034</v>
      </c>
      <c r="B129" s="22">
        <v>4155.96</v>
      </c>
    </row>
    <row r="130" spans="1:2">
      <c r="A130" s="6" t="s">
        <v>1147</v>
      </c>
      <c r="B130" s="22">
        <v>300</v>
      </c>
    </row>
    <row r="131" spans="1:2">
      <c r="A131" s="6" t="s">
        <v>1648</v>
      </c>
      <c r="B131" s="22">
        <v>11278.4</v>
      </c>
    </row>
    <row r="132" spans="1:2">
      <c r="A132" s="6" t="s">
        <v>1596</v>
      </c>
      <c r="B132" s="22">
        <v>6867.81</v>
      </c>
    </row>
    <row r="133" spans="1:2">
      <c r="A133" s="6" t="s">
        <v>1020</v>
      </c>
      <c r="B133" s="22">
        <v>1523.39</v>
      </c>
    </row>
    <row r="134" spans="1:2">
      <c r="A134" s="6" t="s">
        <v>1165</v>
      </c>
      <c r="B134" s="22">
        <v>1316.57</v>
      </c>
    </row>
    <row r="135" spans="1:2">
      <c r="A135" s="6" t="s">
        <v>1098</v>
      </c>
      <c r="B135" s="22">
        <v>3248.8</v>
      </c>
    </row>
    <row r="136" spans="1:2">
      <c r="A136" s="6" t="s">
        <v>1644</v>
      </c>
      <c r="B136" s="22">
        <v>637.19090909090903</v>
      </c>
    </row>
    <row r="137" spans="1:2">
      <c r="A137" s="6" t="s">
        <v>1112</v>
      </c>
      <c r="B137" s="22">
        <v>2013</v>
      </c>
    </row>
    <row r="138" spans="1:2">
      <c r="A138" s="6" t="s">
        <v>2476</v>
      </c>
      <c r="B138" s="22">
        <v>11125.84</v>
      </c>
    </row>
    <row r="139" spans="1:2">
      <c r="A139" s="6" t="s">
        <v>1120</v>
      </c>
      <c r="B139" s="22">
        <v>4295.7000000000007</v>
      </c>
    </row>
    <row r="140" spans="1:2">
      <c r="A140" s="6" t="s">
        <v>1095</v>
      </c>
      <c r="B140" s="22">
        <v>4549.53</v>
      </c>
    </row>
    <row r="141" spans="1:2">
      <c r="A141" s="6" t="s">
        <v>2468</v>
      </c>
      <c r="B141" s="22">
        <v>4446.68</v>
      </c>
    </row>
    <row r="142" spans="1:2">
      <c r="A142" s="6" t="s">
        <v>1646</v>
      </c>
      <c r="B142" s="22">
        <v>1465.4545454545455</v>
      </c>
    </row>
    <row r="143" spans="1:2">
      <c r="A143" s="6" t="s">
        <v>1157</v>
      </c>
      <c r="B143" s="22">
        <v>7890.75</v>
      </c>
    </row>
    <row r="144" spans="1:2">
      <c r="A144" s="6" t="s">
        <v>1643</v>
      </c>
      <c r="B144" s="22">
        <v>1387.2727272727273</v>
      </c>
    </row>
    <row r="145" spans="1:2">
      <c r="A145" s="6" t="s">
        <v>1595</v>
      </c>
      <c r="B145" s="22">
        <v>6106.05</v>
      </c>
    </row>
    <row r="146" spans="1:2">
      <c r="A146" s="6" t="s">
        <v>1635</v>
      </c>
      <c r="B146" s="22">
        <v>3289.75</v>
      </c>
    </row>
    <row r="147" spans="1:2">
      <c r="A147" s="6" t="s">
        <v>1865</v>
      </c>
      <c r="B147" s="22">
        <v>2427.2600000000002</v>
      </c>
    </row>
    <row r="148" spans="1:2">
      <c r="A148" s="6" t="s">
        <v>1866</v>
      </c>
      <c r="B148" s="22">
        <v>4774.4799999999996</v>
      </c>
    </row>
    <row r="149" spans="1:2">
      <c r="A149" s="6" t="s">
        <v>1647</v>
      </c>
      <c r="B149" s="22">
        <v>931.3609090909091</v>
      </c>
    </row>
    <row r="150" spans="1:2">
      <c r="A150" s="6" t="s">
        <v>1213</v>
      </c>
      <c r="B150" s="22">
        <v>3121.35</v>
      </c>
    </row>
    <row r="151" spans="1:2">
      <c r="A151" s="6" t="s">
        <v>1823</v>
      </c>
      <c r="B151" s="22">
        <v>2621.77</v>
      </c>
    </row>
    <row r="152" spans="1:2">
      <c r="A152" s="6" t="s">
        <v>2674</v>
      </c>
      <c r="B152" s="22">
        <v>1120</v>
      </c>
    </row>
    <row r="153" spans="1:2">
      <c r="A153" s="6" t="s">
        <v>1193</v>
      </c>
      <c r="B153" s="22">
        <v>3585.33</v>
      </c>
    </row>
    <row r="154" spans="1:2">
      <c r="A154" s="6" t="s">
        <v>1627</v>
      </c>
      <c r="B154" s="22">
        <v>2729.39</v>
      </c>
    </row>
    <row r="155" spans="1:2">
      <c r="A155" s="6" t="s">
        <v>1642</v>
      </c>
      <c r="B155" s="22">
        <v>1331.8</v>
      </c>
    </row>
    <row r="156" spans="1:2">
      <c r="A156" s="6" t="s">
        <v>1285</v>
      </c>
      <c r="B156" s="22">
        <v>6437.11</v>
      </c>
    </row>
    <row r="157" spans="1:2">
      <c r="A157" s="6" t="s">
        <v>2441</v>
      </c>
      <c r="B157" s="22">
        <v>2645.01</v>
      </c>
    </row>
    <row r="158" spans="1:2">
      <c r="A158" s="6" t="s">
        <v>2311</v>
      </c>
      <c r="B158" s="22">
        <v>600</v>
      </c>
    </row>
    <row r="159" spans="1:2">
      <c r="A159" s="6" t="s">
        <v>2284</v>
      </c>
      <c r="B159" s="22">
        <v>8804.68</v>
      </c>
    </row>
    <row r="160" spans="1:2">
      <c r="A160" s="6" t="s">
        <v>1806</v>
      </c>
      <c r="B160" s="22">
        <v>2603.91</v>
      </c>
    </row>
    <row r="161" spans="1:2">
      <c r="A161" s="6" t="s">
        <v>1645</v>
      </c>
      <c r="B161" s="22">
        <v>127.27272727272728</v>
      </c>
    </row>
    <row r="162" spans="1:2">
      <c r="A162" s="6" t="s">
        <v>1311</v>
      </c>
      <c r="B162" s="22">
        <v>2292.46</v>
      </c>
    </row>
    <row r="163" spans="1:2">
      <c r="A163" s="6" t="s">
        <v>1637</v>
      </c>
      <c r="B163" s="22">
        <v>3014.2</v>
      </c>
    </row>
    <row r="164" spans="1:2">
      <c r="A164" s="6" t="s">
        <v>2324</v>
      </c>
      <c r="B164" s="22">
        <v>1651.66</v>
      </c>
    </row>
    <row r="165" spans="1:2">
      <c r="A165" s="6" t="s">
        <v>2165</v>
      </c>
      <c r="B165" s="22">
        <v>5884.29</v>
      </c>
    </row>
    <row r="166" spans="1:2">
      <c r="A166" s="6" t="s">
        <v>2486</v>
      </c>
      <c r="B166" s="22">
        <v>1746.62</v>
      </c>
    </row>
    <row r="167" spans="1:2">
      <c r="A167" s="6" t="s">
        <v>1626</v>
      </c>
      <c r="B167" s="22">
        <v>5541.28</v>
      </c>
    </row>
    <row r="168" spans="1:2">
      <c r="A168" s="6" t="s">
        <v>2553</v>
      </c>
      <c r="B168" s="22">
        <v>4794.1000000000004</v>
      </c>
    </row>
    <row r="169" spans="1:2">
      <c r="A169" s="6" t="s">
        <v>2353</v>
      </c>
      <c r="B169" s="22">
        <v>5244.89</v>
      </c>
    </row>
    <row r="170" spans="1:2">
      <c r="A170" s="6" t="s">
        <v>1770</v>
      </c>
      <c r="B170" s="22">
        <v>9312.630000000001</v>
      </c>
    </row>
    <row r="171" spans="1:2">
      <c r="A171" s="6" t="s">
        <v>1625</v>
      </c>
      <c r="B171" s="22">
        <v>3626.8</v>
      </c>
    </row>
    <row r="172" spans="1:2">
      <c r="A172" s="6" t="s">
        <v>3151</v>
      </c>
      <c r="B172" s="22">
        <v>3361.68</v>
      </c>
    </row>
    <row r="173" spans="1:2">
      <c r="A173" s="6" t="s">
        <v>1657</v>
      </c>
      <c r="B173" s="22">
        <v>4395.1400000000003</v>
      </c>
    </row>
    <row r="174" spans="1:2">
      <c r="A174" s="6" t="s">
        <v>1659</v>
      </c>
      <c r="B174" s="22">
        <v>1221.19</v>
      </c>
    </row>
    <row r="175" spans="1:2">
      <c r="A175" s="6" t="s">
        <v>2695</v>
      </c>
      <c r="B175" s="22">
        <v>682.92</v>
      </c>
    </row>
    <row r="176" spans="1:2">
      <c r="A176" s="6" t="s">
        <v>2272</v>
      </c>
      <c r="B176" s="22">
        <v>2088.0500000000002</v>
      </c>
    </row>
    <row r="177" spans="1:2">
      <c r="A177" s="6" t="s">
        <v>1809</v>
      </c>
      <c r="B177" s="22">
        <v>1359.64</v>
      </c>
    </row>
    <row r="178" spans="1:2">
      <c r="A178" s="6" t="s">
        <v>1807</v>
      </c>
      <c r="B178" s="22">
        <v>1266</v>
      </c>
    </row>
    <row r="179" spans="1:2">
      <c r="A179" s="6" t="s">
        <v>1755</v>
      </c>
      <c r="B179" s="22">
        <v>1325</v>
      </c>
    </row>
    <row r="180" spans="1:2">
      <c r="A180" s="6" t="s">
        <v>1863</v>
      </c>
      <c r="B180" s="22">
        <v>10452.950000000001</v>
      </c>
    </row>
    <row r="181" spans="1:2">
      <c r="A181" s="6" t="s">
        <v>1808</v>
      </c>
      <c r="B181" s="22">
        <v>1075.44</v>
      </c>
    </row>
    <row r="182" spans="1:2">
      <c r="A182" s="6" t="s">
        <v>1776</v>
      </c>
      <c r="B182" s="22">
        <v>9951.76</v>
      </c>
    </row>
    <row r="183" spans="1:2">
      <c r="A183" s="6" t="s">
        <v>1751</v>
      </c>
      <c r="B183" s="22">
        <v>4673.01</v>
      </c>
    </row>
    <row r="184" spans="1:2">
      <c r="A184" s="6" t="s">
        <v>1765</v>
      </c>
      <c r="B184" s="22">
        <v>7068</v>
      </c>
    </row>
    <row r="185" spans="1:2">
      <c r="A185" s="6" t="s">
        <v>1778</v>
      </c>
      <c r="B185" s="22">
        <v>798.75</v>
      </c>
    </row>
    <row r="186" spans="1:2">
      <c r="A186" s="6" t="s">
        <v>1775</v>
      </c>
      <c r="B186" s="22">
        <v>459.6</v>
      </c>
    </row>
    <row r="187" spans="1:2">
      <c r="A187" s="6" t="s">
        <v>2752</v>
      </c>
      <c r="B187" s="22">
        <v>703.2</v>
      </c>
    </row>
    <row r="188" spans="1:2">
      <c r="A188" s="6" t="s">
        <v>1774</v>
      </c>
      <c r="B188" s="22">
        <v>893.6</v>
      </c>
    </row>
    <row r="189" spans="1:2">
      <c r="A189" s="6" t="s">
        <v>1779</v>
      </c>
      <c r="B189" s="22">
        <v>676.5</v>
      </c>
    </row>
    <row r="190" spans="1:2">
      <c r="A190" s="6" t="s">
        <v>1773</v>
      </c>
      <c r="B190" s="22">
        <v>2015.96</v>
      </c>
    </row>
    <row r="191" spans="1:2">
      <c r="A191" s="6" t="s">
        <v>1782</v>
      </c>
      <c r="B191" s="22">
        <v>12308.759999999998</v>
      </c>
    </row>
    <row r="192" spans="1:2">
      <c r="A192" s="6" t="s">
        <v>2275</v>
      </c>
      <c r="B192" s="22">
        <v>7676.2</v>
      </c>
    </row>
    <row r="193" spans="1:2">
      <c r="A193" s="6" t="s">
        <v>1785</v>
      </c>
      <c r="B193" s="22">
        <v>1294.92</v>
      </c>
    </row>
    <row r="194" spans="1:2">
      <c r="A194" s="6" t="s">
        <v>1795</v>
      </c>
      <c r="B194" s="22">
        <v>3269.94</v>
      </c>
    </row>
    <row r="195" spans="1:2">
      <c r="A195" s="6" t="s">
        <v>1854</v>
      </c>
      <c r="B195" s="22">
        <v>9927.23</v>
      </c>
    </row>
    <row r="196" spans="1:2">
      <c r="A196" s="6" t="s">
        <v>2930</v>
      </c>
      <c r="B196" s="22">
        <v>3623.46</v>
      </c>
    </row>
    <row r="197" spans="1:2">
      <c r="A197" s="6" t="s">
        <v>2337</v>
      </c>
      <c r="B197" s="22">
        <v>1885.45</v>
      </c>
    </row>
    <row r="198" spans="1:2">
      <c r="A198" s="6" t="s">
        <v>2186</v>
      </c>
      <c r="B198" s="22">
        <v>7231.46</v>
      </c>
    </row>
    <row r="199" spans="1:2">
      <c r="A199" s="6" t="s">
        <v>2314</v>
      </c>
      <c r="B199" s="22">
        <v>13649.17</v>
      </c>
    </row>
    <row r="200" spans="1:2">
      <c r="A200" s="6" t="s">
        <v>2349</v>
      </c>
      <c r="B200" s="22">
        <v>2156.54</v>
      </c>
    </row>
    <row r="201" spans="1:2">
      <c r="A201" s="6" t="s">
        <v>2319</v>
      </c>
      <c r="B201" s="22">
        <v>4736.21</v>
      </c>
    </row>
    <row r="202" spans="1:2">
      <c r="A202" s="6" t="s">
        <v>2218</v>
      </c>
      <c r="B202" s="22">
        <v>11377.92</v>
      </c>
    </row>
    <row r="203" spans="1:2">
      <c r="A203" s="6" t="s">
        <v>2316</v>
      </c>
      <c r="B203" s="22">
        <v>1560.1</v>
      </c>
    </row>
    <row r="204" spans="1:2">
      <c r="A204" s="6" t="s">
        <v>2394</v>
      </c>
      <c r="B204" s="22">
        <v>9477.91</v>
      </c>
    </row>
    <row r="205" spans="1:2">
      <c r="A205" s="6" t="s">
        <v>2253</v>
      </c>
      <c r="B205" s="22">
        <v>613.94000000000005</v>
      </c>
    </row>
    <row r="206" spans="1:2">
      <c r="A206" s="6" t="s">
        <v>2313</v>
      </c>
      <c r="B206" s="22">
        <v>2111.52</v>
      </c>
    </row>
    <row r="207" spans="1:2">
      <c r="A207" s="6" t="s">
        <v>2370</v>
      </c>
      <c r="B207" s="22">
        <v>2323.3000000000002</v>
      </c>
    </row>
    <row r="208" spans="1:2">
      <c r="A208" s="6" t="s">
        <v>2371</v>
      </c>
      <c r="B208" s="22">
        <v>5405.07</v>
      </c>
    </row>
    <row r="209" spans="1:2">
      <c r="A209" s="6" t="s">
        <v>2392</v>
      </c>
      <c r="B209" s="22">
        <v>4066.58</v>
      </c>
    </row>
    <row r="210" spans="1:2">
      <c r="A210" s="6" t="s">
        <v>2508</v>
      </c>
      <c r="B210" s="22">
        <v>4761.7299999999996</v>
      </c>
    </row>
    <row r="211" spans="1:2">
      <c r="A211" s="6" t="s">
        <v>3168</v>
      </c>
      <c r="B211" s="22">
        <v>1285</v>
      </c>
    </row>
    <row r="212" spans="1:2">
      <c r="A212" s="6" t="s">
        <v>2462</v>
      </c>
      <c r="B212" s="22">
        <v>3773.27</v>
      </c>
    </row>
    <row r="213" spans="1:2">
      <c r="A213" s="6" t="s">
        <v>2461</v>
      </c>
      <c r="B213" s="22">
        <v>3013.08</v>
      </c>
    </row>
    <row r="214" spans="1:2">
      <c r="A214" s="6" t="s">
        <v>2390</v>
      </c>
      <c r="B214" s="22">
        <v>1434.4</v>
      </c>
    </row>
    <row r="215" spans="1:2">
      <c r="A215" s="6" t="s">
        <v>2504</v>
      </c>
      <c r="B215" s="22">
        <v>5968.17</v>
      </c>
    </row>
    <row r="216" spans="1:2">
      <c r="A216" s="6" t="s">
        <v>2467</v>
      </c>
      <c r="B216" s="22">
        <v>1639.63</v>
      </c>
    </row>
    <row r="217" spans="1:2">
      <c r="A217" s="6" t="s">
        <v>2665</v>
      </c>
      <c r="B217" s="22">
        <v>6489.4400000000005</v>
      </c>
    </row>
    <row r="218" spans="1:2">
      <c r="A218" s="6" t="s">
        <v>2501</v>
      </c>
      <c r="B218" s="22">
        <v>6326.5</v>
      </c>
    </row>
    <row r="219" spans="1:2">
      <c r="A219" s="6" t="s">
        <v>2562</v>
      </c>
      <c r="B219" s="22">
        <v>13346.45</v>
      </c>
    </row>
    <row r="220" spans="1:2">
      <c r="A220" s="6" t="s">
        <v>2538</v>
      </c>
      <c r="B220" s="22">
        <v>2366.54</v>
      </c>
    </row>
    <row r="221" spans="1:2">
      <c r="A221" s="6" t="s">
        <v>2543</v>
      </c>
      <c r="B221" s="22">
        <v>3074</v>
      </c>
    </row>
    <row r="222" spans="1:2">
      <c r="A222" s="6" t="s">
        <v>2527</v>
      </c>
      <c r="B222" s="22">
        <v>8266.83</v>
      </c>
    </row>
    <row r="223" spans="1:2">
      <c r="A223" s="6" t="s">
        <v>2559</v>
      </c>
      <c r="B223" s="22">
        <v>1203.8</v>
      </c>
    </row>
    <row r="224" spans="1:2">
      <c r="A224" s="6" t="s">
        <v>2625</v>
      </c>
      <c r="B224" s="22">
        <v>3140.46</v>
      </c>
    </row>
    <row r="225" spans="1:2">
      <c r="A225" s="6" t="s">
        <v>2547</v>
      </c>
      <c r="B225" s="22">
        <v>3157.04</v>
      </c>
    </row>
    <row r="226" spans="1:2">
      <c r="A226" s="6" t="s">
        <v>2560</v>
      </c>
      <c r="B226" s="22">
        <v>490.78</v>
      </c>
    </row>
    <row r="227" spans="1:2">
      <c r="A227" s="6" t="s">
        <v>2626</v>
      </c>
      <c r="B227" s="22">
        <v>1225.45</v>
      </c>
    </row>
    <row r="228" spans="1:2">
      <c r="A228" s="6" t="s">
        <v>2740</v>
      </c>
      <c r="B228" s="22">
        <v>6425.2</v>
      </c>
    </row>
    <row r="229" spans="1:2">
      <c r="A229" s="6" t="s">
        <v>2624</v>
      </c>
      <c r="B229" s="22">
        <v>4453.75</v>
      </c>
    </row>
    <row r="230" spans="1:2">
      <c r="A230" s="6" t="s">
        <v>2666</v>
      </c>
      <c r="B230" s="22">
        <v>1143.6099999999999</v>
      </c>
    </row>
    <row r="231" spans="1:2">
      <c r="A231" s="6" t="s">
        <v>2682</v>
      </c>
      <c r="B231" s="22">
        <v>4422.17</v>
      </c>
    </row>
    <row r="232" spans="1:2">
      <c r="A232" s="6" t="s">
        <v>2669</v>
      </c>
      <c r="B232" s="22">
        <v>9740.19</v>
      </c>
    </row>
    <row r="233" spans="1:2">
      <c r="A233" s="6" t="s">
        <v>2694</v>
      </c>
      <c r="B233" s="22">
        <v>306.39999999999998</v>
      </c>
    </row>
    <row r="234" spans="1:2">
      <c r="A234" s="6" t="s">
        <v>2745</v>
      </c>
      <c r="B234" s="22">
        <v>3901.61</v>
      </c>
    </row>
    <row r="235" spans="1:2">
      <c r="A235" s="6" t="s">
        <v>2739</v>
      </c>
      <c r="B235" s="22">
        <v>1960</v>
      </c>
    </row>
    <row r="236" spans="1:2">
      <c r="A236" s="6" t="s">
        <v>2736</v>
      </c>
      <c r="B236" s="22">
        <v>3003.86</v>
      </c>
    </row>
    <row r="237" spans="1:2">
      <c r="A237" s="6" t="s">
        <v>2733</v>
      </c>
      <c r="B237" s="22">
        <v>6152.49</v>
      </c>
    </row>
    <row r="238" spans="1:2">
      <c r="A238" s="6" t="s">
        <v>2793</v>
      </c>
      <c r="B238" s="22">
        <v>11326.55</v>
      </c>
    </row>
    <row r="239" spans="1:2">
      <c r="A239" s="6" t="s">
        <v>2824</v>
      </c>
      <c r="B239" s="22">
        <v>976.93</v>
      </c>
    </row>
    <row r="240" spans="1:2">
      <c r="A240" s="6" t="s">
        <v>2914</v>
      </c>
      <c r="B240" s="22">
        <v>5530.26</v>
      </c>
    </row>
    <row r="241" spans="1:2">
      <c r="A241" s="6" t="s">
        <v>2817</v>
      </c>
      <c r="B241" s="22">
        <v>2361.42</v>
      </c>
    </row>
    <row r="242" spans="1:2">
      <c r="A242" s="6" t="s">
        <v>2825</v>
      </c>
      <c r="B242" s="22">
        <v>2358.27</v>
      </c>
    </row>
    <row r="243" spans="1:2">
      <c r="A243" s="6" t="s">
        <v>2920</v>
      </c>
      <c r="B243" s="22">
        <v>1826.69</v>
      </c>
    </row>
    <row r="244" spans="1:2">
      <c r="A244" s="6" t="s">
        <v>2881</v>
      </c>
      <c r="B244" s="22">
        <v>3866.63</v>
      </c>
    </row>
    <row r="245" spans="1:2">
      <c r="A245" s="6" t="s">
        <v>2851</v>
      </c>
      <c r="B245" s="22">
        <v>3524.25</v>
      </c>
    </row>
    <row r="246" spans="1:2">
      <c r="A246" s="6" t="s">
        <v>2989</v>
      </c>
      <c r="B246" s="22">
        <v>1502.68</v>
      </c>
    </row>
    <row r="247" spans="1:2">
      <c r="A247" s="6" t="s">
        <v>3006</v>
      </c>
      <c r="B247" s="22">
        <v>7183.72</v>
      </c>
    </row>
    <row r="248" spans="1:2">
      <c r="A248" s="6" t="s">
        <v>3025</v>
      </c>
      <c r="B248" s="22">
        <v>17562.260000000002</v>
      </c>
    </row>
    <row r="249" spans="1:2">
      <c r="A249" s="6" t="s">
        <v>3008</v>
      </c>
      <c r="B249" s="22">
        <v>1932.82</v>
      </c>
    </row>
    <row r="250" spans="1:2">
      <c r="A250" s="6" t="s">
        <v>3084</v>
      </c>
      <c r="B250" s="22">
        <v>2229.52</v>
      </c>
    </row>
    <row r="251" spans="1:2">
      <c r="A251" s="6" t="s">
        <v>3031</v>
      </c>
      <c r="B251" s="22">
        <v>9921.16</v>
      </c>
    </row>
    <row r="252" spans="1:2">
      <c r="A252" s="6" t="s">
        <v>2701</v>
      </c>
      <c r="B252" s="22">
        <v>25151.94</v>
      </c>
    </row>
    <row r="253" spans="1:2">
      <c r="A253" s="6" t="s">
        <v>2699</v>
      </c>
      <c r="B253" s="22">
        <v>15394.18</v>
      </c>
    </row>
    <row r="254" spans="1:2">
      <c r="A254" s="6" t="s">
        <v>2981</v>
      </c>
      <c r="B254" s="22">
        <v>443.04</v>
      </c>
    </row>
    <row r="255" spans="1:2">
      <c r="A255" s="6" t="s">
        <v>2805</v>
      </c>
      <c r="B255" s="22">
        <v>22810.11</v>
      </c>
    </row>
    <row r="256" spans="1:2">
      <c r="A256" s="6" t="s">
        <v>2967</v>
      </c>
      <c r="B256" s="22">
        <v>27635.11</v>
      </c>
    </row>
    <row r="257" spans="1:2">
      <c r="A257" s="6" t="s">
        <v>27</v>
      </c>
      <c r="B257" s="22"/>
    </row>
    <row r="258" spans="1:2">
      <c r="A258" s="6" t="s">
        <v>28</v>
      </c>
      <c r="B258" s="22">
        <v>1119750.6563636365</v>
      </c>
    </row>
  </sheetData>
  <pageMargins left="0.7" right="0.7" top="0.75" bottom="0.75" header="0.3" footer="0.3"/>
  <pageSetup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1"/>
  <sheetViews>
    <sheetView workbookViewId="0">
      <selection activeCell="I31" sqref="I31"/>
    </sheetView>
  </sheetViews>
  <sheetFormatPr defaultRowHeight="14.35"/>
  <cols>
    <col min="1" max="1" width="30.46875" customWidth="1"/>
    <col min="2" max="2" width="14.64453125" customWidth="1"/>
    <col min="3" max="3" width="5.52734375" customWidth="1"/>
    <col min="4" max="4" width="6.46875" customWidth="1"/>
    <col min="5" max="5" width="4" customWidth="1"/>
    <col min="6" max="6" width="3.76171875" customWidth="1"/>
    <col min="7" max="7" width="3.1171875" customWidth="1"/>
    <col min="8" max="8" width="12" bestFit="1" customWidth="1"/>
    <col min="9" max="9" width="11" customWidth="1"/>
    <col min="10" max="11" width="12.52734375" customWidth="1"/>
    <col min="12" max="12" width="12" bestFit="1" customWidth="1"/>
    <col min="13" max="13" width="11" customWidth="1"/>
    <col min="14" max="14" width="13.5859375" customWidth="1"/>
    <col min="15" max="15" width="5.52734375" customWidth="1"/>
    <col min="16" max="16" width="11.9375" customWidth="1"/>
    <col min="17" max="17" width="9.9375" customWidth="1"/>
    <col min="18" max="18" width="3" customWidth="1"/>
    <col min="19" max="19" width="13.46875" customWidth="1"/>
    <col min="20" max="122" width="16.234375" bestFit="1" customWidth="1"/>
    <col min="123" max="123" width="11.234375" bestFit="1" customWidth="1"/>
  </cols>
  <sheetData>
    <row r="2" spans="1:12">
      <c r="A2" s="534" t="s">
        <v>61</v>
      </c>
    </row>
    <row r="3" spans="1:12">
      <c r="A3" s="5" t="s">
        <v>50</v>
      </c>
      <c r="B3" s="5" t="s">
        <v>35</v>
      </c>
    </row>
    <row r="4" spans="1:12">
      <c r="A4" s="5" t="s">
        <v>29</v>
      </c>
      <c r="B4" s="704" t="s">
        <v>27</v>
      </c>
      <c r="C4" s="704" t="s">
        <v>1886</v>
      </c>
      <c r="D4" s="704" t="s">
        <v>1456</v>
      </c>
      <c r="E4" s="704" t="s">
        <v>1465</v>
      </c>
      <c r="F4" s="704" t="s">
        <v>1375</v>
      </c>
      <c r="G4" s="704" t="s">
        <v>1566</v>
      </c>
      <c r="H4" s="704" t="s">
        <v>917</v>
      </c>
      <c r="I4" s="704" t="s">
        <v>916</v>
      </c>
      <c r="J4" s="704" t="s">
        <v>1968</v>
      </c>
      <c r="K4" s="704" t="s">
        <v>1970</v>
      </c>
      <c r="L4" s="704" t="s">
        <v>28</v>
      </c>
    </row>
    <row r="5" spans="1:12">
      <c r="A5" s="6" t="s">
        <v>15</v>
      </c>
      <c r="B5" s="22"/>
      <c r="C5" s="22"/>
      <c r="D5" s="22"/>
      <c r="E5" s="22"/>
      <c r="F5" s="22"/>
      <c r="G5" s="22"/>
      <c r="H5" s="22">
        <v>63172.078690000002</v>
      </c>
      <c r="I5" s="22">
        <v>789.36000000000013</v>
      </c>
      <c r="J5" s="22"/>
      <c r="K5" s="22"/>
      <c r="L5" s="22">
        <v>63961.438690000003</v>
      </c>
    </row>
    <row r="6" spans="1:12">
      <c r="A6" s="6" t="s">
        <v>27</v>
      </c>
      <c r="B6" s="22">
        <v>0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508.76</v>
      </c>
      <c r="I6" s="22">
        <v>1599.6900000000003</v>
      </c>
      <c r="J6" s="22">
        <v>0</v>
      </c>
      <c r="K6" s="22">
        <v>0</v>
      </c>
      <c r="L6" s="22">
        <v>2108.4500000000003</v>
      </c>
    </row>
    <row r="7" spans="1:12">
      <c r="A7" s="6" t="s">
        <v>761</v>
      </c>
      <c r="B7" s="22"/>
      <c r="C7" s="22"/>
      <c r="D7" s="22"/>
      <c r="E7" s="22"/>
      <c r="F7" s="22"/>
      <c r="G7" s="22"/>
      <c r="H7" s="22">
        <v>2504.27</v>
      </c>
      <c r="I7" s="22"/>
      <c r="J7" s="22"/>
      <c r="K7" s="22"/>
      <c r="L7" s="22">
        <v>2504.27</v>
      </c>
    </row>
    <row r="8" spans="1:12">
      <c r="A8" s="6" t="s">
        <v>909</v>
      </c>
      <c r="B8" s="22"/>
      <c r="C8" s="22"/>
      <c r="D8" s="22"/>
      <c r="E8" s="22"/>
      <c r="F8" s="22"/>
      <c r="G8" s="22"/>
      <c r="H8" s="22">
        <v>33.630000000000003</v>
      </c>
      <c r="I8" s="22"/>
      <c r="J8" s="22"/>
      <c r="K8" s="22"/>
      <c r="L8" s="22">
        <v>33.630000000000003</v>
      </c>
    </row>
    <row r="9" spans="1:12">
      <c r="A9" s="6" t="s">
        <v>911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</row>
    <row r="10" spans="1:12">
      <c r="A10" s="6" t="s">
        <v>906</v>
      </c>
      <c r="B10" s="22"/>
      <c r="C10" s="22"/>
      <c r="D10" s="22"/>
      <c r="E10" s="22"/>
      <c r="F10" s="22"/>
      <c r="G10" s="22"/>
      <c r="H10" s="22"/>
      <c r="I10" s="22">
        <v>92.03</v>
      </c>
      <c r="J10" s="22"/>
      <c r="K10" s="22"/>
      <c r="L10" s="22">
        <v>92.03</v>
      </c>
    </row>
    <row r="11" spans="1:12">
      <c r="A11" s="6" t="s">
        <v>908</v>
      </c>
      <c r="B11" s="22"/>
      <c r="C11" s="22"/>
      <c r="D11" s="22"/>
      <c r="E11" s="22"/>
      <c r="F11" s="22"/>
      <c r="G11" s="22"/>
      <c r="H11" s="22">
        <v>2362.5</v>
      </c>
      <c r="I11" s="22">
        <v>1452.23</v>
      </c>
      <c r="J11" s="22"/>
      <c r="K11" s="22"/>
      <c r="L11" s="22">
        <v>3814.73</v>
      </c>
    </row>
    <row r="12" spans="1:12">
      <c r="A12" s="6" t="s">
        <v>910</v>
      </c>
      <c r="B12" s="22"/>
      <c r="C12" s="22"/>
      <c r="D12" s="22"/>
      <c r="E12" s="22"/>
      <c r="F12" s="22"/>
      <c r="G12" s="22"/>
      <c r="H12" s="22">
        <v>14982.43414956939</v>
      </c>
      <c r="I12" s="22"/>
      <c r="J12" s="22"/>
      <c r="K12" s="22"/>
      <c r="L12" s="22">
        <v>14982.43414956939</v>
      </c>
    </row>
    <row r="13" spans="1:12">
      <c r="A13" s="6" t="s">
        <v>907</v>
      </c>
      <c r="B13" s="22"/>
      <c r="C13" s="22"/>
      <c r="D13" s="22"/>
      <c r="E13" s="22"/>
      <c r="F13" s="22"/>
      <c r="G13" s="22"/>
      <c r="H13" s="22">
        <v>1305.5600000000002</v>
      </c>
      <c r="I13" s="22"/>
      <c r="J13" s="22"/>
      <c r="K13" s="22"/>
      <c r="L13" s="22">
        <v>1305.5600000000002</v>
      </c>
    </row>
    <row r="14" spans="1:12">
      <c r="A14" s="6" t="s">
        <v>914</v>
      </c>
      <c r="B14" s="22"/>
      <c r="C14" s="22"/>
      <c r="D14" s="22"/>
      <c r="E14" s="22"/>
      <c r="F14" s="22"/>
      <c r="G14" s="22"/>
      <c r="H14" s="22">
        <v>7897.6</v>
      </c>
      <c r="I14" s="22"/>
      <c r="J14" s="22"/>
      <c r="K14" s="22"/>
      <c r="L14" s="22">
        <v>7897.6</v>
      </c>
    </row>
    <row r="15" spans="1:12">
      <c r="A15" s="6" t="s">
        <v>759</v>
      </c>
      <c r="B15" s="22"/>
      <c r="C15" s="22"/>
      <c r="D15" s="22"/>
      <c r="E15" s="22"/>
      <c r="F15" s="22"/>
      <c r="G15" s="22"/>
      <c r="H15" s="22">
        <v>693.32999999999993</v>
      </c>
      <c r="I15" s="22"/>
      <c r="J15" s="22"/>
      <c r="K15" s="22"/>
      <c r="L15" s="22">
        <v>693.32999999999993</v>
      </c>
    </row>
    <row r="16" spans="1:12">
      <c r="A16" s="6" t="s">
        <v>912</v>
      </c>
      <c r="B16" s="22"/>
      <c r="C16" s="22"/>
      <c r="D16" s="22"/>
      <c r="E16" s="22"/>
      <c r="F16" s="22"/>
      <c r="G16" s="22"/>
      <c r="H16" s="22">
        <v>3970.83</v>
      </c>
      <c r="I16" s="22"/>
      <c r="J16" s="22"/>
      <c r="K16" s="22"/>
      <c r="L16" s="22">
        <v>3970.83</v>
      </c>
    </row>
    <row r="17" spans="1:12">
      <c r="A17" s="6" t="s">
        <v>1674</v>
      </c>
      <c r="B17" s="22"/>
      <c r="C17" s="22"/>
      <c r="D17" s="22"/>
      <c r="E17" s="22"/>
      <c r="F17" s="22"/>
      <c r="G17" s="22"/>
      <c r="H17" s="22">
        <v>-2247.4299999999998</v>
      </c>
      <c r="I17" s="22">
        <v>-13228.89</v>
      </c>
      <c r="J17" s="22"/>
      <c r="K17" s="22"/>
      <c r="L17" s="22">
        <v>-15476.32</v>
      </c>
    </row>
    <row r="18" spans="1:12">
      <c r="A18" s="6" t="s">
        <v>1675</v>
      </c>
      <c r="B18" s="22"/>
      <c r="C18" s="22"/>
      <c r="D18" s="22"/>
      <c r="E18" s="22"/>
      <c r="F18" s="22"/>
      <c r="G18" s="22"/>
      <c r="H18" s="22">
        <v>-0.06</v>
      </c>
      <c r="I18" s="22"/>
      <c r="J18" s="22"/>
      <c r="K18" s="22"/>
      <c r="L18" s="22">
        <v>-0.06</v>
      </c>
    </row>
    <row r="19" spans="1:12">
      <c r="A19" s="6" t="s">
        <v>1673</v>
      </c>
      <c r="B19" s="22"/>
      <c r="C19" s="22"/>
      <c r="D19" s="22"/>
      <c r="E19" s="22"/>
      <c r="F19" s="22"/>
      <c r="G19" s="22"/>
      <c r="H19" s="22">
        <v>-2</v>
      </c>
      <c r="I19" s="22">
        <v>-6239.62</v>
      </c>
      <c r="J19" s="22"/>
      <c r="K19" s="22"/>
      <c r="L19" s="22">
        <v>-6241.62</v>
      </c>
    </row>
    <row r="20" spans="1:12">
      <c r="A20" s="6" t="s">
        <v>1668</v>
      </c>
      <c r="B20" s="22"/>
      <c r="C20" s="22"/>
      <c r="D20" s="22"/>
      <c r="E20" s="22"/>
      <c r="F20" s="22"/>
      <c r="G20" s="22"/>
      <c r="H20" s="22">
        <v>82.854545454545445</v>
      </c>
      <c r="I20" s="22"/>
      <c r="J20" s="22"/>
      <c r="K20" s="22"/>
      <c r="L20" s="22">
        <v>82.854545454545445</v>
      </c>
    </row>
    <row r="21" spans="1:12">
      <c r="A21" s="6" t="s">
        <v>1670</v>
      </c>
      <c r="B21" s="22"/>
      <c r="C21" s="22"/>
      <c r="D21" s="22"/>
      <c r="E21" s="22"/>
      <c r="F21" s="22"/>
      <c r="G21" s="22"/>
      <c r="H21" s="22">
        <v>9055.3882912918671</v>
      </c>
      <c r="I21" s="22"/>
      <c r="J21" s="22"/>
      <c r="K21" s="22"/>
      <c r="L21" s="22">
        <v>9055.3882912918671</v>
      </c>
    </row>
    <row r="22" spans="1:12">
      <c r="A22" s="6" t="s">
        <v>1669</v>
      </c>
      <c r="B22" s="22"/>
      <c r="C22" s="22"/>
      <c r="D22" s="22"/>
      <c r="E22" s="22"/>
      <c r="F22" s="22"/>
      <c r="G22" s="22"/>
      <c r="H22" s="22">
        <v>14236.13</v>
      </c>
      <c r="I22" s="22">
        <v>29.69</v>
      </c>
      <c r="J22" s="22"/>
      <c r="K22" s="22"/>
      <c r="L22" s="22">
        <v>14265.82</v>
      </c>
    </row>
    <row r="23" spans="1:12">
      <c r="A23" s="6" t="s">
        <v>1739</v>
      </c>
      <c r="B23" s="22"/>
      <c r="C23" s="22"/>
      <c r="D23" s="22"/>
      <c r="E23" s="22"/>
      <c r="F23" s="22"/>
      <c r="G23" s="22"/>
      <c r="H23" s="22">
        <v>5514.4643236842085</v>
      </c>
      <c r="I23" s="22"/>
      <c r="J23" s="22"/>
      <c r="K23" s="22"/>
      <c r="L23" s="22">
        <v>5514.4643236842085</v>
      </c>
    </row>
    <row r="24" spans="1:12">
      <c r="A24" s="6" t="s">
        <v>1667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</row>
    <row r="25" spans="1:12">
      <c r="A25" s="6" t="s">
        <v>1672</v>
      </c>
      <c r="B25" s="22"/>
      <c r="C25" s="22"/>
      <c r="D25" s="22"/>
      <c r="E25" s="22"/>
      <c r="F25" s="22"/>
      <c r="G25" s="22"/>
      <c r="H25" s="22"/>
      <c r="I25" s="22">
        <v>1396</v>
      </c>
      <c r="J25" s="22"/>
      <c r="K25" s="22"/>
      <c r="L25" s="22">
        <v>1396</v>
      </c>
    </row>
    <row r="26" spans="1:12">
      <c r="A26" s="6" t="s">
        <v>28</v>
      </c>
      <c r="B26" s="22">
        <v>0</v>
      </c>
      <c r="C26" s="22">
        <v>0</v>
      </c>
      <c r="D26" s="22">
        <v>0</v>
      </c>
      <c r="E26" s="22">
        <v>0</v>
      </c>
      <c r="F26" s="22">
        <v>0</v>
      </c>
      <c r="G26" s="22">
        <v>0</v>
      </c>
      <c r="H26" s="22">
        <v>124070.34000000004</v>
      </c>
      <c r="I26" s="22">
        <v>-14109.509999999997</v>
      </c>
      <c r="J26" s="22">
        <v>0</v>
      </c>
      <c r="K26" s="22">
        <v>0</v>
      </c>
      <c r="L26" s="22">
        <v>109960.83000000003</v>
      </c>
    </row>
    <row r="58" spans="1:12">
      <c r="A58" s="5" t="s">
        <v>46</v>
      </c>
      <c r="B58" s="5" t="s">
        <v>35</v>
      </c>
    </row>
    <row r="59" spans="1:12">
      <c r="A59" s="5" t="s">
        <v>29</v>
      </c>
      <c r="B59" s="704" t="s">
        <v>27</v>
      </c>
      <c r="C59" s="704" t="s">
        <v>1886</v>
      </c>
      <c r="D59" s="704" t="s">
        <v>1456</v>
      </c>
      <c r="E59" s="704" t="s">
        <v>1465</v>
      </c>
      <c r="F59" s="704" t="s">
        <v>1375</v>
      </c>
      <c r="G59" s="704" t="s">
        <v>1566</v>
      </c>
      <c r="H59" s="704" t="s">
        <v>917</v>
      </c>
      <c r="I59" s="704" t="s">
        <v>916</v>
      </c>
      <c r="J59" s="704" t="s">
        <v>1968</v>
      </c>
      <c r="K59" s="704" t="s">
        <v>1970</v>
      </c>
      <c r="L59" s="704" t="s">
        <v>28</v>
      </c>
    </row>
    <row r="60" spans="1:12">
      <c r="A60" s="6" t="s">
        <v>15</v>
      </c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</row>
    <row r="61" spans="1:12">
      <c r="A61" s="6" t="s">
        <v>27</v>
      </c>
      <c r="B61" s="22">
        <v>0.01</v>
      </c>
      <c r="C61" s="22">
        <v>0</v>
      </c>
      <c r="D61" s="22">
        <v>0.01</v>
      </c>
      <c r="E61" s="22"/>
      <c r="F61" s="22"/>
      <c r="G61" s="22"/>
      <c r="H61" s="22"/>
      <c r="I61" s="22"/>
      <c r="J61" s="22"/>
      <c r="K61" s="22"/>
      <c r="L61" s="22">
        <v>0.02</v>
      </c>
    </row>
    <row r="62" spans="1:12">
      <c r="A62" s="6" t="s">
        <v>761</v>
      </c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</row>
    <row r="63" spans="1:12">
      <c r="A63" s="6" t="s">
        <v>909</v>
      </c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</row>
    <row r="64" spans="1:12">
      <c r="A64" s="6" t="s">
        <v>911</v>
      </c>
      <c r="B64" s="22"/>
      <c r="C64" s="22"/>
      <c r="D64" s="22"/>
      <c r="E64" s="22"/>
      <c r="F64" s="22"/>
      <c r="G64" s="22"/>
      <c r="H64" s="22"/>
      <c r="I64" s="22">
        <v>2575.9499999999998</v>
      </c>
      <c r="J64" s="22"/>
      <c r="K64" s="22"/>
      <c r="L64" s="22">
        <v>2575.9499999999998</v>
      </c>
    </row>
    <row r="65" spans="1:12">
      <c r="A65" s="6" t="s">
        <v>906</v>
      </c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</row>
    <row r="66" spans="1:12">
      <c r="A66" s="6" t="s">
        <v>908</v>
      </c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</row>
    <row r="67" spans="1:12">
      <c r="A67" s="6" t="s">
        <v>910</v>
      </c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</row>
    <row r="68" spans="1:12">
      <c r="A68" s="6" t="s">
        <v>907</v>
      </c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</row>
    <row r="69" spans="1:12">
      <c r="A69" s="6" t="s">
        <v>914</v>
      </c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</row>
    <row r="70" spans="1:12">
      <c r="A70" s="6" t="s">
        <v>759</v>
      </c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</row>
    <row r="71" spans="1:12">
      <c r="A71" s="6" t="s">
        <v>912</v>
      </c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</row>
    <row r="72" spans="1:12">
      <c r="A72" s="6" t="s">
        <v>1674</v>
      </c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</row>
    <row r="73" spans="1:12">
      <c r="A73" s="6" t="s">
        <v>1675</v>
      </c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</row>
    <row r="74" spans="1:12">
      <c r="A74" s="6" t="s">
        <v>1673</v>
      </c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</row>
    <row r="75" spans="1:12">
      <c r="A75" s="6" t="s">
        <v>1668</v>
      </c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</row>
    <row r="76" spans="1:12">
      <c r="A76" s="6" t="s">
        <v>1670</v>
      </c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</row>
    <row r="77" spans="1:12">
      <c r="A77" s="6" t="s">
        <v>1669</v>
      </c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</row>
    <row r="78" spans="1:12">
      <c r="A78" s="6" t="s">
        <v>1739</v>
      </c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</row>
    <row r="79" spans="1:12">
      <c r="A79" s="6" t="s">
        <v>1667</v>
      </c>
      <c r="B79" s="22"/>
      <c r="C79" s="22"/>
      <c r="D79" s="22"/>
      <c r="E79" s="22"/>
      <c r="F79" s="22"/>
      <c r="G79" s="22"/>
      <c r="H79" s="22"/>
      <c r="I79" s="22">
        <v>7965.87</v>
      </c>
      <c r="J79" s="22"/>
      <c r="K79" s="22"/>
      <c r="L79" s="22">
        <v>7965.87</v>
      </c>
    </row>
    <row r="80" spans="1:12">
      <c r="A80" s="6" t="s">
        <v>1672</v>
      </c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</row>
    <row r="81" spans="1:12">
      <c r="A81" s="6" t="s">
        <v>28</v>
      </c>
      <c r="B81" s="22">
        <v>0.01</v>
      </c>
      <c r="C81" s="22">
        <v>0</v>
      </c>
      <c r="D81" s="22">
        <v>0.01</v>
      </c>
      <c r="E81" s="22"/>
      <c r="F81" s="22"/>
      <c r="G81" s="22"/>
      <c r="H81" s="22"/>
      <c r="I81" s="22">
        <v>10541.82</v>
      </c>
      <c r="J81" s="22"/>
      <c r="K81" s="22"/>
      <c r="L81" s="22">
        <v>10541.84</v>
      </c>
    </row>
  </sheetData>
  <sortState columnSort="1" ref="A3:G23">
    <sortCondition ref="B4" customList="Jan,Feb,Mar,Apr,May,Jun,Jul,Aug,Sep,Oct,Nov,Dec"/>
  </sortState>
  <pageMargins left="0.7" right="0.7" top="0.75" bottom="0.75" header="0.3" footer="0.3"/>
  <pageSetup paperSize="9" orientation="portrait" horizontalDpi="1200" verticalDpi="1200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8"/>
  <sheetViews>
    <sheetView topLeftCell="F1" zoomScale="80" zoomScaleNormal="80" workbookViewId="0">
      <pane ySplit="1" topLeftCell="A270" activePane="bottomLeft" state="frozen"/>
      <selection pane="bottomLeft" activeCell="J305" sqref="J287:J305"/>
    </sheetView>
  </sheetViews>
  <sheetFormatPr defaultColWidth="13.87890625" defaultRowHeight="13.5" customHeight="1"/>
  <cols>
    <col min="1" max="1" width="6" style="13" customWidth="1"/>
    <col min="2" max="2" width="14" customWidth="1"/>
    <col min="3" max="3" width="25.234375" style="6" bestFit="1" customWidth="1"/>
    <col min="4" max="4" width="13.234375" style="13" customWidth="1"/>
    <col min="5" max="5" width="31.3515625" style="13" customWidth="1"/>
    <col min="6" max="6" width="75.17578125" style="13" bestFit="1" customWidth="1"/>
    <col min="7" max="7" width="20.87890625" style="13" customWidth="1"/>
    <col min="8" max="8" width="14" style="13" customWidth="1"/>
    <col min="9" max="9" width="70.5859375" style="6" customWidth="1"/>
    <col min="10" max="10" width="10" style="277" customWidth="1"/>
    <col min="11" max="11" width="56.8203125" style="13" bestFit="1" customWidth="1"/>
    <col min="12" max="12" width="11.64453125" style="215" bestFit="1" customWidth="1"/>
    <col min="13" max="13" width="14.5859375" style="295" customWidth="1"/>
    <col min="14" max="14" width="19.1171875" style="217" customWidth="1"/>
    <col min="15" max="15" width="7.41015625" customWidth="1"/>
    <col min="16" max="16" width="11.234375" customWidth="1"/>
    <col min="17" max="17" width="9.41015625" customWidth="1"/>
    <col min="18" max="18" width="11.87890625" style="22" bestFit="1" customWidth="1"/>
    <col min="19" max="19" width="8.234375" customWidth="1"/>
    <col min="20" max="20" width="8.5859375" style="47" customWidth="1"/>
    <col min="21" max="21" width="12.1171875" customWidth="1"/>
    <col min="22" max="22" width="12.234375" customWidth="1"/>
    <col min="23" max="24" width="12.1171875" customWidth="1"/>
    <col min="25" max="26" width="3.703125" customWidth="1"/>
    <col min="27" max="27" width="5.703125" customWidth="1"/>
    <col min="28" max="28" width="3.703125" customWidth="1"/>
    <col min="29" max="29" width="5.703125" customWidth="1"/>
    <col min="30" max="37" width="3.703125" customWidth="1"/>
    <col min="38" max="38" width="6.703125" customWidth="1"/>
    <col min="39" max="40" width="3.703125" customWidth="1"/>
    <col min="41" max="42" width="5.703125" customWidth="1"/>
    <col min="43" max="43" width="3.703125" customWidth="1"/>
    <col min="44" max="44" width="6.703125" customWidth="1"/>
    <col min="45" max="49" width="3.703125" customWidth="1"/>
    <col min="50" max="50" width="5.703125" customWidth="1"/>
    <col min="51" max="52" width="3.703125" customWidth="1"/>
    <col min="53" max="53" width="5.703125" customWidth="1"/>
    <col min="54" max="55" width="3.703125" customWidth="1"/>
    <col min="56" max="56" width="5.703125" customWidth="1"/>
    <col min="57" max="57" width="3.703125" customWidth="1"/>
    <col min="58" max="58" width="5.703125" customWidth="1"/>
    <col min="59" max="59" width="6.703125" customWidth="1"/>
    <col min="60" max="60" width="5.703125" customWidth="1"/>
    <col min="61" max="63" width="3.703125" customWidth="1"/>
    <col min="64" max="64" width="6.703125" customWidth="1"/>
    <col min="65" max="65" width="3.703125" customWidth="1"/>
    <col min="66" max="66" width="6.703125" customWidth="1"/>
    <col min="67" max="68" width="3.703125" customWidth="1"/>
    <col min="69" max="69" width="6.703125" customWidth="1"/>
    <col min="70" max="70" width="3.703125" customWidth="1"/>
    <col min="71" max="71" width="5.703125" customWidth="1"/>
    <col min="72" max="72" width="3.703125" customWidth="1"/>
    <col min="73" max="73" width="5.703125" customWidth="1"/>
    <col min="74" max="79" width="3.703125" customWidth="1"/>
    <col min="80" max="80" width="5.703125" customWidth="1"/>
    <col min="81" max="81" width="3.703125" customWidth="1"/>
    <col min="82" max="82" width="6.703125" customWidth="1"/>
    <col min="83" max="84" width="3.703125" customWidth="1"/>
    <col min="85" max="85" width="6.703125" customWidth="1"/>
    <col min="86" max="89" width="3.703125" customWidth="1"/>
    <col min="90" max="90" width="5.703125" customWidth="1"/>
    <col min="91" max="92" width="3.703125" customWidth="1"/>
    <col min="93" max="93" width="6.703125" customWidth="1"/>
    <col min="94" max="94" width="3.703125" customWidth="1"/>
    <col min="95" max="96" width="6.703125" customWidth="1"/>
    <col min="97" max="98" width="3.703125" customWidth="1"/>
    <col min="99" max="99" width="6.703125" customWidth="1"/>
    <col min="100" max="100" width="3.703125" customWidth="1"/>
    <col min="101" max="101" width="5.703125" customWidth="1"/>
    <col min="102" max="106" width="3.703125" customWidth="1"/>
    <col min="107" max="107" width="6.703125" customWidth="1"/>
    <col min="108" max="108" width="3.703125" customWidth="1"/>
    <col min="109" max="109" width="5.703125" customWidth="1"/>
    <col min="110" max="111" width="3.703125" customWidth="1"/>
    <col min="112" max="112" width="6.703125" customWidth="1"/>
    <col min="113" max="113" width="3.703125" customWidth="1"/>
    <col min="114" max="114" width="6.703125" customWidth="1"/>
    <col min="115" max="115" width="5.703125" customWidth="1"/>
    <col min="116" max="121" width="3.703125" customWidth="1"/>
    <col min="122" max="122" width="6.703125" customWidth="1"/>
    <col min="123" max="124" width="3.703125" customWidth="1"/>
    <col min="125" max="127" width="4.703125" customWidth="1"/>
    <col min="128" max="130" width="7.703125" customWidth="1"/>
    <col min="131" max="131" width="4.703125" customWidth="1"/>
    <col min="132" max="132" width="7.703125" customWidth="1"/>
    <col min="133" max="135" width="4.703125" customWidth="1"/>
    <col min="136" max="136" width="7.703125" customWidth="1"/>
    <col min="137" max="137" width="4.703125" customWidth="1"/>
    <col min="138" max="139" width="7.703125" customWidth="1"/>
    <col min="140" max="140" width="6.703125" customWidth="1"/>
    <col min="141" max="142" width="4.703125" customWidth="1"/>
    <col min="143" max="143" width="7.703125" customWidth="1"/>
    <col min="144" max="144" width="4.703125" customWidth="1"/>
    <col min="145" max="146" width="7.703125" customWidth="1"/>
    <col min="147" max="150" width="4.703125" customWidth="1"/>
    <col min="151" max="151" width="7.703125" customWidth="1"/>
    <col min="152" max="152" width="6.703125" customWidth="1"/>
    <col min="153" max="154" width="4.703125" customWidth="1"/>
    <col min="155" max="155" width="7.703125" customWidth="1"/>
    <col min="156" max="157" width="4.703125" customWidth="1"/>
    <col min="158" max="158" width="7.703125" customWidth="1"/>
    <col min="159" max="159" width="4.703125" customWidth="1"/>
    <col min="160" max="160" width="7.703125" customWidth="1"/>
    <col min="161" max="162" width="4.703125" customWidth="1"/>
    <col min="163" max="164" width="6.703125" customWidth="1"/>
    <col min="165" max="165" width="7.703125" customWidth="1"/>
    <col min="166" max="166" width="4.703125" customWidth="1"/>
    <col min="167" max="167" width="6.703125" customWidth="1"/>
    <col min="168" max="169" width="4.703125" customWidth="1"/>
    <col min="170" max="172" width="7.703125" customWidth="1"/>
    <col min="173" max="173" width="6.703125" customWidth="1"/>
    <col min="174" max="174" width="4.703125" customWidth="1"/>
    <col min="175" max="176" width="6.703125" customWidth="1"/>
    <col min="177" max="177" width="7.703125" customWidth="1"/>
    <col min="178" max="183" width="4.703125" customWidth="1"/>
    <col min="184" max="184" width="7.703125" customWidth="1"/>
    <col min="185" max="185" width="6.703125" customWidth="1"/>
    <col min="186" max="186" width="7.703125" customWidth="1"/>
    <col min="187" max="188" width="4.703125" customWidth="1"/>
    <col min="189" max="189" width="6.703125" customWidth="1"/>
    <col min="190" max="191" width="4.703125" customWidth="1"/>
    <col min="192" max="193" width="6.703125" customWidth="1"/>
    <col min="194" max="194" width="4.703125" customWidth="1"/>
    <col min="195" max="195" width="7.703125" customWidth="1"/>
    <col min="196" max="196" width="6.703125" customWidth="1"/>
    <col min="197" max="197" width="4.703125" customWidth="1"/>
    <col min="198" max="198" width="7.703125" customWidth="1"/>
    <col min="199" max="201" width="4.703125" customWidth="1"/>
    <col min="202" max="203" width="7.703125" customWidth="1"/>
    <col min="204" max="204" width="6.703125" customWidth="1"/>
    <col min="205" max="205" width="4.703125" customWidth="1"/>
    <col min="206" max="206" width="6.703125" customWidth="1"/>
    <col min="207" max="207" width="4.703125" customWidth="1"/>
    <col min="208" max="208" width="6.703125" customWidth="1"/>
    <col min="209" max="209" width="4.703125" customWidth="1"/>
    <col min="210" max="211" width="6.703125" customWidth="1"/>
    <col min="212" max="212" width="7.703125" customWidth="1"/>
    <col min="213" max="215" width="4.703125" customWidth="1"/>
    <col min="216" max="217" width="6.703125" customWidth="1"/>
    <col min="218" max="218" width="7.703125" customWidth="1"/>
    <col min="219" max="219" width="4.703125" customWidth="1"/>
    <col min="220" max="220" width="6.703125" customWidth="1"/>
    <col min="221" max="221" width="4.703125" customWidth="1"/>
    <col min="222" max="222" width="7.703125" customWidth="1"/>
    <col min="223" max="231" width="4.703125" customWidth="1"/>
    <col min="232" max="233" width="7.703125" customWidth="1"/>
    <col min="234" max="236" width="4.703125" customWidth="1"/>
    <col min="237" max="237" width="6.703125" customWidth="1"/>
    <col min="238" max="238" width="7.703125" customWidth="1"/>
    <col min="239" max="240" width="4.703125" customWidth="1"/>
    <col min="241" max="242" width="7.703125" customWidth="1"/>
    <col min="243" max="243" width="6.703125" customWidth="1"/>
    <col min="244" max="244" width="7.703125" customWidth="1"/>
    <col min="245" max="245" width="4.703125" customWidth="1"/>
    <col min="246" max="247" width="6.703125" customWidth="1"/>
    <col min="248" max="249" width="4.703125" customWidth="1"/>
    <col min="250" max="252" width="7.703125" customWidth="1"/>
    <col min="253" max="254" width="4.703125" customWidth="1"/>
    <col min="255" max="255" width="6.703125" customWidth="1"/>
    <col min="256" max="256" width="4.703125" customWidth="1"/>
    <col min="257" max="257" width="7.703125" customWidth="1"/>
    <col min="258" max="258" width="4.703125" customWidth="1"/>
    <col min="259" max="260" width="6.703125" customWidth="1"/>
    <col min="261" max="261" width="4.703125" customWidth="1"/>
    <col min="262" max="262" width="7.703125" customWidth="1"/>
    <col min="263" max="263" width="4.703125" customWidth="1"/>
    <col min="264" max="265" width="6.703125" customWidth="1"/>
    <col min="266" max="266" width="8.703125" customWidth="1"/>
    <col min="267" max="269" width="7.703125" customWidth="1"/>
    <col min="270" max="270" width="5.703125" customWidth="1"/>
    <col min="271" max="271" width="7.703125" customWidth="1"/>
    <col min="272" max="274" width="5.703125" customWidth="1"/>
    <col min="275" max="275" width="7.703125" customWidth="1"/>
    <col min="276" max="276" width="5.703125" customWidth="1"/>
    <col min="277" max="277" width="8.703125" customWidth="1"/>
    <col min="278" max="279" width="7.703125" customWidth="1"/>
    <col min="280" max="280" width="5.703125" customWidth="1"/>
    <col min="281" max="281" width="7.703125" customWidth="1"/>
    <col min="282" max="282" width="5.703125" customWidth="1"/>
    <col min="283" max="285" width="7.703125" customWidth="1"/>
    <col min="286" max="287" width="5.703125" customWidth="1"/>
    <col min="288" max="288" width="8.703125" customWidth="1"/>
    <col min="289" max="289" width="7.703125" customWidth="1"/>
    <col min="290" max="290" width="8.703125" customWidth="1"/>
    <col min="291" max="292" width="7.703125" customWidth="1"/>
    <col min="293" max="293" width="8.703125" customWidth="1"/>
    <col min="294" max="294" width="5.703125" customWidth="1"/>
    <col min="295" max="295" width="7.703125" customWidth="1"/>
    <col min="296" max="297" width="8.703125" customWidth="1"/>
    <col min="298" max="298" width="7.703125" customWidth="1"/>
    <col min="299" max="300" width="5.703125" customWidth="1"/>
    <col min="301" max="301" width="7.703125" customWidth="1"/>
    <col min="302" max="302" width="5.703125" customWidth="1"/>
    <col min="303" max="303" width="7.703125" customWidth="1"/>
    <col min="304" max="304" width="5.703125" customWidth="1"/>
    <col min="305" max="305" width="7.703125" customWidth="1"/>
    <col min="306" max="307" width="5.703125" customWidth="1"/>
    <col min="308" max="308" width="7.703125" customWidth="1"/>
    <col min="309" max="309" width="5.703125" customWidth="1"/>
    <col min="310" max="310" width="8.703125" customWidth="1"/>
    <col min="311" max="311" width="5.703125" customWidth="1"/>
    <col min="312" max="315" width="8.703125" customWidth="1"/>
    <col min="316" max="316" width="12.1171875" customWidth="1"/>
    <col min="317" max="317" width="10.41015625" customWidth="1"/>
    <col min="318" max="319" width="7.234375" customWidth="1"/>
    <col min="320" max="320" width="6.234375" customWidth="1"/>
    <col min="321" max="321" width="3.234375" customWidth="1"/>
    <col min="322" max="322" width="6.234375" customWidth="1"/>
    <col min="323" max="323" width="5.234375" customWidth="1"/>
    <col min="324" max="325" width="4.703125" customWidth="1"/>
    <col min="326" max="326" width="1.703125" customWidth="1"/>
    <col min="327" max="327" width="4.703125" customWidth="1"/>
    <col min="328" max="328" width="1.703125" customWidth="1"/>
    <col min="329" max="330" width="4.703125" customWidth="1"/>
    <col min="331" max="331" width="2.703125" customWidth="1"/>
    <col min="332" max="342" width="5.703125" customWidth="1"/>
    <col min="343" max="343" width="2.703125" customWidth="1"/>
    <col min="344" max="348" width="5.703125" customWidth="1"/>
    <col min="349" max="349" width="2.703125" customWidth="1"/>
    <col min="350" max="351" width="5.703125" customWidth="1"/>
    <col min="352" max="352" width="4.703125" customWidth="1"/>
    <col min="353" max="356" width="5.703125" customWidth="1"/>
    <col min="357" max="357" width="2.703125" customWidth="1"/>
    <col min="358" max="365" width="5.703125" customWidth="1"/>
    <col min="366" max="366" width="2.703125" customWidth="1"/>
    <col min="367" max="376" width="5.703125" customWidth="1"/>
    <col min="377" max="377" width="2.703125" customWidth="1"/>
    <col min="378" max="380" width="5.703125" customWidth="1"/>
    <col min="381" max="381" width="4.703125" customWidth="1"/>
    <col min="382" max="382" width="5.703125" customWidth="1"/>
    <col min="383" max="383" width="4.703125" customWidth="1"/>
    <col min="384" max="385" width="5.703125" customWidth="1"/>
    <col min="386" max="386" width="4.703125" customWidth="1"/>
    <col min="387" max="387" width="5.703125" customWidth="1"/>
    <col min="388" max="388" width="2.703125" customWidth="1"/>
    <col min="389" max="391" width="5.703125" customWidth="1"/>
    <col min="392" max="392" width="2.703125" customWidth="1"/>
    <col min="393" max="399" width="5.703125" customWidth="1"/>
    <col min="400" max="404" width="6.703125" customWidth="1"/>
    <col min="405" max="405" width="3.703125" customWidth="1"/>
    <col min="406" max="410" width="6.703125" customWidth="1"/>
    <col min="411" max="411" width="3.703125" customWidth="1"/>
    <col min="412" max="416" width="6.703125" customWidth="1"/>
    <col min="417" max="417" width="3.703125" customWidth="1"/>
    <col min="418" max="426" width="6.703125" customWidth="1"/>
    <col min="427" max="427" width="3.703125" customWidth="1"/>
    <col min="428" max="433" width="6.703125" customWidth="1"/>
    <col min="434" max="435" width="5.703125" customWidth="1"/>
    <col min="436" max="437" width="6.703125" customWidth="1"/>
    <col min="438" max="438" width="5.703125" customWidth="1"/>
    <col min="439" max="452" width="6.703125" customWidth="1"/>
    <col min="453" max="453" width="5.703125" customWidth="1"/>
    <col min="454" max="455" width="6.703125" customWidth="1"/>
    <col min="456" max="456" width="3.703125" customWidth="1"/>
    <col min="457" max="464" width="6.703125" customWidth="1"/>
    <col min="465" max="465" width="5.703125" customWidth="1"/>
    <col min="466" max="466" width="6.703125" customWidth="1"/>
    <col min="467" max="468" width="3.703125" customWidth="1"/>
    <col min="469" max="469" width="6.703125" customWidth="1"/>
    <col min="470" max="470" width="5.703125" customWidth="1"/>
    <col min="471" max="472" width="6.703125" customWidth="1"/>
    <col min="473" max="476" width="3.703125" customWidth="1"/>
    <col min="477" max="478" width="6.703125" customWidth="1"/>
    <col min="479" max="479" width="3.703125" customWidth="1"/>
    <col min="480" max="480" width="6.703125" customWidth="1"/>
    <col min="481" max="481" width="3.703125" customWidth="1"/>
    <col min="482" max="482" width="6.703125" customWidth="1"/>
    <col min="483" max="483" width="3.703125" customWidth="1"/>
    <col min="484" max="484" width="5.703125" customWidth="1"/>
    <col min="485" max="486" width="6.703125" customWidth="1"/>
    <col min="487" max="487" width="3.703125" customWidth="1"/>
    <col min="488" max="488" width="6.703125" customWidth="1"/>
    <col min="489" max="489" width="3.703125" customWidth="1"/>
    <col min="490" max="491" width="6.703125" customWidth="1"/>
    <col min="492" max="492" width="5.703125" customWidth="1"/>
    <col min="493" max="494" width="6.703125" customWidth="1"/>
    <col min="495" max="495" width="3.703125" customWidth="1"/>
    <col min="496" max="498" width="6.703125" customWidth="1"/>
    <col min="499" max="499" width="3.703125" customWidth="1"/>
    <col min="500" max="503" width="6.703125" customWidth="1"/>
    <col min="504" max="504" width="5.703125" customWidth="1"/>
    <col min="505" max="516" width="6.703125" customWidth="1"/>
    <col min="517" max="517" width="7.703125" customWidth="1"/>
    <col min="518" max="518" width="4.703125" customWidth="1"/>
    <col min="519" max="521" width="7.703125" customWidth="1"/>
    <col min="522" max="522" width="4.703125" customWidth="1"/>
    <col min="523" max="523" width="6.703125" customWidth="1"/>
    <col min="524" max="529" width="7.703125" customWidth="1"/>
    <col min="530" max="530" width="6.703125" customWidth="1"/>
    <col min="531" max="533" width="7.703125" customWidth="1"/>
    <col min="534" max="534" width="4.703125" customWidth="1"/>
    <col min="535" max="535" width="6.703125" customWidth="1"/>
    <col min="536" max="536" width="4.703125" customWidth="1"/>
    <col min="537" max="537" width="7.703125" customWidth="1"/>
    <col min="538" max="538" width="6.703125" customWidth="1"/>
    <col min="539" max="539" width="7.703125" customWidth="1"/>
    <col min="540" max="540" width="4.703125" customWidth="1"/>
    <col min="541" max="541" width="7.703125" customWidth="1"/>
    <col min="542" max="542" width="4.703125" customWidth="1"/>
    <col min="543" max="546" width="7.703125" customWidth="1"/>
    <col min="547" max="547" width="6.703125" customWidth="1"/>
    <col min="548" max="551" width="7.703125" customWidth="1"/>
    <col min="552" max="552" width="4.703125" customWidth="1"/>
    <col min="553" max="558" width="7.703125" customWidth="1"/>
    <col min="559" max="559" width="4.703125" customWidth="1"/>
    <col min="560" max="560" width="6.703125" customWidth="1"/>
    <col min="561" max="562" width="7.703125" customWidth="1"/>
    <col min="563" max="563" width="6.703125" customWidth="1"/>
    <col min="564" max="575" width="7.703125" customWidth="1"/>
    <col min="576" max="577" width="6.703125" customWidth="1"/>
    <col min="578" max="578" width="7.703125" customWidth="1"/>
    <col min="579" max="579" width="8.703125" customWidth="1"/>
    <col min="580" max="580" width="5.703125" customWidth="1"/>
    <col min="581" max="581" width="8.703125" customWidth="1"/>
    <col min="582" max="582" width="13.234375" customWidth="1"/>
    <col min="583" max="583" width="8.1171875" customWidth="1"/>
    <col min="584" max="584" width="4.703125" customWidth="1"/>
    <col min="585" max="591" width="5.703125" customWidth="1"/>
    <col min="592" max="594" width="6.703125" customWidth="1"/>
    <col min="595" max="595" width="5.703125" customWidth="1"/>
    <col min="596" max="596" width="6.703125" customWidth="1"/>
    <col min="597" max="597" width="3.703125" customWidth="1"/>
    <col min="598" max="599" width="6.703125" customWidth="1"/>
    <col min="600" max="600" width="5.703125" customWidth="1"/>
    <col min="601" max="601" width="3.703125" customWidth="1"/>
    <col min="602" max="603" width="6.703125" customWidth="1"/>
    <col min="604" max="604" width="5.703125" customWidth="1"/>
    <col min="605" max="606" width="6.703125" customWidth="1"/>
    <col min="607" max="608" width="5.703125" customWidth="1"/>
    <col min="609" max="610" width="6.703125" customWidth="1"/>
    <col min="611" max="612" width="5.703125" customWidth="1"/>
    <col min="613" max="613" width="3.703125" customWidth="1"/>
    <col min="614" max="615" width="6.703125" customWidth="1"/>
    <col min="616" max="616" width="5.703125" customWidth="1"/>
    <col min="617" max="617" width="6.703125" customWidth="1"/>
    <col min="618" max="618" width="4.703125" customWidth="1"/>
    <col min="619" max="619" width="6.703125" customWidth="1"/>
    <col min="620" max="620" width="7.703125" customWidth="1"/>
    <col min="621" max="623" width="4.703125" customWidth="1"/>
    <col min="624" max="624" width="6.703125" customWidth="1"/>
    <col min="625" max="626" width="4.703125" customWidth="1"/>
    <col min="627" max="627" width="11" customWidth="1"/>
    <col min="628" max="628" width="10.703125" customWidth="1"/>
    <col min="629" max="629" width="12.41015625" customWidth="1"/>
    <col min="630" max="630" width="10.703125" customWidth="1"/>
    <col min="631" max="631" width="1.1171875" customWidth="1"/>
    <col min="632" max="632" width="9.703125" customWidth="1"/>
    <col min="633" max="633" width="11" customWidth="1"/>
    <col min="634" max="634" width="10.703125" customWidth="1"/>
    <col min="635" max="635" width="12.5859375" customWidth="1"/>
    <col min="636" max="636" width="15.703125" bestFit="1" customWidth="1"/>
    <col min="637" max="637" width="12.5859375" customWidth="1"/>
    <col min="638" max="638" width="15.703125" bestFit="1" customWidth="1"/>
    <col min="639" max="639" width="12.5859375" customWidth="1"/>
    <col min="640" max="640" width="15.703125" bestFit="1" customWidth="1"/>
    <col min="641" max="641" width="12.5859375" customWidth="1"/>
    <col min="642" max="642" width="15.703125" bestFit="1" customWidth="1"/>
    <col min="643" max="643" width="12.5859375" customWidth="1"/>
    <col min="644" max="644" width="15.703125" bestFit="1" customWidth="1"/>
    <col min="645" max="646" width="12.5859375" customWidth="1"/>
    <col min="647" max="647" width="15.703125" bestFit="1" customWidth="1"/>
    <col min="648" max="648" width="12.5859375" customWidth="1"/>
    <col min="649" max="649" width="15.703125" bestFit="1" customWidth="1"/>
    <col min="650" max="650" width="12.5859375" customWidth="1"/>
    <col min="651" max="651" width="15.703125" bestFit="1" customWidth="1"/>
    <col min="652" max="655" width="12.5859375" customWidth="1"/>
    <col min="656" max="656" width="15.703125" bestFit="1" customWidth="1"/>
    <col min="657" max="657" width="12.5859375" customWidth="1"/>
    <col min="658" max="658" width="15.703125" bestFit="1" customWidth="1"/>
    <col min="659" max="659" width="12.5859375" customWidth="1"/>
    <col min="660" max="660" width="15.703125" bestFit="1" customWidth="1"/>
    <col min="661" max="661" width="10.5859375" customWidth="1"/>
    <col min="662" max="662" width="13.703125" customWidth="1"/>
    <col min="663" max="665" width="12.5859375" customWidth="1"/>
    <col min="666" max="666" width="15.703125" bestFit="1" customWidth="1"/>
    <col min="667" max="668" width="12.5859375" customWidth="1"/>
    <col min="669" max="669" width="15.703125" bestFit="1" customWidth="1"/>
    <col min="670" max="670" width="12.5859375" customWidth="1"/>
    <col min="671" max="671" width="15.703125" bestFit="1" customWidth="1"/>
    <col min="672" max="673" width="12.5859375" customWidth="1"/>
    <col min="674" max="674" width="15.703125" bestFit="1" customWidth="1"/>
    <col min="675" max="675" width="12.5859375" customWidth="1"/>
    <col min="676" max="676" width="15.703125" bestFit="1" customWidth="1"/>
    <col min="677" max="679" width="12.5859375" customWidth="1"/>
    <col min="680" max="680" width="15.703125" bestFit="1" customWidth="1"/>
    <col min="681" max="681" width="12.5859375" customWidth="1"/>
    <col min="682" max="682" width="15.703125" bestFit="1" customWidth="1"/>
    <col min="683" max="683" width="12.5859375" customWidth="1"/>
    <col min="684" max="684" width="15.703125" bestFit="1" customWidth="1"/>
    <col min="685" max="686" width="12.5859375" customWidth="1"/>
    <col min="687" max="687" width="15.703125" bestFit="1" customWidth="1"/>
    <col min="688" max="688" width="12.5859375" customWidth="1"/>
    <col min="689" max="689" width="15.703125" bestFit="1" customWidth="1"/>
    <col min="690" max="691" width="12.5859375" customWidth="1"/>
    <col min="692" max="692" width="15.703125" bestFit="1" customWidth="1"/>
    <col min="693" max="695" width="12.5859375" customWidth="1"/>
    <col min="696" max="696" width="15.703125" bestFit="1" customWidth="1"/>
    <col min="697" max="697" width="12.5859375" customWidth="1"/>
    <col min="698" max="698" width="15.703125" bestFit="1" customWidth="1"/>
    <col min="699" max="699" width="12.5859375" customWidth="1"/>
    <col min="700" max="700" width="15.703125" bestFit="1" customWidth="1"/>
    <col min="701" max="701" width="12.5859375" customWidth="1"/>
    <col min="702" max="702" width="15.703125" bestFit="1" customWidth="1"/>
    <col min="703" max="703" width="10.5859375" customWidth="1"/>
    <col min="704" max="704" width="13.703125" customWidth="1"/>
    <col min="705" max="707" width="12.5859375" customWidth="1"/>
    <col min="708" max="708" width="15.703125" bestFit="1" customWidth="1"/>
    <col min="709" max="710" width="12.5859375" customWidth="1"/>
    <col min="711" max="711" width="15.703125" bestFit="1" customWidth="1"/>
    <col min="712" max="712" width="12.5859375" customWidth="1"/>
    <col min="713" max="713" width="15.703125" bestFit="1" customWidth="1"/>
    <col min="714" max="714" width="12.5859375" customWidth="1"/>
    <col min="715" max="715" width="15.703125" bestFit="1" customWidth="1"/>
    <col min="716" max="716" width="12.5859375" customWidth="1"/>
    <col min="717" max="717" width="15.703125" bestFit="1" customWidth="1"/>
    <col min="718" max="718" width="12.5859375" customWidth="1"/>
    <col min="719" max="719" width="15.703125" bestFit="1" customWidth="1"/>
    <col min="720" max="721" width="12.5859375" customWidth="1"/>
    <col min="722" max="722" width="15.703125" bestFit="1" customWidth="1"/>
    <col min="723" max="723" width="12.5859375" customWidth="1"/>
    <col min="724" max="724" width="15.703125" bestFit="1" customWidth="1"/>
    <col min="725" max="726" width="12.5859375" customWidth="1"/>
    <col min="727" max="727" width="15.703125" bestFit="1" customWidth="1"/>
    <col min="728" max="729" width="12.5859375" customWidth="1"/>
    <col min="730" max="730" width="15.703125" bestFit="1" customWidth="1"/>
    <col min="731" max="734" width="12.5859375" customWidth="1"/>
    <col min="735" max="735" width="15.703125" bestFit="1" customWidth="1"/>
    <col min="736" max="736" width="12.5859375" customWidth="1"/>
    <col min="737" max="737" width="15.703125" bestFit="1" customWidth="1"/>
    <col min="738" max="738" width="12.5859375" customWidth="1"/>
    <col min="739" max="739" width="15.703125" bestFit="1" customWidth="1"/>
    <col min="740" max="740" width="12.5859375" customWidth="1"/>
    <col min="741" max="741" width="15.703125" bestFit="1" customWidth="1"/>
    <col min="742" max="742" width="12.5859375" customWidth="1"/>
    <col min="743" max="743" width="15.703125" bestFit="1" customWidth="1"/>
    <col min="744" max="745" width="12.5859375" customWidth="1"/>
    <col min="746" max="746" width="15.703125" bestFit="1" customWidth="1"/>
    <col min="747" max="747" width="11.5859375" customWidth="1"/>
    <col min="748" max="748" width="14.703125" bestFit="1" customWidth="1"/>
    <col min="749" max="749" width="11.5859375" customWidth="1"/>
    <col min="750" max="750" width="14.703125" bestFit="1" customWidth="1"/>
    <col min="751" max="751" width="11.5859375" customWidth="1"/>
    <col min="752" max="752" width="14.703125" bestFit="1" customWidth="1"/>
    <col min="753" max="753" width="11.5859375" customWidth="1"/>
    <col min="754" max="754" width="14.703125" bestFit="1" customWidth="1"/>
    <col min="755" max="757" width="11.5859375" customWidth="1"/>
    <col min="758" max="758" width="14.703125" bestFit="1" customWidth="1"/>
    <col min="759" max="762" width="11.5859375" customWidth="1"/>
    <col min="763" max="763" width="14.703125" bestFit="1" customWidth="1"/>
    <col min="764" max="764" width="12.5859375" customWidth="1"/>
    <col min="765" max="765" width="15.703125" bestFit="1" customWidth="1"/>
    <col min="766" max="767" width="12.5859375" customWidth="1"/>
    <col min="768" max="768" width="15.703125" bestFit="1" customWidth="1"/>
    <col min="769" max="769" width="12.5859375" customWidth="1"/>
    <col min="770" max="770" width="15.703125" bestFit="1" customWidth="1"/>
    <col min="771" max="771" width="12.5859375" customWidth="1"/>
    <col min="772" max="772" width="15.703125" bestFit="1" customWidth="1"/>
    <col min="773" max="773" width="12.5859375" customWidth="1"/>
    <col min="774" max="774" width="15.703125" bestFit="1" customWidth="1"/>
    <col min="775" max="775" width="12.5859375" customWidth="1"/>
    <col min="776" max="776" width="15.703125" bestFit="1" customWidth="1"/>
    <col min="777" max="777" width="12.5859375" customWidth="1"/>
    <col min="778" max="778" width="15.703125" bestFit="1" customWidth="1"/>
    <col min="779" max="779" width="12.5859375" customWidth="1"/>
    <col min="780" max="780" width="15.703125" bestFit="1" customWidth="1"/>
    <col min="781" max="782" width="12.5859375" customWidth="1"/>
    <col min="783" max="783" width="15.703125" bestFit="1" customWidth="1"/>
    <col min="784" max="784" width="12.5859375" customWidth="1"/>
    <col min="785" max="785" width="15.703125" bestFit="1" customWidth="1"/>
    <col min="786" max="786" width="12.5859375" customWidth="1"/>
    <col min="787" max="787" width="15.703125" bestFit="1" customWidth="1"/>
    <col min="788" max="788" width="12.5859375" customWidth="1"/>
    <col min="789" max="789" width="15.703125" bestFit="1" customWidth="1"/>
    <col min="790" max="792" width="12.5859375" customWidth="1"/>
    <col min="793" max="793" width="15.703125" bestFit="1" customWidth="1"/>
    <col min="794" max="794" width="12.5859375" customWidth="1"/>
    <col min="795" max="795" width="15.703125" bestFit="1" customWidth="1"/>
    <col min="796" max="796" width="12.5859375" customWidth="1"/>
    <col min="797" max="797" width="15.703125" bestFit="1" customWidth="1"/>
    <col min="798" max="798" width="12.5859375" customWidth="1"/>
    <col min="799" max="799" width="15.703125" bestFit="1" customWidth="1"/>
    <col min="800" max="800" width="12.5859375" customWidth="1"/>
    <col min="801" max="801" width="15.703125" bestFit="1" customWidth="1"/>
    <col min="802" max="803" width="12.5859375" customWidth="1"/>
    <col min="804" max="804" width="15.703125" bestFit="1" customWidth="1"/>
    <col min="805" max="805" width="12.5859375" customWidth="1"/>
    <col min="806" max="806" width="15.703125" bestFit="1" customWidth="1"/>
    <col min="807" max="809" width="12.5859375" customWidth="1"/>
    <col min="810" max="810" width="15.703125" bestFit="1" customWidth="1"/>
    <col min="811" max="813" width="12.5859375" customWidth="1"/>
    <col min="814" max="814" width="15.703125" bestFit="1" customWidth="1"/>
    <col min="815" max="816" width="12.5859375" customWidth="1"/>
    <col min="817" max="817" width="15.703125" bestFit="1" customWidth="1"/>
    <col min="818" max="820" width="12.5859375" customWidth="1"/>
    <col min="821" max="821" width="15.703125" bestFit="1" customWidth="1"/>
    <col min="822" max="822" width="12.5859375" customWidth="1"/>
    <col min="823" max="823" width="15.703125" bestFit="1" customWidth="1"/>
    <col min="824" max="824" width="12.5859375" customWidth="1"/>
    <col min="825" max="825" width="15.703125" bestFit="1" customWidth="1"/>
    <col min="826" max="826" width="12.5859375" customWidth="1"/>
    <col min="827" max="827" width="15.703125" bestFit="1" customWidth="1"/>
    <col min="828" max="828" width="12.5859375" customWidth="1"/>
    <col min="829" max="829" width="15.703125" bestFit="1" customWidth="1"/>
    <col min="830" max="830" width="12.5859375" customWidth="1"/>
    <col min="831" max="831" width="15.703125" bestFit="1" customWidth="1"/>
    <col min="832" max="833" width="12.5859375" customWidth="1"/>
    <col min="834" max="834" width="15.703125" bestFit="1" customWidth="1"/>
    <col min="835" max="835" width="12.5859375" customWidth="1"/>
    <col min="836" max="836" width="15.703125" bestFit="1" customWidth="1"/>
    <col min="837" max="838" width="12.5859375" customWidth="1"/>
    <col min="839" max="839" width="15.703125" bestFit="1" customWidth="1"/>
    <col min="840" max="843" width="12.5859375" customWidth="1"/>
    <col min="844" max="844" width="15.703125" bestFit="1" customWidth="1"/>
    <col min="845" max="846" width="12.5859375" customWidth="1"/>
    <col min="847" max="847" width="15.703125" bestFit="1" customWidth="1"/>
    <col min="848" max="849" width="12.5859375" customWidth="1"/>
    <col min="850" max="850" width="15.703125" bestFit="1" customWidth="1"/>
    <col min="851" max="852" width="12.5859375" customWidth="1"/>
    <col min="853" max="853" width="15.703125" bestFit="1" customWidth="1"/>
    <col min="854" max="855" width="12.5859375" customWidth="1"/>
    <col min="856" max="856" width="15.703125" bestFit="1" customWidth="1"/>
    <col min="857" max="860" width="12.5859375" customWidth="1"/>
    <col min="861" max="861" width="15.703125" bestFit="1" customWidth="1"/>
    <col min="862" max="863" width="12.5859375" customWidth="1"/>
    <col min="864" max="864" width="15.703125" bestFit="1" customWidth="1"/>
    <col min="865" max="865" width="12.5859375" customWidth="1"/>
    <col min="866" max="866" width="15.703125" bestFit="1" customWidth="1"/>
    <col min="867" max="869" width="12.5859375" customWidth="1"/>
    <col min="870" max="870" width="15.703125" bestFit="1" customWidth="1"/>
    <col min="871" max="871" width="12.5859375" customWidth="1"/>
    <col min="872" max="872" width="15.703125" bestFit="1" customWidth="1"/>
    <col min="873" max="874" width="12.5859375" customWidth="1"/>
    <col min="875" max="875" width="15.703125" bestFit="1" customWidth="1"/>
    <col min="876" max="877" width="12.5859375" customWidth="1"/>
    <col min="878" max="878" width="15.703125" bestFit="1" customWidth="1"/>
    <col min="879" max="880" width="12.5859375" customWidth="1"/>
    <col min="881" max="881" width="15.703125" bestFit="1" customWidth="1"/>
    <col min="882" max="884" width="12.5859375" customWidth="1"/>
    <col min="885" max="885" width="15.703125" bestFit="1" customWidth="1"/>
    <col min="886" max="886" width="12.5859375" customWidth="1"/>
    <col min="887" max="887" width="15.703125" bestFit="1" customWidth="1"/>
    <col min="888" max="888" width="12.5859375" customWidth="1"/>
    <col min="889" max="889" width="15.703125" bestFit="1" customWidth="1"/>
    <col min="890" max="892" width="12.5859375" customWidth="1"/>
    <col min="893" max="893" width="15.703125" bestFit="1" customWidth="1"/>
    <col min="894" max="894" width="12.5859375" customWidth="1"/>
    <col min="895" max="895" width="15.703125" bestFit="1" customWidth="1"/>
    <col min="896" max="897" width="12.5859375" customWidth="1"/>
    <col min="898" max="898" width="15.703125" bestFit="1" customWidth="1"/>
    <col min="899" max="901" width="12.5859375" customWidth="1"/>
    <col min="902" max="902" width="15.703125" bestFit="1" customWidth="1"/>
    <col min="903" max="904" width="12.5859375" customWidth="1"/>
    <col min="905" max="905" width="15.703125" bestFit="1" customWidth="1"/>
    <col min="906" max="908" width="12.5859375" customWidth="1"/>
    <col min="909" max="909" width="15.703125" bestFit="1" customWidth="1"/>
    <col min="910" max="910" width="12.5859375" customWidth="1"/>
    <col min="911" max="911" width="15.703125" bestFit="1" customWidth="1"/>
    <col min="912" max="912" width="12.5859375" customWidth="1"/>
    <col min="913" max="913" width="15.703125" bestFit="1" customWidth="1"/>
    <col min="914" max="916" width="12.5859375" customWidth="1"/>
    <col min="917" max="917" width="15.703125" bestFit="1" customWidth="1"/>
    <col min="918" max="919" width="12.5859375" customWidth="1"/>
    <col min="920" max="920" width="15.703125" bestFit="1" customWidth="1"/>
    <col min="921" max="921" width="12.5859375" customWidth="1"/>
    <col min="922" max="922" width="15.703125" bestFit="1" customWidth="1"/>
    <col min="923" max="924" width="12.5859375" customWidth="1"/>
    <col min="925" max="925" width="15.703125" bestFit="1" customWidth="1"/>
    <col min="926" max="926" width="12.5859375" customWidth="1"/>
    <col min="927" max="927" width="15.703125" bestFit="1" customWidth="1"/>
    <col min="928" max="929" width="12.5859375" customWidth="1"/>
    <col min="930" max="930" width="15.703125" bestFit="1" customWidth="1"/>
    <col min="931" max="932" width="12.5859375" customWidth="1"/>
    <col min="933" max="933" width="15.703125" bestFit="1" customWidth="1"/>
    <col min="934" max="934" width="12.5859375" customWidth="1"/>
    <col min="935" max="935" width="15.703125" bestFit="1" customWidth="1"/>
    <col min="936" max="937" width="12.5859375" customWidth="1"/>
    <col min="938" max="938" width="15.703125" bestFit="1" customWidth="1"/>
    <col min="939" max="939" width="12.5859375" customWidth="1"/>
    <col min="940" max="940" width="15.703125" bestFit="1" customWidth="1"/>
    <col min="941" max="941" width="12.5859375" customWidth="1"/>
    <col min="942" max="942" width="15.703125" bestFit="1" customWidth="1"/>
    <col min="943" max="944" width="12.5859375" customWidth="1"/>
    <col min="945" max="945" width="15.703125" bestFit="1" customWidth="1"/>
    <col min="946" max="947" width="11.5859375" customWidth="1"/>
    <col min="948" max="948" width="14.703125" bestFit="1" customWidth="1"/>
    <col min="949" max="950" width="11.5859375" customWidth="1"/>
    <col min="951" max="951" width="14.703125" bestFit="1" customWidth="1"/>
    <col min="952" max="954" width="11.5859375" customWidth="1"/>
    <col min="955" max="955" width="14.703125" bestFit="1" customWidth="1"/>
    <col min="956" max="956" width="11.5859375" customWidth="1"/>
    <col min="957" max="957" width="14.703125" bestFit="1" customWidth="1"/>
    <col min="958" max="958" width="11.5859375" customWidth="1"/>
    <col min="959" max="959" width="14.703125" bestFit="1" customWidth="1"/>
    <col min="960" max="960" width="11.5859375" customWidth="1"/>
    <col min="961" max="961" width="14.703125" bestFit="1" customWidth="1"/>
    <col min="962" max="964" width="12.5859375" customWidth="1"/>
    <col min="965" max="965" width="15.703125" bestFit="1" customWidth="1"/>
    <col min="966" max="966" width="12.5859375" customWidth="1"/>
    <col min="967" max="967" width="15.703125" bestFit="1" customWidth="1"/>
    <col min="968" max="968" width="12.5859375" customWidth="1"/>
    <col min="969" max="969" width="15.703125" bestFit="1" customWidth="1"/>
    <col min="970" max="971" width="12.5859375" customWidth="1"/>
    <col min="972" max="972" width="15.703125" bestFit="1" customWidth="1"/>
    <col min="973" max="973" width="12.5859375" customWidth="1"/>
    <col min="974" max="974" width="15.703125" bestFit="1" customWidth="1"/>
    <col min="975" max="976" width="12.5859375" customWidth="1"/>
    <col min="977" max="977" width="15.703125" bestFit="1" customWidth="1"/>
    <col min="978" max="978" width="12.5859375" customWidth="1"/>
    <col min="979" max="979" width="15.703125" bestFit="1" customWidth="1"/>
    <col min="980" max="980" width="11.5859375" customWidth="1"/>
    <col min="981" max="981" width="14.703125" bestFit="1" customWidth="1"/>
    <col min="982" max="982" width="12.5859375" customWidth="1"/>
    <col min="983" max="983" width="15.703125" bestFit="1" customWidth="1"/>
    <col min="984" max="984" width="12.5859375" customWidth="1"/>
    <col min="985" max="985" width="15.703125" bestFit="1" customWidth="1"/>
    <col min="986" max="987" width="12.5859375" customWidth="1"/>
    <col min="988" max="988" width="15.703125" bestFit="1" customWidth="1"/>
    <col min="989" max="989" width="12.5859375" customWidth="1"/>
    <col min="990" max="990" width="15.703125" bestFit="1" customWidth="1"/>
    <col min="991" max="991" width="11.5859375" customWidth="1"/>
    <col min="992" max="992" width="14.703125" bestFit="1" customWidth="1"/>
    <col min="993" max="995" width="11.5859375" customWidth="1"/>
    <col min="996" max="996" width="14.703125" bestFit="1" customWidth="1"/>
    <col min="997" max="997" width="11.5859375" customWidth="1"/>
    <col min="998" max="998" width="14.703125" bestFit="1" customWidth="1"/>
    <col min="999" max="999" width="11.5859375" customWidth="1"/>
    <col min="1000" max="1000" width="14.703125" bestFit="1" customWidth="1"/>
    <col min="1001" max="1003" width="11.5859375" customWidth="1"/>
    <col min="1004" max="1004" width="14.703125" bestFit="1" customWidth="1"/>
    <col min="1005" max="1005" width="11.5859375" customWidth="1"/>
    <col min="1006" max="1006" width="14.703125" bestFit="1" customWidth="1"/>
    <col min="1007" max="1007" width="11.5859375" customWidth="1"/>
    <col min="1008" max="1008" width="14.703125" bestFit="1" customWidth="1"/>
    <col min="1009" max="1010" width="11.5859375" customWidth="1"/>
    <col min="1011" max="1011" width="14.703125" bestFit="1" customWidth="1"/>
    <col min="1012" max="1012" width="11.5859375" customWidth="1"/>
    <col min="1013" max="1013" width="14.703125" bestFit="1" customWidth="1"/>
    <col min="1014" max="1015" width="11.5859375" customWidth="1"/>
    <col min="1016" max="1016" width="14.703125" bestFit="1" customWidth="1"/>
    <col min="1017" max="1019" width="11.5859375" customWidth="1"/>
    <col min="1020" max="1020" width="14.703125" bestFit="1" customWidth="1"/>
    <col min="1021" max="1021" width="11.5859375" customWidth="1"/>
    <col min="1022" max="1022" width="14.703125" bestFit="1" customWidth="1"/>
    <col min="1023" max="1023" width="11.5859375" customWidth="1"/>
    <col min="1024" max="1024" width="14.703125" bestFit="1" customWidth="1"/>
    <col min="1025" max="1026" width="11.5859375" customWidth="1"/>
    <col min="1027" max="1027" width="14.703125" bestFit="1" customWidth="1"/>
    <col min="1028" max="1028" width="11.5859375" customWidth="1"/>
    <col min="1029" max="1029" width="14.703125" bestFit="1" customWidth="1"/>
    <col min="1030" max="1030" width="11.5859375" customWidth="1"/>
    <col min="1031" max="1031" width="14.703125" bestFit="1" customWidth="1"/>
    <col min="1032" max="1032" width="11.5859375" customWidth="1"/>
    <col min="1033" max="1033" width="14.703125" bestFit="1" customWidth="1"/>
    <col min="1034" max="1034" width="11.5859375" customWidth="1"/>
    <col min="1035" max="1035" width="14.703125" bestFit="1" customWidth="1"/>
    <col min="1036" max="1036" width="11.5859375" customWidth="1"/>
    <col min="1037" max="1037" width="14.703125" bestFit="1" customWidth="1"/>
    <col min="1038" max="1038" width="11.5859375" customWidth="1"/>
    <col min="1039" max="1039" width="14.703125" bestFit="1" customWidth="1"/>
    <col min="1040" max="1040" width="11.5859375" customWidth="1"/>
    <col min="1041" max="1041" width="14.703125" bestFit="1" customWidth="1"/>
    <col min="1042" max="1043" width="11.5859375" customWidth="1"/>
    <col min="1044" max="1044" width="14.703125" bestFit="1" customWidth="1"/>
    <col min="1045" max="1045" width="11.5859375" customWidth="1"/>
    <col min="1046" max="1046" width="14.703125" bestFit="1" customWidth="1"/>
    <col min="1047" max="1047" width="9.703125" customWidth="1"/>
    <col min="1048" max="1048" width="12.5859375" customWidth="1"/>
    <col min="1049" max="1049" width="11.5859375" customWidth="1"/>
    <col min="1050" max="1050" width="14.703125" bestFit="1" customWidth="1"/>
    <col min="1051" max="1051" width="11.5859375" customWidth="1"/>
    <col min="1052" max="1052" width="14.703125" bestFit="1" customWidth="1"/>
    <col min="1053" max="1053" width="11.5859375" customWidth="1"/>
    <col min="1054" max="1054" width="14.703125" bestFit="1" customWidth="1"/>
    <col min="1055" max="1056" width="11.5859375" customWidth="1"/>
    <col min="1057" max="1057" width="14.703125" bestFit="1" customWidth="1"/>
    <col min="1058" max="1061" width="11.5859375" customWidth="1"/>
    <col min="1062" max="1062" width="14.703125" bestFit="1" customWidth="1"/>
    <col min="1063" max="1063" width="11.5859375" customWidth="1"/>
    <col min="1064" max="1064" width="14.703125" bestFit="1" customWidth="1"/>
    <col min="1065" max="1065" width="11.5859375" customWidth="1"/>
    <col min="1066" max="1066" width="14.703125" bestFit="1" customWidth="1"/>
    <col min="1067" max="1067" width="11.5859375" customWidth="1"/>
    <col min="1068" max="1068" width="14.703125" bestFit="1" customWidth="1"/>
    <col min="1069" max="1069" width="9.1171875" customWidth="1"/>
    <col min="1070" max="1070" width="12.1171875" customWidth="1"/>
    <col min="1071" max="1071" width="17.5859375" bestFit="1" customWidth="1"/>
    <col min="1072" max="1072" width="19.5859375" bestFit="1" customWidth="1"/>
  </cols>
  <sheetData>
    <row r="1" spans="1:21" s="29" customFormat="1" ht="30" customHeight="1">
      <c r="A1" s="533" t="s">
        <v>19</v>
      </c>
      <c r="B1" s="32" t="s">
        <v>20</v>
      </c>
      <c r="C1" s="267" t="s">
        <v>21</v>
      </c>
      <c r="D1" s="32" t="s">
        <v>26</v>
      </c>
      <c r="E1" s="681" t="s">
        <v>644</v>
      </c>
      <c r="F1" s="32" t="s">
        <v>31</v>
      </c>
      <c r="G1" s="32" t="s">
        <v>22</v>
      </c>
      <c r="H1" s="32" t="s">
        <v>49</v>
      </c>
      <c r="I1" s="267" t="s">
        <v>23</v>
      </c>
      <c r="J1" s="309" t="s">
        <v>24</v>
      </c>
      <c r="K1" s="33" t="s">
        <v>51</v>
      </c>
      <c r="L1" s="276" t="s">
        <v>25</v>
      </c>
      <c r="M1" s="310" t="s">
        <v>738</v>
      </c>
      <c r="N1" s="311" t="s">
        <v>177</v>
      </c>
      <c r="R1" s="146"/>
      <c r="U1" s="146"/>
    </row>
    <row r="2" spans="1:21" ht="13.5" customHeight="1">
      <c r="A2" s="157" t="s">
        <v>1368</v>
      </c>
      <c r="B2" s="156" t="s">
        <v>1580</v>
      </c>
      <c r="C2" s="207" t="s">
        <v>1370</v>
      </c>
      <c r="D2" s="208" t="s">
        <v>17</v>
      </c>
      <c r="E2" s="208" t="s">
        <v>1674</v>
      </c>
      <c r="F2" s="157" t="s">
        <v>1734</v>
      </c>
      <c r="G2" s="185">
        <v>42917</v>
      </c>
      <c r="H2" s="524" t="str">
        <f t="shared" ref="H2:H33" si="0">TEXT(G2,"mmm-yy")</f>
        <v>Jul-17</v>
      </c>
      <c r="I2" s="207" t="s">
        <v>1369</v>
      </c>
      <c r="J2" s="288">
        <v>-2247.4299999999998</v>
      </c>
      <c r="K2" s="157"/>
      <c r="L2" s="307"/>
    </row>
    <row r="3" spans="1:21" ht="13.5" customHeight="1">
      <c r="A3" s="157" t="s">
        <v>1368</v>
      </c>
      <c r="B3" s="156" t="s">
        <v>1580</v>
      </c>
      <c r="C3" s="207" t="s">
        <v>1372</v>
      </c>
      <c r="D3" s="208" t="s">
        <v>17</v>
      </c>
      <c r="E3" s="208" t="s">
        <v>1675</v>
      </c>
      <c r="F3" s="157" t="s">
        <v>1732</v>
      </c>
      <c r="G3" s="185">
        <v>42917</v>
      </c>
      <c r="H3" s="524" t="str">
        <f t="shared" si="0"/>
        <v>Jul-17</v>
      </c>
      <c r="I3" s="207" t="s">
        <v>1371</v>
      </c>
      <c r="J3" s="288">
        <v>-0.06</v>
      </c>
      <c r="K3" s="157"/>
      <c r="L3" s="307"/>
    </row>
    <row r="4" spans="1:21" ht="13.5" customHeight="1">
      <c r="A4" s="157" t="s">
        <v>1368</v>
      </c>
      <c r="B4" s="156" t="s">
        <v>1580</v>
      </c>
      <c r="C4" s="207" t="s">
        <v>1374</v>
      </c>
      <c r="D4" s="208" t="s">
        <v>17</v>
      </c>
      <c r="E4" s="208" t="s">
        <v>1673</v>
      </c>
      <c r="F4" s="157" t="s">
        <v>1733</v>
      </c>
      <c r="G4" s="185">
        <v>42917</v>
      </c>
      <c r="H4" s="524" t="str">
        <f t="shared" si="0"/>
        <v>Jul-17</v>
      </c>
      <c r="I4" s="207" t="s">
        <v>1373</v>
      </c>
      <c r="J4" s="288">
        <v>-2</v>
      </c>
      <c r="K4" s="157"/>
      <c r="L4" s="307"/>
    </row>
    <row r="5" spans="1:21" ht="13.5" customHeight="1">
      <c r="A5" s="157" t="s">
        <v>1375</v>
      </c>
      <c r="B5" s="156" t="s">
        <v>1580</v>
      </c>
      <c r="C5" s="207" t="s">
        <v>1376</v>
      </c>
      <c r="D5" s="208" t="s">
        <v>332</v>
      </c>
      <c r="E5" s="208" t="s">
        <v>910</v>
      </c>
      <c r="F5" s="157" t="s">
        <v>1719</v>
      </c>
      <c r="G5" s="185">
        <v>42947</v>
      </c>
      <c r="H5" s="524" t="str">
        <f t="shared" si="0"/>
        <v>Jul-17</v>
      </c>
      <c r="I5" s="207" t="s">
        <v>1579</v>
      </c>
      <c r="J5" s="288">
        <f t="shared" ref="J5:J15" si="1">197.98/11</f>
        <v>17.998181818181816</v>
      </c>
      <c r="K5" s="157"/>
      <c r="L5" s="307"/>
    </row>
    <row r="6" spans="1:21" s="600" customFormat="1" ht="13.5" customHeight="1">
      <c r="A6" s="157" t="s">
        <v>1375</v>
      </c>
      <c r="B6" s="156" t="s">
        <v>1580</v>
      </c>
      <c r="C6" s="207" t="s">
        <v>1376</v>
      </c>
      <c r="D6" s="208" t="s">
        <v>332</v>
      </c>
      <c r="E6" s="208" t="s">
        <v>910</v>
      </c>
      <c r="F6" s="157" t="s">
        <v>1720</v>
      </c>
      <c r="G6" s="185">
        <v>42947</v>
      </c>
      <c r="H6" s="524" t="str">
        <f t="shared" si="0"/>
        <v>Jul-17</v>
      </c>
      <c r="I6" s="207" t="s">
        <v>1579</v>
      </c>
      <c r="J6" s="288">
        <f t="shared" si="1"/>
        <v>17.998181818181816</v>
      </c>
      <c r="K6" s="157"/>
      <c r="L6" s="307"/>
      <c r="M6" s="295"/>
      <c r="N6" s="217"/>
      <c r="R6" s="22"/>
      <c r="T6" s="47"/>
    </row>
    <row r="7" spans="1:21" s="600" customFormat="1" ht="13.5" customHeight="1">
      <c r="A7" s="157" t="s">
        <v>1375</v>
      </c>
      <c r="B7" s="156" t="s">
        <v>1580</v>
      </c>
      <c r="C7" s="207" t="s">
        <v>1376</v>
      </c>
      <c r="D7" s="208" t="s">
        <v>332</v>
      </c>
      <c r="E7" s="208" t="s">
        <v>910</v>
      </c>
      <c r="F7" s="157" t="s">
        <v>1721</v>
      </c>
      <c r="G7" s="185">
        <v>42947</v>
      </c>
      <c r="H7" s="524" t="str">
        <f t="shared" si="0"/>
        <v>Jul-17</v>
      </c>
      <c r="I7" s="207" t="s">
        <v>1579</v>
      </c>
      <c r="J7" s="288">
        <f t="shared" si="1"/>
        <v>17.998181818181816</v>
      </c>
      <c r="K7" s="157"/>
      <c r="L7" s="307"/>
      <c r="M7" s="295"/>
      <c r="N7" s="217"/>
      <c r="R7" s="22"/>
      <c r="T7" s="47"/>
    </row>
    <row r="8" spans="1:21" s="600" customFormat="1" ht="13.5" customHeight="1">
      <c r="A8" s="157" t="s">
        <v>1375</v>
      </c>
      <c r="B8" s="156" t="s">
        <v>1580</v>
      </c>
      <c r="C8" s="207" t="s">
        <v>1376</v>
      </c>
      <c r="D8" s="208" t="s">
        <v>332</v>
      </c>
      <c r="E8" s="208" t="s">
        <v>1668</v>
      </c>
      <c r="F8" s="157" t="s">
        <v>1722</v>
      </c>
      <c r="G8" s="185">
        <v>42947</v>
      </c>
      <c r="H8" s="524" t="str">
        <f t="shared" si="0"/>
        <v>Jul-17</v>
      </c>
      <c r="I8" s="207" t="s">
        <v>1579</v>
      </c>
      <c r="J8" s="288">
        <f t="shared" si="1"/>
        <v>17.998181818181816</v>
      </c>
      <c r="K8" s="157"/>
      <c r="L8" s="307"/>
      <c r="M8" s="295"/>
      <c r="N8" s="217"/>
      <c r="R8" s="22"/>
      <c r="T8" s="47"/>
    </row>
    <row r="9" spans="1:21" s="600" customFormat="1" ht="13.5" customHeight="1">
      <c r="A9" s="157" t="s">
        <v>1375</v>
      </c>
      <c r="B9" s="156" t="s">
        <v>1580</v>
      </c>
      <c r="C9" s="207" t="s">
        <v>1376</v>
      </c>
      <c r="D9" s="208" t="s">
        <v>332</v>
      </c>
      <c r="E9" s="208" t="s">
        <v>1668</v>
      </c>
      <c r="F9" s="157" t="s">
        <v>1723</v>
      </c>
      <c r="G9" s="185">
        <v>42947</v>
      </c>
      <c r="H9" s="524" t="str">
        <f t="shared" si="0"/>
        <v>Jul-17</v>
      </c>
      <c r="I9" s="207" t="s">
        <v>1579</v>
      </c>
      <c r="J9" s="288">
        <f t="shared" si="1"/>
        <v>17.998181818181816</v>
      </c>
      <c r="K9" s="157"/>
      <c r="L9" s="307"/>
      <c r="M9" s="295"/>
      <c r="N9" s="217"/>
      <c r="R9" s="22"/>
      <c r="T9" s="47"/>
    </row>
    <row r="10" spans="1:21" s="600" customFormat="1" ht="13.5" customHeight="1">
      <c r="A10" s="157" t="s">
        <v>1375</v>
      </c>
      <c r="B10" s="156" t="s">
        <v>1580</v>
      </c>
      <c r="C10" s="207" t="s">
        <v>1376</v>
      </c>
      <c r="D10" s="208" t="s">
        <v>332</v>
      </c>
      <c r="E10" s="208" t="s">
        <v>910</v>
      </c>
      <c r="F10" s="157" t="s">
        <v>1724</v>
      </c>
      <c r="G10" s="185">
        <v>42947</v>
      </c>
      <c r="H10" s="524" t="str">
        <f t="shared" si="0"/>
        <v>Jul-17</v>
      </c>
      <c r="I10" s="207" t="s">
        <v>1579</v>
      </c>
      <c r="J10" s="288">
        <f t="shared" si="1"/>
        <v>17.998181818181816</v>
      </c>
      <c r="K10" s="157"/>
      <c r="L10" s="307"/>
      <c r="M10" s="295"/>
      <c r="N10" s="217"/>
      <c r="R10" s="22"/>
      <c r="T10" s="47"/>
    </row>
    <row r="11" spans="1:21" s="600" customFormat="1" ht="13.5" customHeight="1">
      <c r="A11" s="157" t="s">
        <v>1375</v>
      </c>
      <c r="B11" s="156" t="s">
        <v>1580</v>
      </c>
      <c r="C11" s="207" t="s">
        <v>1376</v>
      </c>
      <c r="D11" s="208" t="s">
        <v>332</v>
      </c>
      <c r="E11" s="208" t="s">
        <v>910</v>
      </c>
      <c r="F11" s="157" t="s">
        <v>1725</v>
      </c>
      <c r="G11" s="185">
        <v>42947</v>
      </c>
      <c r="H11" s="524" t="str">
        <f t="shared" si="0"/>
        <v>Jul-17</v>
      </c>
      <c r="I11" s="207" t="s">
        <v>1579</v>
      </c>
      <c r="J11" s="288">
        <f t="shared" si="1"/>
        <v>17.998181818181816</v>
      </c>
      <c r="K11" s="157"/>
      <c r="L11" s="307"/>
      <c r="M11" s="295"/>
      <c r="N11" s="217"/>
      <c r="R11" s="22"/>
      <c r="T11" s="47"/>
    </row>
    <row r="12" spans="1:21" s="600" customFormat="1" ht="13.5" customHeight="1">
      <c r="A12" s="157" t="s">
        <v>1375</v>
      </c>
      <c r="B12" s="156" t="s">
        <v>1580</v>
      </c>
      <c r="C12" s="207" t="s">
        <v>1376</v>
      </c>
      <c r="D12" s="208" t="s">
        <v>332</v>
      </c>
      <c r="E12" s="208" t="s">
        <v>1668</v>
      </c>
      <c r="F12" s="157" t="s">
        <v>1726</v>
      </c>
      <c r="G12" s="185">
        <v>42947</v>
      </c>
      <c r="H12" s="524" t="str">
        <f t="shared" si="0"/>
        <v>Jul-17</v>
      </c>
      <c r="I12" s="207" t="s">
        <v>1579</v>
      </c>
      <c r="J12" s="288">
        <f t="shared" si="1"/>
        <v>17.998181818181816</v>
      </c>
      <c r="K12" s="157"/>
      <c r="L12" s="307"/>
      <c r="M12" s="295"/>
      <c r="N12" s="217"/>
      <c r="R12" s="22"/>
      <c r="T12" s="47"/>
    </row>
    <row r="13" spans="1:21" s="600" customFormat="1" ht="13.5" customHeight="1">
      <c r="A13" s="157" t="s">
        <v>1375</v>
      </c>
      <c r="B13" s="156" t="s">
        <v>1580</v>
      </c>
      <c r="C13" s="207" t="s">
        <v>1376</v>
      </c>
      <c r="D13" s="208" t="s">
        <v>332</v>
      </c>
      <c r="E13" s="208" t="s">
        <v>910</v>
      </c>
      <c r="F13" s="157" t="s">
        <v>1727</v>
      </c>
      <c r="G13" s="185">
        <v>42947</v>
      </c>
      <c r="H13" s="524" t="str">
        <f t="shared" si="0"/>
        <v>Jul-17</v>
      </c>
      <c r="I13" s="207" t="s">
        <v>1579</v>
      </c>
      <c r="J13" s="288">
        <f t="shared" si="1"/>
        <v>17.998181818181816</v>
      </c>
      <c r="K13" s="157"/>
      <c r="L13" s="307"/>
      <c r="M13" s="295"/>
      <c r="N13" s="217"/>
      <c r="R13" s="22"/>
      <c r="T13" s="47"/>
    </row>
    <row r="14" spans="1:21" s="600" customFormat="1" ht="13.5" customHeight="1">
      <c r="A14" s="157" t="s">
        <v>1375</v>
      </c>
      <c r="B14" s="156" t="s">
        <v>1580</v>
      </c>
      <c r="C14" s="207" t="s">
        <v>1376</v>
      </c>
      <c r="D14" s="208" t="s">
        <v>332</v>
      </c>
      <c r="E14" s="208" t="s">
        <v>910</v>
      </c>
      <c r="F14" s="157" t="s">
        <v>1728</v>
      </c>
      <c r="G14" s="185">
        <v>42947</v>
      </c>
      <c r="H14" s="524" t="str">
        <f t="shared" si="0"/>
        <v>Jul-17</v>
      </c>
      <c r="I14" s="207" t="s">
        <v>1579</v>
      </c>
      <c r="J14" s="288">
        <f t="shared" si="1"/>
        <v>17.998181818181816</v>
      </c>
      <c r="K14" s="157"/>
      <c r="L14" s="307"/>
      <c r="M14" s="295"/>
      <c r="N14" s="217"/>
      <c r="R14" s="22"/>
      <c r="T14" s="47"/>
    </row>
    <row r="15" spans="1:21" s="600" customFormat="1" ht="13.5" customHeight="1">
      <c r="A15" s="157" t="s">
        <v>1375</v>
      </c>
      <c r="B15" s="156" t="s">
        <v>1580</v>
      </c>
      <c r="C15" s="207" t="s">
        <v>1376</v>
      </c>
      <c r="D15" s="208" t="s">
        <v>332</v>
      </c>
      <c r="E15" s="208" t="s">
        <v>1670</v>
      </c>
      <c r="F15" s="157" t="s">
        <v>1717</v>
      </c>
      <c r="G15" s="185">
        <v>42947</v>
      </c>
      <c r="H15" s="524" t="str">
        <f t="shared" si="0"/>
        <v>Jul-17</v>
      </c>
      <c r="I15" s="207" t="s">
        <v>1579</v>
      </c>
      <c r="J15" s="288">
        <f t="shared" si="1"/>
        <v>17.998181818181816</v>
      </c>
      <c r="K15" s="157"/>
      <c r="L15" s="307"/>
      <c r="M15" s="295"/>
      <c r="N15" s="217"/>
      <c r="R15" s="22"/>
      <c r="T15" s="47"/>
    </row>
    <row r="16" spans="1:21" ht="13.5" customHeight="1">
      <c r="A16" s="157" t="s">
        <v>1375</v>
      </c>
      <c r="B16" s="156" t="s">
        <v>1580</v>
      </c>
      <c r="C16" s="207" t="s">
        <v>1376</v>
      </c>
      <c r="D16" s="208" t="s">
        <v>15</v>
      </c>
      <c r="E16" s="208" t="s">
        <v>15</v>
      </c>
      <c r="F16" s="208" t="s">
        <v>15</v>
      </c>
      <c r="G16" s="185">
        <v>42947</v>
      </c>
      <c r="H16" s="524" t="str">
        <f t="shared" si="0"/>
        <v>Jul-17</v>
      </c>
      <c r="I16" s="207" t="s">
        <v>1574</v>
      </c>
      <c r="J16" s="288">
        <v>157.04</v>
      </c>
      <c r="K16" s="157"/>
      <c r="L16" s="307"/>
    </row>
    <row r="17" spans="1:20" ht="13.5" customHeight="1">
      <c r="A17" s="157" t="s">
        <v>1375</v>
      </c>
      <c r="B17" s="156" t="s">
        <v>1580</v>
      </c>
      <c r="C17" s="207" t="s">
        <v>1376</v>
      </c>
      <c r="D17" s="208" t="s">
        <v>15</v>
      </c>
      <c r="E17" s="208" t="s">
        <v>15</v>
      </c>
      <c r="F17" s="208" t="s">
        <v>15</v>
      </c>
      <c r="G17" s="185">
        <v>42947</v>
      </c>
      <c r="H17" s="524" t="str">
        <f t="shared" si="0"/>
        <v>Jul-17</v>
      </c>
      <c r="I17" s="207" t="s">
        <v>1377</v>
      </c>
      <c r="J17" s="288">
        <v>4.18</v>
      </c>
      <c r="K17" s="157"/>
      <c r="L17" s="307"/>
    </row>
    <row r="18" spans="1:20" ht="13.5" customHeight="1">
      <c r="A18" s="157" t="s">
        <v>1375</v>
      </c>
      <c r="B18" s="156" t="s">
        <v>1580</v>
      </c>
      <c r="C18" s="207" t="s">
        <v>1376</v>
      </c>
      <c r="D18" s="208" t="s">
        <v>332</v>
      </c>
      <c r="E18" s="208" t="s">
        <v>910</v>
      </c>
      <c r="F18" s="157" t="s">
        <v>1735</v>
      </c>
      <c r="G18" s="185">
        <v>42947</v>
      </c>
      <c r="H18" s="524" t="str">
        <f t="shared" si="0"/>
        <v>Jul-17</v>
      </c>
      <c r="I18" s="207" t="s">
        <v>1575</v>
      </c>
      <c r="J18" s="288">
        <f>233.64/4</f>
        <v>58.41</v>
      </c>
      <c r="K18" s="157"/>
      <c r="L18" s="307"/>
    </row>
    <row r="19" spans="1:20" s="600" customFormat="1" ht="13.5" customHeight="1">
      <c r="A19" s="157" t="s">
        <v>1375</v>
      </c>
      <c r="B19" s="156" t="s">
        <v>1580</v>
      </c>
      <c r="C19" s="207" t="s">
        <v>1376</v>
      </c>
      <c r="D19" s="208" t="s">
        <v>332</v>
      </c>
      <c r="E19" s="208" t="s">
        <v>1670</v>
      </c>
      <c r="F19" s="157" t="s">
        <v>1717</v>
      </c>
      <c r="G19" s="185">
        <v>42947</v>
      </c>
      <c r="H19" s="524" t="str">
        <f t="shared" si="0"/>
        <v>Jul-17</v>
      </c>
      <c r="I19" s="207" t="s">
        <v>1575</v>
      </c>
      <c r="J19" s="288">
        <f>233.64/4</f>
        <v>58.41</v>
      </c>
      <c r="K19" s="157"/>
      <c r="L19" s="307"/>
      <c r="M19" s="295"/>
      <c r="N19" s="217"/>
      <c r="R19" s="22"/>
      <c r="T19" s="47"/>
    </row>
    <row r="20" spans="1:20" s="600" customFormat="1" ht="13.5" customHeight="1">
      <c r="A20" s="157" t="s">
        <v>1375</v>
      </c>
      <c r="B20" s="156" t="s">
        <v>781</v>
      </c>
      <c r="C20" s="207" t="s">
        <v>1376</v>
      </c>
      <c r="D20" s="208" t="s">
        <v>332</v>
      </c>
      <c r="E20" s="208" t="s">
        <v>914</v>
      </c>
      <c r="F20" s="208" t="s">
        <v>1741</v>
      </c>
      <c r="G20" s="185">
        <v>42947</v>
      </c>
      <c r="H20" s="524" t="str">
        <f t="shared" si="0"/>
        <v>Jul-17</v>
      </c>
      <c r="I20" s="207" t="s">
        <v>1575</v>
      </c>
      <c r="J20" s="288">
        <f>233.64/4</f>
        <v>58.41</v>
      </c>
      <c r="K20" s="157"/>
      <c r="L20" s="307"/>
      <c r="M20" s="295"/>
      <c r="N20" s="217"/>
      <c r="R20" s="22"/>
      <c r="T20" s="47"/>
    </row>
    <row r="21" spans="1:20" s="600" customFormat="1" ht="13.5" customHeight="1">
      <c r="A21" s="157" t="s">
        <v>1375</v>
      </c>
      <c r="B21" s="156" t="s">
        <v>1580</v>
      </c>
      <c r="C21" s="207" t="s">
        <v>1376</v>
      </c>
      <c r="D21" s="208" t="s">
        <v>332</v>
      </c>
      <c r="E21" s="208" t="s">
        <v>910</v>
      </c>
      <c r="F21" s="157" t="s">
        <v>1718</v>
      </c>
      <c r="G21" s="185">
        <v>42947</v>
      </c>
      <c r="H21" s="524" t="str">
        <f t="shared" si="0"/>
        <v>Jul-17</v>
      </c>
      <c r="I21" s="207" t="s">
        <v>1575</v>
      </c>
      <c r="J21" s="288">
        <f>233.64/4</f>
        <v>58.41</v>
      </c>
      <c r="K21" s="157"/>
      <c r="L21" s="307"/>
      <c r="M21" s="295"/>
      <c r="N21" s="217"/>
      <c r="R21" s="22"/>
      <c r="T21" s="47"/>
    </row>
    <row r="22" spans="1:20" ht="13.5" customHeight="1">
      <c r="A22" s="157" t="s">
        <v>1375</v>
      </c>
      <c r="B22" s="156" t="s">
        <v>1580</v>
      </c>
      <c r="C22" s="207" t="s">
        <v>1376</v>
      </c>
      <c r="D22" s="208" t="s">
        <v>15</v>
      </c>
      <c r="E22" s="208" t="s">
        <v>15</v>
      </c>
      <c r="F22" s="208" t="s">
        <v>15</v>
      </c>
      <c r="G22" s="185">
        <v>42947</v>
      </c>
      <c r="H22" s="524" t="str">
        <f t="shared" si="0"/>
        <v>Jul-17</v>
      </c>
      <c r="I22" s="207" t="s">
        <v>1576</v>
      </c>
      <c r="J22" s="288">
        <v>7.11</v>
      </c>
      <c r="K22" s="157"/>
      <c r="L22" s="307"/>
    </row>
    <row r="23" spans="1:20" ht="13.5" customHeight="1">
      <c r="A23" s="157" t="s">
        <v>1375</v>
      </c>
      <c r="B23" s="156" t="s">
        <v>1580</v>
      </c>
      <c r="C23" s="207" t="s">
        <v>1376</v>
      </c>
      <c r="D23" s="208" t="s">
        <v>332</v>
      </c>
      <c r="E23" s="208" t="s">
        <v>910</v>
      </c>
      <c r="F23" s="157" t="s">
        <v>1719</v>
      </c>
      <c r="G23" s="185">
        <v>42947</v>
      </c>
      <c r="H23" s="524" t="str">
        <f t="shared" si="0"/>
        <v>Jul-17</v>
      </c>
      <c r="I23" s="207" t="s">
        <v>1577</v>
      </c>
      <c r="J23" s="288">
        <f t="shared" ref="J23:J33" si="2">105.82/11</f>
        <v>9.6199999999999992</v>
      </c>
      <c r="K23" s="157"/>
      <c r="L23" s="307"/>
    </row>
    <row r="24" spans="1:20" s="600" customFormat="1" ht="13.5" customHeight="1">
      <c r="A24" s="157" t="s">
        <v>1375</v>
      </c>
      <c r="B24" s="156" t="s">
        <v>1580</v>
      </c>
      <c r="C24" s="207" t="s">
        <v>1376</v>
      </c>
      <c r="D24" s="208" t="s">
        <v>332</v>
      </c>
      <c r="E24" s="208" t="s">
        <v>910</v>
      </c>
      <c r="F24" s="157" t="s">
        <v>1744</v>
      </c>
      <c r="G24" s="185">
        <v>42947</v>
      </c>
      <c r="H24" s="524" t="str">
        <f t="shared" si="0"/>
        <v>Jul-17</v>
      </c>
      <c r="I24" s="207" t="s">
        <v>1577</v>
      </c>
      <c r="J24" s="288">
        <f t="shared" si="2"/>
        <v>9.6199999999999992</v>
      </c>
      <c r="K24" s="157"/>
      <c r="L24" s="307"/>
      <c r="M24" s="295"/>
      <c r="N24" s="217"/>
      <c r="R24" s="22"/>
      <c r="T24" s="47"/>
    </row>
    <row r="25" spans="1:20" s="600" customFormat="1" ht="13.5" customHeight="1">
      <c r="A25" s="157" t="s">
        <v>1375</v>
      </c>
      <c r="B25" s="156" t="s">
        <v>1580</v>
      </c>
      <c r="C25" s="207" t="s">
        <v>1376</v>
      </c>
      <c r="D25" s="208" t="s">
        <v>332</v>
      </c>
      <c r="E25" s="208" t="s">
        <v>910</v>
      </c>
      <c r="F25" s="157" t="s">
        <v>1721</v>
      </c>
      <c r="G25" s="185">
        <v>42947</v>
      </c>
      <c r="H25" s="524" t="str">
        <f t="shared" si="0"/>
        <v>Jul-17</v>
      </c>
      <c r="I25" s="207" t="s">
        <v>1577</v>
      </c>
      <c r="J25" s="288">
        <f t="shared" si="2"/>
        <v>9.6199999999999992</v>
      </c>
      <c r="K25" s="157"/>
      <c r="L25" s="307"/>
      <c r="M25" s="295"/>
      <c r="N25" s="217"/>
      <c r="R25" s="22"/>
      <c r="T25" s="47"/>
    </row>
    <row r="26" spans="1:20" s="600" customFormat="1" ht="13.5" customHeight="1">
      <c r="A26" s="157" t="s">
        <v>1375</v>
      </c>
      <c r="B26" s="156" t="s">
        <v>1580</v>
      </c>
      <c r="C26" s="207" t="s">
        <v>1376</v>
      </c>
      <c r="D26" s="208" t="s">
        <v>332</v>
      </c>
      <c r="E26" s="208" t="s">
        <v>1668</v>
      </c>
      <c r="F26" s="157" t="s">
        <v>1722</v>
      </c>
      <c r="G26" s="185">
        <v>42947</v>
      </c>
      <c r="H26" s="524" t="str">
        <f t="shared" si="0"/>
        <v>Jul-17</v>
      </c>
      <c r="I26" s="207" t="s">
        <v>1577</v>
      </c>
      <c r="J26" s="288">
        <f t="shared" si="2"/>
        <v>9.6199999999999992</v>
      </c>
      <c r="K26" s="157"/>
      <c r="L26" s="307"/>
      <c r="M26" s="295"/>
      <c r="N26" s="217"/>
      <c r="R26" s="22"/>
      <c r="T26" s="47"/>
    </row>
    <row r="27" spans="1:20" s="600" customFormat="1" ht="13.5" customHeight="1">
      <c r="A27" s="157" t="s">
        <v>1375</v>
      </c>
      <c r="B27" s="156" t="s">
        <v>1580</v>
      </c>
      <c r="C27" s="207" t="s">
        <v>1376</v>
      </c>
      <c r="D27" s="208" t="s">
        <v>332</v>
      </c>
      <c r="E27" s="208" t="s">
        <v>1668</v>
      </c>
      <c r="F27" s="157" t="s">
        <v>1723</v>
      </c>
      <c r="G27" s="185">
        <v>42947</v>
      </c>
      <c r="H27" s="524" t="str">
        <f t="shared" si="0"/>
        <v>Jul-17</v>
      </c>
      <c r="I27" s="207" t="s">
        <v>1577</v>
      </c>
      <c r="J27" s="288">
        <f t="shared" si="2"/>
        <v>9.6199999999999992</v>
      </c>
      <c r="K27" s="157"/>
      <c r="L27" s="307"/>
      <c r="M27" s="295"/>
      <c r="N27" s="217"/>
      <c r="R27" s="22"/>
      <c r="T27" s="47"/>
    </row>
    <row r="28" spans="1:20" s="600" customFormat="1" ht="13.5" customHeight="1">
      <c r="A28" s="157" t="s">
        <v>1375</v>
      </c>
      <c r="B28" s="156" t="s">
        <v>1580</v>
      </c>
      <c r="C28" s="207" t="s">
        <v>1376</v>
      </c>
      <c r="D28" s="208" t="s">
        <v>332</v>
      </c>
      <c r="E28" s="208" t="s">
        <v>910</v>
      </c>
      <c r="F28" s="157" t="s">
        <v>1724</v>
      </c>
      <c r="G28" s="185">
        <v>42947</v>
      </c>
      <c r="H28" s="524" t="str">
        <f t="shared" si="0"/>
        <v>Jul-17</v>
      </c>
      <c r="I28" s="207" t="s">
        <v>1577</v>
      </c>
      <c r="J28" s="288">
        <f t="shared" si="2"/>
        <v>9.6199999999999992</v>
      </c>
      <c r="K28" s="157"/>
      <c r="L28" s="307"/>
      <c r="M28" s="295"/>
      <c r="N28" s="217"/>
      <c r="R28" s="22"/>
      <c r="T28" s="47"/>
    </row>
    <row r="29" spans="1:20" s="600" customFormat="1" ht="13.5" customHeight="1">
      <c r="A29" s="157" t="s">
        <v>1375</v>
      </c>
      <c r="B29" s="156" t="s">
        <v>1580</v>
      </c>
      <c r="C29" s="207" t="s">
        <v>1376</v>
      </c>
      <c r="D29" s="208" t="s">
        <v>332</v>
      </c>
      <c r="E29" s="208" t="s">
        <v>910</v>
      </c>
      <c r="F29" s="157" t="s">
        <v>1725</v>
      </c>
      <c r="G29" s="185">
        <v>42947</v>
      </c>
      <c r="H29" s="524" t="str">
        <f t="shared" si="0"/>
        <v>Jul-17</v>
      </c>
      <c r="I29" s="207" t="s">
        <v>1577</v>
      </c>
      <c r="J29" s="288">
        <f t="shared" si="2"/>
        <v>9.6199999999999992</v>
      </c>
      <c r="K29" s="157"/>
      <c r="L29" s="307"/>
      <c r="M29" s="295"/>
      <c r="N29" s="217"/>
      <c r="R29" s="22"/>
      <c r="T29" s="47"/>
    </row>
    <row r="30" spans="1:20" s="600" customFormat="1" ht="13.5" customHeight="1">
      <c r="A30" s="157" t="s">
        <v>1375</v>
      </c>
      <c r="B30" s="156" t="s">
        <v>1580</v>
      </c>
      <c r="C30" s="207" t="s">
        <v>1376</v>
      </c>
      <c r="D30" s="208" t="s">
        <v>332</v>
      </c>
      <c r="E30" s="208" t="s">
        <v>1668</v>
      </c>
      <c r="F30" s="157" t="s">
        <v>1726</v>
      </c>
      <c r="G30" s="185">
        <v>42947</v>
      </c>
      <c r="H30" s="524" t="str">
        <f t="shared" si="0"/>
        <v>Jul-17</v>
      </c>
      <c r="I30" s="207" t="s">
        <v>1577</v>
      </c>
      <c r="J30" s="288">
        <f t="shared" si="2"/>
        <v>9.6199999999999992</v>
      </c>
      <c r="K30" s="157"/>
      <c r="L30" s="307"/>
      <c r="M30" s="295"/>
      <c r="N30" s="217"/>
      <c r="R30" s="22"/>
      <c r="T30" s="47"/>
    </row>
    <row r="31" spans="1:20" s="600" customFormat="1" ht="13.5" customHeight="1">
      <c r="A31" s="157" t="s">
        <v>1375</v>
      </c>
      <c r="B31" s="156" t="s">
        <v>1580</v>
      </c>
      <c r="C31" s="207" t="s">
        <v>1376</v>
      </c>
      <c r="D31" s="208" t="s">
        <v>332</v>
      </c>
      <c r="E31" s="208" t="s">
        <v>910</v>
      </c>
      <c r="F31" s="157" t="s">
        <v>1727</v>
      </c>
      <c r="G31" s="185">
        <v>42947</v>
      </c>
      <c r="H31" s="524" t="str">
        <f t="shared" si="0"/>
        <v>Jul-17</v>
      </c>
      <c r="I31" s="207" t="s">
        <v>1577</v>
      </c>
      <c r="J31" s="288">
        <f t="shared" si="2"/>
        <v>9.6199999999999992</v>
      </c>
      <c r="K31" s="157"/>
      <c r="L31" s="307"/>
      <c r="M31" s="295"/>
      <c r="N31" s="217"/>
      <c r="R31" s="22"/>
      <c r="T31" s="47"/>
    </row>
    <row r="32" spans="1:20" s="600" customFormat="1" ht="13.5" customHeight="1">
      <c r="A32" s="157" t="s">
        <v>1375</v>
      </c>
      <c r="B32" s="156" t="s">
        <v>1580</v>
      </c>
      <c r="C32" s="207" t="s">
        <v>1376</v>
      </c>
      <c r="D32" s="208" t="s">
        <v>332</v>
      </c>
      <c r="E32" s="208" t="s">
        <v>910</v>
      </c>
      <c r="F32" s="157" t="s">
        <v>1728</v>
      </c>
      <c r="G32" s="185">
        <v>42947</v>
      </c>
      <c r="H32" s="524" t="str">
        <f t="shared" si="0"/>
        <v>Jul-17</v>
      </c>
      <c r="I32" s="207" t="s">
        <v>1577</v>
      </c>
      <c r="J32" s="288">
        <f t="shared" si="2"/>
        <v>9.6199999999999992</v>
      </c>
      <c r="K32" s="157"/>
      <c r="L32" s="307"/>
      <c r="M32" s="295"/>
      <c r="N32" s="217"/>
      <c r="R32" s="22"/>
      <c r="T32" s="47"/>
    </row>
    <row r="33" spans="1:20" s="600" customFormat="1" ht="13.5" customHeight="1">
      <c r="A33" s="157" t="s">
        <v>1375</v>
      </c>
      <c r="B33" s="156" t="s">
        <v>1580</v>
      </c>
      <c r="C33" s="207" t="s">
        <v>1376</v>
      </c>
      <c r="D33" s="208" t="s">
        <v>332</v>
      </c>
      <c r="E33" s="208" t="s">
        <v>1670</v>
      </c>
      <c r="F33" s="157" t="s">
        <v>1717</v>
      </c>
      <c r="G33" s="185">
        <v>42947</v>
      </c>
      <c r="H33" s="524" t="str">
        <f t="shared" si="0"/>
        <v>Jul-17</v>
      </c>
      <c r="I33" s="207" t="s">
        <v>1577</v>
      </c>
      <c r="J33" s="288">
        <f t="shared" si="2"/>
        <v>9.6199999999999992</v>
      </c>
      <c r="K33" s="157"/>
      <c r="L33" s="307"/>
      <c r="M33" s="295"/>
      <c r="N33" s="217"/>
      <c r="R33" s="22"/>
      <c r="T33" s="47"/>
    </row>
    <row r="34" spans="1:20" ht="13.5" customHeight="1">
      <c r="A34" s="157" t="s">
        <v>1375</v>
      </c>
      <c r="B34" s="156" t="s">
        <v>1700</v>
      </c>
      <c r="C34" s="207" t="s">
        <v>1376</v>
      </c>
      <c r="D34" s="208" t="s">
        <v>332</v>
      </c>
      <c r="E34" s="208" t="s">
        <v>759</v>
      </c>
      <c r="F34" s="157" t="s">
        <v>1661</v>
      </c>
      <c r="G34" s="185">
        <v>42947</v>
      </c>
      <c r="H34" s="524" t="str">
        <f t="shared" ref="H34:H65" si="3">TEXT(G34,"mmm-yy")</f>
        <v>Jul-17</v>
      </c>
      <c r="I34" s="207" t="s">
        <v>1578</v>
      </c>
      <c r="J34" s="288">
        <v>186.14</v>
      </c>
      <c r="K34" s="157"/>
      <c r="L34" s="307"/>
    </row>
    <row r="35" spans="1:20" ht="13.5" customHeight="1">
      <c r="A35" s="157" t="s">
        <v>1375</v>
      </c>
      <c r="B35" s="156" t="s">
        <v>1700</v>
      </c>
      <c r="C35" s="207" t="s">
        <v>1376</v>
      </c>
      <c r="D35" s="208" t="s">
        <v>332</v>
      </c>
      <c r="E35" s="208" t="s">
        <v>759</v>
      </c>
      <c r="F35" s="157" t="s">
        <v>1661</v>
      </c>
      <c r="G35" s="185">
        <v>42947</v>
      </c>
      <c r="H35" s="524" t="str">
        <f t="shared" si="3"/>
        <v>Jul-17</v>
      </c>
      <c r="I35" s="207" t="s">
        <v>1378</v>
      </c>
      <c r="J35" s="288">
        <v>89.41</v>
      </c>
      <c r="K35" s="157"/>
      <c r="L35" s="307"/>
    </row>
    <row r="36" spans="1:20" ht="13.5" customHeight="1">
      <c r="A36" s="157" t="s">
        <v>1375</v>
      </c>
      <c r="B36" s="156" t="s">
        <v>1580</v>
      </c>
      <c r="C36" s="207" t="s">
        <v>1380</v>
      </c>
      <c r="D36" s="208" t="s">
        <v>332</v>
      </c>
      <c r="E36" s="208" t="s">
        <v>909</v>
      </c>
      <c r="F36" s="157" t="s">
        <v>1729</v>
      </c>
      <c r="G36" s="185">
        <v>42931</v>
      </c>
      <c r="H36" s="524" t="str">
        <f t="shared" si="3"/>
        <v>Jul-17</v>
      </c>
      <c r="I36" s="207" t="s">
        <v>1379</v>
      </c>
      <c r="J36" s="288">
        <v>33.630000000000003</v>
      </c>
      <c r="K36" s="157"/>
      <c r="L36" s="307"/>
    </row>
    <row r="37" spans="1:20" ht="13.5" customHeight="1">
      <c r="A37" s="157" t="s">
        <v>1375</v>
      </c>
      <c r="B37" s="156" t="s">
        <v>1580</v>
      </c>
      <c r="C37" s="207" t="s">
        <v>1380</v>
      </c>
      <c r="D37" s="208" t="s">
        <v>332</v>
      </c>
      <c r="E37" s="208" t="s">
        <v>1669</v>
      </c>
      <c r="F37" s="157" t="s">
        <v>1730</v>
      </c>
      <c r="G37" s="185">
        <v>42931</v>
      </c>
      <c r="H37" s="524" t="str">
        <f t="shared" si="3"/>
        <v>Jul-17</v>
      </c>
      <c r="I37" s="207" t="s">
        <v>1381</v>
      </c>
      <c r="J37" s="288">
        <v>63.03</v>
      </c>
      <c r="K37" s="157"/>
      <c r="L37" s="307"/>
    </row>
    <row r="38" spans="1:20" ht="13.5" customHeight="1">
      <c r="A38" s="157" t="s">
        <v>1375</v>
      </c>
      <c r="B38" s="156" t="s">
        <v>1580</v>
      </c>
      <c r="C38" s="207" t="s">
        <v>1383</v>
      </c>
      <c r="D38" s="208" t="s">
        <v>15</v>
      </c>
      <c r="E38" s="208" t="s">
        <v>761</v>
      </c>
      <c r="F38" s="208" t="s">
        <v>15</v>
      </c>
      <c r="G38" s="185">
        <v>42937</v>
      </c>
      <c r="H38" s="524" t="str">
        <f t="shared" si="3"/>
        <v>Jul-17</v>
      </c>
      <c r="I38" s="207" t="s">
        <v>1382</v>
      </c>
      <c r="J38" s="288">
        <v>90</v>
      </c>
      <c r="K38" s="157"/>
      <c r="L38" s="307"/>
    </row>
    <row r="39" spans="1:20" ht="13.5" customHeight="1">
      <c r="A39" s="157" t="s">
        <v>1375</v>
      </c>
      <c r="B39" s="156" t="s">
        <v>1580</v>
      </c>
      <c r="C39" s="207" t="s">
        <v>1385</v>
      </c>
      <c r="D39" s="208" t="s">
        <v>15</v>
      </c>
      <c r="E39" s="208" t="s">
        <v>15</v>
      </c>
      <c r="F39" s="208" t="s">
        <v>15</v>
      </c>
      <c r="G39" s="185">
        <v>42921</v>
      </c>
      <c r="H39" s="524" t="str">
        <f t="shared" si="3"/>
        <v>Jul-17</v>
      </c>
      <c r="I39" s="207" t="s">
        <v>1384</v>
      </c>
      <c r="J39" s="288">
        <v>39.950000000000003</v>
      </c>
      <c r="K39" s="157"/>
      <c r="L39" s="307"/>
    </row>
    <row r="40" spans="1:20" ht="13.5" customHeight="1">
      <c r="A40" s="157" t="s">
        <v>1375</v>
      </c>
      <c r="B40" s="156" t="s">
        <v>1580</v>
      </c>
      <c r="C40" s="207" t="s">
        <v>1385</v>
      </c>
      <c r="D40" s="208" t="s">
        <v>15</v>
      </c>
      <c r="E40" s="208" t="s">
        <v>15</v>
      </c>
      <c r="F40" s="208" t="s">
        <v>15</v>
      </c>
      <c r="G40" s="185">
        <v>42921</v>
      </c>
      <c r="H40" s="524" t="str">
        <f t="shared" si="3"/>
        <v>Jul-17</v>
      </c>
      <c r="I40" s="207" t="s">
        <v>1386</v>
      </c>
      <c r="J40" s="288">
        <v>360.53</v>
      </c>
      <c r="K40" s="157"/>
      <c r="L40" s="307"/>
    </row>
    <row r="41" spans="1:20" ht="13.5" customHeight="1">
      <c r="A41" s="157" t="s">
        <v>1375</v>
      </c>
      <c r="B41" s="156" t="s">
        <v>1580</v>
      </c>
      <c r="C41" s="207" t="s">
        <v>1385</v>
      </c>
      <c r="D41" s="208" t="s">
        <v>15</v>
      </c>
      <c r="E41" s="208" t="s">
        <v>15</v>
      </c>
      <c r="F41" s="208" t="s">
        <v>15</v>
      </c>
      <c r="G41" s="185">
        <v>42921</v>
      </c>
      <c r="H41" s="524" t="str">
        <f t="shared" si="3"/>
        <v>Jul-17</v>
      </c>
      <c r="I41" s="207" t="s">
        <v>1387</v>
      </c>
      <c r="J41" s="288">
        <v>14.9</v>
      </c>
      <c r="K41" s="157"/>
      <c r="L41" s="307"/>
    </row>
    <row r="42" spans="1:20" ht="13.5" customHeight="1">
      <c r="A42" s="157" t="s">
        <v>1375</v>
      </c>
      <c r="B42" s="156" t="s">
        <v>781</v>
      </c>
      <c r="C42" s="207" t="s">
        <v>1389</v>
      </c>
      <c r="D42" s="208" t="s">
        <v>332</v>
      </c>
      <c r="E42" s="208" t="s">
        <v>912</v>
      </c>
      <c r="F42" s="157" t="s">
        <v>1758</v>
      </c>
      <c r="G42" s="185">
        <v>42937</v>
      </c>
      <c r="H42" s="524" t="str">
        <f t="shared" si="3"/>
        <v>Jul-17</v>
      </c>
      <c r="I42" s="207" t="s">
        <v>1388</v>
      </c>
      <c r="J42" s="288">
        <v>100</v>
      </c>
      <c r="K42" s="157"/>
      <c r="L42" s="307"/>
    </row>
    <row r="43" spans="1:20" ht="13.5" customHeight="1">
      <c r="A43" s="157" t="s">
        <v>1375</v>
      </c>
      <c r="B43" s="156" t="s">
        <v>781</v>
      </c>
      <c r="C43" s="207" t="s">
        <v>1389</v>
      </c>
      <c r="D43" s="208" t="s">
        <v>332</v>
      </c>
      <c r="E43" s="208" t="s">
        <v>914</v>
      </c>
      <c r="F43" s="208" t="s">
        <v>1741</v>
      </c>
      <c r="G43" s="185">
        <v>42937</v>
      </c>
      <c r="H43" s="524" t="str">
        <f t="shared" si="3"/>
        <v>Jul-17</v>
      </c>
      <c r="I43" s="207" t="s">
        <v>1390</v>
      </c>
      <c r="J43" s="288">
        <v>250</v>
      </c>
      <c r="K43" s="157"/>
      <c r="L43" s="307"/>
    </row>
    <row r="44" spans="1:20" ht="13.5" customHeight="1">
      <c r="A44" s="157" t="s">
        <v>1375</v>
      </c>
      <c r="B44" s="156" t="s">
        <v>1580</v>
      </c>
      <c r="C44" s="207" t="s">
        <v>1392</v>
      </c>
      <c r="D44" s="208" t="s">
        <v>332</v>
      </c>
      <c r="E44" s="208" t="s">
        <v>1669</v>
      </c>
      <c r="F44" s="157" t="s">
        <v>1723</v>
      </c>
      <c r="G44" s="185">
        <v>42947</v>
      </c>
      <c r="H44" s="524" t="str">
        <f t="shared" si="3"/>
        <v>Jul-17</v>
      </c>
      <c r="I44" s="207" t="s">
        <v>1391</v>
      </c>
      <c r="J44" s="288">
        <v>35.28</v>
      </c>
      <c r="K44" s="157"/>
      <c r="L44" s="307"/>
    </row>
    <row r="45" spans="1:20" ht="13.5" customHeight="1">
      <c r="A45" s="157" t="s">
        <v>1375</v>
      </c>
      <c r="B45" s="156" t="s">
        <v>1580</v>
      </c>
      <c r="C45" s="207" t="s">
        <v>1392</v>
      </c>
      <c r="D45" s="208" t="s">
        <v>332</v>
      </c>
      <c r="E45" s="208" t="s">
        <v>1669</v>
      </c>
      <c r="F45" s="157" t="s">
        <v>1723</v>
      </c>
      <c r="G45" s="185">
        <v>42947</v>
      </c>
      <c r="H45" s="524" t="str">
        <f t="shared" si="3"/>
        <v>Jul-17</v>
      </c>
      <c r="I45" s="207" t="s">
        <v>1393</v>
      </c>
      <c r="J45" s="288">
        <v>564.72</v>
      </c>
      <c r="K45" s="157"/>
      <c r="L45" s="307"/>
    </row>
    <row r="46" spans="1:20" ht="13.5" customHeight="1">
      <c r="A46" s="157" t="s">
        <v>1375</v>
      </c>
      <c r="B46" s="156" t="s">
        <v>1580</v>
      </c>
      <c r="C46" s="207" t="s">
        <v>1395</v>
      </c>
      <c r="D46" s="208" t="s">
        <v>15</v>
      </c>
      <c r="E46" s="208" t="s">
        <v>761</v>
      </c>
      <c r="F46" s="208" t="s">
        <v>761</v>
      </c>
      <c r="G46" s="185">
        <v>42917</v>
      </c>
      <c r="H46" s="524" t="str">
        <f t="shared" si="3"/>
        <v>Jul-17</v>
      </c>
      <c r="I46" s="207" t="s">
        <v>1394</v>
      </c>
      <c r="J46" s="288">
        <v>5.14</v>
      </c>
      <c r="K46" s="157"/>
      <c r="L46" s="307"/>
    </row>
    <row r="47" spans="1:20" ht="13.5" customHeight="1">
      <c r="A47" s="157" t="s">
        <v>1375</v>
      </c>
      <c r="B47" s="156" t="s">
        <v>1580</v>
      </c>
      <c r="C47" s="207" t="s">
        <v>1395</v>
      </c>
      <c r="D47" s="208" t="s">
        <v>15</v>
      </c>
      <c r="E47" s="208" t="s">
        <v>761</v>
      </c>
      <c r="F47" s="208" t="s">
        <v>761</v>
      </c>
      <c r="G47" s="185">
        <v>42917</v>
      </c>
      <c r="H47" s="524" t="str">
        <f t="shared" si="3"/>
        <v>Jul-17</v>
      </c>
      <c r="I47" s="207" t="s">
        <v>1396</v>
      </c>
      <c r="J47" s="288">
        <v>14.77</v>
      </c>
      <c r="K47" s="157"/>
      <c r="L47" s="307"/>
    </row>
    <row r="48" spans="1:20" ht="13.5" customHeight="1">
      <c r="A48" s="157" t="s">
        <v>1375</v>
      </c>
      <c r="B48" s="156" t="s">
        <v>1580</v>
      </c>
      <c r="C48" s="207" t="s">
        <v>1395</v>
      </c>
      <c r="D48" s="208" t="s">
        <v>15</v>
      </c>
      <c r="E48" s="208" t="s">
        <v>761</v>
      </c>
      <c r="F48" s="208" t="s">
        <v>761</v>
      </c>
      <c r="G48" s="185">
        <v>42917</v>
      </c>
      <c r="H48" s="524" t="str">
        <f t="shared" si="3"/>
        <v>Jul-17</v>
      </c>
      <c r="I48" s="207" t="s">
        <v>1397</v>
      </c>
      <c r="J48" s="288">
        <v>18.12</v>
      </c>
      <c r="K48" s="157"/>
      <c r="L48" s="307"/>
    </row>
    <row r="49" spans="1:12" ht="13.5" customHeight="1">
      <c r="A49" s="157" t="s">
        <v>1375</v>
      </c>
      <c r="B49" s="156" t="s">
        <v>1580</v>
      </c>
      <c r="C49" s="207" t="s">
        <v>1399</v>
      </c>
      <c r="D49" s="208" t="s">
        <v>15</v>
      </c>
      <c r="E49" s="208" t="s">
        <v>761</v>
      </c>
      <c r="F49" s="208" t="s">
        <v>761</v>
      </c>
      <c r="G49" s="185">
        <v>42919</v>
      </c>
      <c r="H49" s="524" t="str">
        <f t="shared" si="3"/>
        <v>Jul-17</v>
      </c>
      <c r="I49" s="207" t="s">
        <v>1398</v>
      </c>
      <c r="J49" s="288">
        <v>9.84</v>
      </c>
      <c r="K49" s="157"/>
      <c r="L49" s="307"/>
    </row>
    <row r="50" spans="1:12" ht="13.5" customHeight="1">
      <c r="A50" s="157" t="s">
        <v>1375</v>
      </c>
      <c r="B50" s="156" t="s">
        <v>1580</v>
      </c>
      <c r="C50" s="207" t="s">
        <v>1399</v>
      </c>
      <c r="D50" s="208" t="s">
        <v>15</v>
      </c>
      <c r="E50" s="208" t="s">
        <v>761</v>
      </c>
      <c r="F50" s="208" t="s">
        <v>761</v>
      </c>
      <c r="G50" s="185">
        <v>42919</v>
      </c>
      <c r="H50" s="524" t="str">
        <f t="shared" si="3"/>
        <v>Jul-17</v>
      </c>
      <c r="I50" s="207" t="s">
        <v>1400</v>
      </c>
      <c r="J50" s="288">
        <v>6.95</v>
      </c>
      <c r="K50" s="157"/>
      <c r="L50" s="307"/>
    </row>
    <row r="51" spans="1:12" ht="13.5" customHeight="1">
      <c r="A51" s="157" t="s">
        <v>1375</v>
      </c>
      <c r="B51" s="156" t="s">
        <v>1580</v>
      </c>
      <c r="C51" s="207" t="s">
        <v>1402</v>
      </c>
      <c r="D51" s="208" t="s">
        <v>15</v>
      </c>
      <c r="E51" s="208" t="s">
        <v>761</v>
      </c>
      <c r="F51" s="208" t="s">
        <v>761</v>
      </c>
      <c r="G51" s="185">
        <v>42919</v>
      </c>
      <c r="H51" s="524" t="str">
        <f t="shared" si="3"/>
        <v>Jul-17</v>
      </c>
      <c r="I51" s="207" t="s">
        <v>1401</v>
      </c>
      <c r="J51" s="288">
        <v>60.13</v>
      </c>
      <c r="K51" s="157"/>
      <c r="L51" s="307"/>
    </row>
    <row r="52" spans="1:12" ht="13.5" customHeight="1">
      <c r="A52" s="157" t="s">
        <v>1375</v>
      </c>
      <c r="B52" s="156" t="s">
        <v>1580</v>
      </c>
      <c r="C52" s="207" t="s">
        <v>1399</v>
      </c>
      <c r="D52" s="208" t="s">
        <v>15</v>
      </c>
      <c r="E52" s="208" t="s">
        <v>761</v>
      </c>
      <c r="F52" s="208" t="s">
        <v>761</v>
      </c>
      <c r="G52" s="185">
        <v>42919</v>
      </c>
      <c r="H52" s="524" t="str">
        <f t="shared" si="3"/>
        <v>Jul-17</v>
      </c>
      <c r="I52" s="207" t="s">
        <v>1403</v>
      </c>
      <c r="J52" s="288">
        <v>2.91</v>
      </c>
      <c r="K52" s="157"/>
      <c r="L52" s="307"/>
    </row>
    <row r="53" spans="1:12" ht="13.5" customHeight="1">
      <c r="A53" s="157" t="s">
        <v>1375</v>
      </c>
      <c r="B53" s="156" t="s">
        <v>781</v>
      </c>
      <c r="C53" s="207" t="s">
        <v>1405</v>
      </c>
      <c r="D53" s="208" t="s">
        <v>332</v>
      </c>
      <c r="E53" s="208" t="s">
        <v>914</v>
      </c>
      <c r="F53" s="208" t="s">
        <v>1741</v>
      </c>
      <c r="G53" s="185">
        <v>42926</v>
      </c>
      <c r="H53" s="524" t="str">
        <f t="shared" si="3"/>
        <v>Jul-17</v>
      </c>
      <c r="I53" s="207" t="s">
        <v>1404</v>
      </c>
      <c r="J53" s="288">
        <v>1.82</v>
      </c>
      <c r="K53" s="157"/>
      <c r="L53" s="307"/>
    </row>
    <row r="54" spans="1:12" ht="13.5" customHeight="1">
      <c r="A54" s="157" t="s">
        <v>1375</v>
      </c>
      <c r="B54" s="156" t="s">
        <v>781</v>
      </c>
      <c r="C54" s="207" t="s">
        <v>1407</v>
      </c>
      <c r="D54" s="208" t="s">
        <v>332</v>
      </c>
      <c r="E54" s="208" t="s">
        <v>914</v>
      </c>
      <c r="F54" s="208" t="s">
        <v>1741</v>
      </c>
      <c r="G54" s="185">
        <v>42927</v>
      </c>
      <c r="H54" s="524" t="str">
        <f t="shared" si="3"/>
        <v>Jul-17</v>
      </c>
      <c r="I54" s="207" t="s">
        <v>1406</v>
      </c>
      <c r="J54" s="288">
        <v>2.73</v>
      </c>
      <c r="K54" s="157"/>
      <c r="L54" s="307"/>
    </row>
    <row r="55" spans="1:12" ht="13.5" customHeight="1">
      <c r="A55" s="157" t="s">
        <v>1375</v>
      </c>
      <c r="B55" s="156" t="s">
        <v>781</v>
      </c>
      <c r="C55" s="207" t="s">
        <v>1408</v>
      </c>
      <c r="D55" s="208" t="s">
        <v>332</v>
      </c>
      <c r="E55" s="208" t="s">
        <v>914</v>
      </c>
      <c r="F55" s="208" t="s">
        <v>1741</v>
      </c>
      <c r="G55" s="185">
        <v>42927</v>
      </c>
      <c r="H55" s="524" t="str">
        <f t="shared" si="3"/>
        <v>Jul-17</v>
      </c>
      <c r="I55" s="207" t="s">
        <v>1406</v>
      </c>
      <c r="J55" s="288">
        <v>3.64</v>
      </c>
      <c r="K55" s="157"/>
      <c r="L55" s="307"/>
    </row>
    <row r="56" spans="1:12" ht="13.5" customHeight="1">
      <c r="A56" s="157" t="s">
        <v>1375</v>
      </c>
      <c r="B56" s="156" t="s">
        <v>1580</v>
      </c>
      <c r="C56" s="207" t="s">
        <v>1410</v>
      </c>
      <c r="D56" s="208" t="s">
        <v>15</v>
      </c>
      <c r="E56" s="208" t="s">
        <v>761</v>
      </c>
      <c r="F56" s="208" t="s">
        <v>761</v>
      </c>
      <c r="G56" s="185">
        <v>42929</v>
      </c>
      <c r="H56" s="524" t="str">
        <f t="shared" si="3"/>
        <v>Jul-17</v>
      </c>
      <c r="I56" s="207" t="s">
        <v>1409</v>
      </c>
      <c r="J56" s="288">
        <v>2</v>
      </c>
      <c r="K56" s="157"/>
      <c r="L56" s="307"/>
    </row>
    <row r="57" spans="1:12" ht="13.5" customHeight="1">
      <c r="A57" s="157" t="s">
        <v>1375</v>
      </c>
      <c r="B57" s="156" t="s">
        <v>1580</v>
      </c>
      <c r="C57" s="207" t="s">
        <v>1412</v>
      </c>
      <c r="D57" s="208" t="s">
        <v>15</v>
      </c>
      <c r="E57" s="208" t="s">
        <v>761</v>
      </c>
      <c r="F57" s="208" t="s">
        <v>761</v>
      </c>
      <c r="G57" s="185">
        <v>42933</v>
      </c>
      <c r="H57" s="524" t="str">
        <f t="shared" si="3"/>
        <v>Jul-17</v>
      </c>
      <c r="I57" s="207" t="s">
        <v>1411</v>
      </c>
      <c r="J57" s="288">
        <v>44.36</v>
      </c>
      <c r="K57" s="157"/>
      <c r="L57" s="307"/>
    </row>
    <row r="58" spans="1:12" ht="13.5" customHeight="1">
      <c r="A58" s="157" t="s">
        <v>1375</v>
      </c>
      <c r="B58" s="156" t="s">
        <v>1580</v>
      </c>
      <c r="C58" s="207" t="s">
        <v>1412</v>
      </c>
      <c r="D58" s="208" t="s">
        <v>15</v>
      </c>
      <c r="E58" s="208" t="s">
        <v>761</v>
      </c>
      <c r="F58" s="208" t="s">
        <v>761</v>
      </c>
      <c r="G58" s="185">
        <v>42933</v>
      </c>
      <c r="H58" s="524" t="str">
        <f t="shared" si="3"/>
        <v>Jul-17</v>
      </c>
      <c r="I58" s="207" t="s">
        <v>1413</v>
      </c>
      <c r="J58" s="288">
        <v>233.3</v>
      </c>
      <c r="K58" s="157"/>
      <c r="L58" s="307"/>
    </row>
    <row r="59" spans="1:12" ht="13.5" customHeight="1">
      <c r="A59" s="157" t="s">
        <v>1375</v>
      </c>
      <c r="B59" s="156" t="s">
        <v>1580</v>
      </c>
      <c r="C59" s="207" t="s">
        <v>1415</v>
      </c>
      <c r="D59" s="208" t="s">
        <v>15</v>
      </c>
      <c r="E59" s="208" t="s">
        <v>761</v>
      </c>
      <c r="F59" s="208" t="s">
        <v>761</v>
      </c>
      <c r="G59" s="185">
        <v>42934</v>
      </c>
      <c r="H59" s="524" t="str">
        <f t="shared" si="3"/>
        <v>Jul-17</v>
      </c>
      <c r="I59" s="207" t="s">
        <v>1414</v>
      </c>
      <c r="J59" s="288">
        <v>24.07</v>
      </c>
      <c r="K59" s="157"/>
      <c r="L59" s="307"/>
    </row>
    <row r="60" spans="1:12" ht="13.5" customHeight="1">
      <c r="A60" s="157" t="s">
        <v>1375</v>
      </c>
      <c r="B60" s="156" t="s">
        <v>1580</v>
      </c>
      <c r="C60" s="207" t="s">
        <v>1417</v>
      </c>
      <c r="D60" s="208" t="s">
        <v>15</v>
      </c>
      <c r="E60" s="208" t="s">
        <v>761</v>
      </c>
      <c r="F60" s="208" t="s">
        <v>761</v>
      </c>
      <c r="G60" s="185">
        <v>42935</v>
      </c>
      <c r="H60" s="524" t="str">
        <f t="shared" si="3"/>
        <v>Jul-17</v>
      </c>
      <c r="I60" s="207" t="s">
        <v>1416</v>
      </c>
      <c r="J60" s="288">
        <v>5.13</v>
      </c>
      <c r="K60" s="157"/>
      <c r="L60" s="307"/>
    </row>
    <row r="61" spans="1:12" ht="13.5" customHeight="1">
      <c r="A61" s="157" t="s">
        <v>1375</v>
      </c>
      <c r="B61" s="156" t="s">
        <v>1580</v>
      </c>
      <c r="C61" s="207" t="s">
        <v>1417</v>
      </c>
      <c r="D61" s="208" t="s">
        <v>15</v>
      </c>
      <c r="E61" s="208" t="s">
        <v>761</v>
      </c>
      <c r="F61" s="208" t="s">
        <v>761</v>
      </c>
      <c r="G61" s="185">
        <v>42935</v>
      </c>
      <c r="H61" s="524" t="str">
        <f t="shared" si="3"/>
        <v>Jul-17</v>
      </c>
      <c r="I61" s="207" t="s">
        <v>1418</v>
      </c>
      <c r="J61" s="288">
        <v>3.45</v>
      </c>
      <c r="K61" s="157"/>
      <c r="L61" s="307"/>
    </row>
    <row r="62" spans="1:12" ht="13.5" customHeight="1">
      <c r="A62" s="157" t="s">
        <v>1375</v>
      </c>
      <c r="B62" s="156" t="s">
        <v>1580</v>
      </c>
      <c r="C62" s="207" t="s">
        <v>1383</v>
      </c>
      <c r="D62" s="208" t="s">
        <v>15</v>
      </c>
      <c r="E62" s="208" t="s">
        <v>761</v>
      </c>
      <c r="F62" s="208" t="s">
        <v>761</v>
      </c>
      <c r="G62" s="185">
        <v>42937</v>
      </c>
      <c r="H62" s="524" t="str">
        <f t="shared" si="3"/>
        <v>Jul-17</v>
      </c>
      <c r="I62" s="207" t="s">
        <v>1419</v>
      </c>
      <c r="J62" s="288">
        <v>30</v>
      </c>
      <c r="K62" s="157"/>
      <c r="L62" s="307"/>
    </row>
    <row r="63" spans="1:12" ht="13.5" customHeight="1">
      <c r="A63" s="157" t="s">
        <v>1375</v>
      </c>
      <c r="B63" s="156" t="s">
        <v>1580</v>
      </c>
      <c r="C63" s="207" t="s">
        <v>1421</v>
      </c>
      <c r="D63" s="208" t="s">
        <v>15</v>
      </c>
      <c r="E63" s="208" t="s">
        <v>761</v>
      </c>
      <c r="F63" s="208" t="s">
        <v>761</v>
      </c>
      <c r="G63" s="185">
        <v>42940</v>
      </c>
      <c r="H63" s="524" t="str">
        <f t="shared" si="3"/>
        <v>Jul-17</v>
      </c>
      <c r="I63" s="207" t="s">
        <v>1420</v>
      </c>
      <c r="J63" s="288">
        <v>22.89</v>
      </c>
      <c r="K63" s="157"/>
      <c r="L63" s="307"/>
    </row>
    <row r="64" spans="1:12" ht="13.5" customHeight="1">
      <c r="A64" s="157" t="s">
        <v>1375</v>
      </c>
      <c r="B64" s="156" t="s">
        <v>1580</v>
      </c>
      <c r="C64" s="207" t="s">
        <v>1421</v>
      </c>
      <c r="D64" s="208" t="s">
        <v>15</v>
      </c>
      <c r="E64" s="208" t="s">
        <v>761</v>
      </c>
      <c r="F64" s="208" t="s">
        <v>761</v>
      </c>
      <c r="G64" s="185">
        <v>42940</v>
      </c>
      <c r="H64" s="524" t="str">
        <f t="shared" si="3"/>
        <v>Jul-17</v>
      </c>
      <c r="I64" s="207" t="s">
        <v>1422</v>
      </c>
      <c r="J64" s="288">
        <v>261.62</v>
      </c>
      <c r="K64" s="157"/>
      <c r="L64" s="307"/>
    </row>
    <row r="65" spans="1:12" ht="13.5" customHeight="1">
      <c r="A65" s="157" t="s">
        <v>1375</v>
      </c>
      <c r="B65" s="156" t="s">
        <v>1580</v>
      </c>
      <c r="C65" s="207" t="s">
        <v>1421</v>
      </c>
      <c r="D65" s="208" t="s">
        <v>15</v>
      </c>
      <c r="E65" s="208" t="s">
        <v>761</v>
      </c>
      <c r="F65" s="208" t="s">
        <v>761</v>
      </c>
      <c r="G65" s="185">
        <v>42940</v>
      </c>
      <c r="H65" s="524" t="str">
        <f t="shared" si="3"/>
        <v>Jul-17</v>
      </c>
      <c r="I65" s="207" t="s">
        <v>1423</v>
      </c>
      <c r="J65" s="288">
        <v>289.27</v>
      </c>
      <c r="K65" s="157"/>
      <c r="L65" s="307"/>
    </row>
    <row r="66" spans="1:12" ht="13.5" customHeight="1">
      <c r="A66" s="157" t="s">
        <v>1375</v>
      </c>
      <c r="B66" s="156" t="s">
        <v>1580</v>
      </c>
      <c r="C66" s="207" t="s">
        <v>1425</v>
      </c>
      <c r="D66" s="208" t="s">
        <v>15</v>
      </c>
      <c r="E66" s="208" t="s">
        <v>761</v>
      </c>
      <c r="F66" s="208" t="s">
        <v>761</v>
      </c>
      <c r="G66" s="185">
        <v>42941</v>
      </c>
      <c r="H66" s="524" t="str">
        <f t="shared" ref="H66:H97" si="4">TEXT(G66,"mmm-yy")</f>
        <v>Jul-17</v>
      </c>
      <c r="I66" s="207" t="s">
        <v>1424</v>
      </c>
      <c r="J66" s="288">
        <v>103.47</v>
      </c>
      <c r="K66" s="157"/>
      <c r="L66" s="307"/>
    </row>
    <row r="67" spans="1:12" ht="13.5" customHeight="1">
      <c r="A67" s="157" t="s">
        <v>1375</v>
      </c>
      <c r="B67" s="156" t="s">
        <v>1580</v>
      </c>
      <c r="C67" s="207" t="s">
        <v>1425</v>
      </c>
      <c r="D67" s="208" t="s">
        <v>15</v>
      </c>
      <c r="E67" s="208" t="s">
        <v>761</v>
      </c>
      <c r="F67" s="208" t="s">
        <v>761</v>
      </c>
      <c r="G67" s="185">
        <v>42941</v>
      </c>
      <c r="H67" s="524" t="str">
        <f t="shared" si="4"/>
        <v>Jul-17</v>
      </c>
      <c r="I67" s="207" t="s">
        <v>1426</v>
      </c>
      <c r="J67" s="288">
        <v>101.91</v>
      </c>
      <c r="K67" s="157"/>
      <c r="L67" s="307"/>
    </row>
    <row r="68" spans="1:12" ht="13.5" customHeight="1">
      <c r="A68" s="157" t="s">
        <v>1375</v>
      </c>
      <c r="B68" s="156" t="s">
        <v>1580</v>
      </c>
      <c r="C68" s="207" t="s">
        <v>1428</v>
      </c>
      <c r="D68" s="208" t="s">
        <v>15</v>
      </c>
      <c r="E68" s="208" t="s">
        <v>761</v>
      </c>
      <c r="F68" s="208" t="s">
        <v>761</v>
      </c>
      <c r="G68" s="185">
        <v>42941</v>
      </c>
      <c r="H68" s="524" t="str">
        <f t="shared" si="4"/>
        <v>Jul-17</v>
      </c>
      <c r="I68" s="207" t="s">
        <v>1427</v>
      </c>
      <c r="J68" s="288">
        <v>135</v>
      </c>
      <c r="K68" s="157"/>
      <c r="L68" s="307"/>
    </row>
    <row r="69" spans="1:12" ht="13.5" customHeight="1">
      <c r="A69" s="157" t="s">
        <v>1375</v>
      </c>
      <c r="B69" s="156" t="s">
        <v>1580</v>
      </c>
      <c r="C69" s="207" t="s">
        <v>1428</v>
      </c>
      <c r="D69" s="208" t="s">
        <v>15</v>
      </c>
      <c r="E69" s="208" t="s">
        <v>761</v>
      </c>
      <c r="F69" s="208" t="s">
        <v>761</v>
      </c>
      <c r="G69" s="185">
        <v>42941</v>
      </c>
      <c r="H69" s="524" t="str">
        <f t="shared" si="4"/>
        <v>Jul-17</v>
      </c>
      <c r="I69" s="207" t="s">
        <v>1429</v>
      </c>
      <c r="J69" s="288">
        <v>250</v>
      </c>
      <c r="K69" s="157"/>
      <c r="L69" s="307"/>
    </row>
    <row r="70" spans="1:12" ht="13.5" customHeight="1">
      <c r="A70" s="157" t="s">
        <v>1375</v>
      </c>
      <c r="B70" s="156" t="s">
        <v>1580</v>
      </c>
      <c r="C70" s="207" t="s">
        <v>1428</v>
      </c>
      <c r="D70" s="208" t="s">
        <v>15</v>
      </c>
      <c r="E70" s="208" t="s">
        <v>761</v>
      </c>
      <c r="F70" s="208" t="s">
        <v>761</v>
      </c>
      <c r="G70" s="185">
        <v>42941</v>
      </c>
      <c r="H70" s="524" t="str">
        <f t="shared" si="4"/>
        <v>Jul-17</v>
      </c>
      <c r="I70" s="207" t="s">
        <v>1430</v>
      </c>
      <c r="J70" s="288">
        <v>155.5</v>
      </c>
      <c r="K70" s="157"/>
      <c r="L70" s="307"/>
    </row>
    <row r="71" spans="1:12" ht="13.5" customHeight="1">
      <c r="A71" s="157" t="s">
        <v>1375</v>
      </c>
      <c r="B71" s="156" t="s">
        <v>1580</v>
      </c>
      <c r="C71" s="207" t="s">
        <v>1432</v>
      </c>
      <c r="D71" s="208" t="s">
        <v>15</v>
      </c>
      <c r="E71" s="208" t="s">
        <v>761</v>
      </c>
      <c r="F71" s="208" t="s">
        <v>761</v>
      </c>
      <c r="G71" s="185">
        <v>42942</v>
      </c>
      <c r="H71" s="524" t="str">
        <f t="shared" si="4"/>
        <v>Jul-17</v>
      </c>
      <c r="I71" s="207" t="s">
        <v>1431</v>
      </c>
      <c r="J71" s="288">
        <v>325</v>
      </c>
      <c r="K71" s="157"/>
      <c r="L71" s="307"/>
    </row>
    <row r="72" spans="1:12" ht="13.5" customHeight="1">
      <c r="A72" s="157" t="s">
        <v>1375</v>
      </c>
      <c r="B72" s="156" t="s">
        <v>1580</v>
      </c>
      <c r="C72" s="207" t="s">
        <v>1434</v>
      </c>
      <c r="D72" s="208" t="s">
        <v>15</v>
      </c>
      <c r="E72" s="208" t="s">
        <v>761</v>
      </c>
      <c r="F72" s="208" t="s">
        <v>761</v>
      </c>
      <c r="G72" s="185">
        <v>42943</v>
      </c>
      <c r="H72" s="524" t="str">
        <f t="shared" si="4"/>
        <v>Jul-17</v>
      </c>
      <c r="I72" s="207" t="s">
        <v>1433</v>
      </c>
      <c r="J72" s="288">
        <v>9.09</v>
      </c>
      <c r="K72" s="157"/>
      <c r="L72" s="307"/>
    </row>
    <row r="73" spans="1:12" ht="13.5" customHeight="1">
      <c r="A73" s="157" t="s">
        <v>1375</v>
      </c>
      <c r="B73" s="156" t="s">
        <v>1580</v>
      </c>
      <c r="C73" s="207" t="s">
        <v>1436</v>
      </c>
      <c r="D73" s="208" t="s">
        <v>15</v>
      </c>
      <c r="E73" s="208" t="s">
        <v>761</v>
      </c>
      <c r="F73" s="208" t="s">
        <v>761</v>
      </c>
      <c r="G73" s="185">
        <v>42943</v>
      </c>
      <c r="H73" s="524" t="str">
        <f t="shared" si="4"/>
        <v>Jul-17</v>
      </c>
      <c r="I73" s="207" t="s">
        <v>1435</v>
      </c>
      <c r="J73" s="288">
        <v>209.45</v>
      </c>
      <c r="K73" s="157"/>
      <c r="L73" s="307"/>
    </row>
    <row r="74" spans="1:12" ht="13.5" customHeight="1">
      <c r="A74" s="157" t="s">
        <v>1375</v>
      </c>
      <c r="B74" s="156" t="s">
        <v>1700</v>
      </c>
      <c r="C74" s="207" t="s">
        <v>1438</v>
      </c>
      <c r="D74" s="208" t="s">
        <v>332</v>
      </c>
      <c r="E74" s="208" t="s">
        <v>759</v>
      </c>
      <c r="F74" s="157" t="s">
        <v>1666</v>
      </c>
      <c r="G74" s="185">
        <v>42918</v>
      </c>
      <c r="H74" s="524" t="str">
        <f t="shared" si="4"/>
        <v>Jul-17</v>
      </c>
      <c r="I74" s="207" t="s">
        <v>1437</v>
      </c>
      <c r="J74" s="288">
        <v>90</v>
      </c>
      <c r="K74" s="157"/>
      <c r="L74" s="307"/>
    </row>
    <row r="75" spans="1:12" ht="13.5" customHeight="1">
      <c r="A75" s="157" t="s">
        <v>1375</v>
      </c>
      <c r="B75" s="156" t="s">
        <v>1580</v>
      </c>
      <c r="C75" s="207" t="s">
        <v>1440</v>
      </c>
      <c r="D75" s="208" t="s">
        <v>332</v>
      </c>
      <c r="E75" s="208" t="s">
        <v>1669</v>
      </c>
      <c r="F75" s="157" t="s">
        <v>1722</v>
      </c>
      <c r="G75" s="185">
        <v>42919</v>
      </c>
      <c r="H75" s="524" t="str">
        <f t="shared" si="4"/>
        <v>Jul-17</v>
      </c>
      <c r="I75" s="207" t="s">
        <v>1439</v>
      </c>
      <c r="J75" s="288">
        <v>856</v>
      </c>
      <c r="K75" s="157"/>
      <c r="L75" s="307"/>
    </row>
    <row r="76" spans="1:12" ht="13.5" customHeight="1">
      <c r="A76" s="157" t="s">
        <v>1375</v>
      </c>
      <c r="B76" s="156" t="s">
        <v>1580</v>
      </c>
      <c r="C76" s="207" t="s">
        <v>1442</v>
      </c>
      <c r="D76" s="208" t="s">
        <v>15</v>
      </c>
      <c r="E76" s="208" t="s">
        <v>15</v>
      </c>
      <c r="F76" s="208" t="s">
        <v>15</v>
      </c>
      <c r="G76" s="185">
        <v>42926</v>
      </c>
      <c r="H76" s="524" t="str">
        <f t="shared" si="4"/>
        <v>Jul-17</v>
      </c>
      <c r="I76" s="207" t="s">
        <v>1441</v>
      </c>
      <c r="J76" s="288">
        <v>11570.76</v>
      </c>
      <c r="K76" s="157"/>
      <c r="L76" s="307"/>
    </row>
    <row r="77" spans="1:12" ht="13.5" customHeight="1">
      <c r="A77" s="157" t="s">
        <v>1375</v>
      </c>
      <c r="B77" s="156" t="s">
        <v>1580</v>
      </c>
      <c r="C77" s="207" t="s">
        <v>1444</v>
      </c>
      <c r="D77" s="208" t="s">
        <v>332</v>
      </c>
      <c r="E77" s="208" t="s">
        <v>1669</v>
      </c>
      <c r="F77" s="157" t="s">
        <v>1731</v>
      </c>
      <c r="G77" s="185">
        <v>42928</v>
      </c>
      <c r="H77" s="524" t="str">
        <f t="shared" si="4"/>
        <v>Jul-17</v>
      </c>
      <c r="I77" s="207" t="s">
        <v>1443</v>
      </c>
      <c r="J77" s="288">
        <v>4740.05</v>
      </c>
      <c r="K77" s="157"/>
      <c r="L77" s="307"/>
    </row>
    <row r="78" spans="1:12" ht="13.5" customHeight="1">
      <c r="A78" s="157" t="s">
        <v>1375</v>
      </c>
      <c r="B78" s="156" t="s">
        <v>1580</v>
      </c>
      <c r="C78" s="207" t="s">
        <v>1446</v>
      </c>
      <c r="D78" s="208" t="s">
        <v>332</v>
      </c>
      <c r="E78" s="208" t="s">
        <v>1669</v>
      </c>
      <c r="F78" s="157" t="s">
        <v>1731</v>
      </c>
      <c r="G78" s="185">
        <v>42930</v>
      </c>
      <c r="H78" s="524" t="str">
        <f t="shared" si="4"/>
        <v>Jul-17</v>
      </c>
      <c r="I78" s="207" t="s">
        <v>1445</v>
      </c>
      <c r="J78" s="288">
        <v>5402.66</v>
      </c>
      <c r="K78" s="157"/>
      <c r="L78" s="307"/>
    </row>
    <row r="79" spans="1:12" ht="13.5" customHeight="1">
      <c r="A79" s="157" t="s">
        <v>1375</v>
      </c>
      <c r="B79" s="156" t="s">
        <v>781</v>
      </c>
      <c r="C79" s="207" t="s">
        <v>1448</v>
      </c>
      <c r="D79" s="208" t="s">
        <v>332</v>
      </c>
      <c r="E79" s="208" t="s">
        <v>912</v>
      </c>
      <c r="F79" s="157" t="s">
        <v>1758</v>
      </c>
      <c r="G79" s="185">
        <v>42933</v>
      </c>
      <c r="H79" s="524" t="str">
        <f t="shared" si="4"/>
        <v>Jul-17</v>
      </c>
      <c r="I79" s="207" t="s">
        <v>1447</v>
      </c>
      <c r="J79" s="288">
        <v>3870.83</v>
      </c>
      <c r="K79" s="157"/>
      <c r="L79" s="307"/>
    </row>
    <row r="80" spans="1:12" ht="13.5" customHeight="1">
      <c r="A80" s="157" t="s">
        <v>1375</v>
      </c>
      <c r="B80" s="156" t="s">
        <v>1580</v>
      </c>
      <c r="C80" s="207" t="s">
        <v>1449</v>
      </c>
      <c r="D80" s="208" t="s">
        <v>15</v>
      </c>
      <c r="E80" s="208" t="s">
        <v>15</v>
      </c>
      <c r="F80" s="208" t="s">
        <v>15</v>
      </c>
      <c r="G80" s="185">
        <v>42940</v>
      </c>
      <c r="H80" s="524" t="str">
        <f t="shared" si="4"/>
        <v>Jul-17</v>
      </c>
      <c r="I80" s="207" t="s">
        <v>1441</v>
      </c>
      <c r="J80" s="288">
        <v>9642.2999999999993</v>
      </c>
      <c r="K80" s="157"/>
      <c r="L80" s="307"/>
    </row>
    <row r="81" spans="1:12" ht="13.5" customHeight="1">
      <c r="A81" s="157" t="s">
        <v>1375</v>
      </c>
      <c r="B81" s="156" t="s">
        <v>1580</v>
      </c>
      <c r="C81" s="207" t="s">
        <v>1451</v>
      </c>
      <c r="D81" s="208" t="s">
        <v>332</v>
      </c>
      <c r="E81" s="208" t="s">
        <v>1669</v>
      </c>
      <c r="F81" s="157" t="s">
        <v>1726</v>
      </c>
      <c r="G81" s="185">
        <v>42941</v>
      </c>
      <c r="H81" s="524" t="str">
        <f t="shared" si="4"/>
        <v>Jul-17</v>
      </c>
      <c r="I81" s="207" t="s">
        <v>1450</v>
      </c>
      <c r="J81" s="288">
        <v>240</v>
      </c>
      <c r="K81" s="157"/>
      <c r="L81" s="307"/>
    </row>
    <row r="82" spans="1:12" ht="13.5" customHeight="1">
      <c r="A82" s="157" t="s">
        <v>1375</v>
      </c>
      <c r="B82" s="156" t="s">
        <v>1580</v>
      </c>
      <c r="C82" s="207" t="s">
        <v>1451</v>
      </c>
      <c r="D82" s="208" t="s">
        <v>332</v>
      </c>
      <c r="E82" s="208" t="s">
        <v>1669</v>
      </c>
      <c r="F82" s="157" t="s">
        <v>1726</v>
      </c>
      <c r="G82" s="185">
        <v>42941</v>
      </c>
      <c r="H82" s="524" t="str">
        <f t="shared" si="4"/>
        <v>Jul-17</v>
      </c>
      <c r="I82" s="207" t="s">
        <v>1452</v>
      </c>
      <c r="J82" s="288">
        <v>2334.39</v>
      </c>
      <c r="K82" s="157"/>
      <c r="L82" s="307"/>
    </row>
    <row r="83" spans="1:12" ht="13.5" customHeight="1">
      <c r="A83" s="157" t="s">
        <v>1375</v>
      </c>
      <c r="B83" s="156" t="s">
        <v>781</v>
      </c>
      <c r="C83" s="207" t="s">
        <v>1454</v>
      </c>
      <c r="D83" s="208" t="s">
        <v>332</v>
      </c>
      <c r="E83" s="208" t="s">
        <v>914</v>
      </c>
      <c r="F83" s="208" t="s">
        <v>1741</v>
      </c>
      <c r="G83" s="185">
        <v>42943</v>
      </c>
      <c r="H83" s="524" t="str">
        <f t="shared" si="4"/>
        <v>Jul-17</v>
      </c>
      <c r="I83" s="207" t="s">
        <v>1453</v>
      </c>
      <c r="J83" s="288">
        <v>7000</v>
      </c>
      <c r="K83" s="157"/>
      <c r="L83" s="307"/>
    </row>
    <row r="84" spans="1:12" ht="13.5" customHeight="1">
      <c r="A84" s="157" t="s">
        <v>1375</v>
      </c>
      <c r="B84" s="156" t="s">
        <v>781</v>
      </c>
      <c r="C84" s="207" t="s">
        <v>1455</v>
      </c>
      <c r="D84" s="208" t="s">
        <v>332</v>
      </c>
      <c r="E84" s="208" t="s">
        <v>914</v>
      </c>
      <c r="F84" s="208" t="s">
        <v>1741</v>
      </c>
      <c r="G84" s="185">
        <v>42946</v>
      </c>
      <c r="H84" s="524" t="str">
        <f t="shared" si="4"/>
        <v>Jul-17</v>
      </c>
      <c r="I84" s="207" t="s">
        <v>1452</v>
      </c>
      <c r="J84" s="288">
        <v>581</v>
      </c>
      <c r="K84" s="157"/>
      <c r="L84" s="307"/>
    </row>
    <row r="85" spans="1:12" ht="13.5" customHeight="1">
      <c r="A85" s="524" t="s">
        <v>1456</v>
      </c>
      <c r="B85" s="156" t="s">
        <v>1580</v>
      </c>
      <c r="C85" s="207" t="s">
        <v>1458</v>
      </c>
      <c r="D85" s="208" t="s">
        <v>332</v>
      </c>
      <c r="E85" s="208" t="s">
        <v>1739</v>
      </c>
      <c r="F85" s="679" t="s">
        <v>1736</v>
      </c>
      <c r="G85" s="185">
        <v>42919</v>
      </c>
      <c r="H85" s="524" t="str">
        <f t="shared" si="4"/>
        <v>Jul-17</v>
      </c>
      <c r="I85" s="207" t="s">
        <v>1678</v>
      </c>
      <c r="J85" s="288">
        <v>55.95</v>
      </c>
      <c r="K85" s="157"/>
      <c r="L85" s="307"/>
    </row>
    <row r="86" spans="1:12" ht="13.5" customHeight="1">
      <c r="A86" s="524" t="s">
        <v>1456</v>
      </c>
      <c r="B86" s="156" t="s">
        <v>1580</v>
      </c>
      <c r="C86" s="207" t="s">
        <v>1459</v>
      </c>
      <c r="D86" s="208" t="s">
        <v>332</v>
      </c>
      <c r="E86" s="208" t="s">
        <v>910</v>
      </c>
      <c r="F86" s="678" t="s">
        <v>1742</v>
      </c>
      <c r="G86" s="185">
        <v>42926</v>
      </c>
      <c r="H86" s="524" t="str">
        <f t="shared" si="4"/>
        <v>Jul-17</v>
      </c>
      <c r="I86" s="207" t="s">
        <v>1678</v>
      </c>
      <c r="J86" s="288">
        <v>55.95</v>
      </c>
      <c r="K86" s="157"/>
      <c r="L86" s="307"/>
    </row>
    <row r="87" spans="1:12" ht="13.5" customHeight="1">
      <c r="A87" s="524" t="s">
        <v>1456</v>
      </c>
      <c r="B87" s="156" t="s">
        <v>1580</v>
      </c>
      <c r="C87" s="207" t="s">
        <v>1460</v>
      </c>
      <c r="D87" s="208" t="s">
        <v>332</v>
      </c>
      <c r="E87" s="208" t="s">
        <v>1670</v>
      </c>
      <c r="F87" s="679" t="s">
        <v>1717</v>
      </c>
      <c r="G87" s="185">
        <v>42933</v>
      </c>
      <c r="H87" s="524" t="str">
        <f t="shared" si="4"/>
        <v>Jul-17</v>
      </c>
      <c r="I87" s="207" t="s">
        <v>1678</v>
      </c>
      <c r="J87" s="288">
        <v>55.95</v>
      </c>
      <c r="K87" s="157"/>
      <c r="L87" s="307"/>
    </row>
    <row r="88" spans="1:12" ht="13.5" customHeight="1">
      <c r="A88" s="524" t="s">
        <v>1456</v>
      </c>
      <c r="B88" s="156" t="s">
        <v>1580</v>
      </c>
      <c r="C88" s="207" t="s">
        <v>1461</v>
      </c>
      <c r="D88" s="208" t="s">
        <v>332</v>
      </c>
      <c r="E88" s="208" t="s">
        <v>1739</v>
      </c>
      <c r="F88" s="678" t="s">
        <v>1722</v>
      </c>
      <c r="G88" s="185">
        <v>42940</v>
      </c>
      <c r="H88" s="524" t="str">
        <f t="shared" si="4"/>
        <v>Jul-17</v>
      </c>
      <c r="I88" s="207" t="s">
        <v>1678</v>
      </c>
      <c r="J88" s="288">
        <v>55.95</v>
      </c>
      <c r="K88" s="157"/>
      <c r="L88" s="307"/>
    </row>
    <row r="89" spans="1:12" ht="13.5" customHeight="1">
      <c r="A89" s="524" t="s">
        <v>1456</v>
      </c>
      <c r="B89" s="156" t="s">
        <v>781</v>
      </c>
      <c r="C89" s="207" t="s">
        <v>1462</v>
      </c>
      <c r="D89" s="208" t="s">
        <v>332</v>
      </c>
      <c r="E89" s="208" t="s">
        <v>908</v>
      </c>
      <c r="F89" s="679" t="s">
        <v>1741</v>
      </c>
      <c r="G89" s="185">
        <v>42947</v>
      </c>
      <c r="H89" s="524" t="str">
        <f t="shared" si="4"/>
        <v>Jul-17</v>
      </c>
      <c r="I89" s="207" t="s">
        <v>1678</v>
      </c>
      <c r="J89" s="288">
        <v>59.64</v>
      </c>
      <c r="K89" s="157"/>
      <c r="L89" s="307"/>
    </row>
    <row r="90" spans="1:12" ht="13.5" customHeight="1">
      <c r="A90" s="524" t="s">
        <v>1456</v>
      </c>
      <c r="B90" s="156" t="s">
        <v>1580</v>
      </c>
      <c r="C90" s="207" t="s">
        <v>1462</v>
      </c>
      <c r="D90" s="208" t="s">
        <v>15</v>
      </c>
      <c r="E90" s="208" t="s">
        <v>15</v>
      </c>
      <c r="F90" s="208" t="s">
        <v>15</v>
      </c>
      <c r="G90" s="185">
        <v>42947</v>
      </c>
      <c r="H90" s="524" t="str">
        <f t="shared" si="4"/>
        <v>Jul-17</v>
      </c>
      <c r="I90" s="207" t="s">
        <v>1676</v>
      </c>
      <c r="J90" s="288">
        <v>47.24</v>
      </c>
      <c r="K90" s="157"/>
      <c r="L90" s="307"/>
    </row>
    <row r="91" spans="1:12" ht="13.5" customHeight="1">
      <c r="A91" s="524" t="s">
        <v>1456</v>
      </c>
      <c r="B91" s="156" t="s">
        <v>1580</v>
      </c>
      <c r="C91" s="207" t="s">
        <v>1458</v>
      </c>
      <c r="D91" s="208" t="s">
        <v>15</v>
      </c>
      <c r="E91" s="208" t="s">
        <v>15</v>
      </c>
      <c r="F91" s="208" t="s">
        <v>15</v>
      </c>
      <c r="G91" s="185">
        <v>42919</v>
      </c>
      <c r="H91" s="524" t="str">
        <f t="shared" si="4"/>
        <v>Jul-17</v>
      </c>
      <c r="I91" s="207" t="s">
        <v>1679</v>
      </c>
      <c r="J91" s="288">
        <v>18.649999999999999</v>
      </c>
      <c r="K91" s="157"/>
      <c r="L91" s="307"/>
    </row>
    <row r="92" spans="1:12" ht="13.5" customHeight="1">
      <c r="A92" s="524" t="s">
        <v>1456</v>
      </c>
      <c r="B92" s="156" t="s">
        <v>1580</v>
      </c>
      <c r="C92" s="207" t="s">
        <v>1459</v>
      </c>
      <c r="D92" s="208" t="s">
        <v>15</v>
      </c>
      <c r="E92" s="208" t="s">
        <v>15</v>
      </c>
      <c r="F92" s="208" t="s">
        <v>15</v>
      </c>
      <c r="G92" s="185">
        <v>42926</v>
      </c>
      <c r="H92" s="524" t="str">
        <f t="shared" si="4"/>
        <v>Jul-17</v>
      </c>
      <c r="I92" s="207" t="s">
        <v>1679</v>
      </c>
      <c r="J92" s="288">
        <v>18.649999999999999</v>
      </c>
      <c r="K92" s="157"/>
      <c r="L92" s="307"/>
    </row>
    <row r="93" spans="1:12" ht="13.5" customHeight="1">
      <c r="A93" s="524" t="s">
        <v>1456</v>
      </c>
      <c r="B93" s="156" t="s">
        <v>1580</v>
      </c>
      <c r="C93" s="207" t="s">
        <v>1460</v>
      </c>
      <c r="D93" s="208" t="s">
        <v>15</v>
      </c>
      <c r="E93" s="208" t="s">
        <v>15</v>
      </c>
      <c r="F93" s="208" t="s">
        <v>15</v>
      </c>
      <c r="G93" s="185">
        <v>42933</v>
      </c>
      <c r="H93" s="524" t="str">
        <f t="shared" si="4"/>
        <v>Jul-17</v>
      </c>
      <c r="I93" s="207" t="s">
        <v>1679</v>
      </c>
      <c r="J93" s="288">
        <v>18.649999999999999</v>
      </c>
      <c r="K93" s="157"/>
      <c r="L93" s="307"/>
    </row>
    <row r="94" spans="1:12" ht="13.5" customHeight="1">
      <c r="A94" s="524" t="s">
        <v>1456</v>
      </c>
      <c r="B94" s="156" t="s">
        <v>1580</v>
      </c>
      <c r="C94" s="207" t="s">
        <v>1461</v>
      </c>
      <c r="D94" s="208" t="s">
        <v>15</v>
      </c>
      <c r="E94" s="208" t="s">
        <v>15</v>
      </c>
      <c r="F94" s="208" t="s">
        <v>15</v>
      </c>
      <c r="G94" s="185">
        <v>42940</v>
      </c>
      <c r="H94" s="524" t="str">
        <f t="shared" si="4"/>
        <v>Jul-17</v>
      </c>
      <c r="I94" s="207" t="s">
        <v>1679</v>
      </c>
      <c r="J94" s="288">
        <v>18.649999999999999</v>
      </c>
      <c r="K94" s="157"/>
      <c r="L94" s="307"/>
    </row>
    <row r="95" spans="1:12" ht="13.5" customHeight="1">
      <c r="A95" s="524" t="s">
        <v>1456</v>
      </c>
      <c r="B95" s="156" t="s">
        <v>1580</v>
      </c>
      <c r="C95" s="207" t="s">
        <v>1462</v>
      </c>
      <c r="D95" s="208" t="s">
        <v>15</v>
      </c>
      <c r="E95" s="208" t="s">
        <v>15</v>
      </c>
      <c r="F95" s="208" t="s">
        <v>15</v>
      </c>
      <c r="G95" s="185">
        <v>42947</v>
      </c>
      <c r="H95" s="524" t="str">
        <f t="shared" si="4"/>
        <v>Jul-17</v>
      </c>
      <c r="I95" s="207" t="s">
        <v>1679</v>
      </c>
      <c r="J95" s="288">
        <v>19.88</v>
      </c>
      <c r="K95" s="157"/>
      <c r="L95" s="307"/>
    </row>
    <row r="96" spans="1:12" ht="13.5" customHeight="1">
      <c r="A96" s="524" t="s">
        <v>1456</v>
      </c>
      <c r="B96" s="156" t="s">
        <v>1580</v>
      </c>
      <c r="C96" s="207" t="s">
        <v>1458</v>
      </c>
      <c r="D96" s="208" t="s">
        <v>16</v>
      </c>
      <c r="E96" s="208"/>
      <c r="F96" s="208" t="s">
        <v>1677</v>
      </c>
      <c r="G96" s="185">
        <v>42919</v>
      </c>
      <c r="H96" s="524" t="str">
        <f t="shared" si="4"/>
        <v>Jul-17</v>
      </c>
      <c r="I96" s="675" t="s">
        <v>1680</v>
      </c>
      <c r="J96" s="676">
        <v>299.74</v>
      </c>
      <c r="K96" s="157"/>
      <c r="L96" s="307"/>
    </row>
    <row r="97" spans="1:20" ht="13.5" customHeight="1">
      <c r="A97" s="524" t="s">
        <v>1456</v>
      </c>
      <c r="B97" s="156" t="s">
        <v>1580</v>
      </c>
      <c r="C97" s="207" t="s">
        <v>1459</v>
      </c>
      <c r="D97" s="208"/>
      <c r="E97" s="208"/>
      <c r="F97" s="208" t="s">
        <v>1677</v>
      </c>
      <c r="G97" s="185">
        <v>42926</v>
      </c>
      <c r="H97" s="524" t="str">
        <f t="shared" si="4"/>
        <v>Jul-17</v>
      </c>
      <c r="I97" s="675" t="s">
        <v>1680</v>
      </c>
      <c r="J97" s="676">
        <v>59.04</v>
      </c>
      <c r="K97" s="157"/>
      <c r="L97" s="307"/>
    </row>
    <row r="98" spans="1:20" ht="13.5" customHeight="1">
      <c r="A98" s="524" t="s">
        <v>1456</v>
      </c>
      <c r="B98" s="156" t="s">
        <v>1580</v>
      </c>
      <c r="C98" s="207" t="s">
        <v>1461</v>
      </c>
      <c r="D98" s="208"/>
      <c r="E98" s="208"/>
      <c r="F98" s="208" t="s">
        <v>1677</v>
      </c>
      <c r="G98" s="185">
        <v>42940</v>
      </c>
      <c r="H98" s="524" t="str">
        <f t="shared" ref="H98:H103" si="5">TEXT(G98,"mmm-yy")</f>
        <v>Jul-17</v>
      </c>
      <c r="I98" s="675" t="s">
        <v>1680</v>
      </c>
      <c r="J98" s="676">
        <v>89.22</v>
      </c>
      <c r="K98" s="157"/>
      <c r="L98" s="307"/>
    </row>
    <row r="99" spans="1:20" ht="13.5" customHeight="1">
      <c r="A99" s="524" t="s">
        <v>1456</v>
      </c>
      <c r="B99" s="156" t="s">
        <v>1580</v>
      </c>
      <c r="C99" s="207" t="s">
        <v>1462</v>
      </c>
      <c r="D99" s="208"/>
      <c r="E99" s="208"/>
      <c r="F99" s="208" t="s">
        <v>1677</v>
      </c>
      <c r="G99" s="185">
        <v>42947</v>
      </c>
      <c r="H99" s="524" t="str">
        <f t="shared" si="5"/>
        <v>Jul-17</v>
      </c>
      <c r="I99" s="675" t="s">
        <v>1680</v>
      </c>
      <c r="J99" s="676">
        <v>60.76</v>
      </c>
      <c r="K99" s="157"/>
      <c r="L99" s="307"/>
    </row>
    <row r="100" spans="1:20" ht="13.5" customHeight="1">
      <c r="A100" s="524" t="s">
        <v>1456</v>
      </c>
      <c r="B100" s="156" t="s">
        <v>1580</v>
      </c>
      <c r="C100" s="207" t="s">
        <v>1462</v>
      </c>
      <c r="D100" s="208" t="s">
        <v>15</v>
      </c>
      <c r="E100" s="208" t="s">
        <v>15</v>
      </c>
      <c r="F100" s="674" t="s">
        <v>1682</v>
      </c>
      <c r="G100" s="185">
        <v>42947</v>
      </c>
      <c r="H100" s="524" t="str">
        <f t="shared" si="5"/>
        <v>Jul-17</v>
      </c>
      <c r="I100" s="207" t="s">
        <v>1681</v>
      </c>
      <c r="J100" s="676">
        <v>3669.25</v>
      </c>
      <c r="K100" s="157"/>
      <c r="L100" s="307"/>
    </row>
    <row r="101" spans="1:20" ht="13.5" customHeight="1">
      <c r="A101" s="524" t="s">
        <v>1456</v>
      </c>
      <c r="B101" s="156" t="s">
        <v>1580</v>
      </c>
      <c r="C101" s="207" t="s">
        <v>1461</v>
      </c>
      <c r="D101" s="208" t="s">
        <v>15</v>
      </c>
      <c r="E101" s="208" t="s">
        <v>15</v>
      </c>
      <c r="F101" s="208" t="s">
        <v>15</v>
      </c>
      <c r="G101" s="185">
        <v>42940</v>
      </c>
      <c r="H101" s="524" t="str">
        <f t="shared" si="5"/>
        <v>Jul-17</v>
      </c>
      <c r="I101" s="207" t="s">
        <v>1463</v>
      </c>
      <c r="J101" s="676">
        <v>29.74</v>
      </c>
      <c r="K101" s="157"/>
      <c r="L101" s="307"/>
    </row>
    <row r="102" spans="1:20" ht="13.5" customHeight="1">
      <c r="A102" s="524" t="s">
        <v>1456</v>
      </c>
      <c r="B102" s="156" t="s">
        <v>1580</v>
      </c>
      <c r="C102" s="207" t="s">
        <v>1462</v>
      </c>
      <c r="D102" s="208" t="s">
        <v>15</v>
      </c>
      <c r="E102" s="208" t="s">
        <v>15</v>
      </c>
      <c r="F102" s="208" t="s">
        <v>15</v>
      </c>
      <c r="G102" s="185">
        <v>42947</v>
      </c>
      <c r="H102" s="524" t="str">
        <f t="shared" si="5"/>
        <v>Jul-17</v>
      </c>
      <c r="I102" s="207" t="s">
        <v>1463</v>
      </c>
      <c r="J102" s="676">
        <v>0.32</v>
      </c>
      <c r="K102" s="157"/>
      <c r="L102" s="307"/>
    </row>
    <row r="103" spans="1:20" ht="13.5" customHeight="1">
      <c r="A103" s="524" t="s">
        <v>1456</v>
      </c>
      <c r="B103" s="156" t="s">
        <v>1580</v>
      </c>
      <c r="C103" s="207" t="s">
        <v>1458</v>
      </c>
      <c r="D103" s="680" t="s">
        <v>15</v>
      </c>
      <c r="E103" s="680" t="s">
        <v>15</v>
      </c>
      <c r="F103" s="680" t="s">
        <v>15</v>
      </c>
      <c r="G103" s="185">
        <v>42919</v>
      </c>
      <c r="H103" s="524" t="str">
        <f t="shared" si="5"/>
        <v>Jul-17</v>
      </c>
      <c r="I103" s="207" t="s">
        <v>1457</v>
      </c>
      <c r="J103" s="288">
        <f>7052.7-J104-J105-J106-J107-J108-J109-J110-J111</f>
        <v>1707.8204999999998</v>
      </c>
      <c r="K103" s="157"/>
      <c r="L103" s="307"/>
    </row>
    <row r="104" spans="1:20" s="600" customFormat="1" ht="13.5" customHeight="1">
      <c r="A104" s="524" t="s">
        <v>1456</v>
      </c>
      <c r="B104" s="156" t="s">
        <v>1580</v>
      </c>
      <c r="C104" s="207" t="s">
        <v>1458</v>
      </c>
      <c r="D104" s="208" t="s">
        <v>332</v>
      </c>
      <c r="E104" s="208" t="s">
        <v>1739</v>
      </c>
      <c r="F104" s="679" t="s">
        <v>1736</v>
      </c>
      <c r="G104" s="185">
        <v>42919</v>
      </c>
      <c r="H104" s="524" t="str">
        <f t="shared" ref="H104:H111" si="6">TEXT(G104,"mmm-yy")</f>
        <v>Jul-17</v>
      </c>
      <c r="I104" s="207" t="s">
        <v>1738</v>
      </c>
      <c r="J104" s="288">
        <v>209</v>
      </c>
      <c r="K104" s="157"/>
      <c r="L104" s="307"/>
      <c r="M104" s="295"/>
      <c r="N104" s="217"/>
      <c r="R104" s="22"/>
      <c r="T104" s="47"/>
    </row>
    <row r="105" spans="1:20" s="600" customFormat="1" ht="13.5" customHeight="1">
      <c r="A105" s="524" t="s">
        <v>1456</v>
      </c>
      <c r="B105" s="156" t="s">
        <v>1580</v>
      </c>
      <c r="C105" s="207" t="s">
        <v>1458</v>
      </c>
      <c r="D105" s="208" t="s">
        <v>332</v>
      </c>
      <c r="E105" s="208" t="s">
        <v>1670</v>
      </c>
      <c r="F105" s="679" t="s">
        <v>1737</v>
      </c>
      <c r="G105" s="185">
        <v>42919</v>
      </c>
      <c r="H105" s="524" t="str">
        <f t="shared" si="6"/>
        <v>Jul-17</v>
      </c>
      <c r="I105" s="207" t="s">
        <v>1738</v>
      </c>
      <c r="J105" s="288">
        <v>507</v>
      </c>
      <c r="K105" s="157"/>
      <c r="L105" s="307"/>
      <c r="M105" s="295"/>
      <c r="N105" s="217"/>
      <c r="R105" s="22"/>
      <c r="T105" s="47"/>
    </row>
    <row r="106" spans="1:20" s="600" customFormat="1" ht="13.5" customHeight="1">
      <c r="A106" s="524" t="s">
        <v>1456</v>
      </c>
      <c r="B106" s="156" t="s">
        <v>1580</v>
      </c>
      <c r="C106" s="207" t="s">
        <v>1458</v>
      </c>
      <c r="D106" s="208" t="s">
        <v>332</v>
      </c>
      <c r="E106" s="208" t="s">
        <v>1670</v>
      </c>
      <c r="F106" s="679" t="s">
        <v>1717</v>
      </c>
      <c r="G106" s="185">
        <v>42919</v>
      </c>
      <c r="H106" s="524" t="str">
        <f t="shared" si="6"/>
        <v>Jul-17</v>
      </c>
      <c r="I106" s="207" t="s">
        <v>1738</v>
      </c>
      <c r="J106" s="288">
        <v>1198.82</v>
      </c>
      <c r="K106" s="157"/>
      <c r="L106" s="307"/>
      <c r="M106" s="295"/>
      <c r="N106" s="217"/>
      <c r="R106" s="22"/>
      <c r="T106" s="47"/>
    </row>
    <row r="107" spans="1:20" s="600" customFormat="1" ht="13.5" customHeight="1">
      <c r="A107" s="524" t="s">
        <v>1456</v>
      </c>
      <c r="B107" s="156" t="s">
        <v>1580</v>
      </c>
      <c r="C107" s="207" t="s">
        <v>1458</v>
      </c>
      <c r="D107" s="208" t="s">
        <v>332</v>
      </c>
      <c r="E107" s="208" t="s">
        <v>910</v>
      </c>
      <c r="F107" s="678" t="s">
        <v>1742</v>
      </c>
      <c r="G107" s="185">
        <v>42919</v>
      </c>
      <c r="H107" s="524" t="str">
        <f t="shared" si="6"/>
        <v>Jul-17</v>
      </c>
      <c r="I107" s="207" t="s">
        <v>1745</v>
      </c>
      <c r="J107" s="288">
        <v>524.00075000000004</v>
      </c>
      <c r="K107" s="157"/>
      <c r="L107" s="307"/>
      <c r="M107" s="295"/>
      <c r="N107" s="217"/>
      <c r="R107" s="22"/>
      <c r="T107" s="47"/>
    </row>
    <row r="108" spans="1:20" s="600" customFormat="1" ht="13.5" customHeight="1">
      <c r="A108" s="524" t="s">
        <v>1456</v>
      </c>
      <c r="B108" s="156" t="s">
        <v>1580</v>
      </c>
      <c r="C108" s="207" t="s">
        <v>1458</v>
      </c>
      <c r="D108" s="208" t="s">
        <v>332</v>
      </c>
      <c r="E108" s="208" t="s">
        <v>1739</v>
      </c>
      <c r="F108" s="678" t="s">
        <v>1736</v>
      </c>
      <c r="G108" s="185">
        <v>42919</v>
      </c>
      <c r="H108" s="524" t="str">
        <f t="shared" si="6"/>
        <v>Jul-17</v>
      </c>
      <c r="I108" s="207" t="s">
        <v>1745</v>
      </c>
      <c r="J108" s="288">
        <v>602.01575000000003</v>
      </c>
      <c r="K108" s="157"/>
      <c r="L108" s="307"/>
      <c r="M108" s="295"/>
      <c r="N108" s="217"/>
      <c r="R108" s="22"/>
      <c r="T108" s="47"/>
    </row>
    <row r="109" spans="1:20" s="600" customFormat="1" ht="13.5" customHeight="1">
      <c r="A109" s="524" t="s">
        <v>1456</v>
      </c>
      <c r="B109" s="156" t="s">
        <v>1580</v>
      </c>
      <c r="C109" s="207" t="s">
        <v>1458</v>
      </c>
      <c r="D109" s="208" t="s">
        <v>332</v>
      </c>
      <c r="E109" s="208" t="s">
        <v>1739</v>
      </c>
      <c r="F109" s="678" t="s">
        <v>1743</v>
      </c>
      <c r="G109" s="185">
        <v>42919</v>
      </c>
      <c r="H109" s="524" t="str">
        <f t="shared" si="6"/>
        <v>Jul-17</v>
      </c>
      <c r="I109" s="207" t="s">
        <v>1745</v>
      </c>
      <c r="J109" s="288">
        <v>780.15000000000009</v>
      </c>
      <c r="K109" s="157"/>
      <c r="L109" s="307"/>
      <c r="M109" s="295"/>
      <c r="N109" s="217"/>
      <c r="R109" s="22"/>
      <c r="T109" s="47"/>
    </row>
    <row r="110" spans="1:20" s="600" customFormat="1" ht="13.5" customHeight="1">
      <c r="A110" s="524" t="s">
        <v>1456</v>
      </c>
      <c r="B110" s="156" t="s">
        <v>1580</v>
      </c>
      <c r="C110" s="207" t="s">
        <v>1458</v>
      </c>
      <c r="D110" s="208" t="s">
        <v>332</v>
      </c>
      <c r="E110" s="208" t="s">
        <v>1670</v>
      </c>
      <c r="F110" s="678" t="s">
        <v>1737</v>
      </c>
      <c r="G110" s="185">
        <v>42919</v>
      </c>
      <c r="H110" s="524" t="str">
        <f t="shared" si="6"/>
        <v>Jul-17</v>
      </c>
      <c r="I110" s="207" t="s">
        <v>1745</v>
      </c>
      <c r="J110" s="288">
        <v>644.92399999999998</v>
      </c>
      <c r="K110" s="157"/>
      <c r="L110" s="307"/>
      <c r="M110" s="295"/>
      <c r="N110" s="217"/>
      <c r="R110" s="22"/>
      <c r="T110" s="47"/>
    </row>
    <row r="111" spans="1:20" s="600" customFormat="1" ht="13.5" customHeight="1">
      <c r="A111" s="524" t="s">
        <v>1456</v>
      </c>
      <c r="B111" s="156" t="s">
        <v>1580</v>
      </c>
      <c r="C111" s="207" t="s">
        <v>1458</v>
      </c>
      <c r="D111" s="208" t="s">
        <v>332</v>
      </c>
      <c r="E111" s="208" t="s">
        <v>1670</v>
      </c>
      <c r="F111" s="678" t="s">
        <v>1717</v>
      </c>
      <c r="G111" s="185">
        <v>42919</v>
      </c>
      <c r="H111" s="524" t="str">
        <f t="shared" si="6"/>
        <v>Jul-17</v>
      </c>
      <c r="I111" s="207" t="s">
        <v>1745</v>
      </c>
      <c r="J111" s="288">
        <v>878.96900000000005</v>
      </c>
      <c r="K111" s="157"/>
      <c r="L111" s="307"/>
      <c r="M111" s="295"/>
      <c r="N111" s="217"/>
      <c r="R111" s="22"/>
      <c r="T111" s="47"/>
    </row>
    <row r="112" spans="1:20" ht="13.5" customHeight="1">
      <c r="A112" s="524" t="s">
        <v>1456</v>
      </c>
      <c r="B112" s="156" t="s">
        <v>1580</v>
      </c>
      <c r="C112" s="207" t="s">
        <v>1459</v>
      </c>
      <c r="D112" s="680" t="s">
        <v>15</v>
      </c>
      <c r="E112" s="680" t="s">
        <v>15</v>
      </c>
      <c r="F112" s="680" t="s">
        <v>15</v>
      </c>
      <c r="G112" s="185">
        <v>42926</v>
      </c>
      <c r="H112" s="524" t="str">
        <f>TEXT(G112,"mmm-yy")</f>
        <v>Jul-17</v>
      </c>
      <c r="I112" s="207" t="s">
        <v>1457</v>
      </c>
      <c r="J112" s="288">
        <f>7088.21-J113-J114-J115-J116-J117-J118</f>
        <v>1404.75875</v>
      </c>
      <c r="K112" s="157"/>
      <c r="L112" s="307"/>
    </row>
    <row r="113" spans="1:20" s="600" customFormat="1" ht="13.5" customHeight="1">
      <c r="A113" s="524" t="s">
        <v>1456</v>
      </c>
      <c r="B113" s="156" t="s">
        <v>1580</v>
      </c>
      <c r="C113" s="207" t="s">
        <v>1459</v>
      </c>
      <c r="D113" s="208" t="s">
        <v>332</v>
      </c>
      <c r="E113" s="208" t="s">
        <v>1670</v>
      </c>
      <c r="F113" s="679" t="s">
        <v>1717</v>
      </c>
      <c r="G113" s="185">
        <v>42926</v>
      </c>
      <c r="H113" s="524" t="str">
        <f t="shared" ref="H113:H118" si="7">TEXT(G113,"mmm-yy")</f>
        <v>Jul-17</v>
      </c>
      <c r="I113" s="207" t="s">
        <v>1738</v>
      </c>
      <c r="J113" s="288">
        <v>1435.07</v>
      </c>
      <c r="K113" s="157"/>
      <c r="L113" s="307"/>
      <c r="M113" s="295"/>
      <c r="N113" s="217"/>
      <c r="R113" s="22"/>
      <c r="T113" s="47"/>
    </row>
    <row r="114" spans="1:20" s="600" customFormat="1" ht="13.5" customHeight="1">
      <c r="A114" s="524" t="s">
        <v>1456</v>
      </c>
      <c r="B114" s="156" t="s">
        <v>1580</v>
      </c>
      <c r="C114" s="207" t="s">
        <v>1459</v>
      </c>
      <c r="D114" s="208" t="s">
        <v>332</v>
      </c>
      <c r="E114" s="208" t="s">
        <v>910</v>
      </c>
      <c r="F114" s="679" t="s">
        <v>1735</v>
      </c>
      <c r="G114" s="185">
        <v>42926</v>
      </c>
      <c r="H114" s="524" t="str">
        <f t="shared" si="7"/>
        <v>Jul-17</v>
      </c>
      <c r="I114" s="207" t="s">
        <v>1738</v>
      </c>
      <c r="J114" s="288">
        <v>2057.46</v>
      </c>
      <c r="K114" s="157"/>
      <c r="L114" s="307"/>
      <c r="M114" s="295"/>
      <c r="N114" s="217"/>
      <c r="R114" s="22"/>
      <c r="T114" s="47"/>
    </row>
    <row r="115" spans="1:20" s="600" customFormat="1" ht="13.5" customHeight="1">
      <c r="A115" s="524" t="s">
        <v>1456</v>
      </c>
      <c r="B115" s="156" t="s">
        <v>1580</v>
      </c>
      <c r="C115" s="207" t="s">
        <v>1459</v>
      </c>
      <c r="D115" s="208" t="s">
        <v>332</v>
      </c>
      <c r="E115" s="208" t="s">
        <v>910</v>
      </c>
      <c r="F115" s="678" t="s">
        <v>1746</v>
      </c>
      <c r="G115" s="185">
        <v>42926</v>
      </c>
      <c r="H115" s="524" t="str">
        <f t="shared" si="7"/>
        <v>Jul-17</v>
      </c>
      <c r="I115" s="207" t="s">
        <v>1745</v>
      </c>
      <c r="J115" s="288">
        <v>833.46024999999997</v>
      </c>
      <c r="K115" s="157"/>
      <c r="L115" s="307"/>
      <c r="M115" s="295"/>
      <c r="N115" s="217"/>
      <c r="R115" s="22"/>
      <c r="T115" s="47"/>
    </row>
    <row r="116" spans="1:20" s="600" customFormat="1" ht="13.5" customHeight="1">
      <c r="A116" s="524" t="s">
        <v>1456</v>
      </c>
      <c r="B116" s="156" t="s">
        <v>1580</v>
      </c>
      <c r="C116" s="207" t="s">
        <v>1459</v>
      </c>
      <c r="D116" s="208" t="s">
        <v>332</v>
      </c>
      <c r="E116" s="208" t="s">
        <v>910</v>
      </c>
      <c r="F116" s="678" t="s">
        <v>1747</v>
      </c>
      <c r="G116" s="185">
        <v>42926</v>
      </c>
      <c r="H116" s="524" t="str">
        <f t="shared" si="7"/>
        <v>Jul-17</v>
      </c>
      <c r="I116" s="207" t="s">
        <v>1745</v>
      </c>
      <c r="J116" s="288">
        <v>406.97825</v>
      </c>
      <c r="K116" s="157"/>
      <c r="L116" s="307"/>
      <c r="M116" s="295"/>
      <c r="N116" s="217"/>
      <c r="R116" s="22"/>
      <c r="T116" s="47"/>
    </row>
    <row r="117" spans="1:20" s="600" customFormat="1" ht="13.5" customHeight="1">
      <c r="A117" s="524" t="s">
        <v>1456</v>
      </c>
      <c r="B117" s="156" t="s">
        <v>1580</v>
      </c>
      <c r="C117" s="207" t="s">
        <v>1459</v>
      </c>
      <c r="D117" s="208" t="s">
        <v>332</v>
      </c>
      <c r="E117" s="208" t="s">
        <v>910</v>
      </c>
      <c r="F117" s="678" t="s">
        <v>1748</v>
      </c>
      <c r="G117" s="185">
        <v>42926</v>
      </c>
      <c r="H117" s="524" t="str">
        <f t="shared" si="7"/>
        <v>Jul-17</v>
      </c>
      <c r="I117" s="207" t="s">
        <v>1745</v>
      </c>
      <c r="J117" s="288">
        <v>465.48950000000002</v>
      </c>
      <c r="K117" s="157"/>
      <c r="L117" s="307"/>
      <c r="M117" s="295"/>
      <c r="N117" s="217"/>
      <c r="R117" s="22"/>
      <c r="T117" s="47"/>
    </row>
    <row r="118" spans="1:20" s="600" customFormat="1" ht="13.5" customHeight="1">
      <c r="A118" s="524" t="s">
        <v>1456</v>
      </c>
      <c r="B118" s="156" t="s">
        <v>1580</v>
      </c>
      <c r="C118" s="207" t="s">
        <v>1459</v>
      </c>
      <c r="D118" s="208" t="s">
        <v>332</v>
      </c>
      <c r="E118" s="208" t="s">
        <v>910</v>
      </c>
      <c r="F118" s="678" t="s">
        <v>1744</v>
      </c>
      <c r="G118" s="185">
        <v>42926</v>
      </c>
      <c r="H118" s="524" t="str">
        <f t="shared" si="7"/>
        <v>Jul-17</v>
      </c>
      <c r="I118" s="207" t="s">
        <v>1745</v>
      </c>
      <c r="J118" s="288">
        <v>484.99324999999999</v>
      </c>
      <c r="K118" s="157"/>
      <c r="L118" s="307"/>
      <c r="M118" s="295"/>
      <c r="N118" s="217"/>
      <c r="R118" s="22"/>
      <c r="T118" s="47"/>
    </row>
    <row r="119" spans="1:20" ht="13.5" customHeight="1">
      <c r="A119" s="524" t="s">
        <v>1456</v>
      </c>
      <c r="B119" s="156" t="s">
        <v>1580</v>
      </c>
      <c r="C119" s="207" t="s">
        <v>1460</v>
      </c>
      <c r="D119" s="680" t="s">
        <v>15</v>
      </c>
      <c r="E119" s="680" t="s">
        <v>15</v>
      </c>
      <c r="F119" s="680" t="s">
        <v>15</v>
      </c>
      <c r="G119" s="185">
        <v>42933</v>
      </c>
      <c r="H119" s="524" t="str">
        <f>TEXT(G119,"mmm-yy")</f>
        <v>Jul-17</v>
      </c>
      <c r="I119" s="207" t="s">
        <v>1457</v>
      </c>
      <c r="J119" s="288">
        <f>6888.26-J120-J121-J122-J124-J123-J125-J126-J127-J128</f>
        <v>2175.5592500000002</v>
      </c>
      <c r="K119" s="157"/>
      <c r="L119" s="307"/>
    </row>
    <row r="120" spans="1:20" s="600" customFormat="1" ht="13.5" customHeight="1">
      <c r="A120" s="524" t="s">
        <v>1456</v>
      </c>
      <c r="B120" s="156" t="s">
        <v>1580</v>
      </c>
      <c r="C120" s="207" t="s">
        <v>1460</v>
      </c>
      <c r="D120" s="208" t="s">
        <v>332</v>
      </c>
      <c r="E120" s="208" t="s">
        <v>1670</v>
      </c>
      <c r="F120" s="679" t="s">
        <v>1717</v>
      </c>
      <c r="G120" s="185">
        <v>42933</v>
      </c>
      <c r="H120" s="524" t="str">
        <f t="shared" ref="H120:H128" si="8">TEXT(G120,"mmm-yy")</f>
        <v>Jul-17</v>
      </c>
      <c r="I120" s="207" t="s">
        <v>1738</v>
      </c>
      <c r="J120" s="288">
        <v>718.79</v>
      </c>
      <c r="K120" s="157"/>
      <c r="L120" s="307"/>
      <c r="M120" s="295"/>
      <c r="N120" s="217"/>
      <c r="R120" s="22"/>
      <c r="T120" s="47"/>
    </row>
    <row r="121" spans="1:20" s="600" customFormat="1" ht="13.5" customHeight="1">
      <c r="A121" s="524" t="s">
        <v>1456</v>
      </c>
      <c r="B121" s="156" t="s">
        <v>1580</v>
      </c>
      <c r="C121" s="207" t="s">
        <v>1460</v>
      </c>
      <c r="D121" s="208" t="s">
        <v>332</v>
      </c>
      <c r="E121" s="208" t="s">
        <v>910</v>
      </c>
      <c r="F121" s="679" t="s">
        <v>1721</v>
      </c>
      <c r="G121" s="185">
        <v>42933</v>
      </c>
      <c r="H121" s="524" t="str">
        <f t="shared" si="8"/>
        <v>Jul-17</v>
      </c>
      <c r="I121" s="207" t="s">
        <v>1738</v>
      </c>
      <c r="J121" s="288">
        <v>179</v>
      </c>
      <c r="K121" s="157"/>
      <c r="L121" s="307"/>
      <c r="M121" s="295"/>
      <c r="N121" s="217"/>
      <c r="R121" s="22"/>
      <c r="T121" s="47"/>
    </row>
    <row r="122" spans="1:20" s="600" customFormat="1" ht="13.5" customHeight="1">
      <c r="A122" s="524" t="s">
        <v>1456</v>
      </c>
      <c r="B122" s="156" t="s">
        <v>1580</v>
      </c>
      <c r="C122" s="207" t="s">
        <v>1460</v>
      </c>
      <c r="D122" s="208" t="s">
        <v>332</v>
      </c>
      <c r="E122" s="208" t="s">
        <v>1739</v>
      </c>
      <c r="F122" s="679" t="s">
        <v>1722</v>
      </c>
      <c r="G122" s="185">
        <v>42933</v>
      </c>
      <c r="H122" s="524" t="str">
        <f t="shared" si="8"/>
        <v>Jul-17</v>
      </c>
      <c r="I122" s="207" t="s">
        <v>1738</v>
      </c>
      <c r="J122" s="288">
        <v>164</v>
      </c>
      <c r="K122" s="157"/>
      <c r="L122" s="307"/>
      <c r="M122" s="295"/>
      <c r="N122" s="217"/>
      <c r="R122" s="22"/>
      <c r="T122" s="47"/>
    </row>
    <row r="123" spans="1:20" s="600" customFormat="1" ht="13.5" customHeight="1">
      <c r="A123" s="524" t="s">
        <v>1456</v>
      </c>
      <c r="B123" s="156" t="s">
        <v>1580</v>
      </c>
      <c r="C123" s="207" t="s">
        <v>1460</v>
      </c>
      <c r="D123" s="208" t="s">
        <v>332</v>
      </c>
      <c r="E123" s="208" t="s">
        <v>1739</v>
      </c>
      <c r="F123" s="679" t="s">
        <v>1723</v>
      </c>
      <c r="G123" s="185">
        <v>42933</v>
      </c>
      <c r="H123" s="524" t="str">
        <f t="shared" si="8"/>
        <v>Jul-17</v>
      </c>
      <c r="I123" s="207" t="s">
        <v>1738</v>
      </c>
      <c r="J123" s="288">
        <v>268</v>
      </c>
      <c r="K123" s="157"/>
      <c r="L123" s="307"/>
      <c r="M123" s="295"/>
      <c r="N123" s="217"/>
      <c r="R123" s="22"/>
      <c r="T123" s="47"/>
    </row>
    <row r="124" spans="1:20" s="600" customFormat="1" ht="13.5" customHeight="1">
      <c r="A124" s="524" t="s">
        <v>1456</v>
      </c>
      <c r="B124" s="156" t="s">
        <v>1580</v>
      </c>
      <c r="C124" s="207" t="s">
        <v>1460</v>
      </c>
      <c r="D124" s="208" t="s">
        <v>332</v>
      </c>
      <c r="E124" s="208" t="s">
        <v>910</v>
      </c>
      <c r="F124" s="679" t="s">
        <v>1724</v>
      </c>
      <c r="G124" s="185">
        <v>42933</v>
      </c>
      <c r="H124" s="524" t="str">
        <f t="shared" si="8"/>
        <v>Jul-17</v>
      </c>
      <c r="I124" s="207" t="s">
        <v>1738</v>
      </c>
      <c r="J124" s="288">
        <v>209</v>
      </c>
      <c r="K124" s="157"/>
      <c r="L124" s="307"/>
      <c r="M124" s="295"/>
      <c r="N124" s="217"/>
      <c r="R124" s="22"/>
      <c r="T124" s="47"/>
    </row>
    <row r="125" spans="1:20" s="600" customFormat="1" ht="13.5" customHeight="1">
      <c r="A125" s="524" t="s">
        <v>1456</v>
      </c>
      <c r="B125" s="156" t="s">
        <v>1580</v>
      </c>
      <c r="C125" s="207" t="s">
        <v>1460</v>
      </c>
      <c r="D125" s="208" t="s">
        <v>332</v>
      </c>
      <c r="E125" s="208" t="s">
        <v>910</v>
      </c>
      <c r="F125" s="678" t="s">
        <v>1721</v>
      </c>
      <c r="G125" s="185">
        <v>42933</v>
      </c>
      <c r="H125" s="524" t="str">
        <f t="shared" si="8"/>
        <v>Jul-17</v>
      </c>
      <c r="I125" s="207" t="s">
        <v>1745</v>
      </c>
      <c r="J125" s="288">
        <v>1181.92725</v>
      </c>
      <c r="K125" s="157"/>
      <c r="L125" s="307"/>
      <c r="M125" s="295"/>
      <c r="N125" s="217"/>
      <c r="R125" s="22"/>
      <c r="T125" s="47"/>
    </row>
    <row r="126" spans="1:20" s="600" customFormat="1" ht="13.5" customHeight="1">
      <c r="A126" s="524" t="s">
        <v>1456</v>
      </c>
      <c r="B126" s="156" t="s">
        <v>1580</v>
      </c>
      <c r="C126" s="207" t="s">
        <v>1460</v>
      </c>
      <c r="D126" s="208" t="s">
        <v>332</v>
      </c>
      <c r="E126" s="208" t="s">
        <v>1739</v>
      </c>
      <c r="F126" s="678" t="s">
        <v>1722</v>
      </c>
      <c r="G126" s="185">
        <v>42933</v>
      </c>
      <c r="H126" s="524" t="str">
        <f t="shared" si="8"/>
        <v>Jul-17</v>
      </c>
      <c r="I126" s="207" t="s">
        <v>1745</v>
      </c>
      <c r="J126" s="288">
        <v>1061.0040000000001</v>
      </c>
      <c r="K126" s="157"/>
      <c r="L126" s="307"/>
      <c r="M126" s="295"/>
      <c r="N126" s="217"/>
      <c r="R126" s="22"/>
      <c r="T126" s="47"/>
    </row>
    <row r="127" spans="1:20" s="600" customFormat="1" ht="13.5" customHeight="1">
      <c r="A127" s="524" t="s">
        <v>1456</v>
      </c>
      <c r="B127" s="156" t="s">
        <v>1580</v>
      </c>
      <c r="C127" s="207" t="s">
        <v>1460</v>
      </c>
      <c r="D127" s="208" t="s">
        <v>332</v>
      </c>
      <c r="E127" s="208" t="s">
        <v>1739</v>
      </c>
      <c r="F127" s="678" t="s">
        <v>1723</v>
      </c>
      <c r="G127" s="185">
        <v>42933</v>
      </c>
      <c r="H127" s="524" t="str">
        <f t="shared" si="8"/>
        <v>Jul-17</v>
      </c>
      <c r="I127" s="207" t="s">
        <v>1745</v>
      </c>
      <c r="J127" s="288">
        <v>465.48950000000002</v>
      </c>
      <c r="K127" s="157"/>
      <c r="L127" s="307"/>
      <c r="M127" s="295"/>
      <c r="N127" s="217"/>
      <c r="R127" s="22"/>
      <c r="T127" s="47"/>
    </row>
    <row r="128" spans="1:20" s="600" customFormat="1" ht="13.5" customHeight="1">
      <c r="A128" s="524" t="s">
        <v>1456</v>
      </c>
      <c r="B128" s="156" t="s">
        <v>1580</v>
      </c>
      <c r="C128" s="207" t="s">
        <v>1460</v>
      </c>
      <c r="D128" s="208" t="s">
        <v>332</v>
      </c>
      <c r="E128" s="208" t="s">
        <v>910</v>
      </c>
      <c r="F128" s="678" t="s">
        <v>1724</v>
      </c>
      <c r="G128" s="185">
        <v>42933</v>
      </c>
      <c r="H128" s="524" t="str">
        <f t="shared" si="8"/>
        <v>Jul-17</v>
      </c>
      <c r="I128" s="207" t="s">
        <v>1745</v>
      </c>
      <c r="J128" s="288">
        <v>465.49</v>
      </c>
      <c r="K128" s="157"/>
      <c r="L128" s="307"/>
      <c r="M128" s="295"/>
      <c r="N128" s="217"/>
      <c r="R128" s="22"/>
      <c r="T128" s="47"/>
    </row>
    <row r="129" spans="1:20" ht="13.5" customHeight="1">
      <c r="A129" s="524" t="s">
        <v>1456</v>
      </c>
      <c r="B129" s="156" t="s">
        <v>1580</v>
      </c>
      <c r="C129" s="207" t="s">
        <v>1461</v>
      </c>
      <c r="D129" s="680" t="s">
        <v>15</v>
      </c>
      <c r="E129" s="680" t="s">
        <v>15</v>
      </c>
      <c r="F129" s="680" t="s">
        <v>15</v>
      </c>
      <c r="G129" s="185">
        <v>42940</v>
      </c>
      <c r="H129" s="524" t="str">
        <f>TEXT(G129,"mmm-yy")</f>
        <v>Jul-17</v>
      </c>
      <c r="I129" s="207" t="s">
        <v>1457</v>
      </c>
      <c r="J129" s="288">
        <f>6661.48-J130-J131-J132-J133-J134-J135-J136</f>
        <v>2175.4824999999996</v>
      </c>
      <c r="K129" s="157"/>
      <c r="L129" s="307"/>
    </row>
    <row r="130" spans="1:20" s="600" customFormat="1" ht="13.5" customHeight="1">
      <c r="A130" s="524" t="s">
        <v>1456</v>
      </c>
      <c r="B130" s="156" t="s">
        <v>1580</v>
      </c>
      <c r="C130" s="207" t="s">
        <v>1461</v>
      </c>
      <c r="D130" s="208" t="s">
        <v>332</v>
      </c>
      <c r="E130" s="208" t="s">
        <v>1670</v>
      </c>
      <c r="F130" s="679" t="s">
        <v>1717</v>
      </c>
      <c r="G130" s="185">
        <v>42940</v>
      </c>
      <c r="H130" s="524" t="str">
        <f t="shared" ref="H130:H136" si="9">TEXT(G130,"mmm-yy")</f>
        <v>Jul-17</v>
      </c>
      <c r="I130" s="207" t="s">
        <v>1738</v>
      </c>
      <c r="J130" s="288">
        <v>1351.49</v>
      </c>
      <c r="K130" s="157"/>
      <c r="L130" s="307"/>
      <c r="M130" s="295"/>
      <c r="N130" s="217"/>
      <c r="R130" s="22"/>
      <c r="T130" s="47"/>
    </row>
    <row r="131" spans="1:20" s="600" customFormat="1" ht="13.5" customHeight="1">
      <c r="A131" s="524" t="s">
        <v>1456</v>
      </c>
      <c r="B131" s="156" t="s">
        <v>1580</v>
      </c>
      <c r="C131" s="207" t="s">
        <v>1461</v>
      </c>
      <c r="D131" s="208" t="s">
        <v>332</v>
      </c>
      <c r="E131" s="208" t="s">
        <v>910</v>
      </c>
      <c r="F131" s="679" t="s">
        <v>1724</v>
      </c>
      <c r="G131" s="185">
        <v>42940</v>
      </c>
      <c r="H131" s="524" t="str">
        <f t="shared" si="9"/>
        <v>Jul-17</v>
      </c>
      <c r="I131" s="207" t="s">
        <v>1738</v>
      </c>
      <c r="J131" s="288">
        <v>343</v>
      </c>
      <c r="K131" s="157"/>
      <c r="L131" s="307"/>
      <c r="M131" s="295"/>
      <c r="N131" s="217"/>
      <c r="R131" s="22"/>
      <c r="T131" s="47"/>
    </row>
    <row r="132" spans="1:20" s="600" customFormat="1" ht="13.5" customHeight="1">
      <c r="A132" s="524" t="s">
        <v>1456</v>
      </c>
      <c r="B132" s="156" t="s">
        <v>1580</v>
      </c>
      <c r="C132" s="207" t="s">
        <v>1461</v>
      </c>
      <c r="D132" s="208" t="s">
        <v>332</v>
      </c>
      <c r="E132" s="208" t="s">
        <v>910</v>
      </c>
      <c r="F132" s="679" t="s">
        <v>1740</v>
      </c>
      <c r="G132" s="185">
        <v>42940</v>
      </c>
      <c r="H132" s="524" t="str">
        <f t="shared" si="9"/>
        <v>Jul-17</v>
      </c>
      <c r="I132" s="207" t="s">
        <v>1738</v>
      </c>
      <c r="J132" s="288">
        <v>152</v>
      </c>
      <c r="K132" s="157"/>
      <c r="L132" s="307"/>
      <c r="M132" s="295"/>
      <c r="N132" s="217"/>
      <c r="R132" s="22"/>
      <c r="T132" s="47"/>
    </row>
    <row r="133" spans="1:20" s="600" customFormat="1" ht="13.5" customHeight="1">
      <c r="A133" s="524" t="s">
        <v>1456</v>
      </c>
      <c r="B133" s="156" t="s">
        <v>1580</v>
      </c>
      <c r="C133" s="207" t="s">
        <v>1461</v>
      </c>
      <c r="D133" s="208" t="s">
        <v>332</v>
      </c>
      <c r="E133" s="208" t="s">
        <v>910</v>
      </c>
      <c r="F133" s="678" t="s">
        <v>1724</v>
      </c>
      <c r="G133" s="185">
        <v>42940</v>
      </c>
      <c r="H133" s="524" t="str">
        <f t="shared" si="9"/>
        <v>Jul-17</v>
      </c>
      <c r="I133" s="207" t="s">
        <v>1745</v>
      </c>
      <c r="J133" s="288">
        <v>930.97900000000004</v>
      </c>
      <c r="K133" s="157"/>
      <c r="L133" s="307"/>
      <c r="M133" s="295"/>
      <c r="N133" s="217"/>
      <c r="R133" s="22"/>
      <c r="T133" s="47"/>
    </row>
    <row r="134" spans="1:20" s="600" customFormat="1" ht="13.5" customHeight="1">
      <c r="A134" s="524" t="s">
        <v>1456</v>
      </c>
      <c r="B134" s="156" t="s">
        <v>1580</v>
      </c>
      <c r="C134" s="207" t="s">
        <v>1461</v>
      </c>
      <c r="D134" s="208" t="s">
        <v>332</v>
      </c>
      <c r="E134" s="208" t="s">
        <v>910</v>
      </c>
      <c r="F134" s="678" t="s">
        <v>1725</v>
      </c>
      <c r="G134" s="185">
        <v>42940</v>
      </c>
      <c r="H134" s="524" t="str">
        <f t="shared" si="9"/>
        <v>Jul-17</v>
      </c>
      <c r="I134" s="207" t="s">
        <v>1745</v>
      </c>
      <c r="J134" s="288">
        <v>621.51949999999999</v>
      </c>
      <c r="K134" s="157"/>
      <c r="L134" s="307"/>
      <c r="M134" s="295"/>
      <c r="N134" s="217"/>
      <c r="R134" s="22"/>
      <c r="T134" s="47"/>
    </row>
    <row r="135" spans="1:20" s="600" customFormat="1" ht="13.5" customHeight="1">
      <c r="A135" s="524" t="s">
        <v>1456</v>
      </c>
      <c r="B135" s="156" t="s">
        <v>1580</v>
      </c>
      <c r="C135" s="207" t="s">
        <v>1461</v>
      </c>
      <c r="D135" s="208" t="s">
        <v>332</v>
      </c>
      <c r="E135" s="208" t="s">
        <v>1739</v>
      </c>
      <c r="F135" s="678" t="s">
        <v>1726</v>
      </c>
      <c r="G135" s="185">
        <v>42940</v>
      </c>
      <c r="H135" s="524" t="str">
        <f t="shared" si="9"/>
        <v>Jul-17</v>
      </c>
      <c r="I135" s="207" t="s">
        <v>1745</v>
      </c>
      <c r="J135" s="288">
        <v>621.51949999999999</v>
      </c>
      <c r="K135" s="157"/>
      <c r="L135" s="307"/>
      <c r="M135" s="295"/>
      <c r="N135" s="217"/>
      <c r="R135" s="22"/>
      <c r="T135" s="47"/>
    </row>
    <row r="136" spans="1:20" s="600" customFormat="1" ht="13.5" customHeight="1">
      <c r="A136" s="524" t="s">
        <v>1456</v>
      </c>
      <c r="B136" s="156" t="s">
        <v>1580</v>
      </c>
      <c r="C136" s="207" t="s">
        <v>1461</v>
      </c>
      <c r="D136" s="208" t="s">
        <v>332</v>
      </c>
      <c r="E136" s="208" t="s">
        <v>910</v>
      </c>
      <c r="F136" s="678" t="s">
        <v>1750</v>
      </c>
      <c r="G136" s="185">
        <v>42940</v>
      </c>
      <c r="H136" s="524" t="str">
        <f t="shared" si="9"/>
        <v>Jul-17</v>
      </c>
      <c r="I136" s="207" t="s">
        <v>1745</v>
      </c>
      <c r="J136" s="288">
        <v>465.48950000000002</v>
      </c>
      <c r="K136" s="157"/>
      <c r="L136" s="307"/>
      <c r="M136" s="295"/>
      <c r="N136" s="217"/>
      <c r="R136" s="22"/>
      <c r="T136" s="47"/>
    </row>
    <row r="137" spans="1:20" ht="13.5" customHeight="1">
      <c r="A137" s="524" t="s">
        <v>1456</v>
      </c>
      <c r="B137" s="156" t="s">
        <v>1580</v>
      </c>
      <c r="C137" s="207" t="s">
        <v>1462</v>
      </c>
      <c r="D137" s="680" t="s">
        <v>15</v>
      </c>
      <c r="E137" s="680" t="s">
        <v>15</v>
      </c>
      <c r="F137" s="680" t="s">
        <v>15</v>
      </c>
      <c r="G137" s="185">
        <v>42947</v>
      </c>
      <c r="H137" s="524" t="str">
        <f t="shared" ref="H137:H155" si="10">TEXT(G137,"mmm-yy")</f>
        <v>Jul-17</v>
      </c>
      <c r="I137" s="207" t="s">
        <v>1457</v>
      </c>
      <c r="J137" s="288">
        <f>8190.36-J138-J139-J140-J141</f>
        <v>2363.1750499999989</v>
      </c>
      <c r="K137" s="157"/>
      <c r="L137" s="307"/>
    </row>
    <row r="138" spans="1:20" s="600" customFormat="1" ht="13.5" customHeight="1">
      <c r="A138" s="524" t="s">
        <v>1456</v>
      </c>
      <c r="B138" s="156" t="s">
        <v>1580</v>
      </c>
      <c r="C138" s="207" t="s">
        <v>1462</v>
      </c>
      <c r="D138" s="208" t="s">
        <v>332</v>
      </c>
      <c r="E138" s="208" t="s">
        <v>1670</v>
      </c>
      <c r="F138" s="679" t="s">
        <v>1717</v>
      </c>
      <c r="G138" s="185">
        <v>42947</v>
      </c>
      <c r="H138" s="524" t="str">
        <f t="shared" si="10"/>
        <v>Jul-17</v>
      </c>
      <c r="I138" s="207" t="s">
        <v>1738</v>
      </c>
      <c r="J138" s="288">
        <v>1094.3399999999999</v>
      </c>
      <c r="K138" s="157"/>
      <c r="L138" s="307"/>
      <c r="M138" s="295"/>
      <c r="N138" s="217"/>
      <c r="R138" s="22"/>
      <c r="T138" s="47"/>
    </row>
    <row r="139" spans="1:20" s="600" customFormat="1" ht="13.5" customHeight="1">
      <c r="A139" s="524" t="s">
        <v>1456</v>
      </c>
      <c r="B139" s="156" t="s">
        <v>781</v>
      </c>
      <c r="C139" s="207" t="s">
        <v>1462</v>
      </c>
      <c r="D139" s="208" t="s">
        <v>332</v>
      </c>
      <c r="E139" s="208" t="s">
        <v>908</v>
      </c>
      <c r="F139" s="679" t="s">
        <v>1741</v>
      </c>
      <c r="G139" s="185">
        <v>42947</v>
      </c>
      <c r="H139" s="524" t="str">
        <f t="shared" si="10"/>
        <v>Jul-17</v>
      </c>
      <c r="I139" s="207" t="s">
        <v>1738</v>
      </c>
      <c r="J139" s="288">
        <v>2262.63</v>
      </c>
      <c r="K139" s="157"/>
      <c r="L139" s="307"/>
      <c r="M139" s="295"/>
      <c r="N139" s="217"/>
      <c r="R139" s="22"/>
      <c r="T139" s="47"/>
    </row>
    <row r="140" spans="1:20" s="600" customFormat="1" ht="13.5" customHeight="1">
      <c r="A140" s="524" t="s">
        <v>1456</v>
      </c>
      <c r="B140" s="156" t="s">
        <v>1580</v>
      </c>
      <c r="C140" s="207" t="s">
        <v>1462</v>
      </c>
      <c r="D140" s="208" t="s">
        <v>332</v>
      </c>
      <c r="E140" s="208" t="s">
        <v>910</v>
      </c>
      <c r="F140" s="678" t="s">
        <v>1727</v>
      </c>
      <c r="G140" s="185">
        <v>42947</v>
      </c>
      <c r="H140" s="524" t="str">
        <f t="shared" si="10"/>
        <v>Jul-17</v>
      </c>
      <c r="I140" s="207" t="s">
        <v>1745</v>
      </c>
      <c r="J140" s="288">
        <v>504.49700000000001</v>
      </c>
      <c r="K140" s="157"/>
      <c r="L140" s="307"/>
      <c r="M140" s="295"/>
      <c r="N140" s="217"/>
      <c r="R140" s="22"/>
      <c r="T140" s="47"/>
    </row>
    <row r="141" spans="1:20" s="600" customFormat="1" ht="13.5" customHeight="1">
      <c r="A141" s="524" t="s">
        <v>1456</v>
      </c>
      <c r="B141" s="156" t="s">
        <v>1580</v>
      </c>
      <c r="C141" s="207" t="s">
        <v>1462</v>
      </c>
      <c r="D141" s="208" t="s">
        <v>332</v>
      </c>
      <c r="E141" s="208" t="s">
        <v>910</v>
      </c>
      <c r="F141" s="678" t="s">
        <v>1728</v>
      </c>
      <c r="G141" s="185">
        <v>42947</v>
      </c>
      <c r="H141" s="524" t="str">
        <f t="shared" si="10"/>
        <v>Jul-17</v>
      </c>
      <c r="I141" s="207" t="s">
        <v>1745</v>
      </c>
      <c r="J141" s="288">
        <v>1965.71795</v>
      </c>
      <c r="K141" s="157"/>
      <c r="L141" s="307"/>
      <c r="M141" s="295"/>
      <c r="N141" s="217"/>
      <c r="R141" s="22"/>
      <c r="T141" s="47"/>
    </row>
    <row r="142" spans="1:20" ht="13.5" customHeight="1">
      <c r="A142" s="524" t="s">
        <v>1456</v>
      </c>
      <c r="B142" s="156" t="s">
        <v>1580</v>
      </c>
      <c r="C142" s="207" t="s">
        <v>1462</v>
      </c>
      <c r="D142" s="208" t="s">
        <v>15</v>
      </c>
      <c r="E142" s="208" t="s">
        <v>15</v>
      </c>
      <c r="F142" s="208" t="s">
        <v>15</v>
      </c>
      <c r="G142" s="185">
        <v>42947</v>
      </c>
      <c r="H142" s="524" t="str">
        <f t="shared" si="10"/>
        <v>Jul-17</v>
      </c>
      <c r="I142" s="207" t="s">
        <v>1683</v>
      </c>
      <c r="J142" s="288">
        <v>4136.92</v>
      </c>
      <c r="K142" s="157"/>
      <c r="L142" s="307"/>
    </row>
    <row r="143" spans="1:20" ht="13.5" customHeight="1">
      <c r="A143" s="524" t="s">
        <v>1456</v>
      </c>
      <c r="B143" s="156" t="s">
        <v>1580</v>
      </c>
      <c r="C143" s="207" t="s">
        <v>1458</v>
      </c>
      <c r="D143" s="208" t="s">
        <v>15</v>
      </c>
      <c r="E143" s="208" t="s">
        <v>15</v>
      </c>
      <c r="F143" s="208" t="s">
        <v>15</v>
      </c>
      <c r="G143" s="185">
        <v>42919</v>
      </c>
      <c r="H143" s="524" t="str">
        <f t="shared" si="10"/>
        <v>Jul-17</v>
      </c>
      <c r="I143" s="207" t="s">
        <v>1749</v>
      </c>
      <c r="J143" s="288">
        <v>1041.9000000000001</v>
      </c>
      <c r="K143" s="157"/>
      <c r="L143" s="307"/>
    </row>
    <row r="144" spans="1:20" ht="13.5" customHeight="1">
      <c r="A144" s="524" t="s">
        <v>1456</v>
      </c>
      <c r="B144" s="156" t="s">
        <v>1580</v>
      </c>
      <c r="C144" s="207" t="s">
        <v>1459</v>
      </c>
      <c r="D144" s="208" t="s">
        <v>15</v>
      </c>
      <c r="E144" s="208" t="s">
        <v>15</v>
      </c>
      <c r="F144" s="208" t="s">
        <v>15</v>
      </c>
      <c r="G144" s="185">
        <v>42926</v>
      </c>
      <c r="H144" s="524" t="str">
        <f t="shared" si="10"/>
        <v>Jul-17</v>
      </c>
      <c r="I144" s="207" t="s">
        <v>1749</v>
      </c>
      <c r="J144" s="288">
        <v>830.21</v>
      </c>
      <c r="K144" s="157"/>
      <c r="L144" s="307"/>
    </row>
    <row r="145" spans="1:20" ht="13.5" customHeight="1">
      <c r="A145" s="524" t="s">
        <v>1456</v>
      </c>
      <c r="B145" s="156" t="s">
        <v>1580</v>
      </c>
      <c r="C145" s="207" t="s">
        <v>1460</v>
      </c>
      <c r="D145" s="208" t="s">
        <v>15</v>
      </c>
      <c r="E145" s="208" t="s">
        <v>15</v>
      </c>
      <c r="F145" s="208" t="s">
        <v>15</v>
      </c>
      <c r="G145" s="185">
        <v>42933</v>
      </c>
      <c r="H145" s="524" t="str">
        <f t="shared" si="10"/>
        <v>Jul-17</v>
      </c>
      <c r="I145" s="207" t="s">
        <v>1749</v>
      </c>
      <c r="J145" s="288">
        <v>1236.81</v>
      </c>
      <c r="K145" s="157"/>
      <c r="L145" s="307"/>
    </row>
    <row r="146" spans="1:20" ht="13.5" customHeight="1">
      <c r="A146" s="524" t="s">
        <v>1456</v>
      </c>
      <c r="B146" s="156" t="s">
        <v>1580</v>
      </c>
      <c r="C146" s="207" t="s">
        <v>1461</v>
      </c>
      <c r="D146" s="208" t="s">
        <v>15</v>
      </c>
      <c r="E146" s="208" t="s">
        <v>15</v>
      </c>
      <c r="F146" s="208" t="s">
        <v>15</v>
      </c>
      <c r="G146" s="185">
        <v>42940</v>
      </c>
      <c r="H146" s="524" t="str">
        <f t="shared" si="10"/>
        <v>Jul-17</v>
      </c>
      <c r="I146" s="207" t="s">
        <v>1749</v>
      </c>
      <c r="J146" s="288">
        <v>1052.51</v>
      </c>
      <c r="K146" s="157"/>
      <c r="L146" s="307"/>
    </row>
    <row r="147" spans="1:20" ht="13.5" customHeight="1">
      <c r="A147" s="524" t="s">
        <v>1456</v>
      </c>
      <c r="B147" s="156" t="s">
        <v>1580</v>
      </c>
      <c r="C147" s="207" t="s">
        <v>1462</v>
      </c>
      <c r="D147" s="208" t="s">
        <v>15</v>
      </c>
      <c r="E147" s="208" t="s">
        <v>15</v>
      </c>
      <c r="F147" s="208" t="s">
        <v>15</v>
      </c>
      <c r="G147" s="185">
        <v>42947</v>
      </c>
      <c r="H147" s="524" t="str">
        <f t="shared" si="10"/>
        <v>Jul-17</v>
      </c>
      <c r="I147" s="207" t="s">
        <v>1749</v>
      </c>
      <c r="J147" s="288">
        <v>1029.71</v>
      </c>
      <c r="K147" s="157"/>
      <c r="L147" s="307"/>
    </row>
    <row r="148" spans="1:20" ht="13.5" customHeight="1">
      <c r="A148" s="524" t="s">
        <v>1456</v>
      </c>
      <c r="B148" s="156" t="s">
        <v>1580</v>
      </c>
      <c r="C148" s="207" t="s">
        <v>1458</v>
      </c>
      <c r="D148" s="208" t="s">
        <v>15</v>
      </c>
      <c r="E148" s="208" t="s">
        <v>15</v>
      </c>
      <c r="F148" s="208" t="s">
        <v>15</v>
      </c>
      <c r="G148" s="185">
        <v>42919</v>
      </c>
      <c r="H148" s="524" t="str">
        <f t="shared" si="10"/>
        <v>Jul-17</v>
      </c>
      <c r="I148" s="207" t="s">
        <v>1688</v>
      </c>
      <c r="J148" s="288">
        <v>92.44</v>
      </c>
      <c r="K148" s="157"/>
      <c r="L148" s="307"/>
    </row>
    <row r="149" spans="1:20" ht="13.5" customHeight="1">
      <c r="A149" s="524" t="s">
        <v>1456</v>
      </c>
      <c r="B149" s="156" t="s">
        <v>1580</v>
      </c>
      <c r="C149" s="207" t="s">
        <v>1459</v>
      </c>
      <c r="D149" s="208" t="s">
        <v>15</v>
      </c>
      <c r="E149" s="208" t="s">
        <v>15</v>
      </c>
      <c r="F149" s="208" t="s">
        <v>15</v>
      </c>
      <c r="G149" s="185">
        <v>42926</v>
      </c>
      <c r="H149" s="524" t="str">
        <f t="shared" si="10"/>
        <v>Jul-17</v>
      </c>
      <c r="I149" s="207" t="s">
        <v>1688</v>
      </c>
      <c r="J149" s="288">
        <v>92.44</v>
      </c>
      <c r="K149" s="157"/>
      <c r="L149" s="307"/>
    </row>
    <row r="150" spans="1:20" ht="13.5" customHeight="1">
      <c r="A150" s="524" t="s">
        <v>1456</v>
      </c>
      <c r="B150" s="156" t="s">
        <v>1580</v>
      </c>
      <c r="C150" s="207" t="s">
        <v>1460</v>
      </c>
      <c r="D150" s="208" t="s">
        <v>15</v>
      </c>
      <c r="E150" s="208" t="s">
        <v>15</v>
      </c>
      <c r="F150" s="208" t="s">
        <v>15</v>
      </c>
      <c r="G150" s="185">
        <v>42933</v>
      </c>
      <c r="H150" s="524" t="str">
        <f t="shared" si="10"/>
        <v>Jul-17</v>
      </c>
      <c r="I150" s="207" t="s">
        <v>1688</v>
      </c>
      <c r="J150" s="288">
        <v>92.44</v>
      </c>
      <c r="K150" s="157"/>
      <c r="L150" s="307"/>
    </row>
    <row r="151" spans="1:20" ht="13.5" customHeight="1">
      <c r="A151" s="524" t="s">
        <v>1456</v>
      </c>
      <c r="B151" s="156" t="s">
        <v>1580</v>
      </c>
      <c r="C151" s="207" t="s">
        <v>1461</v>
      </c>
      <c r="D151" s="208" t="s">
        <v>15</v>
      </c>
      <c r="E151" s="208" t="s">
        <v>15</v>
      </c>
      <c r="F151" s="208" t="s">
        <v>15</v>
      </c>
      <c r="G151" s="185">
        <v>42940</v>
      </c>
      <c r="H151" s="524" t="str">
        <f t="shared" si="10"/>
        <v>Jul-17</v>
      </c>
      <c r="I151" s="207" t="s">
        <v>1688</v>
      </c>
      <c r="J151" s="288">
        <v>92.44</v>
      </c>
      <c r="K151" s="157"/>
      <c r="L151" s="307"/>
    </row>
    <row r="152" spans="1:20" ht="13.5" customHeight="1">
      <c r="A152" s="524" t="s">
        <v>1456</v>
      </c>
      <c r="B152" s="156" t="s">
        <v>1580</v>
      </c>
      <c r="C152" s="207" t="s">
        <v>1462</v>
      </c>
      <c r="D152" s="208" t="s">
        <v>15</v>
      </c>
      <c r="E152" s="208" t="s">
        <v>15</v>
      </c>
      <c r="F152" s="208" t="s">
        <v>15</v>
      </c>
      <c r="G152" s="185">
        <v>42947</v>
      </c>
      <c r="H152" s="524" t="str">
        <f t="shared" si="10"/>
        <v>Jul-17</v>
      </c>
      <c r="I152" s="207" t="s">
        <v>1688</v>
      </c>
      <c r="J152" s="288">
        <v>92.44</v>
      </c>
      <c r="K152" s="157"/>
      <c r="L152" s="307"/>
    </row>
    <row r="153" spans="1:20" ht="13.5" customHeight="1">
      <c r="A153" s="524" t="s">
        <v>1456</v>
      </c>
      <c r="B153" s="156" t="s">
        <v>1580</v>
      </c>
      <c r="C153" s="207" t="s">
        <v>1686</v>
      </c>
      <c r="D153" s="208" t="s">
        <v>15</v>
      </c>
      <c r="E153" s="208" t="s">
        <v>15</v>
      </c>
      <c r="F153" s="208" t="s">
        <v>15</v>
      </c>
      <c r="G153" s="185">
        <v>42947</v>
      </c>
      <c r="H153" s="524" t="str">
        <f t="shared" si="10"/>
        <v>Jul-17</v>
      </c>
      <c r="I153" s="207" t="s">
        <v>1684</v>
      </c>
      <c r="J153" s="288">
        <v>69.38</v>
      </c>
      <c r="K153" s="157"/>
      <c r="L153" s="307"/>
    </row>
    <row r="154" spans="1:20" ht="13.5" customHeight="1">
      <c r="A154" s="524" t="s">
        <v>1456</v>
      </c>
      <c r="B154" s="156" t="s">
        <v>1580</v>
      </c>
      <c r="C154" s="207" t="s">
        <v>1687</v>
      </c>
      <c r="D154" s="208" t="s">
        <v>15</v>
      </c>
      <c r="E154" s="208" t="s">
        <v>15</v>
      </c>
      <c r="F154" s="208" t="s">
        <v>15</v>
      </c>
      <c r="G154" s="185">
        <v>42947</v>
      </c>
      <c r="H154" s="524" t="str">
        <f t="shared" si="10"/>
        <v>Jul-17</v>
      </c>
      <c r="I154" s="207" t="s">
        <v>1685</v>
      </c>
      <c r="J154" s="288">
        <v>116.47</v>
      </c>
      <c r="K154" s="157"/>
      <c r="L154" s="307"/>
    </row>
    <row r="155" spans="1:20" ht="13.5" customHeight="1">
      <c r="A155" s="524" t="s">
        <v>1456</v>
      </c>
      <c r="B155" s="156" t="s">
        <v>1580</v>
      </c>
      <c r="C155" s="207" t="s">
        <v>1458</v>
      </c>
      <c r="D155" s="682" t="s">
        <v>15</v>
      </c>
      <c r="E155" s="682" t="s">
        <v>15</v>
      </c>
      <c r="F155" s="682" t="s">
        <v>15</v>
      </c>
      <c r="G155" s="185">
        <v>42919</v>
      </c>
      <c r="H155" s="524" t="str">
        <f t="shared" si="10"/>
        <v>Jul-17</v>
      </c>
      <c r="I155" s="207" t="s">
        <v>1464</v>
      </c>
      <c r="J155" s="288">
        <f>540.29-J156-J157-J158-J159-J160-J161-J162-J163</f>
        <v>185.84575999999993</v>
      </c>
      <c r="K155" s="157"/>
      <c r="L155" s="307"/>
    </row>
    <row r="156" spans="1:20" s="600" customFormat="1" ht="13.5" customHeight="1">
      <c r="A156" s="524" t="s">
        <v>1456</v>
      </c>
      <c r="B156" s="156" t="s">
        <v>1580</v>
      </c>
      <c r="C156" s="207" t="s">
        <v>1458</v>
      </c>
      <c r="D156" s="208" t="s">
        <v>332</v>
      </c>
      <c r="E156" s="208" t="s">
        <v>1739</v>
      </c>
      <c r="F156" s="208" t="s">
        <v>1736</v>
      </c>
      <c r="G156" s="185">
        <v>42919</v>
      </c>
      <c r="H156" s="524" t="str">
        <f t="shared" ref="H156:H163" si="11">TEXT(G156,"mmm-yy")</f>
        <v>Jul-17</v>
      </c>
      <c r="I156" s="207" t="s">
        <v>1464</v>
      </c>
      <c r="J156" s="288">
        <v>14.44</v>
      </c>
      <c r="K156" s="157"/>
      <c r="L156" s="307"/>
      <c r="M156" s="295"/>
      <c r="N156" s="217"/>
      <c r="R156" s="22"/>
      <c r="T156" s="47"/>
    </row>
    <row r="157" spans="1:20" s="600" customFormat="1" ht="13.5" customHeight="1">
      <c r="A157" s="524" t="s">
        <v>1456</v>
      </c>
      <c r="B157" s="156" t="s">
        <v>1580</v>
      </c>
      <c r="C157" s="207" t="s">
        <v>1458</v>
      </c>
      <c r="D157" s="208" t="s">
        <v>332</v>
      </c>
      <c r="E157" s="208" t="s">
        <v>1670</v>
      </c>
      <c r="F157" s="208" t="s">
        <v>1737</v>
      </c>
      <c r="G157" s="185">
        <v>42919</v>
      </c>
      <c r="H157" s="524" t="str">
        <f t="shared" si="11"/>
        <v>Jul-17</v>
      </c>
      <c r="I157" s="207" t="s">
        <v>1464</v>
      </c>
      <c r="J157" s="288">
        <v>28.88</v>
      </c>
      <c r="K157" s="157"/>
      <c r="L157" s="307"/>
      <c r="M157" s="295"/>
      <c r="N157" s="217"/>
      <c r="R157" s="22"/>
      <c r="T157" s="47"/>
    </row>
    <row r="158" spans="1:20" s="600" customFormat="1" ht="13.5" customHeight="1">
      <c r="A158" s="524" t="s">
        <v>1456</v>
      </c>
      <c r="B158" s="156" t="s">
        <v>1580</v>
      </c>
      <c r="C158" s="207" t="s">
        <v>1458</v>
      </c>
      <c r="D158" s="208" t="s">
        <v>332</v>
      </c>
      <c r="E158" s="208" t="s">
        <v>1670</v>
      </c>
      <c r="F158" s="208" t="s">
        <v>1717</v>
      </c>
      <c r="G158" s="185">
        <v>42919</v>
      </c>
      <c r="H158" s="524" t="str">
        <f t="shared" si="11"/>
        <v>Jul-17</v>
      </c>
      <c r="I158" s="207" t="s">
        <v>1464</v>
      </c>
      <c r="J158" s="288">
        <v>80.459679999999992</v>
      </c>
      <c r="K158" s="157"/>
      <c r="L158" s="307"/>
      <c r="M158" s="295"/>
      <c r="N158" s="217"/>
      <c r="R158" s="22"/>
      <c r="T158" s="47"/>
    </row>
    <row r="159" spans="1:20" s="600" customFormat="1" ht="13.5" customHeight="1">
      <c r="A159" s="524" t="s">
        <v>1456</v>
      </c>
      <c r="B159" s="156" t="s">
        <v>1580</v>
      </c>
      <c r="C159" s="207" t="s">
        <v>1458</v>
      </c>
      <c r="D159" s="208" t="s">
        <v>332</v>
      </c>
      <c r="E159" s="208" t="s">
        <v>910</v>
      </c>
      <c r="F159" s="208" t="s">
        <v>1742</v>
      </c>
      <c r="G159" s="185">
        <v>42919</v>
      </c>
      <c r="H159" s="524" t="str">
        <f t="shared" si="11"/>
        <v>Jul-17</v>
      </c>
      <c r="I159" s="207" t="s">
        <v>1464</v>
      </c>
      <c r="J159" s="288">
        <v>80.459679999999992</v>
      </c>
      <c r="K159" s="157"/>
      <c r="L159" s="307"/>
      <c r="M159" s="295"/>
      <c r="N159" s="217"/>
      <c r="R159" s="22"/>
      <c r="T159" s="47"/>
    </row>
    <row r="160" spans="1:20" s="600" customFormat="1" ht="13.5" customHeight="1">
      <c r="A160" s="524" t="s">
        <v>1456</v>
      </c>
      <c r="B160" s="156" t="s">
        <v>1580</v>
      </c>
      <c r="C160" s="207" t="s">
        <v>1458</v>
      </c>
      <c r="D160" s="208" t="s">
        <v>332</v>
      </c>
      <c r="E160" s="208" t="s">
        <v>1739</v>
      </c>
      <c r="F160" s="208" t="s">
        <v>1736</v>
      </c>
      <c r="G160" s="185">
        <v>42919</v>
      </c>
      <c r="H160" s="524" t="str">
        <f t="shared" si="11"/>
        <v>Jul-17</v>
      </c>
      <c r="I160" s="207" t="s">
        <v>1464</v>
      </c>
      <c r="J160" s="288">
        <v>37.551220000000001</v>
      </c>
      <c r="K160" s="157"/>
      <c r="L160" s="307"/>
      <c r="M160" s="295"/>
      <c r="N160" s="217"/>
      <c r="R160" s="22"/>
      <c r="T160" s="47"/>
    </row>
    <row r="161" spans="1:20" s="600" customFormat="1" ht="13.5" customHeight="1">
      <c r="A161" s="524" t="s">
        <v>1456</v>
      </c>
      <c r="B161" s="156" t="s">
        <v>1580</v>
      </c>
      <c r="C161" s="207" t="s">
        <v>1458</v>
      </c>
      <c r="D161" s="208" t="s">
        <v>332</v>
      </c>
      <c r="E161" s="208" t="s">
        <v>1739</v>
      </c>
      <c r="F161" s="208" t="s">
        <v>1743</v>
      </c>
      <c r="G161" s="185">
        <v>42919</v>
      </c>
      <c r="H161" s="524" t="str">
        <f t="shared" si="11"/>
        <v>Jul-17</v>
      </c>
      <c r="I161" s="207" t="s">
        <v>1464</v>
      </c>
      <c r="J161" s="288">
        <v>37.551220000000001</v>
      </c>
      <c r="K161" s="157"/>
      <c r="L161" s="307"/>
      <c r="M161" s="295"/>
      <c r="N161" s="217"/>
      <c r="R161" s="22"/>
      <c r="T161" s="47"/>
    </row>
    <row r="162" spans="1:20" s="600" customFormat="1" ht="13.5" customHeight="1">
      <c r="A162" s="524" t="s">
        <v>1456</v>
      </c>
      <c r="B162" s="156" t="s">
        <v>1580</v>
      </c>
      <c r="C162" s="207" t="s">
        <v>1458</v>
      </c>
      <c r="D162" s="208" t="s">
        <v>332</v>
      </c>
      <c r="E162" s="208" t="s">
        <v>1670</v>
      </c>
      <c r="F162" s="208" t="s">
        <v>1737</v>
      </c>
      <c r="G162" s="185">
        <v>42919</v>
      </c>
      <c r="H162" s="524" t="str">
        <f t="shared" si="11"/>
        <v>Jul-17</v>
      </c>
      <c r="I162" s="207" t="s">
        <v>1464</v>
      </c>
      <c r="J162" s="288">
        <v>37.551220000000001</v>
      </c>
      <c r="K162" s="157"/>
      <c r="L162" s="307"/>
      <c r="M162" s="295"/>
      <c r="N162" s="217"/>
      <c r="R162" s="22"/>
      <c r="T162" s="47"/>
    </row>
    <row r="163" spans="1:20" s="600" customFormat="1" ht="13.5" customHeight="1">
      <c r="A163" s="524" t="s">
        <v>1456</v>
      </c>
      <c r="B163" s="156" t="s">
        <v>1580</v>
      </c>
      <c r="C163" s="207" t="s">
        <v>1458</v>
      </c>
      <c r="D163" s="208" t="s">
        <v>332</v>
      </c>
      <c r="E163" s="208" t="s">
        <v>1670</v>
      </c>
      <c r="F163" s="208" t="s">
        <v>1717</v>
      </c>
      <c r="G163" s="185">
        <v>42919</v>
      </c>
      <c r="H163" s="524" t="str">
        <f t="shared" si="11"/>
        <v>Jul-17</v>
      </c>
      <c r="I163" s="207" t="s">
        <v>1464</v>
      </c>
      <c r="J163" s="288">
        <v>37.551220000000001</v>
      </c>
      <c r="K163" s="157"/>
      <c r="L163" s="307"/>
      <c r="M163" s="295"/>
      <c r="N163" s="217"/>
      <c r="R163" s="22"/>
      <c r="T163" s="47"/>
    </row>
    <row r="164" spans="1:20" ht="13.5" customHeight="1">
      <c r="A164" s="524" t="s">
        <v>1456</v>
      </c>
      <c r="B164" s="156" t="s">
        <v>1580</v>
      </c>
      <c r="C164" s="207" t="s">
        <v>1459</v>
      </c>
      <c r="D164" s="682" t="s">
        <v>15</v>
      </c>
      <c r="E164" s="682" t="s">
        <v>15</v>
      </c>
      <c r="F164" s="682" t="s">
        <v>15</v>
      </c>
      <c r="G164" s="185">
        <v>42926</v>
      </c>
      <c r="H164" s="524" t="str">
        <f>TEXT(G164,"mmm-yy")</f>
        <v>Jul-17</v>
      </c>
      <c r="I164" s="207" t="s">
        <v>1464</v>
      </c>
      <c r="J164" s="288">
        <f>540.24-J165-J166-J167-J168-J169-J170</f>
        <v>151.33470000000005</v>
      </c>
      <c r="K164" s="157"/>
      <c r="L164" s="307"/>
    </row>
    <row r="165" spans="1:20" s="600" customFormat="1" ht="13.5" customHeight="1">
      <c r="A165" s="524" t="s">
        <v>1456</v>
      </c>
      <c r="B165" s="156" t="s">
        <v>1580</v>
      </c>
      <c r="C165" s="207" t="s">
        <v>1459</v>
      </c>
      <c r="D165" s="208" t="s">
        <v>332</v>
      </c>
      <c r="E165" s="208" t="s">
        <v>1670</v>
      </c>
      <c r="F165" s="208" t="s">
        <v>1717</v>
      </c>
      <c r="G165" s="185">
        <v>42926</v>
      </c>
      <c r="H165" s="524" t="str">
        <f t="shared" ref="H165:H170" si="12">TEXT(G165,"mmm-yy")</f>
        <v>Jul-17</v>
      </c>
      <c r="I165" s="207" t="s">
        <v>1464</v>
      </c>
      <c r="J165" s="288">
        <v>80.459679999999992</v>
      </c>
      <c r="K165" s="157"/>
      <c r="L165" s="307"/>
      <c r="M165" s="295"/>
      <c r="N165" s="217"/>
      <c r="R165" s="22"/>
      <c r="T165" s="47"/>
    </row>
    <row r="166" spans="1:20" s="600" customFormat="1" ht="13.5" customHeight="1">
      <c r="A166" s="524" t="s">
        <v>1456</v>
      </c>
      <c r="B166" s="156" t="s">
        <v>1580</v>
      </c>
      <c r="C166" s="207" t="s">
        <v>1459</v>
      </c>
      <c r="D166" s="208" t="s">
        <v>332</v>
      </c>
      <c r="E166" s="208" t="s">
        <v>910</v>
      </c>
      <c r="F166" s="208" t="s">
        <v>1735</v>
      </c>
      <c r="G166" s="185">
        <v>42926</v>
      </c>
      <c r="H166" s="524" t="str">
        <f t="shared" si="12"/>
        <v>Jul-17</v>
      </c>
      <c r="I166" s="207" t="s">
        <v>1464</v>
      </c>
      <c r="J166" s="288">
        <v>120.68951999999999</v>
      </c>
      <c r="K166" s="157"/>
      <c r="L166" s="307"/>
      <c r="M166" s="295"/>
      <c r="N166" s="217"/>
      <c r="R166" s="22"/>
      <c r="T166" s="47"/>
    </row>
    <row r="167" spans="1:20" s="600" customFormat="1" ht="13.5" customHeight="1">
      <c r="A167" s="524" t="s">
        <v>1456</v>
      </c>
      <c r="B167" s="156" t="s">
        <v>1580</v>
      </c>
      <c r="C167" s="207" t="s">
        <v>1459</v>
      </c>
      <c r="D167" s="208" t="s">
        <v>332</v>
      </c>
      <c r="E167" s="208" t="s">
        <v>910</v>
      </c>
      <c r="F167" s="208" t="s">
        <v>1746</v>
      </c>
      <c r="G167" s="185">
        <v>42926</v>
      </c>
      <c r="H167" s="524" t="str">
        <f t="shared" si="12"/>
        <v>Jul-17</v>
      </c>
      <c r="I167" s="207" t="s">
        <v>1464</v>
      </c>
      <c r="J167" s="288">
        <v>75.102440000000001</v>
      </c>
      <c r="K167" s="157"/>
      <c r="L167" s="307"/>
      <c r="M167" s="295"/>
      <c r="N167" s="217"/>
      <c r="R167" s="22"/>
      <c r="T167" s="47"/>
    </row>
    <row r="168" spans="1:20" s="600" customFormat="1" ht="13.5" customHeight="1">
      <c r="A168" s="524" t="s">
        <v>1456</v>
      </c>
      <c r="B168" s="156" t="s">
        <v>1580</v>
      </c>
      <c r="C168" s="207" t="s">
        <v>1459</v>
      </c>
      <c r="D168" s="208" t="s">
        <v>332</v>
      </c>
      <c r="E168" s="208" t="s">
        <v>910</v>
      </c>
      <c r="F168" s="208" t="s">
        <v>1747</v>
      </c>
      <c r="G168" s="185">
        <v>42926</v>
      </c>
      <c r="H168" s="524" t="str">
        <f t="shared" si="12"/>
        <v>Jul-17</v>
      </c>
      <c r="I168" s="207" t="s">
        <v>1464</v>
      </c>
      <c r="J168" s="288">
        <v>37.551220000000001</v>
      </c>
      <c r="K168" s="157"/>
      <c r="L168" s="307"/>
      <c r="M168" s="295"/>
      <c r="N168" s="217"/>
      <c r="R168" s="22"/>
      <c r="T168" s="47"/>
    </row>
    <row r="169" spans="1:20" s="600" customFormat="1" ht="13.5" customHeight="1">
      <c r="A169" s="524" t="s">
        <v>1456</v>
      </c>
      <c r="B169" s="156" t="s">
        <v>1580</v>
      </c>
      <c r="C169" s="207" t="s">
        <v>1459</v>
      </c>
      <c r="D169" s="208" t="s">
        <v>332</v>
      </c>
      <c r="E169" s="208" t="s">
        <v>910</v>
      </c>
      <c r="F169" s="208" t="s">
        <v>1748</v>
      </c>
      <c r="G169" s="185">
        <v>42926</v>
      </c>
      <c r="H169" s="524" t="str">
        <f t="shared" si="12"/>
        <v>Jul-17</v>
      </c>
      <c r="I169" s="207" t="s">
        <v>1464</v>
      </c>
      <c r="J169" s="288">
        <v>37.551220000000001</v>
      </c>
      <c r="K169" s="157"/>
      <c r="L169" s="307"/>
      <c r="M169" s="295"/>
      <c r="N169" s="217"/>
      <c r="R169" s="22"/>
      <c r="T169" s="47"/>
    </row>
    <row r="170" spans="1:20" s="600" customFormat="1" ht="13.5" customHeight="1">
      <c r="A170" s="524" t="s">
        <v>1456</v>
      </c>
      <c r="B170" s="156" t="s">
        <v>1580</v>
      </c>
      <c r="C170" s="207" t="s">
        <v>1459</v>
      </c>
      <c r="D170" s="208" t="s">
        <v>332</v>
      </c>
      <c r="E170" s="208" t="s">
        <v>910</v>
      </c>
      <c r="F170" s="208" t="s">
        <v>1744</v>
      </c>
      <c r="G170" s="185">
        <v>42926</v>
      </c>
      <c r="H170" s="524" t="str">
        <f t="shared" si="12"/>
        <v>Jul-17</v>
      </c>
      <c r="I170" s="207" t="s">
        <v>1464</v>
      </c>
      <c r="J170" s="288">
        <v>37.551220000000001</v>
      </c>
      <c r="K170" s="157"/>
      <c r="L170" s="307"/>
      <c r="M170" s="295"/>
      <c r="N170" s="217"/>
      <c r="R170" s="22"/>
      <c r="T170" s="47"/>
    </row>
    <row r="171" spans="1:20" ht="13.5" customHeight="1">
      <c r="A171" s="524" t="s">
        <v>1456</v>
      </c>
      <c r="B171" s="156" t="s">
        <v>1580</v>
      </c>
      <c r="C171" s="207" t="s">
        <v>1460</v>
      </c>
      <c r="D171" s="682" t="s">
        <v>15</v>
      </c>
      <c r="E171" s="682" t="s">
        <v>15</v>
      </c>
      <c r="F171" s="682" t="s">
        <v>15</v>
      </c>
      <c r="G171" s="185">
        <v>42933</v>
      </c>
      <c r="H171" s="524" t="str">
        <f>TEXT(G171,"mmm-yy")</f>
        <v>Jul-17</v>
      </c>
      <c r="I171" s="207" t="s">
        <v>1464</v>
      </c>
      <c r="J171" s="288">
        <f>535.96-J172-J173-J174-J175-J176-J177-J178-J179-J180</f>
        <v>250.21406000000007</v>
      </c>
      <c r="K171" s="157"/>
      <c r="L171" s="307"/>
    </row>
    <row r="172" spans="1:20" s="600" customFormat="1" ht="13.5" customHeight="1">
      <c r="A172" s="524" t="s">
        <v>1456</v>
      </c>
      <c r="B172" s="156" t="s">
        <v>1580</v>
      </c>
      <c r="C172" s="207" t="s">
        <v>1460</v>
      </c>
      <c r="D172" s="208" t="s">
        <v>332</v>
      </c>
      <c r="E172" s="208" t="s">
        <v>1670</v>
      </c>
      <c r="F172" s="208" t="s">
        <v>1717</v>
      </c>
      <c r="G172" s="185">
        <v>42933</v>
      </c>
      <c r="H172" s="524" t="str">
        <f t="shared" ref="H172:H180" si="13">TEXT(G172,"mmm-yy")</f>
        <v>Jul-17</v>
      </c>
      <c r="I172" s="207" t="s">
        <v>1464</v>
      </c>
      <c r="J172" s="288">
        <v>40.229839999999996</v>
      </c>
      <c r="K172" s="157"/>
      <c r="L172" s="307"/>
      <c r="M172" s="295"/>
      <c r="N172" s="217"/>
      <c r="R172" s="22"/>
      <c r="T172" s="47"/>
    </row>
    <row r="173" spans="1:20" s="600" customFormat="1" ht="13.5" customHeight="1">
      <c r="A173" s="524" t="s">
        <v>1456</v>
      </c>
      <c r="B173" s="156" t="s">
        <v>1580</v>
      </c>
      <c r="C173" s="207" t="s">
        <v>1460</v>
      </c>
      <c r="D173" s="208" t="s">
        <v>332</v>
      </c>
      <c r="E173" s="208" t="s">
        <v>910</v>
      </c>
      <c r="F173" s="208" t="s">
        <v>1721</v>
      </c>
      <c r="G173" s="185">
        <v>42933</v>
      </c>
      <c r="H173" s="524" t="str">
        <f t="shared" si="13"/>
        <v>Jul-17</v>
      </c>
      <c r="I173" s="207" t="s">
        <v>1464</v>
      </c>
      <c r="J173" s="288">
        <v>14.44</v>
      </c>
      <c r="K173" s="157"/>
      <c r="L173" s="307"/>
      <c r="M173" s="295"/>
      <c r="N173" s="217"/>
      <c r="R173" s="22"/>
      <c r="T173" s="47"/>
    </row>
    <row r="174" spans="1:20" s="600" customFormat="1" ht="13.5" customHeight="1">
      <c r="A174" s="524" t="s">
        <v>1456</v>
      </c>
      <c r="B174" s="156" t="s">
        <v>1580</v>
      </c>
      <c r="C174" s="207" t="s">
        <v>1460</v>
      </c>
      <c r="D174" s="208" t="s">
        <v>332</v>
      </c>
      <c r="E174" s="208" t="s">
        <v>1739</v>
      </c>
      <c r="F174" s="208" t="s">
        <v>1722</v>
      </c>
      <c r="G174" s="185">
        <v>42933</v>
      </c>
      <c r="H174" s="524" t="str">
        <f t="shared" si="13"/>
        <v>Jul-17</v>
      </c>
      <c r="I174" s="207" t="s">
        <v>1464</v>
      </c>
      <c r="J174" s="288">
        <v>14.44</v>
      </c>
      <c r="K174" s="157"/>
      <c r="L174" s="307"/>
      <c r="M174" s="295"/>
      <c r="N174" s="217"/>
      <c r="R174" s="22"/>
      <c r="T174" s="47"/>
    </row>
    <row r="175" spans="1:20" s="600" customFormat="1" ht="13.5" customHeight="1">
      <c r="A175" s="524" t="s">
        <v>1456</v>
      </c>
      <c r="B175" s="156" t="s">
        <v>1580</v>
      </c>
      <c r="C175" s="207" t="s">
        <v>1460</v>
      </c>
      <c r="D175" s="208" t="s">
        <v>332</v>
      </c>
      <c r="E175" s="208" t="s">
        <v>1739</v>
      </c>
      <c r="F175" s="208" t="s">
        <v>1723</v>
      </c>
      <c r="G175" s="185">
        <v>42933</v>
      </c>
      <c r="H175" s="524" t="str">
        <f t="shared" si="13"/>
        <v>Jul-17</v>
      </c>
      <c r="I175" s="207" t="s">
        <v>1464</v>
      </c>
      <c r="J175" s="288">
        <v>14.44</v>
      </c>
      <c r="K175" s="157"/>
      <c r="L175" s="307"/>
      <c r="M175" s="295"/>
      <c r="N175" s="217"/>
      <c r="R175" s="22"/>
      <c r="T175" s="47"/>
    </row>
    <row r="176" spans="1:20" s="600" customFormat="1" ht="13.5" customHeight="1">
      <c r="A176" s="524" t="s">
        <v>1456</v>
      </c>
      <c r="B176" s="156" t="s">
        <v>1580</v>
      </c>
      <c r="C176" s="207" t="s">
        <v>1460</v>
      </c>
      <c r="D176" s="208" t="s">
        <v>332</v>
      </c>
      <c r="E176" s="208" t="s">
        <v>910</v>
      </c>
      <c r="F176" s="208" t="s">
        <v>1724</v>
      </c>
      <c r="G176" s="185">
        <v>42933</v>
      </c>
      <c r="H176" s="524" t="str">
        <f t="shared" si="13"/>
        <v>Jul-17</v>
      </c>
      <c r="I176" s="207" t="s">
        <v>1464</v>
      </c>
      <c r="J176" s="288">
        <v>14.44</v>
      </c>
      <c r="K176" s="157"/>
      <c r="L176" s="307"/>
      <c r="M176" s="295"/>
      <c r="N176" s="217"/>
      <c r="R176" s="22"/>
      <c r="T176" s="47"/>
    </row>
    <row r="177" spans="1:20" s="600" customFormat="1" ht="13.5" customHeight="1">
      <c r="A177" s="524" t="s">
        <v>1456</v>
      </c>
      <c r="B177" s="156" t="s">
        <v>1580</v>
      </c>
      <c r="C177" s="207" t="s">
        <v>1460</v>
      </c>
      <c r="D177" s="208" t="s">
        <v>332</v>
      </c>
      <c r="E177" s="208" t="s">
        <v>910</v>
      </c>
      <c r="F177" s="208" t="s">
        <v>1721</v>
      </c>
      <c r="G177" s="185">
        <v>42933</v>
      </c>
      <c r="H177" s="524" t="str">
        <f t="shared" si="13"/>
        <v>Jul-17</v>
      </c>
      <c r="I177" s="207" t="s">
        <v>1464</v>
      </c>
      <c r="J177" s="288">
        <v>75.102440000000001</v>
      </c>
      <c r="K177" s="157"/>
      <c r="L177" s="307"/>
      <c r="M177" s="295"/>
      <c r="N177" s="217"/>
      <c r="R177" s="22"/>
      <c r="T177" s="47"/>
    </row>
    <row r="178" spans="1:20" s="600" customFormat="1" ht="13.5" customHeight="1">
      <c r="A178" s="524" t="s">
        <v>1456</v>
      </c>
      <c r="B178" s="156" t="s">
        <v>1580</v>
      </c>
      <c r="C178" s="207" t="s">
        <v>1460</v>
      </c>
      <c r="D178" s="208" t="s">
        <v>332</v>
      </c>
      <c r="E178" s="208" t="s">
        <v>1739</v>
      </c>
      <c r="F178" s="208" t="s">
        <v>1722</v>
      </c>
      <c r="G178" s="185">
        <v>42933</v>
      </c>
      <c r="H178" s="524" t="str">
        <f t="shared" si="13"/>
        <v>Jul-17</v>
      </c>
      <c r="I178" s="207" t="s">
        <v>1464</v>
      </c>
      <c r="J178" s="288">
        <v>37.551220000000001</v>
      </c>
      <c r="K178" s="157"/>
      <c r="L178" s="307"/>
      <c r="M178" s="295"/>
      <c r="N178" s="217"/>
      <c r="R178" s="22"/>
      <c r="T178" s="47"/>
    </row>
    <row r="179" spans="1:20" s="600" customFormat="1" ht="13.5" customHeight="1">
      <c r="A179" s="524" t="s">
        <v>1456</v>
      </c>
      <c r="B179" s="156" t="s">
        <v>1580</v>
      </c>
      <c r="C179" s="207" t="s">
        <v>1460</v>
      </c>
      <c r="D179" s="208" t="s">
        <v>332</v>
      </c>
      <c r="E179" s="208" t="s">
        <v>1739</v>
      </c>
      <c r="F179" s="208" t="s">
        <v>1723</v>
      </c>
      <c r="G179" s="185">
        <v>42933</v>
      </c>
      <c r="H179" s="524" t="str">
        <f t="shared" si="13"/>
        <v>Jul-17</v>
      </c>
      <c r="I179" s="207" t="s">
        <v>1464</v>
      </c>
      <c r="J179" s="288">
        <v>37.551220000000001</v>
      </c>
      <c r="K179" s="157"/>
      <c r="L179" s="307"/>
      <c r="M179" s="295"/>
      <c r="N179" s="217"/>
      <c r="R179" s="22"/>
      <c r="T179" s="47"/>
    </row>
    <row r="180" spans="1:20" s="600" customFormat="1" ht="13.5" customHeight="1">
      <c r="A180" s="524" t="s">
        <v>1456</v>
      </c>
      <c r="B180" s="156" t="s">
        <v>1580</v>
      </c>
      <c r="C180" s="207" t="s">
        <v>1460</v>
      </c>
      <c r="D180" s="208" t="s">
        <v>332</v>
      </c>
      <c r="E180" s="208" t="s">
        <v>910</v>
      </c>
      <c r="F180" s="208" t="s">
        <v>1724</v>
      </c>
      <c r="G180" s="185">
        <v>42933</v>
      </c>
      <c r="H180" s="524" t="str">
        <f t="shared" si="13"/>
        <v>Jul-17</v>
      </c>
      <c r="I180" s="207" t="s">
        <v>1464</v>
      </c>
      <c r="J180" s="288">
        <v>37.551220000000001</v>
      </c>
      <c r="K180" s="157"/>
      <c r="L180" s="307"/>
      <c r="M180" s="295"/>
      <c r="N180" s="217"/>
      <c r="R180" s="22"/>
      <c r="T180" s="47"/>
    </row>
    <row r="181" spans="1:20" ht="13.5" customHeight="1">
      <c r="A181" s="524" t="s">
        <v>1456</v>
      </c>
      <c r="B181" s="156" t="s">
        <v>1580</v>
      </c>
      <c r="C181" s="207" t="s">
        <v>1461</v>
      </c>
      <c r="D181" s="682" t="s">
        <v>15</v>
      </c>
      <c r="E181" s="682" t="s">
        <v>15</v>
      </c>
      <c r="F181" s="682" t="s">
        <v>15</v>
      </c>
      <c r="G181" s="185">
        <v>42940</v>
      </c>
      <c r="H181" s="524" t="str">
        <f>TEXT(G181,"mmm-yy")</f>
        <v>Jul-17</v>
      </c>
      <c r="I181" s="207" t="s">
        <v>1464</v>
      </c>
      <c r="J181" s="288">
        <f>540.24-J182-J183-J184-J185-J186-J187-J188</f>
        <v>228.70422000000002</v>
      </c>
      <c r="K181" s="157"/>
      <c r="L181" s="307"/>
    </row>
    <row r="182" spans="1:20" s="600" customFormat="1" ht="13.5" customHeight="1">
      <c r="A182" s="524" t="s">
        <v>1456</v>
      </c>
      <c r="B182" s="156" t="s">
        <v>1580</v>
      </c>
      <c r="C182" s="207" t="s">
        <v>1461</v>
      </c>
      <c r="D182" s="208" t="s">
        <v>332</v>
      </c>
      <c r="E182" s="208" t="s">
        <v>1670</v>
      </c>
      <c r="F182" s="208" t="s">
        <v>1717</v>
      </c>
      <c r="G182" s="185">
        <v>42940</v>
      </c>
      <c r="H182" s="524" t="str">
        <f t="shared" ref="H182:H188" si="14">TEXT(G182,"mmm-yy")</f>
        <v>Jul-17</v>
      </c>
      <c r="I182" s="207" t="s">
        <v>1464</v>
      </c>
      <c r="J182" s="288">
        <v>80.459679999999992</v>
      </c>
      <c r="K182" s="157"/>
      <c r="L182" s="307"/>
      <c r="M182" s="295"/>
      <c r="N182" s="217"/>
      <c r="R182" s="22"/>
      <c r="T182" s="47"/>
    </row>
    <row r="183" spans="1:20" s="600" customFormat="1" ht="13.5" customHeight="1">
      <c r="A183" s="524" t="s">
        <v>1456</v>
      </c>
      <c r="B183" s="156" t="s">
        <v>1580</v>
      </c>
      <c r="C183" s="207" t="s">
        <v>1461</v>
      </c>
      <c r="D183" s="208" t="s">
        <v>332</v>
      </c>
      <c r="E183" s="208" t="s">
        <v>910</v>
      </c>
      <c r="F183" s="208" t="s">
        <v>1724</v>
      </c>
      <c r="G183" s="185">
        <v>42940</v>
      </c>
      <c r="H183" s="524" t="str">
        <f t="shared" si="14"/>
        <v>Jul-17</v>
      </c>
      <c r="I183" s="207" t="s">
        <v>1464</v>
      </c>
      <c r="J183" s="288">
        <v>28.88</v>
      </c>
      <c r="K183" s="157"/>
      <c r="L183" s="307"/>
      <c r="M183" s="295"/>
      <c r="N183" s="217"/>
      <c r="R183" s="22"/>
      <c r="T183" s="47"/>
    </row>
    <row r="184" spans="1:20" s="600" customFormat="1" ht="13.5" customHeight="1">
      <c r="A184" s="524" t="s">
        <v>1456</v>
      </c>
      <c r="B184" s="156" t="s">
        <v>1580</v>
      </c>
      <c r="C184" s="207" t="s">
        <v>1461</v>
      </c>
      <c r="D184" s="208" t="s">
        <v>332</v>
      </c>
      <c r="E184" s="208" t="s">
        <v>910</v>
      </c>
      <c r="F184" s="208" t="s">
        <v>1740</v>
      </c>
      <c r="G184" s="185">
        <v>42940</v>
      </c>
      <c r="H184" s="524" t="str">
        <f t="shared" si="14"/>
        <v>Jul-17</v>
      </c>
      <c r="I184" s="207" t="s">
        <v>1464</v>
      </c>
      <c r="J184" s="288">
        <v>14.44</v>
      </c>
      <c r="K184" s="157"/>
      <c r="L184" s="307"/>
      <c r="M184" s="295"/>
      <c r="N184" s="217"/>
      <c r="R184" s="22"/>
      <c r="T184" s="47"/>
    </row>
    <row r="185" spans="1:20" s="600" customFormat="1" ht="13.5" customHeight="1">
      <c r="A185" s="524" t="s">
        <v>1456</v>
      </c>
      <c r="B185" s="156" t="s">
        <v>1580</v>
      </c>
      <c r="C185" s="207" t="s">
        <v>1461</v>
      </c>
      <c r="D185" s="208" t="s">
        <v>332</v>
      </c>
      <c r="E185" s="208" t="s">
        <v>910</v>
      </c>
      <c r="F185" s="208" t="s">
        <v>1724</v>
      </c>
      <c r="G185" s="185">
        <v>42940</v>
      </c>
      <c r="H185" s="524" t="str">
        <f t="shared" si="14"/>
        <v>Jul-17</v>
      </c>
      <c r="I185" s="207" t="s">
        <v>1464</v>
      </c>
      <c r="J185" s="288">
        <v>75.102440000000001</v>
      </c>
      <c r="K185" s="157"/>
      <c r="L185" s="307"/>
      <c r="M185" s="295"/>
      <c r="N185" s="217"/>
      <c r="R185" s="22"/>
      <c r="T185" s="47"/>
    </row>
    <row r="186" spans="1:20" s="600" customFormat="1" ht="13.5" customHeight="1">
      <c r="A186" s="524" t="s">
        <v>1456</v>
      </c>
      <c r="B186" s="156" t="s">
        <v>1580</v>
      </c>
      <c r="C186" s="207" t="s">
        <v>1461</v>
      </c>
      <c r="D186" s="208" t="s">
        <v>332</v>
      </c>
      <c r="E186" s="208" t="s">
        <v>910</v>
      </c>
      <c r="F186" s="208" t="s">
        <v>1725</v>
      </c>
      <c r="G186" s="185">
        <v>42940</v>
      </c>
      <c r="H186" s="524" t="str">
        <f t="shared" si="14"/>
        <v>Jul-17</v>
      </c>
      <c r="I186" s="207" t="s">
        <v>1464</v>
      </c>
      <c r="J186" s="288">
        <v>37.551220000000001</v>
      </c>
      <c r="K186" s="157"/>
      <c r="L186" s="307"/>
      <c r="M186" s="295"/>
      <c r="N186" s="217"/>
      <c r="R186" s="22"/>
      <c r="T186" s="47"/>
    </row>
    <row r="187" spans="1:20" s="600" customFormat="1" ht="13.5" customHeight="1">
      <c r="A187" s="524" t="s">
        <v>1456</v>
      </c>
      <c r="B187" s="156" t="s">
        <v>1580</v>
      </c>
      <c r="C187" s="207" t="s">
        <v>1461</v>
      </c>
      <c r="D187" s="208" t="s">
        <v>332</v>
      </c>
      <c r="E187" s="208" t="s">
        <v>1739</v>
      </c>
      <c r="F187" s="208" t="s">
        <v>1726</v>
      </c>
      <c r="G187" s="185">
        <v>42940</v>
      </c>
      <c r="H187" s="524" t="str">
        <f t="shared" si="14"/>
        <v>Jul-17</v>
      </c>
      <c r="I187" s="207" t="s">
        <v>1464</v>
      </c>
      <c r="J187" s="288">
        <v>37.551220000000001</v>
      </c>
      <c r="K187" s="157"/>
      <c r="L187" s="307"/>
      <c r="M187" s="295"/>
      <c r="N187" s="217"/>
      <c r="R187" s="22"/>
      <c r="T187" s="47"/>
    </row>
    <row r="188" spans="1:20" s="600" customFormat="1" ht="13.5" customHeight="1">
      <c r="A188" s="524" t="s">
        <v>1456</v>
      </c>
      <c r="B188" s="156" t="s">
        <v>1580</v>
      </c>
      <c r="C188" s="207" t="s">
        <v>1461</v>
      </c>
      <c r="D188" s="208" t="s">
        <v>332</v>
      </c>
      <c r="E188" s="208" t="s">
        <v>910</v>
      </c>
      <c r="F188" s="208" t="s">
        <v>1750</v>
      </c>
      <c r="G188" s="185">
        <v>42940</v>
      </c>
      <c r="H188" s="524" t="str">
        <f t="shared" si="14"/>
        <v>Jul-17</v>
      </c>
      <c r="I188" s="207" t="s">
        <v>1464</v>
      </c>
      <c r="J188" s="288">
        <v>37.551220000000001</v>
      </c>
      <c r="K188" s="157"/>
      <c r="L188" s="307"/>
      <c r="M188" s="295"/>
      <c r="N188" s="217"/>
      <c r="R188" s="22"/>
      <c r="T188" s="47"/>
    </row>
    <row r="189" spans="1:20" ht="13.5" customHeight="1">
      <c r="A189" s="524" t="s">
        <v>1456</v>
      </c>
      <c r="B189" s="156" t="s">
        <v>1580</v>
      </c>
      <c r="C189" s="207" t="s">
        <v>1462</v>
      </c>
      <c r="D189" s="682" t="s">
        <v>15</v>
      </c>
      <c r="E189" s="682" t="s">
        <v>15</v>
      </c>
      <c r="F189" s="682" t="s">
        <v>15</v>
      </c>
      <c r="G189" s="185">
        <v>42947</v>
      </c>
      <c r="H189" s="524" t="str">
        <f t="shared" ref="H189:H207" si="15">TEXT(G189,"mmm-yy")</f>
        <v>Jul-17</v>
      </c>
      <c r="I189" s="207" t="s">
        <v>1464</v>
      </c>
      <c r="J189" s="288">
        <f>540.58-J190-J191-J192-J193</f>
        <v>232.13390000000004</v>
      </c>
      <c r="K189" s="157"/>
      <c r="L189" s="307"/>
    </row>
    <row r="190" spans="1:20" s="600" customFormat="1" ht="13.5" customHeight="1">
      <c r="A190" s="524" t="s">
        <v>1456</v>
      </c>
      <c r="B190" s="156" t="s">
        <v>1580</v>
      </c>
      <c r="C190" s="207" t="s">
        <v>1462</v>
      </c>
      <c r="D190" s="208" t="s">
        <v>332</v>
      </c>
      <c r="E190" s="208" t="s">
        <v>1670</v>
      </c>
      <c r="F190" s="208" t="s">
        <v>1717</v>
      </c>
      <c r="G190" s="185">
        <v>42947</v>
      </c>
      <c r="H190" s="524" t="str">
        <f t="shared" si="15"/>
        <v>Jul-17</v>
      </c>
      <c r="I190" s="207" t="s">
        <v>1464</v>
      </c>
      <c r="J190" s="288">
        <v>80.459999999999994</v>
      </c>
      <c r="K190" s="157"/>
      <c r="L190" s="307"/>
      <c r="M190" s="295"/>
      <c r="N190" s="217"/>
      <c r="R190" s="22"/>
      <c r="T190" s="47"/>
    </row>
    <row r="191" spans="1:20" s="600" customFormat="1" ht="13.5" customHeight="1">
      <c r="A191" s="524" t="s">
        <v>1456</v>
      </c>
      <c r="B191" s="156" t="s">
        <v>781</v>
      </c>
      <c r="C191" s="207" t="s">
        <v>1462</v>
      </c>
      <c r="D191" s="208" t="s">
        <v>332</v>
      </c>
      <c r="E191" s="208" t="s">
        <v>908</v>
      </c>
      <c r="F191" s="208" t="s">
        <v>1741</v>
      </c>
      <c r="G191" s="185">
        <v>42947</v>
      </c>
      <c r="H191" s="524" t="str">
        <f t="shared" si="15"/>
        <v>Jul-17</v>
      </c>
      <c r="I191" s="207" t="s">
        <v>1464</v>
      </c>
      <c r="J191" s="288">
        <v>40.229999999999997</v>
      </c>
      <c r="K191" s="157"/>
      <c r="L191" s="307"/>
      <c r="M191" s="295"/>
      <c r="N191" s="217"/>
      <c r="R191" s="22"/>
      <c r="T191" s="47"/>
    </row>
    <row r="192" spans="1:20" s="600" customFormat="1" ht="13.5" customHeight="1">
      <c r="A192" s="524" t="s">
        <v>1456</v>
      </c>
      <c r="B192" s="156" t="s">
        <v>1580</v>
      </c>
      <c r="C192" s="207" t="s">
        <v>1462</v>
      </c>
      <c r="D192" s="208" t="s">
        <v>332</v>
      </c>
      <c r="E192" s="208" t="s">
        <v>910</v>
      </c>
      <c r="F192" s="208" t="s">
        <v>1727</v>
      </c>
      <c r="G192" s="185">
        <v>42947</v>
      </c>
      <c r="H192" s="524" t="str">
        <f t="shared" si="15"/>
        <v>Jul-17</v>
      </c>
      <c r="I192" s="207" t="s">
        <v>1464</v>
      </c>
      <c r="J192" s="288">
        <v>37.551220000000001</v>
      </c>
      <c r="K192" s="157"/>
      <c r="L192" s="307"/>
      <c r="M192" s="295"/>
      <c r="N192" s="217"/>
      <c r="R192" s="22"/>
      <c r="T192" s="47"/>
    </row>
    <row r="193" spans="1:20" s="600" customFormat="1" ht="13.5" customHeight="1">
      <c r="A193" s="524" t="s">
        <v>1456</v>
      </c>
      <c r="B193" s="156" t="s">
        <v>1580</v>
      </c>
      <c r="C193" s="207" t="s">
        <v>1462</v>
      </c>
      <c r="D193" s="208" t="s">
        <v>332</v>
      </c>
      <c r="E193" s="208" t="s">
        <v>910</v>
      </c>
      <c r="F193" s="208" t="s">
        <v>1728</v>
      </c>
      <c r="G193" s="185">
        <v>42947</v>
      </c>
      <c r="H193" s="524" t="str">
        <f t="shared" si="15"/>
        <v>Jul-17</v>
      </c>
      <c r="I193" s="207" t="s">
        <v>1464</v>
      </c>
      <c r="J193" s="288">
        <v>150.20488</v>
      </c>
      <c r="K193" s="157"/>
      <c r="L193" s="307"/>
      <c r="M193" s="295"/>
      <c r="N193" s="217"/>
      <c r="R193" s="22"/>
      <c r="T193" s="47"/>
    </row>
    <row r="194" spans="1:20" ht="13.5" customHeight="1">
      <c r="A194" s="524" t="s">
        <v>1456</v>
      </c>
      <c r="B194" s="156" t="s">
        <v>1580</v>
      </c>
      <c r="C194" s="207" t="s">
        <v>1462</v>
      </c>
      <c r="D194" s="208" t="s">
        <v>15</v>
      </c>
      <c r="E194" s="208" t="s">
        <v>15</v>
      </c>
      <c r="F194" s="208" t="s">
        <v>15</v>
      </c>
      <c r="G194" s="185">
        <v>42947</v>
      </c>
      <c r="H194" s="524" t="str">
        <f t="shared" si="15"/>
        <v>Jul-17</v>
      </c>
      <c r="I194" s="207" t="s">
        <v>1689</v>
      </c>
      <c r="J194" s="288">
        <v>397.49</v>
      </c>
      <c r="K194" s="157"/>
      <c r="L194" s="307"/>
    </row>
    <row r="195" spans="1:20" ht="13.5" customHeight="1">
      <c r="A195" s="524" t="s">
        <v>1456</v>
      </c>
      <c r="B195" s="156" t="s">
        <v>1580</v>
      </c>
      <c r="C195" s="207" t="s">
        <v>1458</v>
      </c>
      <c r="D195" s="208" t="s">
        <v>15</v>
      </c>
      <c r="E195" s="208" t="s">
        <v>15</v>
      </c>
      <c r="F195" s="208" t="s">
        <v>15</v>
      </c>
      <c r="G195" s="185">
        <v>42919</v>
      </c>
      <c r="H195" s="524" t="str">
        <f t="shared" si="15"/>
        <v>Jul-17</v>
      </c>
      <c r="I195" s="207" t="s">
        <v>1757</v>
      </c>
      <c r="J195" s="288">
        <v>67.599999999999994</v>
      </c>
      <c r="K195" s="157"/>
      <c r="L195" s="307"/>
    </row>
    <row r="196" spans="1:20" ht="13.5" customHeight="1">
      <c r="A196" s="524" t="s">
        <v>1456</v>
      </c>
      <c r="B196" s="156" t="s">
        <v>1580</v>
      </c>
      <c r="C196" s="207" t="s">
        <v>1459</v>
      </c>
      <c r="D196" s="208" t="s">
        <v>15</v>
      </c>
      <c r="E196" s="208" t="s">
        <v>15</v>
      </c>
      <c r="F196" s="208" t="s">
        <v>15</v>
      </c>
      <c r="G196" s="185">
        <v>42926</v>
      </c>
      <c r="H196" s="524" t="str">
        <f t="shared" si="15"/>
        <v>Jul-17</v>
      </c>
      <c r="I196" s="207" t="s">
        <v>1757</v>
      </c>
      <c r="J196" s="288">
        <v>75.09</v>
      </c>
      <c r="K196" s="157"/>
      <c r="L196" s="307"/>
    </row>
    <row r="197" spans="1:20" ht="13.5" customHeight="1">
      <c r="A197" s="524" t="s">
        <v>1456</v>
      </c>
      <c r="B197" s="156" t="s">
        <v>1580</v>
      </c>
      <c r="C197" s="207" t="s">
        <v>1460</v>
      </c>
      <c r="D197" s="208" t="s">
        <v>15</v>
      </c>
      <c r="E197" s="208" t="s">
        <v>15</v>
      </c>
      <c r="F197" s="208" t="s">
        <v>15</v>
      </c>
      <c r="G197" s="185">
        <v>42933</v>
      </c>
      <c r="H197" s="524" t="str">
        <f t="shared" si="15"/>
        <v>Jul-17</v>
      </c>
      <c r="I197" s="207" t="s">
        <v>1757</v>
      </c>
      <c r="J197" s="288">
        <v>75.09</v>
      </c>
      <c r="K197" s="157"/>
      <c r="L197" s="307"/>
    </row>
    <row r="198" spans="1:20" ht="13.5" customHeight="1">
      <c r="A198" s="524" t="s">
        <v>1456</v>
      </c>
      <c r="B198" s="156" t="s">
        <v>1580</v>
      </c>
      <c r="C198" s="207" t="s">
        <v>1461</v>
      </c>
      <c r="D198" s="208" t="s">
        <v>15</v>
      </c>
      <c r="E198" s="208" t="s">
        <v>15</v>
      </c>
      <c r="F198" s="208" t="s">
        <v>15</v>
      </c>
      <c r="G198" s="185">
        <v>42940</v>
      </c>
      <c r="H198" s="524" t="str">
        <f t="shared" si="15"/>
        <v>Jul-17</v>
      </c>
      <c r="I198" s="207" t="s">
        <v>1757</v>
      </c>
      <c r="J198" s="288">
        <v>75.09</v>
      </c>
      <c r="K198" s="157"/>
      <c r="L198" s="307"/>
    </row>
    <row r="199" spans="1:20" ht="13.5" customHeight="1">
      <c r="A199" s="524" t="s">
        <v>1456</v>
      </c>
      <c r="B199" s="156" t="s">
        <v>1580</v>
      </c>
      <c r="C199" s="207" t="s">
        <v>1462</v>
      </c>
      <c r="D199" s="208" t="s">
        <v>15</v>
      </c>
      <c r="E199" s="208" t="s">
        <v>15</v>
      </c>
      <c r="F199" s="208" t="s">
        <v>15</v>
      </c>
      <c r="G199" s="185">
        <v>42947</v>
      </c>
      <c r="H199" s="524" t="str">
        <f t="shared" si="15"/>
        <v>Jul-17</v>
      </c>
      <c r="I199" s="207" t="s">
        <v>1757</v>
      </c>
      <c r="J199" s="288">
        <v>75.209999999999994</v>
      </c>
      <c r="K199" s="157"/>
      <c r="L199" s="307"/>
    </row>
    <row r="200" spans="1:20" ht="13.5" customHeight="1">
      <c r="A200" s="524" t="s">
        <v>1456</v>
      </c>
      <c r="B200" s="156" t="s">
        <v>1580</v>
      </c>
      <c r="C200" s="207" t="s">
        <v>1458</v>
      </c>
      <c r="D200" s="208" t="s">
        <v>15</v>
      </c>
      <c r="E200" s="208" t="s">
        <v>15</v>
      </c>
      <c r="F200" s="208" t="s">
        <v>15</v>
      </c>
      <c r="G200" s="185">
        <v>42919</v>
      </c>
      <c r="H200" s="524" t="str">
        <f t="shared" si="15"/>
        <v>Jul-17</v>
      </c>
      <c r="I200" s="207" t="s">
        <v>1690</v>
      </c>
      <c r="J200" s="288">
        <v>23.08</v>
      </c>
      <c r="K200" s="157"/>
      <c r="L200" s="307"/>
    </row>
    <row r="201" spans="1:20" ht="13.5" customHeight="1">
      <c r="A201" s="524" t="s">
        <v>1456</v>
      </c>
      <c r="B201" s="156" t="s">
        <v>1580</v>
      </c>
      <c r="C201" s="207" t="s">
        <v>1459</v>
      </c>
      <c r="D201" s="208" t="s">
        <v>15</v>
      </c>
      <c r="E201" s="208" t="s">
        <v>15</v>
      </c>
      <c r="F201" s="208" t="s">
        <v>15</v>
      </c>
      <c r="G201" s="185">
        <v>42926</v>
      </c>
      <c r="H201" s="524" t="str">
        <f t="shared" si="15"/>
        <v>Jul-17</v>
      </c>
      <c r="I201" s="207" t="s">
        <v>1690</v>
      </c>
      <c r="J201" s="288">
        <v>23.08</v>
      </c>
      <c r="K201" s="157"/>
      <c r="L201" s="307"/>
    </row>
    <row r="202" spans="1:20" ht="13.5" customHeight="1">
      <c r="A202" s="524" t="s">
        <v>1456</v>
      </c>
      <c r="B202" s="156" t="s">
        <v>1580</v>
      </c>
      <c r="C202" s="207" t="s">
        <v>1460</v>
      </c>
      <c r="D202" s="208" t="s">
        <v>15</v>
      </c>
      <c r="E202" s="208" t="s">
        <v>15</v>
      </c>
      <c r="F202" s="208" t="s">
        <v>15</v>
      </c>
      <c r="G202" s="185">
        <v>42933</v>
      </c>
      <c r="H202" s="524" t="str">
        <f t="shared" si="15"/>
        <v>Jul-17</v>
      </c>
      <c r="I202" s="207" t="s">
        <v>1690</v>
      </c>
      <c r="J202" s="288">
        <v>23.08</v>
      </c>
      <c r="K202" s="157"/>
      <c r="L202" s="307"/>
    </row>
    <row r="203" spans="1:20" ht="13.5" customHeight="1">
      <c r="A203" s="524" t="s">
        <v>1456</v>
      </c>
      <c r="B203" s="156" t="s">
        <v>1580</v>
      </c>
      <c r="C203" s="207" t="s">
        <v>1461</v>
      </c>
      <c r="D203" s="208" t="s">
        <v>15</v>
      </c>
      <c r="E203" s="208" t="s">
        <v>15</v>
      </c>
      <c r="F203" s="208" t="s">
        <v>15</v>
      </c>
      <c r="G203" s="185">
        <v>42940</v>
      </c>
      <c r="H203" s="524" t="str">
        <f t="shared" si="15"/>
        <v>Jul-17</v>
      </c>
      <c r="I203" s="207" t="s">
        <v>1690</v>
      </c>
      <c r="J203" s="288">
        <v>23.08</v>
      </c>
      <c r="K203" s="157"/>
      <c r="L203" s="307"/>
    </row>
    <row r="204" spans="1:20" ht="13.5" customHeight="1">
      <c r="A204" s="524" t="s">
        <v>1456</v>
      </c>
      <c r="B204" s="156" t="s">
        <v>1580</v>
      </c>
      <c r="C204" s="207" t="s">
        <v>1462</v>
      </c>
      <c r="D204" s="208" t="s">
        <v>15</v>
      </c>
      <c r="E204" s="208" t="s">
        <v>15</v>
      </c>
      <c r="F204" s="208" t="s">
        <v>15</v>
      </c>
      <c r="G204" s="185">
        <v>42947</v>
      </c>
      <c r="H204" s="524" t="str">
        <f t="shared" si="15"/>
        <v>Jul-17</v>
      </c>
      <c r="I204" s="207" t="s">
        <v>1690</v>
      </c>
      <c r="J204" s="288">
        <v>23.08</v>
      </c>
      <c r="K204" s="157"/>
      <c r="L204" s="307"/>
    </row>
    <row r="205" spans="1:20" ht="13.5" customHeight="1">
      <c r="A205" s="524" t="s">
        <v>1456</v>
      </c>
      <c r="B205" s="156" t="s">
        <v>1580</v>
      </c>
      <c r="C205" s="207" t="s">
        <v>1692</v>
      </c>
      <c r="D205" s="208" t="s">
        <v>15</v>
      </c>
      <c r="E205" s="208" t="s">
        <v>15</v>
      </c>
      <c r="F205" s="208" t="s">
        <v>15</v>
      </c>
      <c r="G205" s="185">
        <v>42947</v>
      </c>
      <c r="H205" s="524" t="str">
        <f t="shared" si="15"/>
        <v>Jul-17</v>
      </c>
      <c r="I205" s="207" t="s">
        <v>1691</v>
      </c>
      <c r="J205" s="288">
        <v>25</v>
      </c>
      <c r="K205" s="157"/>
      <c r="L205" s="307"/>
    </row>
    <row r="206" spans="1:20" ht="13.5" customHeight="1">
      <c r="A206" s="524" t="s">
        <v>1456</v>
      </c>
      <c r="B206" s="156" t="s">
        <v>1580</v>
      </c>
      <c r="C206" s="207" t="s">
        <v>1458</v>
      </c>
      <c r="D206" s="208" t="s">
        <v>15</v>
      </c>
      <c r="E206" s="208" t="s">
        <v>15</v>
      </c>
      <c r="F206" s="208" t="s">
        <v>15</v>
      </c>
      <c r="G206" s="185">
        <v>42919</v>
      </c>
      <c r="H206" s="524" t="str">
        <f t="shared" si="15"/>
        <v>Jul-17</v>
      </c>
      <c r="I206" s="207" t="s">
        <v>1693</v>
      </c>
      <c r="J206" s="288">
        <v>960.5</v>
      </c>
      <c r="K206" s="157"/>
      <c r="L206" s="307"/>
    </row>
    <row r="207" spans="1:20" ht="13.5" customHeight="1">
      <c r="A207" s="524" t="s">
        <v>1456</v>
      </c>
      <c r="B207" s="156" t="s">
        <v>1580</v>
      </c>
      <c r="C207" s="207" t="s">
        <v>1459</v>
      </c>
      <c r="D207" s="208" t="s">
        <v>15</v>
      </c>
      <c r="E207" s="208" t="s">
        <v>15</v>
      </c>
      <c r="F207" s="208" t="s">
        <v>15</v>
      </c>
      <c r="G207" s="185">
        <v>42926</v>
      </c>
      <c r="H207" s="524" t="str">
        <f t="shared" si="15"/>
        <v>Jul-17</v>
      </c>
      <c r="I207" s="207" t="s">
        <v>1693</v>
      </c>
      <c r="J207" s="288">
        <v>995</v>
      </c>
      <c r="K207" s="157"/>
      <c r="L207" s="307"/>
    </row>
    <row r="208" spans="1:20" ht="13.5" customHeight="1">
      <c r="A208" s="524" t="s">
        <v>1456</v>
      </c>
      <c r="B208" s="156" t="s">
        <v>1580</v>
      </c>
      <c r="C208" s="207" t="s">
        <v>1460</v>
      </c>
      <c r="D208" s="208" t="s">
        <v>15</v>
      </c>
      <c r="E208" s="208" t="s">
        <v>15</v>
      </c>
      <c r="F208" s="208" t="s">
        <v>15</v>
      </c>
      <c r="G208" s="185">
        <v>42933</v>
      </c>
      <c r="H208" s="524" t="str">
        <f t="shared" ref="H208:H239" si="16">TEXT(G208,"mmm-yy")</f>
        <v>Jul-17</v>
      </c>
      <c r="I208" s="207" t="s">
        <v>1693</v>
      </c>
      <c r="J208" s="288">
        <v>1133.1199999999999</v>
      </c>
      <c r="K208" s="157"/>
      <c r="L208" s="307"/>
    </row>
    <row r="209" spans="1:12" ht="13.5" customHeight="1">
      <c r="A209" s="524" t="s">
        <v>1456</v>
      </c>
      <c r="B209" s="156" t="s">
        <v>1580</v>
      </c>
      <c r="C209" s="207" t="s">
        <v>1461</v>
      </c>
      <c r="D209" s="208" t="s">
        <v>15</v>
      </c>
      <c r="E209" s="208" t="s">
        <v>15</v>
      </c>
      <c r="F209" s="208" t="s">
        <v>15</v>
      </c>
      <c r="G209" s="185">
        <v>42940</v>
      </c>
      <c r="H209" s="524" t="str">
        <f t="shared" si="16"/>
        <v>Jul-17</v>
      </c>
      <c r="I209" s="207" t="s">
        <v>1693</v>
      </c>
      <c r="J209" s="288">
        <v>994.84</v>
      </c>
      <c r="K209" s="157"/>
      <c r="L209" s="307"/>
    </row>
    <row r="210" spans="1:12" ht="13.5" customHeight="1">
      <c r="A210" s="524" t="s">
        <v>1456</v>
      </c>
      <c r="B210" s="156" t="s">
        <v>1580</v>
      </c>
      <c r="C210" s="207" t="s">
        <v>1462</v>
      </c>
      <c r="D210" s="208" t="s">
        <v>15</v>
      </c>
      <c r="E210" s="208" t="s">
        <v>15</v>
      </c>
      <c r="F210" s="208" t="s">
        <v>15</v>
      </c>
      <c r="G210" s="185">
        <v>42947</v>
      </c>
      <c r="H210" s="524" t="str">
        <f t="shared" si="16"/>
        <v>Jul-17</v>
      </c>
      <c r="I210" s="207" t="s">
        <v>1693</v>
      </c>
      <c r="J210" s="288">
        <v>950</v>
      </c>
      <c r="K210" s="157"/>
      <c r="L210" s="307"/>
    </row>
    <row r="211" spans="1:12" ht="13.5" customHeight="1">
      <c r="A211" s="524" t="s">
        <v>1456</v>
      </c>
      <c r="B211" s="156" t="s">
        <v>1580</v>
      </c>
      <c r="C211" s="207" t="s">
        <v>1694</v>
      </c>
      <c r="D211" s="208" t="s">
        <v>15</v>
      </c>
      <c r="E211" s="208" t="s">
        <v>15</v>
      </c>
      <c r="F211" s="208" t="s">
        <v>15</v>
      </c>
      <c r="G211" s="185">
        <v>42947</v>
      </c>
      <c r="H211" s="524" t="str">
        <f t="shared" si="16"/>
        <v>Jul-17</v>
      </c>
      <c r="I211" s="207" t="s">
        <v>1694</v>
      </c>
      <c r="J211" s="288">
        <v>768.13</v>
      </c>
      <c r="K211" s="157"/>
      <c r="L211" s="307"/>
    </row>
    <row r="212" spans="1:12" ht="13.5" customHeight="1">
      <c r="A212" s="524" t="s">
        <v>1456</v>
      </c>
      <c r="B212" s="156" t="s">
        <v>1580</v>
      </c>
      <c r="C212" s="207" t="s">
        <v>1695</v>
      </c>
      <c r="D212" s="208" t="s">
        <v>15</v>
      </c>
      <c r="E212" s="208" t="s">
        <v>15</v>
      </c>
      <c r="F212" s="208" t="s">
        <v>15</v>
      </c>
      <c r="G212" s="185">
        <v>42947</v>
      </c>
      <c r="H212" s="524" t="str">
        <f t="shared" si="16"/>
        <v>Jul-17</v>
      </c>
      <c r="I212" s="207" t="s">
        <v>1695</v>
      </c>
      <c r="J212" s="288">
        <v>2027.25</v>
      </c>
      <c r="K212" s="157"/>
      <c r="L212" s="307"/>
    </row>
    <row r="213" spans="1:12" ht="13.5" customHeight="1">
      <c r="A213" s="157" t="s">
        <v>1465</v>
      </c>
      <c r="B213" s="156" t="s">
        <v>1580</v>
      </c>
      <c r="C213" s="207" t="s">
        <v>1467</v>
      </c>
      <c r="D213" s="208" t="s">
        <v>15</v>
      </c>
      <c r="E213" s="208" t="s">
        <v>15</v>
      </c>
      <c r="F213" s="208" t="s">
        <v>15</v>
      </c>
      <c r="G213" s="185">
        <v>42921</v>
      </c>
      <c r="H213" s="524" t="str">
        <f t="shared" si="16"/>
        <v>Jul-17</v>
      </c>
      <c r="I213" s="207" t="s">
        <v>1466</v>
      </c>
      <c r="J213" s="288">
        <v>1.6</v>
      </c>
      <c r="K213" s="157"/>
      <c r="L213" s="307"/>
    </row>
    <row r="214" spans="1:12" ht="13.5" customHeight="1">
      <c r="A214" s="157" t="s">
        <v>1465</v>
      </c>
      <c r="B214" s="156" t="s">
        <v>1580</v>
      </c>
      <c r="C214" s="207" t="s">
        <v>1468</v>
      </c>
      <c r="D214" s="208" t="s">
        <v>15</v>
      </c>
      <c r="E214" s="208" t="s">
        <v>15</v>
      </c>
      <c r="F214" s="208" t="s">
        <v>15</v>
      </c>
      <c r="G214" s="185">
        <v>42927</v>
      </c>
      <c r="H214" s="524" t="str">
        <f t="shared" si="16"/>
        <v>Jul-17</v>
      </c>
      <c r="I214" s="207" t="s">
        <v>1466</v>
      </c>
      <c r="J214" s="288">
        <v>1.6</v>
      </c>
      <c r="K214" s="157"/>
      <c r="L214" s="307"/>
    </row>
    <row r="215" spans="1:12" ht="13.5" customHeight="1">
      <c r="A215" s="157" t="s">
        <v>1375</v>
      </c>
      <c r="B215" s="156" t="s">
        <v>1580</v>
      </c>
      <c r="C215" s="207" t="s">
        <v>1380</v>
      </c>
      <c r="D215" s="208" t="s">
        <v>15</v>
      </c>
      <c r="E215" s="208" t="s">
        <v>15</v>
      </c>
      <c r="F215" s="208" t="s">
        <v>15</v>
      </c>
      <c r="G215" s="185">
        <v>42931</v>
      </c>
      <c r="H215" s="524" t="str">
        <f t="shared" si="16"/>
        <v>Jul-17</v>
      </c>
      <c r="I215" s="207" t="s">
        <v>1469</v>
      </c>
      <c r="J215" s="288">
        <v>9.5</v>
      </c>
      <c r="K215" s="157"/>
      <c r="L215" s="307"/>
    </row>
    <row r="216" spans="1:12" ht="13.5" customHeight="1">
      <c r="A216" s="157" t="s">
        <v>1465</v>
      </c>
      <c r="B216" s="156" t="s">
        <v>1580</v>
      </c>
      <c r="C216" s="207" t="s">
        <v>1470</v>
      </c>
      <c r="D216" s="208" t="s">
        <v>15</v>
      </c>
      <c r="E216" s="208" t="s">
        <v>15</v>
      </c>
      <c r="F216" s="208" t="s">
        <v>15</v>
      </c>
      <c r="G216" s="185">
        <v>42943</v>
      </c>
      <c r="H216" s="524" t="str">
        <f t="shared" si="16"/>
        <v>Jul-17</v>
      </c>
      <c r="I216" s="207" t="s">
        <v>1466</v>
      </c>
      <c r="J216" s="288">
        <v>1.6</v>
      </c>
      <c r="K216" s="157"/>
      <c r="L216" s="307"/>
    </row>
    <row r="217" spans="1:12" ht="13.5" customHeight="1">
      <c r="A217" s="157" t="s">
        <v>1465</v>
      </c>
      <c r="B217" s="156" t="s">
        <v>1580</v>
      </c>
      <c r="C217" s="207" t="s">
        <v>1472</v>
      </c>
      <c r="D217" s="208" t="s">
        <v>15</v>
      </c>
      <c r="E217" s="208" t="s">
        <v>15</v>
      </c>
      <c r="F217" s="208" t="s">
        <v>15</v>
      </c>
      <c r="G217" s="185">
        <v>42930</v>
      </c>
      <c r="H217" s="524" t="str">
        <f t="shared" si="16"/>
        <v>Jul-17</v>
      </c>
      <c r="I217" s="207" t="s">
        <v>1471</v>
      </c>
      <c r="J217" s="288">
        <v>125</v>
      </c>
      <c r="K217" s="157"/>
      <c r="L217" s="307"/>
    </row>
    <row r="218" spans="1:12" ht="13.5" customHeight="1">
      <c r="A218" s="157" t="s">
        <v>1465</v>
      </c>
      <c r="B218" s="156" t="s">
        <v>1580</v>
      </c>
      <c r="C218" s="207" t="s">
        <v>1472</v>
      </c>
      <c r="D218" s="208" t="s">
        <v>15</v>
      </c>
      <c r="E218" s="208" t="s">
        <v>15</v>
      </c>
      <c r="F218" s="208" t="s">
        <v>15</v>
      </c>
      <c r="G218" s="185">
        <v>42930</v>
      </c>
      <c r="H218" s="524" t="str">
        <f t="shared" si="16"/>
        <v>Jul-17</v>
      </c>
      <c r="I218" s="207" t="s">
        <v>1471</v>
      </c>
      <c r="J218" s="288">
        <v>125</v>
      </c>
      <c r="K218" s="157"/>
      <c r="L218" s="307"/>
    </row>
    <row r="219" spans="1:12" ht="13.5" customHeight="1">
      <c r="A219" s="157" t="s">
        <v>1465</v>
      </c>
      <c r="B219" s="156" t="s">
        <v>1580</v>
      </c>
      <c r="C219" s="207" t="s">
        <v>1472</v>
      </c>
      <c r="D219" s="208" t="s">
        <v>15</v>
      </c>
      <c r="E219" s="208" t="s">
        <v>15</v>
      </c>
      <c r="F219" s="208" t="s">
        <v>15</v>
      </c>
      <c r="G219" s="185">
        <v>42930</v>
      </c>
      <c r="H219" s="524" t="str">
        <f t="shared" si="16"/>
        <v>Jul-17</v>
      </c>
      <c r="I219" s="207" t="s">
        <v>1471</v>
      </c>
      <c r="J219" s="288">
        <v>125</v>
      </c>
      <c r="K219" s="157"/>
      <c r="L219" s="307"/>
    </row>
    <row r="220" spans="1:12" ht="13.5" customHeight="1">
      <c r="A220" s="157" t="s">
        <v>1465</v>
      </c>
      <c r="B220" s="156" t="s">
        <v>1580</v>
      </c>
      <c r="C220" s="207" t="s">
        <v>1472</v>
      </c>
      <c r="D220" s="208" t="s">
        <v>15</v>
      </c>
      <c r="E220" s="208" t="s">
        <v>15</v>
      </c>
      <c r="F220" s="208" t="s">
        <v>15</v>
      </c>
      <c r="G220" s="185">
        <v>42930</v>
      </c>
      <c r="H220" s="524" t="str">
        <f t="shared" si="16"/>
        <v>Jul-17</v>
      </c>
      <c r="I220" s="207" t="s">
        <v>1471</v>
      </c>
      <c r="J220" s="288">
        <v>125</v>
      </c>
      <c r="K220" s="157"/>
      <c r="L220" s="307"/>
    </row>
    <row r="221" spans="1:12" ht="13.5" customHeight="1">
      <c r="A221" s="524" t="s">
        <v>1375</v>
      </c>
      <c r="B221" s="156" t="s">
        <v>1580</v>
      </c>
      <c r="C221" s="207" t="s">
        <v>1474</v>
      </c>
      <c r="D221" s="208" t="s">
        <v>15</v>
      </c>
      <c r="E221" s="208" t="s">
        <v>15</v>
      </c>
      <c r="F221" s="208" t="s">
        <v>15</v>
      </c>
      <c r="G221" s="185">
        <v>42922</v>
      </c>
      <c r="H221" s="524" t="str">
        <f t="shared" si="16"/>
        <v>Jul-17</v>
      </c>
      <c r="I221" s="207" t="s">
        <v>1473</v>
      </c>
      <c r="J221" s="288">
        <v>5</v>
      </c>
      <c r="K221" s="157"/>
      <c r="L221" s="307"/>
    </row>
    <row r="222" spans="1:12" ht="13.5" customHeight="1">
      <c r="A222" s="524" t="s">
        <v>1375</v>
      </c>
      <c r="B222" s="156" t="s">
        <v>1580</v>
      </c>
      <c r="C222" s="207" t="s">
        <v>1474</v>
      </c>
      <c r="D222" s="208" t="s">
        <v>15</v>
      </c>
      <c r="E222" s="208" t="s">
        <v>15</v>
      </c>
      <c r="F222" s="208" t="s">
        <v>15</v>
      </c>
      <c r="G222" s="185">
        <v>42922</v>
      </c>
      <c r="H222" s="524" t="str">
        <f t="shared" si="16"/>
        <v>Jul-17</v>
      </c>
      <c r="I222" s="207" t="s">
        <v>1475</v>
      </c>
      <c r="J222" s="288">
        <v>14</v>
      </c>
      <c r="K222" s="157"/>
      <c r="L222" s="307"/>
    </row>
    <row r="223" spans="1:12" ht="13.5" customHeight="1">
      <c r="A223" s="524" t="s">
        <v>1375</v>
      </c>
      <c r="B223" s="156" t="s">
        <v>1580</v>
      </c>
      <c r="C223" s="207" t="s">
        <v>1474</v>
      </c>
      <c r="D223" s="208" t="s">
        <v>15</v>
      </c>
      <c r="E223" s="208" t="s">
        <v>15</v>
      </c>
      <c r="F223" s="208" t="s">
        <v>15</v>
      </c>
      <c r="G223" s="185">
        <v>42922</v>
      </c>
      <c r="H223" s="524" t="str">
        <f t="shared" si="16"/>
        <v>Jul-17</v>
      </c>
      <c r="I223" s="207" t="s">
        <v>1476</v>
      </c>
      <c r="J223" s="288">
        <v>2</v>
      </c>
      <c r="K223" s="157"/>
      <c r="L223" s="307"/>
    </row>
    <row r="224" spans="1:12" ht="13.5" customHeight="1">
      <c r="A224" s="524" t="s">
        <v>1375</v>
      </c>
      <c r="B224" s="156" t="s">
        <v>1580</v>
      </c>
      <c r="C224" s="207" t="s">
        <v>1478</v>
      </c>
      <c r="D224" s="208" t="s">
        <v>15</v>
      </c>
      <c r="E224" s="208" t="s">
        <v>15</v>
      </c>
      <c r="F224" s="208" t="s">
        <v>15</v>
      </c>
      <c r="G224" s="185">
        <v>42943</v>
      </c>
      <c r="H224" s="524" t="str">
        <f t="shared" si="16"/>
        <v>Jul-17</v>
      </c>
      <c r="I224" s="207" t="s">
        <v>1477</v>
      </c>
      <c r="J224" s="288">
        <v>22.68</v>
      </c>
      <c r="K224" s="157"/>
      <c r="L224" s="307"/>
    </row>
    <row r="225" spans="1:12" ht="13.5" customHeight="1">
      <c r="A225" s="524" t="s">
        <v>1375</v>
      </c>
      <c r="B225" s="156" t="s">
        <v>1580</v>
      </c>
      <c r="C225" s="677" t="s">
        <v>1480</v>
      </c>
      <c r="D225" s="208" t="s">
        <v>15</v>
      </c>
      <c r="E225" s="208" t="s">
        <v>15</v>
      </c>
      <c r="F225" s="208" t="s">
        <v>15</v>
      </c>
      <c r="G225" s="185">
        <v>42921</v>
      </c>
      <c r="H225" s="524" t="str">
        <f t="shared" si="16"/>
        <v>Jul-17</v>
      </c>
      <c r="I225" s="207" t="s">
        <v>1479</v>
      </c>
      <c r="J225" s="288">
        <v>9.86</v>
      </c>
      <c r="K225" s="157"/>
      <c r="L225" s="307"/>
    </row>
    <row r="226" spans="1:12" ht="13.5" customHeight="1">
      <c r="A226" s="157" t="s">
        <v>1375</v>
      </c>
      <c r="B226" s="156" t="s">
        <v>1580</v>
      </c>
      <c r="C226" s="207" t="s">
        <v>1482</v>
      </c>
      <c r="D226" s="208" t="s">
        <v>15</v>
      </c>
      <c r="E226" s="208" t="s">
        <v>15</v>
      </c>
      <c r="F226" s="208" t="s">
        <v>15</v>
      </c>
      <c r="G226" s="185">
        <v>42917</v>
      </c>
      <c r="H226" s="524" t="str">
        <f t="shared" si="16"/>
        <v>Jul-17</v>
      </c>
      <c r="I226" s="207" t="s">
        <v>1481</v>
      </c>
      <c r="J226" s="288">
        <v>74.72</v>
      </c>
      <c r="K226" s="157"/>
      <c r="L226" s="307"/>
    </row>
    <row r="227" spans="1:12" ht="13.5" customHeight="1">
      <c r="A227" s="157" t="s">
        <v>1375</v>
      </c>
      <c r="B227" s="156" t="s">
        <v>1580</v>
      </c>
      <c r="C227" s="207" t="s">
        <v>1484</v>
      </c>
      <c r="D227" s="208" t="s">
        <v>15</v>
      </c>
      <c r="E227" s="208" t="s">
        <v>15</v>
      </c>
      <c r="F227" s="208" t="s">
        <v>15</v>
      </c>
      <c r="G227" s="185">
        <v>42932</v>
      </c>
      <c r="H227" s="524" t="str">
        <f t="shared" si="16"/>
        <v>Jul-17</v>
      </c>
      <c r="I227" s="207" t="s">
        <v>1483</v>
      </c>
      <c r="J227" s="288">
        <v>74.72</v>
      </c>
      <c r="K227" s="157"/>
      <c r="L227" s="307"/>
    </row>
    <row r="228" spans="1:12" ht="13.5" customHeight="1">
      <c r="A228" s="157" t="s">
        <v>1375</v>
      </c>
      <c r="B228" s="156" t="s">
        <v>1580</v>
      </c>
      <c r="C228" s="207" t="s">
        <v>1484</v>
      </c>
      <c r="D228" s="208" t="s">
        <v>15</v>
      </c>
      <c r="E228" s="208" t="s">
        <v>15</v>
      </c>
      <c r="F228" s="208" t="s">
        <v>15</v>
      </c>
      <c r="G228" s="185">
        <v>42932</v>
      </c>
      <c r="H228" s="524" t="str">
        <f t="shared" si="16"/>
        <v>Jul-17</v>
      </c>
      <c r="I228" s="207" t="s">
        <v>1485</v>
      </c>
      <c r="J228" s="288">
        <v>13.64</v>
      </c>
      <c r="K228" s="157"/>
      <c r="L228" s="307"/>
    </row>
    <row r="229" spans="1:12" ht="13.5" customHeight="1">
      <c r="A229" s="157" t="s">
        <v>1375</v>
      </c>
      <c r="B229" s="156" t="s">
        <v>1580</v>
      </c>
      <c r="C229" s="207" t="s">
        <v>1487</v>
      </c>
      <c r="D229" s="208" t="s">
        <v>15</v>
      </c>
      <c r="E229" s="208" t="s">
        <v>15</v>
      </c>
      <c r="F229" s="208" t="s">
        <v>15</v>
      </c>
      <c r="G229" s="185">
        <v>42937</v>
      </c>
      <c r="H229" s="524" t="str">
        <f t="shared" si="16"/>
        <v>Jul-17</v>
      </c>
      <c r="I229" s="207" t="s">
        <v>1486</v>
      </c>
      <c r="J229" s="288">
        <v>136.36000000000001</v>
      </c>
      <c r="K229" s="157"/>
      <c r="L229" s="307"/>
    </row>
    <row r="230" spans="1:12" ht="13.5" customHeight="1">
      <c r="A230" s="157" t="s">
        <v>1375</v>
      </c>
      <c r="B230" s="156" t="s">
        <v>1580</v>
      </c>
      <c r="C230" s="207" t="s">
        <v>1489</v>
      </c>
      <c r="D230" s="208" t="s">
        <v>15</v>
      </c>
      <c r="E230" s="208" t="s">
        <v>15</v>
      </c>
      <c r="F230" s="208" t="s">
        <v>15</v>
      </c>
      <c r="G230" s="185">
        <v>42920</v>
      </c>
      <c r="H230" s="524" t="str">
        <f t="shared" si="16"/>
        <v>Jul-17</v>
      </c>
      <c r="I230" s="207" t="s">
        <v>1488</v>
      </c>
      <c r="J230" s="288">
        <v>17.71</v>
      </c>
      <c r="K230" s="157"/>
      <c r="L230" s="307"/>
    </row>
    <row r="231" spans="1:12" ht="13.5" customHeight="1">
      <c r="A231" s="157" t="s">
        <v>1375</v>
      </c>
      <c r="B231" s="156" t="s">
        <v>1580</v>
      </c>
      <c r="C231" s="207" t="s">
        <v>1489</v>
      </c>
      <c r="D231" s="208" t="s">
        <v>15</v>
      </c>
      <c r="E231" s="208" t="s">
        <v>15</v>
      </c>
      <c r="F231" s="208" t="s">
        <v>15</v>
      </c>
      <c r="G231" s="185">
        <v>42920</v>
      </c>
      <c r="H231" s="524" t="str">
        <f t="shared" si="16"/>
        <v>Jul-17</v>
      </c>
      <c r="I231" s="207" t="s">
        <v>1490</v>
      </c>
      <c r="J231" s="288">
        <v>15.05</v>
      </c>
      <c r="K231" s="157"/>
      <c r="L231" s="307"/>
    </row>
    <row r="232" spans="1:12" ht="13.5" customHeight="1">
      <c r="A232" s="157" t="s">
        <v>1375</v>
      </c>
      <c r="B232" s="156" t="s">
        <v>1580</v>
      </c>
      <c r="C232" s="207" t="s">
        <v>1492</v>
      </c>
      <c r="D232" s="208" t="s">
        <v>15</v>
      </c>
      <c r="E232" s="208" t="s">
        <v>15</v>
      </c>
      <c r="F232" s="208" t="s">
        <v>15</v>
      </c>
      <c r="G232" s="185">
        <v>42920</v>
      </c>
      <c r="H232" s="524" t="str">
        <f t="shared" si="16"/>
        <v>Jul-17</v>
      </c>
      <c r="I232" s="207" t="s">
        <v>1491</v>
      </c>
      <c r="J232" s="288">
        <v>7.26</v>
      </c>
      <c r="K232" s="157"/>
      <c r="L232" s="307"/>
    </row>
    <row r="233" spans="1:12" ht="13.5" customHeight="1">
      <c r="A233" s="157" t="s">
        <v>1375</v>
      </c>
      <c r="B233" s="156" t="s">
        <v>1580</v>
      </c>
      <c r="C233" s="207" t="s">
        <v>1494</v>
      </c>
      <c r="D233" s="208" t="s">
        <v>15</v>
      </c>
      <c r="E233" s="208" t="s">
        <v>761</v>
      </c>
      <c r="F233" s="157" t="s">
        <v>761</v>
      </c>
      <c r="G233" s="185">
        <v>42928</v>
      </c>
      <c r="H233" s="524" t="str">
        <f t="shared" si="16"/>
        <v>Jul-17</v>
      </c>
      <c r="I233" s="207" t="s">
        <v>1493</v>
      </c>
      <c r="J233" s="288">
        <v>54.9</v>
      </c>
      <c r="K233" s="157"/>
      <c r="L233" s="307"/>
    </row>
    <row r="234" spans="1:12" ht="13.5" customHeight="1">
      <c r="A234" s="157" t="s">
        <v>1375</v>
      </c>
      <c r="B234" s="156" t="s">
        <v>1580</v>
      </c>
      <c r="C234" s="207" t="s">
        <v>1494</v>
      </c>
      <c r="D234" s="208" t="s">
        <v>15</v>
      </c>
      <c r="E234" s="208" t="s">
        <v>761</v>
      </c>
      <c r="F234" s="157" t="s">
        <v>761</v>
      </c>
      <c r="G234" s="185">
        <v>42928</v>
      </c>
      <c r="H234" s="524" t="str">
        <f t="shared" si="16"/>
        <v>Jul-17</v>
      </c>
      <c r="I234" s="207" t="s">
        <v>1495</v>
      </c>
      <c r="J234" s="288">
        <v>36</v>
      </c>
      <c r="K234" s="157"/>
      <c r="L234" s="307"/>
    </row>
    <row r="235" spans="1:12" ht="13.5" customHeight="1">
      <c r="A235" s="157" t="s">
        <v>1375</v>
      </c>
      <c r="B235" s="156" t="s">
        <v>1580</v>
      </c>
      <c r="C235" s="207" t="s">
        <v>1410</v>
      </c>
      <c r="D235" s="208" t="s">
        <v>15</v>
      </c>
      <c r="E235" s="208" t="s">
        <v>15</v>
      </c>
      <c r="F235" s="208" t="s">
        <v>1696</v>
      </c>
      <c r="G235" s="185">
        <v>42929</v>
      </c>
      <c r="H235" s="524" t="str">
        <f t="shared" si="16"/>
        <v>Jul-17</v>
      </c>
      <c r="I235" s="207" t="s">
        <v>1496</v>
      </c>
      <c r="J235" s="288">
        <v>156</v>
      </c>
      <c r="K235" s="157"/>
      <c r="L235" s="307"/>
    </row>
    <row r="236" spans="1:12" ht="13.5" customHeight="1">
      <c r="A236" s="157" t="s">
        <v>1375</v>
      </c>
      <c r="B236" s="156" t="s">
        <v>1580</v>
      </c>
      <c r="C236" s="207" t="s">
        <v>1410</v>
      </c>
      <c r="D236" s="208" t="s">
        <v>15</v>
      </c>
      <c r="E236" s="208" t="s">
        <v>15</v>
      </c>
      <c r="F236" s="208" t="s">
        <v>1696</v>
      </c>
      <c r="G236" s="185">
        <v>42929</v>
      </c>
      <c r="H236" s="524" t="str">
        <f t="shared" si="16"/>
        <v>Jul-17</v>
      </c>
      <c r="I236" s="207" t="s">
        <v>1497</v>
      </c>
      <c r="J236" s="288">
        <v>136.80000000000001</v>
      </c>
      <c r="K236" s="157"/>
      <c r="L236" s="307"/>
    </row>
    <row r="237" spans="1:12" ht="13.5" customHeight="1">
      <c r="A237" s="157" t="s">
        <v>1375</v>
      </c>
      <c r="B237" s="156" t="s">
        <v>1580</v>
      </c>
      <c r="C237" s="207" t="s">
        <v>1499</v>
      </c>
      <c r="D237" s="208" t="s">
        <v>15</v>
      </c>
      <c r="E237" s="208" t="s">
        <v>15</v>
      </c>
      <c r="F237" s="208" t="s">
        <v>15</v>
      </c>
      <c r="G237" s="185">
        <v>42935</v>
      </c>
      <c r="H237" s="524" t="str">
        <f t="shared" si="16"/>
        <v>Jul-17</v>
      </c>
      <c r="I237" s="207" t="s">
        <v>1498</v>
      </c>
      <c r="J237" s="288">
        <v>23.64</v>
      </c>
      <c r="K237" s="157"/>
      <c r="L237" s="307"/>
    </row>
    <row r="238" spans="1:12" ht="13.5" customHeight="1">
      <c r="A238" s="157" t="s">
        <v>1375</v>
      </c>
      <c r="B238" s="156" t="s">
        <v>1580</v>
      </c>
      <c r="C238" s="207" t="s">
        <v>1501</v>
      </c>
      <c r="D238" s="208" t="s">
        <v>15</v>
      </c>
      <c r="E238" s="208" t="s">
        <v>15</v>
      </c>
      <c r="F238" s="208" t="s">
        <v>15</v>
      </c>
      <c r="G238" s="185">
        <v>42947</v>
      </c>
      <c r="H238" s="524" t="str">
        <f t="shared" si="16"/>
        <v>Jul-17</v>
      </c>
      <c r="I238" s="207" t="s">
        <v>1500</v>
      </c>
      <c r="J238" s="288">
        <v>93.9</v>
      </c>
      <c r="K238" s="157"/>
      <c r="L238" s="307"/>
    </row>
    <row r="239" spans="1:12" ht="13.5" customHeight="1">
      <c r="A239" s="157" t="s">
        <v>1375</v>
      </c>
      <c r="B239" s="156" t="s">
        <v>1580</v>
      </c>
      <c r="C239" s="207" t="s">
        <v>1501</v>
      </c>
      <c r="D239" s="208" t="s">
        <v>15</v>
      </c>
      <c r="E239" s="208" t="s">
        <v>15</v>
      </c>
      <c r="F239" s="208" t="s">
        <v>15</v>
      </c>
      <c r="G239" s="185">
        <v>42947</v>
      </c>
      <c r="H239" s="524" t="str">
        <f t="shared" si="16"/>
        <v>Jul-17</v>
      </c>
      <c r="I239" s="207" t="s">
        <v>1502</v>
      </c>
      <c r="J239" s="288">
        <v>93.9</v>
      </c>
      <c r="K239" s="157"/>
      <c r="L239" s="307"/>
    </row>
    <row r="240" spans="1:12" ht="13.5" customHeight="1">
      <c r="A240" s="157" t="s">
        <v>1375</v>
      </c>
      <c r="B240" s="156" t="s">
        <v>1580</v>
      </c>
      <c r="C240" s="207" t="s">
        <v>1501</v>
      </c>
      <c r="D240" s="208" t="s">
        <v>15</v>
      </c>
      <c r="E240" s="208" t="s">
        <v>15</v>
      </c>
      <c r="F240" s="208" t="s">
        <v>15</v>
      </c>
      <c r="G240" s="185">
        <v>42947</v>
      </c>
      <c r="H240" s="524" t="str">
        <f t="shared" ref="H240:H271" si="17">TEXT(G240,"mmm-yy")</f>
        <v>Jul-17</v>
      </c>
      <c r="I240" s="207" t="s">
        <v>1503</v>
      </c>
      <c r="J240" s="288">
        <v>13.7</v>
      </c>
      <c r="K240" s="157"/>
      <c r="L240" s="307"/>
    </row>
    <row r="241" spans="1:12" ht="13.5" customHeight="1">
      <c r="A241" s="157" t="s">
        <v>1375</v>
      </c>
      <c r="B241" s="156" t="s">
        <v>1580</v>
      </c>
      <c r="C241" s="207" t="s">
        <v>1501</v>
      </c>
      <c r="D241" s="208" t="s">
        <v>15</v>
      </c>
      <c r="E241" s="208" t="s">
        <v>15</v>
      </c>
      <c r="F241" s="208" t="s">
        <v>15</v>
      </c>
      <c r="G241" s="185">
        <v>42947</v>
      </c>
      <c r="H241" s="524" t="str">
        <f t="shared" si="17"/>
        <v>Jul-17</v>
      </c>
      <c r="I241" s="207" t="s">
        <v>1504</v>
      </c>
      <c r="J241" s="288">
        <v>13</v>
      </c>
      <c r="K241" s="157"/>
      <c r="L241" s="307"/>
    </row>
    <row r="242" spans="1:12" ht="13.5" customHeight="1">
      <c r="A242" s="157" t="s">
        <v>1375</v>
      </c>
      <c r="B242" s="156" t="s">
        <v>1580</v>
      </c>
      <c r="C242" s="207" t="s">
        <v>1501</v>
      </c>
      <c r="D242" s="208" t="s">
        <v>15</v>
      </c>
      <c r="E242" s="208" t="s">
        <v>15</v>
      </c>
      <c r="F242" s="208" t="s">
        <v>15</v>
      </c>
      <c r="G242" s="185">
        <v>42947</v>
      </c>
      <c r="H242" s="524" t="str">
        <f t="shared" si="17"/>
        <v>Jul-17</v>
      </c>
      <c r="I242" s="207" t="s">
        <v>1505</v>
      </c>
      <c r="J242" s="288">
        <v>93.9</v>
      </c>
      <c r="K242" s="157"/>
      <c r="L242" s="307"/>
    </row>
    <row r="243" spans="1:12" ht="13.5" customHeight="1">
      <c r="A243" s="157" t="s">
        <v>1375</v>
      </c>
      <c r="B243" s="156" t="s">
        <v>1580</v>
      </c>
      <c r="C243" s="207" t="s">
        <v>1501</v>
      </c>
      <c r="D243" s="208" t="s">
        <v>15</v>
      </c>
      <c r="E243" s="208" t="s">
        <v>15</v>
      </c>
      <c r="F243" s="208" t="s">
        <v>15</v>
      </c>
      <c r="G243" s="185">
        <v>42947</v>
      </c>
      <c r="H243" s="524" t="str">
        <f t="shared" si="17"/>
        <v>Jul-17</v>
      </c>
      <c r="I243" s="207" t="s">
        <v>1506</v>
      </c>
      <c r="J243" s="288">
        <v>13</v>
      </c>
      <c r="K243" s="157"/>
      <c r="L243" s="307"/>
    </row>
    <row r="244" spans="1:12" ht="13.5" customHeight="1">
      <c r="A244" s="157" t="s">
        <v>1375</v>
      </c>
      <c r="B244" s="156" t="s">
        <v>1580</v>
      </c>
      <c r="C244" s="677" t="s">
        <v>1508</v>
      </c>
      <c r="D244" s="208" t="s">
        <v>15</v>
      </c>
      <c r="E244" s="208" t="s">
        <v>15</v>
      </c>
      <c r="F244" s="208" t="s">
        <v>15</v>
      </c>
      <c r="G244" s="185">
        <v>42919</v>
      </c>
      <c r="H244" s="524" t="str">
        <f t="shared" si="17"/>
        <v>Jul-17</v>
      </c>
      <c r="I244" s="207" t="s">
        <v>1507</v>
      </c>
      <c r="J244" s="288">
        <v>4416.66</v>
      </c>
      <c r="K244" s="157"/>
      <c r="L244" s="307"/>
    </row>
    <row r="245" spans="1:12" ht="13.5" customHeight="1">
      <c r="A245" s="157" t="s">
        <v>1375</v>
      </c>
      <c r="B245" s="156" t="s">
        <v>1580</v>
      </c>
      <c r="C245" s="207" t="s">
        <v>1510</v>
      </c>
      <c r="D245" s="208" t="s">
        <v>15</v>
      </c>
      <c r="E245" s="208" t="s">
        <v>15</v>
      </c>
      <c r="F245" s="208" t="s">
        <v>15</v>
      </c>
      <c r="G245" s="185">
        <v>42929</v>
      </c>
      <c r="H245" s="524" t="str">
        <f t="shared" si="17"/>
        <v>Jul-17</v>
      </c>
      <c r="I245" s="207" t="s">
        <v>1509</v>
      </c>
      <c r="J245" s="288">
        <v>10.5</v>
      </c>
      <c r="K245" s="157"/>
      <c r="L245" s="307"/>
    </row>
    <row r="246" spans="1:12" ht="13.5" customHeight="1">
      <c r="A246" s="157" t="s">
        <v>1375</v>
      </c>
      <c r="B246" s="156" t="s">
        <v>1580</v>
      </c>
      <c r="C246" s="207" t="s">
        <v>1511</v>
      </c>
      <c r="D246" s="208" t="s">
        <v>15</v>
      </c>
      <c r="E246" s="208" t="s">
        <v>15</v>
      </c>
      <c r="F246" s="208" t="s">
        <v>15</v>
      </c>
      <c r="G246" s="185">
        <v>42922</v>
      </c>
      <c r="H246" s="524" t="str">
        <f t="shared" si="17"/>
        <v>Jul-17</v>
      </c>
      <c r="I246" s="207" t="s">
        <v>1697</v>
      </c>
      <c r="J246" s="288">
        <v>132.75</v>
      </c>
      <c r="K246" s="157"/>
      <c r="L246" s="307"/>
    </row>
    <row r="247" spans="1:12" ht="13.5" customHeight="1">
      <c r="A247" s="157" t="s">
        <v>1375</v>
      </c>
      <c r="B247" s="156" t="s">
        <v>1580</v>
      </c>
      <c r="C247" s="207" t="s">
        <v>1512</v>
      </c>
      <c r="D247" s="208" t="s">
        <v>15</v>
      </c>
      <c r="E247" s="208" t="s">
        <v>15</v>
      </c>
      <c r="F247" s="208" t="s">
        <v>15</v>
      </c>
      <c r="G247" s="185">
        <v>42935</v>
      </c>
      <c r="H247" s="524" t="str">
        <f t="shared" si="17"/>
        <v>Jul-17</v>
      </c>
      <c r="I247" s="207" t="s">
        <v>1698</v>
      </c>
      <c r="J247" s="288">
        <v>180.55</v>
      </c>
      <c r="K247" s="157"/>
      <c r="L247" s="307"/>
    </row>
    <row r="248" spans="1:12" ht="13.5" customHeight="1">
      <c r="A248" s="157" t="s">
        <v>1375</v>
      </c>
      <c r="B248" s="156" t="s">
        <v>1700</v>
      </c>
      <c r="C248" s="207" t="s">
        <v>1513</v>
      </c>
      <c r="D248" s="208" t="s">
        <v>332</v>
      </c>
      <c r="E248" s="208" t="s">
        <v>759</v>
      </c>
      <c r="F248" s="157" t="s">
        <v>1661</v>
      </c>
      <c r="G248" s="185">
        <v>42919</v>
      </c>
      <c r="H248" s="524" t="str">
        <f t="shared" si="17"/>
        <v>Jul-17</v>
      </c>
      <c r="I248" s="207" t="s">
        <v>1699</v>
      </c>
      <c r="J248" s="288">
        <v>61.59</v>
      </c>
      <c r="K248" s="157"/>
      <c r="L248" s="307"/>
    </row>
    <row r="249" spans="1:12" ht="13.5" customHeight="1">
      <c r="A249" s="157" t="s">
        <v>1375</v>
      </c>
      <c r="B249" s="156" t="s">
        <v>1580</v>
      </c>
      <c r="C249" s="207" t="s">
        <v>1514</v>
      </c>
      <c r="D249" s="208" t="s">
        <v>332</v>
      </c>
      <c r="E249" s="208" t="s">
        <v>1739</v>
      </c>
      <c r="F249" s="208" t="s">
        <v>1736</v>
      </c>
      <c r="G249" s="185">
        <v>42920</v>
      </c>
      <c r="H249" s="524" t="str">
        <f t="shared" si="17"/>
        <v>Jul-17</v>
      </c>
      <c r="I249" s="207" t="s">
        <v>1701</v>
      </c>
      <c r="J249" s="288">
        <v>56.2</v>
      </c>
      <c r="K249" s="157"/>
      <c r="L249" s="307"/>
    </row>
    <row r="250" spans="1:12" ht="13.5" customHeight="1">
      <c r="A250" s="157" t="s">
        <v>1375</v>
      </c>
      <c r="B250" s="156" t="s">
        <v>1580</v>
      </c>
      <c r="C250" s="207" t="s">
        <v>1515</v>
      </c>
      <c r="D250" s="208" t="s">
        <v>332</v>
      </c>
      <c r="E250" s="208" t="s">
        <v>1670</v>
      </c>
      <c r="F250" s="208" t="s">
        <v>1717</v>
      </c>
      <c r="G250" s="185">
        <v>42924</v>
      </c>
      <c r="H250" s="524" t="str">
        <f t="shared" si="17"/>
        <v>Jul-17</v>
      </c>
      <c r="I250" s="207" t="s">
        <v>1702</v>
      </c>
      <c r="J250" s="288">
        <v>59.46</v>
      </c>
      <c r="K250" s="157"/>
      <c r="L250" s="307"/>
    </row>
    <row r="251" spans="1:12" ht="13.5" customHeight="1">
      <c r="A251" s="157" t="s">
        <v>1375</v>
      </c>
      <c r="B251" s="156" t="s">
        <v>1580</v>
      </c>
      <c r="C251" s="207" t="s">
        <v>1516</v>
      </c>
      <c r="D251" s="208" t="s">
        <v>332</v>
      </c>
      <c r="E251" s="208" t="s">
        <v>1739</v>
      </c>
      <c r="F251" s="208" t="s">
        <v>1722</v>
      </c>
      <c r="G251" s="185">
        <v>42928</v>
      </c>
      <c r="H251" s="524" t="str">
        <f t="shared" si="17"/>
        <v>Jul-17</v>
      </c>
      <c r="I251" s="207" t="s">
        <v>1703</v>
      </c>
      <c r="J251" s="288">
        <v>50.15</v>
      </c>
      <c r="K251" s="157"/>
      <c r="L251" s="307"/>
    </row>
    <row r="252" spans="1:12" ht="13.5" customHeight="1">
      <c r="A252" s="157" t="s">
        <v>1375</v>
      </c>
      <c r="B252" s="156" t="s">
        <v>1580</v>
      </c>
      <c r="C252" s="207" t="s">
        <v>1517</v>
      </c>
      <c r="D252" s="208" t="s">
        <v>332</v>
      </c>
      <c r="E252" s="208" t="s">
        <v>1739</v>
      </c>
      <c r="F252" s="208" t="s">
        <v>1723</v>
      </c>
      <c r="G252" s="185">
        <v>42933</v>
      </c>
      <c r="H252" s="524" t="str">
        <f t="shared" si="17"/>
        <v>Jul-17</v>
      </c>
      <c r="I252" s="207" t="s">
        <v>1704</v>
      </c>
      <c r="J252" s="288">
        <v>61.74</v>
      </c>
      <c r="K252" s="157"/>
      <c r="L252" s="307"/>
    </row>
    <row r="253" spans="1:12" ht="13.5" customHeight="1">
      <c r="A253" s="157" t="s">
        <v>1375</v>
      </c>
      <c r="B253" s="156" t="s">
        <v>1580</v>
      </c>
      <c r="C253" s="207" t="s">
        <v>1518</v>
      </c>
      <c r="D253" s="208" t="s">
        <v>332</v>
      </c>
      <c r="E253" s="208" t="s">
        <v>1739</v>
      </c>
      <c r="F253" s="208" t="s">
        <v>1726</v>
      </c>
      <c r="G253" s="185">
        <v>42935</v>
      </c>
      <c r="H253" s="524" t="str">
        <f t="shared" si="17"/>
        <v>Jul-17</v>
      </c>
      <c r="I253" s="207" t="s">
        <v>1705</v>
      </c>
      <c r="J253" s="288">
        <v>42.68</v>
      </c>
      <c r="K253" s="157"/>
      <c r="L253" s="307"/>
    </row>
    <row r="254" spans="1:12" ht="13.5" customHeight="1">
      <c r="A254" s="157" t="s">
        <v>1375</v>
      </c>
      <c r="B254" s="156" t="s">
        <v>1580</v>
      </c>
      <c r="C254" s="207" t="s">
        <v>1519</v>
      </c>
      <c r="D254" s="208" t="s">
        <v>332</v>
      </c>
      <c r="E254" s="208" t="s">
        <v>910</v>
      </c>
      <c r="F254" s="208" t="s">
        <v>1724</v>
      </c>
      <c r="G254" s="185">
        <v>42941</v>
      </c>
      <c r="H254" s="524" t="str">
        <f t="shared" si="17"/>
        <v>Jul-17</v>
      </c>
      <c r="I254" s="207" t="s">
        <v>1706</v>
      </c>
      <c r="J254" s="288">
        <v>55.9</v>
      </c>
      <c r="K254" s="157"/>
      <c r="L254" s="307"/>
    </row>
    <row r="255" spans="1:12" ht="13.5" customHeight="1">
      <c r="A255" s="157" t="s">
        <v>1375</v>
      </c>
      <c r="B255" s="156" t="s">
        <v>1580</v>
      </c>
      <c r="C255" s="207" t="s">
        <v>1520</v>
      </c>
      <c r="D255" s="208" t="s">
        <v>332</v>
      </c>
      <c r="E255" s="208" t="s">
        <v>910</v>
      </c>
      <c r="F255" s="208" t="s">
        <v>1727</v>
      </c>
      <c r="G255" s="185">
        <v>42944</v>
      </c>
      <c r="H255" s="524" t="str">
        <f t="shared" si="17"/>
        <v>Jul-17</v>
      </c>
      <c r="I255" s="207" t="s">
        <v>1707</v>
      </c>
      <c r="J255" s="288">
        <v>59.51</v>
      </c>
      <c r="K255" s="157"/>
      <c r="L255" s="307"/>
    </row>
    <row r="256" spans="1:12" ht="13.5" customHeight="1">
      <c r="A256" s="157" t="s">
        <v>1375</v>
      </c>
      <c r="B256" s="156" t="s">
        <v>1580</v>
      </c>
      <c r="C256" s="207" t="s">
        <v>1522</v>
      </c>
      <c r="D256" s="208" t="s">
        <v>15</v>
      </c>
      <c r="E256" s="208" t="s">
        <v>907</v>
      </c>
      <c r="F256" s="208" t="s">
        <v>1708</v>
      </c>
      <c r="G256" s="185">
        <v>42917</v>
      </c>
      <c r="H256" s="524" t="str">
        <f t="shared" si="17"/>
        <v>Jul-17</v>
      </c>
      <c r="I256" s="207" t="s">
        <v>1521</v>
      </c>
      <c r="J256" s="288">
        <v>12</v>
      </c>
      <c r="K256" s="157"/>
      <c r="L256" s="307"/>
    </row>
    <row r="257" spans="1:12" ht="13.5" customHeight="1">
      <c r="A257" s="157" t="s">
        <v>1375</v>
      </c>
      <c r="B257" s="156" t="s">
        <v>1580</v>
      </c>
      <c r="C257" s="207" t="s">
        <v>1522</v>
      </c>
      <c r="D257" s="208" t="s">
        <v>15</v>
      </c>
      <c r="E257" s="208" t="s">
        <v>907</v>
      </c>
      <c r="F257" s="208" t="s">
        <v>1708</v>
      </c>
      <c r="G257" s="185">
        <v>42917</v>
      </c>
      <c r="H257" s="524" t="str">
        <f t="shared" si="17"/>
        <v>Jul-17</v>
      </c>
      <c r="I257" s="207" t="s">
        <v>1523</v>
      </c>
      <c r="J257" s="288">
        <v>255</v>
      </c>
      <c r="K257" s="157"/>
      <c r="L257" s="307"/>
    </row>
    <row r="258" spans="1:12" ht="13.5" customHeight="1">
      <c r="A258" s="157" t="s">
        <v>1375</v>
      </c>
      <c r="B258" s="156" t="s">
        <v>1580</v>
      </c>
      <c r="C258" s="207" t="s">
        <v>1522</v>
      </c>
      <c r="D258" s="208" t="s">
        <v>15</v>
      </c>
      <c r="E258" s="208" t="s">
        <v>907</v>
      </c>
      <c r="F258" s="208" t="s">
        <v>1708</v>
      </c>
      <c r="G258" s="185">
        <v>42917</v>
      </c>
      <c r="H258" s="524" t="str">
        <f t="shared" si="17"/>
        <v>Jul-17</v>
      </c>
      <c r="I258" s="207" t="s">
        <v>1524</v>
      </c>
      <c r="J258" s="288">
        <v>18</v>
      </c>
      <c r="K258" s="157"/>
      <c r="L258" s="307"/>
    </row>
    <row r="259" spans="1:12" ht="13.5" customHeight="1">
      <c r="A259" s="157" t="s">
        <v>1375</v>
      </c>
      <c r="B259" s="156" t="s">
        <v>1580</v>
      </c>
      <c r="C259" s="207" t="s">
        <v>1522</v>
      </c>
      <c r="D259" s="208" t="s">
        <v>15</v>
      </c>
      <c r="E259" s="208" t="s">
        <v>907</v>
      </c>
      <c r="F259" s="208" t="s">
        <v>1708</v>
      </c>
      <c r="G259" s="185">
        <v>42917</v>
      </c>
      <c r="H259" s="524" t="str">
        <f t="shared" si="17"/>
        <v>Jul-17</v>
      </c>
      <c r="I259" s="207" t="s">
        <v>1525</v>
      </c>
      <c r="J259" s="288">
        <v>56</v>
      </c>
      <c r="K259" s="157"/>
      <c r="L259" s="307"/>
    </row>
    <row r="260" spans="1:12" ht="13.5" customHeight="1">
      <c r="A260" s="157" t="s">
        <v>1375</v>
      </c>
      <c r="B260" s="156" t="s">
        <v>1580</v>
      </c>
      <c r="C260" s="207" t="s">
        <v>1522</v>
      </c>
      <c r="D260" s="208" t="s">
        <v>15</v>
      </c>
      <c r="E260" s="208" t="s">
        <v>907</v>
      </c>
      <c r="F260" s="208" t="s">
        <v>1708</v>
      </c>
      <c r="G260" s="185">
        <v>42917</v>
      </c>
      <c r="H260" s="524" t="str">
        <f t="shared" si="17"/>
        <v>Jul-17</v>
      </c>
      <c r="I260" s="207" t="s">
        <v>1526</v>
      </c>
      <c r="J260" s="288">
        <v>34</v>
      </c>
      <c r="K260" s="157"/>
      <c r="L260" s="307"/>
    </row>
    <row r="261" spans="1:12" ht="13.5" customHeight="1">
      <c r="A261" s="157" t="s">
        <v>1375</v>
      </c>
      <c r="B261" s="156" t="s">
        <v>1580</v>
      </c>
      <c r="C261" s="207" t="s">
        <v>1528</v>
      </c>
      <c r="D261" s="208" t="s">
        <v>332</v>
      </c>
      <c r="E261" s="208" t="s">
        <v>1670</v>
      </c>
      <c r="F261" s="208" t="s">
        <v>1737</v>
      </c>
      <c r="G261" s="185">
        <v>42920</v>
      </c>
      <c r="H261" s="524" t="str">
        <f t="shared" si="17"/>
        <v>Jul-17</v>
      </c>
      <c r="I261" s="207" t="s">
        <v>1527</v>
      </c>
      <c r="J261" s="288">
        <v>100</v>
      </c>
      <c r="K261" s="157"/>
      <c r="L261" s="307"/>
    </row>
    <row r="262" spans="1:12" ht="13.5" customHeight="1">
      <c r="A262" s="157" t="s">
        <v>1375</v>
      </c>
      <c r="B262" s="156" t="s">
        <v>1580</v>
      </c>
      <c r="C262" s="207" t="s">
        <v>1530</v>
      </c>
      <c r="D262" s="208" t="s">
        <v>332</v>
      </c>
      <c r="E262" s="208" t="s">
        <v>1670</v>
      </c>
      <c r="F262" s="208" t="s">
        <v>1717</v>
      </c>
      <c r="G262" s="185">
        <v>42922</v>
      </c>
      <c r="H262" s="524" t="str">
        <f t="shared" si="17"/>
        <v>Jul-17</v>
      </c>
      <c r="I262" s="207" t="s">
        <v>1529</v>
      </c>
      <c r="J262" s="288">
        <v>79.09</v>
      </c>
      <c r="K262" s="157"/>
      <c r="L262" s="307"/>
    </row>
    <row r="263" spans="1:12" ht="13.5" customHeight="1">
      <c r="A263" s="157" t="s">
        <v>1375</v>
      </c>
      <c r="B263" s="156" t="s">
        <v>1700</v>
      </c>
      <c r="C263" s="207" t="s">
        <v>1532</v>
      </c>
      <c r="D263" s="208" t="s">
        <v>332</v>
      </c>
      <c r="E263" s="208" t="s">
        <v>759</v>
      </c>
      <c r="F263" s="157" t="s">
        <v>1666</v>
      </c>
      <c r="G263" s="185">
        <v>42930</v>
      </c>
      <c r="H263" s="524" t="str">
        <f t="shared" si="17"/>
        <v>Jul-17</v>
      </c>
      <c r="I263" s="207" t="s">
        <v>1531</v>
      </c>
      <c r="J263" s="288">
        <v>102.38</v>
      </c>
      <c r="K263" s="157"/>
      <c r="L263" s="307"/>
    </row>
    <row r="264" spans="1:12" ht="13.5" customHeight="1">
      <c r="A264" s="157" t="s">
        <v>1375</v>
      </c>
      <c r="B264" s="156" t="s">
        <v>1700</v>
      </c>
      <c r="C264" s="207" t="s">
        <v>1534</v>
      </c>
      <c r="D264" s="208" t="s">
        <v>332</v>
      </c>
      <c r="E264" s="208" t="s">
        <v>759</v>
      </c>
      <c r="F264" s="157" t="s">
        <v>1666</v>
      </c>
      <c r="G264" s="185">
        <v>42934</v>
      </c>
      <c r="H264" s="524" t="str">
        <f t="shared" si="17"/>
        <v>Jul-17</v>
      </c>
      <c r="I264" s="207" t="s">
        <v>1533</v>
      </c>
      <c r="J264" s="288">
        <v>91.03</v>
      </c>
      <c r="K264" s="157"/>
      <c r="L264" s="307"/>
    </row>
    <row r="265" spans="1:12" ht="13.5" customHeight="1">
      <c r="A265" s="157" t="s">
        <v>1375</v>
      </c>
      <c r="B265" s="156" t="s">
        <v>1580</v>
      </c>
      <c r="C265" s="207" t="s">
        <v>1536</v>
      </c>
      <c r="D265" s="208" t="s">
        <v>15</v>
      </c>
      <c r="E265" s="208" t="s">
        <v>907</v>
      </c>
      <c r="F265" s="208" t="s">
        <v>1708</v>
      </c>
      <c r="G265" s="185">
        <v>42935</v>
      </c>
      <c r="H265" s="524" t="str">
        <f t="shared" si="17"/>
        <v>Jul-17</v>
      </c>
      <c r="I265" s="207" t="s">
        <v>1535</v>
      </c>
      <c r="J265" s="288">
        <v>6.42</v>
      </c>
      <c r="K265" s="157"/>
      <c r="L265" s="307"/>
    </row>
    <row r="266" spans="1:12" ht="13.5" customHeight="1">
      <c r="A266" s="157" t="s">
        <v>1375</v>
      </c>
      <c r="B266" s="156" t="s">
        <v>1580</v>
      </c>
      <c r="C266" s="207" t="s">
        <v>1536</v>
      </c>
      <c r="D266" s="208" t="s">
        <v>15</v>
      </c>
      <c r="E266" s="208" t="s">
        <v>907</v>
      </c>
      <c r="F266" s="208" t="s">
        <v>1708</v>
      </c>
      <c r="G266" s="185">
        <v>42935</v>
      </c>
      <c r="H266" s="524" t="str">
        <f t="shared" si="17"/>
        <v>Jul-17</v>
      </c>
      <c r="I266" s="207" t="s">
        <v>1537</v>
      </c>
      <c r="J266" s="288">
        <v>5.56</v>
      </c>
      <c r="K266" s="157"/>
      <c r="L266" s="307"/>
    </row>
    <row r="267" spans="1:12" ht="13.5" customHeight="1">
      <c r="A267" s="157" t="s">
        <v>1375</v>
      </c>
      <c r="B267" s="156" t="s">
        <v>1580</v>
      </c>
      <c r="C267" s="207" t="s">
        <v>1536</v>
      </c>
      <c r="D267" s="208" t="s">
        <v>15</v>
      </c>
      <c r="E267" s="208" t="s">
        <v>907</v>
      </c>
      <c r="F267" s="208" t="s">
        <v>1708</v>
      </c>
      <c r="G267" s="185">
        <v>42935</v>
      </c>
      <c r="H267" s="524" t="str">
        <f t="shared" si="17"/>
        <v>Jul-17</v>
      </c>
      <c r="I267" s="207" t="s">
        <v>1538</v>
      </c>
      <c r="J267" s="288">
        <v>9.5</v>
      </c>
      <c r="K267" s="157"/>
      <c r="L267" s="307"/>
    </row>
    <row r="268" spans="1:12" ht="13.5" customHeight="1">
      <c r="A268" s="157" t="s">
        <v>1375</v>
      </c>
      <c r="B268" s="156" t="s">
        <v>1580</v>
      </c>
      <c r="C268" s="207" t="s">
        <v>1536</v>
      </c>
      <c r="D268" s="208" t="s">
        <v>15</v>
      </c>
      <c r="E268" s="208" t="s">
        <v>907</v>
      </c>
      <c r="F268" s="208" t="s">
        <v>1708</v>
      </c>
      <c r="G268" s="185">
        <v>42935</v>
      </c>
      <c r="H268" s="524" t="str">
        <f t="shared" si="17"/>
        <v>Jul-17</v>
      </c>
      <c r="I268" s="207" t="s">
        <v>1539</v>
      </c>
      <c r="J268" s="288">
        <v>3.37</v>
      </c>
      <c r="K268" s="157"/>
      <c r="L268" s="307"/>
    </row>
    <row r="269" spans="1:12" ht="13.5" customHeight="1">
      <c r="A269" s="157" t="s">
        <v>1375</v>
      </c>
      <c r="B269" s="156" t="s">
        <v>1580</v>
      </c>
      <c r="C269" s="207" t="s">
        <v>1536</v>
      </c>
      <c r="D269" s="208" t="s">
        <v>15</v>
      </c>
      <c r="E269" s="208" t="s">
        <v>907</v>
      </c>
      <c r="F269" s="208" t="s">
        <v>1708</v>
      </c>
      <c r="G269" s="185">
        <v>42935</v>
      </c>
      <c r="H269" s="524" t="str">
        <f t="shared" si="17"/>
        <v>Jul-17</v>
      </c>
      <c r="I269" s="207" t="s">
        <v>1540</v>
      </c>
      <c r="J269" s="288">
        <v>3.58</v>
      </c>
      <c r="K269" s="157"/>
      <c r="L269" s="307"/>
    </row>
    <row r="270" spans="1:12" ht="13.5" customHeight="1">
      <c r="A270" s="157" t="s">
        <v>1375</v>
      </c>
      <c r="B270" s="156" t="s">
        <v>1580</v>
      </c>
      <c r="C270" s="207" t="s">
        <v>1536</v>
      </c>
      <c r="D270" s="208" t="s">
        <v>15</v>
      </c>
      <c r="E270" s="208" t="s">
        <v>907</v>
      </c>
      <c r="F270" s="208" t="s">
        <v>1708</v>
      </c>
      <c r="G270" s="185">
        <v>42935</v>
      </c>
      <c r="H270" s="524" t="str">
        <f t="shared" si="17"/>
        <v>Jul-17</v>
      </c>
      <c r="I270" s="207" t="s">
        <v>1541</v>
      </c>
      <c r="J270" s="288">
        <v>16.84</v>
      </c>
      <c r="K270" s="157"/>
      <c r="L270" s="307"/>
    </row>
    <row r="271" spans="1:12" ht="13.5" customHeight="1">
      <c r="A271" s="157" t="s">
        <v>1375</v>
      </c>
      <c r="B271" s="156" t="s">
        <v>1580</v>
      </c>
      <c r="C271" s="207" t="s">
        <v>1543</v>
      </c>
      <c r="D271" s="208" t="s">
        <v>332</v>
      </c>
      <c r="E271" s="208" t="s">
        <v>1670</v>
      </c>
      <c r="F271" s="208" t="s">
        <v>1717</v>
      </c>
      <c r="G271" s="185">
        <v>42940</v>
      </c>
      <c r="H271" s="524" t="str">
        <f t="shared" si="17"/>
        <v>Jul-17</v>
      </c>
      <c r="I271" s="207" t="s">
        <v>1542</v>
      </c>
      <c r="J271" s="288">
        <v>109.09</v>
      </c>
      <c r="K271" s="157"/>
      <c r="L271" s="307"/>
    </row>
    <row r="272" spans="1:12" ht="13.5" customHeight="1">
      <c r="A272" s="157" t="s">
        <v>1375</v>
      </c>
      <c r="B272" s="156" t="s">
        <v>1580</v>
      </c>
      <c r="C272" s="207" t="s">
        <v>1545</v>
      </c>
      <c r="D272" s="208" t="s">
        <v>15</v>
      </c>
      <c r="E272" s="208" t="s">
        <v>907</v>
      </c>
      <c r="F272" s="208" t="s">
        <v>1708</v>
      </c>
      <c r="G272" s="185">
        <v>42941</v>
      </c>
      <c r="H272" s="524" t="str">
        <f t="shared" ref="H272:H287" si="18">TEXT(G272,"mmm-yy")</f>
        <v>Jul-17</v>
      </c>
      <c r="I272" s="207" t="s">
        <v>1544</v>
      </c>
      <c r="J272" s="288">
        <v>88.7</v>
      </c>
      <c r="K272" s="157"/>
      <c r="L272" s="307"/>
    </row>
    <row r="273" spans="1:20" ht="13.5" customHeight="1">
      <c r="A273" s="157" t="s">
        <v>1375</v>
      </c>
      <c r="B273" s="156" t="s">
        <v>1580</v>
      </c>
      <c r="C273" s="207" t="s">
        <v>1545</v>
      </c>
      <c r="D273" s="208" t="s">
        <v>15</v>
      </c>
      <c r="E273" s="208" t="s">
        <v>907</v>
      </c>
      <c r="F273" s="208" t="s">
        <v>1708</v>
      </c>
      <c r="G273" s="185">
        <v>42941</v>
      </c>
      <c r="H273" s="524" t="str">
        <f t="shared" si="18"/>
        <v>Jul-17</v>
      </c>
      <c r="I273" s="207" t="s">
        <v>1546</v>
      </c>
      <c r="J273" s="288">
        <v>394.77</v>
      </c>
      <c r="K273" s="157"/>
      <c r="L273" s="307"/>
    </row>
    <row r="274" spans="1:20" ht="13.5" customHeight="1">
      <c r="A274" s="157" t="s">
        <v>1375</v>
      </c>
      <c r="B274" s="156" t="s">
        <v>1580</v>
      </c>
      <c r="C274" s="207" t="s">
        <v>1548</v>
      </c>
      <c r="D274" s="208" t="s">
        <v>15</v>
      </c>
      <c r="E274" s="208" t="s">
        <v>15</v>
      </c>
      <c r="F274" s="208" t="s">
        <v>15</v>
      </c>
      <c r="G274" s="185">
        <v>42923</v>
      </c>
      <c r="H274" s="524" t="str">
        <f t="shared" si="18"/>
        <v>Jul-17</v>
      </c>
      <c r="I274" s="207" t="s">
        <v>1547</v>
      </c>
      <c r="J274" s="288">
        <v>47.55</v>
      </c>
      <c r="K274" s="157"/>
      <c r="L274" s="307"/>
    </row>
    <row r="275" spans="1:20" ht="13.5" customHeight="1">
      <c r="A275" s="157" t="s">
        <v>1375</v>
      </c>
      <c r="B275" s="156" t="s">
        <v>1580</v>
      </c>
      <c r="C275" s="207" t="s">
        <v>1550</v>
      </c>
      <c r="D275" s="208" t="s">
        <v>15</v>
      </c>
      <c r="E275" s="208" t="s">
        <v>15</v>
      </c>
      <c r="F275" s="208" t="s">
        <v>15</v>
      </c>
      <c r="G275" s="185">
        <v>42934</v>
      </c>
      <c r="H275" s="524" t="str">
        <f t="shared" si="18"/>
        <v>Jul-17</v>
      </c>
      <c r="I275" s="207" t="s">
        <v>1549</v>
      </c>
      <c r="J275" s="288">
        <v>68.319999999999993</v>
      </c>
      <c r="K275" s="157"/>
      <c r="L275" s="307"/>
    </row>
    <row r="276" spans="1:20" ht="13.5" customHeight="1">
      <c r="A276" s="157" t="s">
        <v>1375</v>
      </c>
      <c r="B276" s="156" t="s">
        <v>1580</v>
      </c>
      <c r="C276" s="207" t="s">
        <v>1552</v>
      </c>
      <c r="D276" s="208" t="s">
        <v>15</v>
      </c>
      <c r="E276" s="208" t="s">
        <v>15</v>
      </c>
      <c r="F276" s="208" t="s">
        <v>15</v>
      </c>
      <c r="G276" s="185">
        <v>42940</v>
      </c>
      <c r="H276" s="524" t="str">
        <f t="shared" si="18"/>
        <v>Jul-17</v>
      </c>
      <c r="I276" s="207" t="s">
        <v>1551</v>
      </c>
      <c r="J276" s="288">
        <v>72.5</v>
      </c>
      <c r="K276" s="157"/>
      <c r="L276" s="307"/>
    </row>
    <row r="277" spans="1:20" ht="13.5" customHeight="1">
      <c r="A277" s="157" t="s">
        <v>1375</v>
      </c>
      <c r="B277" s="156" t="s">
        <v>1580</v>
      </c>
      <c r="C277" s="207" t="s">
        <v>1554</v>
      </c>
      <c r="D277" s="208" t="s">
        <v>15</v>
      </c>
      <c r="E277" s="208" t="s">
        <v>15</v>
      </c>
      <c r="F277" s="208" t="s">
        <v>15</v>
      </c>
      <c r="G277" s="185">
        <v>42947</v>
      </c>
      <c r="H277" s="524" t="str">
        <f t="shared" si="18"/>
        <v>Jul-17</v>
      </c>
      <c r="I277" s="207" t="s">
        <v>1553</v>
      </c>
      <c r="J277" s="288">
        <v>68.180000000000007</v>
      </c>
      <c r="K277" s="157"/>
      <c r="L277" s="307"/>
    </row>
    <row r="278" spans="1:20" ht="13.5" customHeight="1">
      <c r="A278" s="157" t="s">
        <v>1375</v>
      </c>
      <c r="B278" s="156" t="s">
        <v>1700</v>
      </c>
      <c r="C278" s="207" t="s">
        <v>1555</v>
      </c>
      <c r="D278" s="208" t="s">
        <v>332</v>
      </c>
      <c r="E278" s="208" t="s">
        <v>759</v>
      </c>
      <c r="F278" s="157" t="s">
        <v>1661</v>
      </c>
      <c r="G278" s="185">
        <v>42923</v>
      </c>
      <c r="H278" s="524" t="str">
        <f t="shared" si="18"/>
        <v>Jul-17</v>
      </c>
      <c r="I278" s="207" t="s">
        <v>1709</v>
      </c>
      <c r="J278" s="288">
        <v>36.729999999999997</v>
      </c>
      <c r="K278" s="157"/>
      <c r="L278" s="307"/>
    </row>
    <row r="279" spans="1:20" ht="13.5" customHeight="1">
      <c r="A279" s="157" t="s">
        <v>1375</v>
      </c>
      <c r="B279" s="156" t="s">
        <v>1700</v>
      </c>
      <c r="C279" s="207" t="s">
        <v>1556</v>
      </c>
      <c r="D279" s="208" t="s">
        <v>332</v>
      </c>
      <c r="E279" s="208" t="s">
        <v>759</v>
      </c>
      <c r="F279" s="157" t="s">
        <v>1661</v>
      </c>
      <c r="G279" s="185">
        <v>42923</v>
      </c>
      <c r="H279" s="524" t="str">
        <f t="shared" si="18"/>
        <v>Jul-17</v>
      </c>
      <c r="I279" s="207" t="s">
        <v>1710</v>
      </c>
      <c r="J279" s="288">
        <v>36.049999999999997</v>
      </c>
      <c r="K279" s="157"/>
      <c r="L279" s="307"/>
    </row>
    <row r="280" spans="1:20" ht="13.5" customHeight="1">
      <c r="A280" s="524" t="s">
        <v>1375</v>
      </c>
      <c r="B280" s="156" t="s">
        <v>1580</v>
      </c>
      <c r="C280" s="207" t="s">
        <v>1557</v>
      </c>
      <c r="D280" s="208" t="s">
        <v>332</v>
      </c>
      <c r="E280" s="208" t="s">
        <v>910</v>
      </c>
      <c r="F280" s="208" t="s">
        <v>1744</v>
      </c>
      <c r="G280" s="185">
        <v>42926</v>
      </c>
      <c r="H280" s="524" t="str">
        <f t="shared" si="18"/>
        <v>Jul-17</v>
      </c>
      <c r="I280" s="207" t="s">
        <v>1711</v>
      </c>
      <c r="J280" s="288">
        <v>51.89</v>
      </c>
      <c r="K280" s="157"/>
      <c r="L280" s="307"/>
    </row>
    <row r="281" spans="1:20" ht="13.5" customHeight="1">
      <c r="A281" s="524" t="s">
        <v>1375</v>
      </c>
      <c r="B281" s="156" t="s">
        <v>1580</v>
      </c>
      <c r="C281" s="207" t="s">
        <v>1558</v>
      </c>
      <c r="D281" s="208" t="s">
        <v>332</v>
      </c>
      <c r="E281" s="208" t="s">
        <v>1739</v>
      </c>
      <c r="F281" s="208" t="s">
        <v>1722</v>
      </c>
      <c r="G281" s="185">
        <v>42929</v>
      </c>
      <c r="H281" s="524" t="str">
        <f t="shared" si="18"/>
        <v>Jul-17</v>
      </c>
      <c r="I281" s="207" t="s">
        <v>1712</v>
      </c>
      <c r="J281" s="288">
        <v>53.4</v>
      </c>
      <c r="K281" s="157"/>
      <c r="L281" s="307"/>
    </row>
    <row r="282" spans="1:20" ht="13.5" customHeight="1">
      <c r="A282" s="524" t="s">
        <v>1375</v>
      </c>
      <c r="B282" s="156" t="s">
        <v>1580</v>
      </c>
      <c r="C282" s="207" t="s">
        <v>1559</v>
      </c>
      <c r="D282" s="208" t="s">
        <v>332</v>
      </c>
      <c r="E282" s="208" t="s">
        <v>910</v>
      </c>
      <c r="F282" s="208" t="s">
        <v>1721</v>
      </c>
      <c r="G282" s="185">
        <v>42934</v>
      </c>
      <c r="H282" s="524" t="str">
        <f t="shared" si="18"/>
        <v>Jul-17</v>
      </c>
      <c r="I282" s="207" t="s">
        <v>1713</v>
      </c>
      <c r="J282" s="288">
        <v>57.33</v>
      </c>
      <c r="K282" s="157"/>
      <c r="L282" s="307"/>
    </row>
    <row r="283" spans="1:20" ht="13.5" customHeight="1">
      <c r="A283" s="524" t="s">
        <v>1375</v>
      </c>
      <c r="B283" s="156" t="s">
        <v>1580</v>
      </c>
      <c r="C283" s="207" t="s">
        <v>1560</v>
      </c>
      <c r="D283" s="208" t="s">
        <v>332</v>
      </c>
      <c r="E283" s="208" t="s">
        <v>1739</v>
      </c>
      <c r="F283" s="208" t="s">
        <v>1726</v>
      </c>
      <c r="G283" s="185">
        <v>42937</v>
      </c>
      <c r="H283" s="524" t="str">
        <f t="shared" si="18"/>
        <v>Jul-17</v>
      </c>
      <c r="I283" s="207" t="s">
        <v>1714</v>
      </c>
      <c r="J283" s="288">
        <v>60.35</v>
      </c>
      <c r="K283" s="157"/>
      <c r="L283" s="307"/>
    </row>
    <row r="284" spans="1:20" ht="13.5" customHeight="1">
      <c r="A284" s="524" t="s">
        <v>1375</v>
      </c>
      <c r="B284" s="156" t="s">
        <v>1580</v>
      </c>
      <c r="C284" s="207" t="s">
        <v>1562</v>
      </c>
      <c r="D284" s="208" t="s">
        <v>15</v>
      </c>
      <c r="E284" s="208" t="s">
        <v>907</v>
      </c>
      <c r="F284" s="208" t="s">
        <v>1708</v>
      </c>
      <c r="G284" s="185">
        <v>42942</v>
      </c>
      <c r="H284" s="524" t="str">
        <f t="shared" si="18"/>
        <v>Jul-17</v>
      </c>
      <c r="I284" s="207" t="s">
        <v>1561</v>
      </c>
      <c r="J284" s="288">
        <v>183.64</v>
      </c>
      <c r="K284" s="157"/>
      <c r="L284" s="307"/>
    </row>
    <row r="285" spans="1:20" ht="13.5" customHeight="1">
      <c r="A285" s="524" t="s">
        <v>1375</v>
      </c>
      <c r="B285" s="156" t="s">
        <v>1580</v>
      </c>
      <c r="C285" s="207" t="s">
        <v>1562</v>
      </c>
      <c r="D285" s="208" t="s">
        <v>15</v>
      </c>
      <c r="E285" s="208" t="s">
        <v>907</v>
      </c>
      <c r="F285" s="208" t="s">
        <v>1708</v>
      </c>
      <c r="G285" s="185">
        <v>42942</v>
      </c>
      <c r="H285" s="524" t="str">
        <f t="shared" si="18"/>
        <v>Jul-17</v>
      </c>
      <c r="I285" s="207" t="s">
        <v>1563</v>
      </c>
      <c r="J285" s="288">
        <v>218.18</v>
      </c>
      <c r="K285" s="157"/>
      <c r="L285" s="307"/>
    </row>
    <row r="286" spans="1:20" ht="13.5" customHeight="1">
      <c r="A286" s="524" t="s">
        <v>1375</v>
      </c>
      <c r="B286" s="156" t="s">
        <v>1580</v>
      </c>
      <c r="C286" s="207" t="s">
        <v>1565</v>
      </c>
      <c r="D286" s="208" t="s">
        <v>332</v>
      </c>
      <c r="E286" s="208" t="s">
        <v>910</v>
      </c>
      <c r="F286" s="157" t="s">
        <v>1740</v>
      </c>
      <c r="G286" s="185">
        <v>42943</v>
      </c>
      <c r="H286" s="524" t="str">
        <f t="shared" si="18"/>
        <v>Jul-17</v>
      </c>
      <c r="I286" s="207" t="s">
        <v>1564</v>
      </c>
      <c r="J286" s="288">
        <v>67.09</v>
      </c>
      <c r="K286" s="157"/>
      <c r="L286" s="307"/>
    </row>
    <row r="287" spans="1:20" ht="13.5" customHeight="1">
      <c r="A287" s="524" t="s">
        <v>1566</v>
      </c>
      <c r="B287" s="156" t="s">
        <v>1580</v>
      </c>
      <c r="C287" s="207" t="s">
        <v>1568</v>
      </c>
      <c r="D287" s="208" t="s">
        <v>332</v>
      </c>
      <c r="E287" s="208" t="s">
        <v>910</v>
      </c>
      <c r="F287" s="678" t="s">
        <v>1742</v>
      </c>
      <c r="G287" s="185">
        <v>42917</v>
      </c>
      <c r="H287" s="524" t="str">
        <f t="shared" si="18"/>
        <v>Jul-17</v>
      </c>
      <c r="I287" s="207" t="s">
        <v>1567</v>
      </c>
      <c r="J287" s="288">
        <f>902/19</f>
        <v>47.473684210526315</v>
      </c>
      <c r="K287" s="157"/>
      <c r="L287" s="307"/>
    </row>
    <row r="288" spans="1:20" s="600" customFormat="1" ht="13.5" customHeight="1">
      <c r="A288" s="524" t="s">
        <v>1566</v>
      </c>
      <c r="B288" s="156" t="s">
        <v>1580</v>
      </c>
      <c r="C288" s="207" t="s">
        <v>1568</v>
      </c>
      <c r="D288" s="208" t="s">
        <v>332</v>
      </c>
      <c r="E288" s="208" t="s">
        <v>1739</v>
      </c>
      <c r="F288" s="678" t="s">
        <v>1736</v>
      </c>
      <c r="G288" s="185">
        <v>42917</v>
      </c>
      <c r="H288" s="524" t="str">
        <f t="shared" ref="H288:H305" si="19">TEXT(G288,"mmm-yy")</f>
        <v>Jul-17</v>
      </c>
      <c r="I288" s="207" t="s">
        <v>1567</v>
      </c>
      <c r="J288" s="288">
        <f t="shared" ref="J288:J305" si="20">902/19</f>
        <v>47.473684210526315</v>
      </c>
      <c r="K288" s="157"/>
      <c r="L288" s="307"/>
      <c r="M288" s="295"/>
      <c r="N288" s="217"/>
      <c r="R288" s="22"/>
      <c r="T288" s="47"/>
    </row>
    <row r="289" spans="1:20" s="600" customFormat="1" ht="13.5" customHeight="1">
      <c r="A289" s="524" t="s">
        <v>1566</v>
      </c>
      <c r="B289" s="156" t="s">
        <v>1580</v>
      </c>
      <c r="C289" s="207" t="s">
        <v>1568</v>
      </c>
      <c r="D289" s="208" t="s">
        <v>332</v>
      </c>
      <c r="E289" s="208" t="s">
        <v>1739</v>
      </c>
      <c r="F289" s="678" t="s">
        <v>1743</v>
      </c>
      <c r="G289" s="185">
        <v>42917</v>
      </c>
      <c r="H289" s="524" t="str">
        <f t="shared" si="19"/>
        <v>Jul-17</v>
      </c>
      <c r="I289" s="207" t="s">
        <v>1567</v>
      </c>
      <c r="J289" s="288">
        <f t="shared" si="20"/>
        <v>47.473684210526315</v>
      </c>
      <c r="K289" s="157"/>
      <c r="L289" s="307"/>
      <c r="M289" s="295"/>
      <c r="N289" s="217"/>
      <c r="R289" s="22"/>
      <c r="T289" s="47"/>
    </row>
    <row r="290" spans="1:20" s="600" customFormat="1" ht="13.5" customHeight="1">
      <c r="A290" s="524" t="s">
        <v>1566</v>
      </c>
      <c r="B290" s="156" t="s">
        <v>1580</v>
      </c>
      <c r="C290" s="207" t="s">
        <v>1568</v>
      </c>
      <c r="D290" s="208" t="s">
        <v>332</v>
      </c>
      <c r="E290" s="208" t="s">
        <v>1670</v>
      </c>
      <c r="F290" s="678" t="s">
        <v>1737</v>
      </c>
      <c r="G290" s="185">
        <v>42917</v>
      </c>
      <c r="H290" s="524" t="str">
        <f t="shared" si="19"/>
        <v>Jul-17</v>
      </c>
      <c r="I290" s="207" t="s">
        <v>1567</v>
      </c>
      <c r="J290" s="288">
        <f t="shared" si="20"/>
        <v>47.473684210526315</v>
      </c>
      <c r="K290" s="157"/>
      <c r="L290" s="307"/>
      <c r="M290" s="295"/>
      <c r="N290" s="217"/>
      <c r="R290" s="22"/>
      <c r="T290" s="47"/>
    </row>
    <row r="291" spans="1:20" s="600" customFormat="1" ht="13.5" customHeight="1">
      <c r="A291" s="524" t="s">
        <v>1566</v>
      </c>
      <c r="B291" s="156" t="s">
        <v>1580</v>
      </c>
      <c r="C291" s="207" t="s">
        <v>1568</v>
      </c>
      <c r="D291" s="208" t="s">
        <v>332</v>
      </c>
      <c r="E291" s="208" t="s">
        <v>1670</v>
      </c>
      <c r="F291" s="678" t="s">
        <v>1717</v>
      </c>
      <c r="G291" s="185">
        <v>42917</v>
      </c>
      <c r="H291" s="524" t="str">
        <f t="shared" si="19"/>
        <v>Jul-17</v>
      </c>
      <c r="I291" s="207" t="s">
        <v>1567</v>
      </c>
      <c r="J291" s="288">
        <f t="shared" si="20"/>
        <v>47.473684210526315</v>
      </c>
      <c r="K291" s="157"/>
      <c r="L291" s="307"/>
      <c r="M291" s="295"/>
      <c r="N291" s="217"/>
      <c r="R291" s="22"/>
      <c r="T291" s="47"/>
    </row>
    <row r="292" spans="1:20" s="600" customFormat="1" ht="13.5" customHeight="1">
      <c r="A292" s="524" t="s">
        <v>1566</v>
      </c>
      <c r="B292" s="156" t="s">
        <v>1580</v>
      </c>
      <c r="C292" s="207" t="s">
        <v>1568</v>
      </c>
      <c r="D292" s="208" t="s">
        <v>332</v>
      </c>
      <c r="E292" s="208" t="s">
        <v>910</v>
      </c>
      <c r="F292" s="678" t="s">
        <v>1746</v>
      </c>
      <c r="G292" s="185">
        <v>42917</v>
      </c>
      <c r="H292" s="524" t="str">
        <f t="shared" si="19"/>
        <v>Jul-17</v>
      </c>
      <c r="I292" s="207" t="s">
        <v>1567</v>
      </c>
      <c r="J292" s="288">
        <f t="shared" si="20"/>
        <v>47.473684210526315</v>
      </c>
      <c r="K292" s="157"/>
      <c r="L292" s="307"/>
      <c r="M292" s="295"/>
      <c r="N292" s="217"/>
      <c r="R292" s="22"/>
      <c r="T292" s="47"/>
    </row>
    <row r="293" spans="1:20" s="600" customFormat="1" ht="13.5" customHeight="1">
      <c r="A293" s="524" t="s">
        <v>1566</v>
      </c>
      <c r="B293" s="156" t="s">
        <v>1580</v>
      </c>
      <c r="C293" s="207" t="s">
        <v>1568</v>
      </c>
      <c r="D293" s="208" t="s">
        <v>332</v>
      </c>
      <c r="E293" s="208" t="s">
        <v>910</v>
      </c>
      <c r="F293" s="678" t="s">
        <v>1747</v>
      </c>
      <c r="G293" s="185">
        <v>42917</v>
      </c>
      <c r="H293" s="524" t="str">
        <f t="shared" si="19"/>
        <v>Jul-17</v>
      </c>
      <c r="I293" s="207" t="s">
        <v>1567</v>
      </c>
      <c r="J293" s="288">
        <f t="shared" si="20"/>
        <v>47.473684210526315</v>
      </c>
      <c r="K293" s="157"/>
      <c r="L293" s="307"/>
      <c r="M293" s="295"/>
      <c r="N293" s="217"/>
      <c r="R293" s="22"/>
      <c r="T293" s="47"/>
    </row>
    <row r="294" spans="1:20" s="600" customFormat="1" ht="13.5" customHeight="1">
      <c r="A294" s="524" t="s">
        <v>1566</v>
      </c>
      <c r="B294" s="156" t="s">
        <v>1580</v>
      </c>
      <c r="C294" s="207" t="s">
        <v>1568</v>
      </c>
      <c r="D294" s="208" t="s">
        <v>332</v>
      </c>
      <c r="E294" s="208" t="s">
        <v>910</v>
      </c>
      <c r="F294" s="678" t="s">
        <v>1748</v>
      </c>
      <c r="G294" s="185">
        <v>42917</v>
      </c>
      <c r="H294" s="524" t="str">
        <f t="shared" si="19"/>
        <v>Jul-17</v>
      </c>
      <c r="I294" s="207" t="s">
        <v>1567</v>
      </c>
      <c r="J294" s="288">
        <f t="shared" si="20"/>
        <v>47.473684210526315</v>
      </c>
      <c r="K294" s="157"/>
      <c r="L294" s="307"/>
      <c r="M294" s="295"/>
      <c r="N294" s="217"/>
      <c r="R294" s="22"/>
      <c r="T294" s="47"/>
    </row>
    <row r="295" spans="1:20" s="600" customFormat="1" ht="13.5" customHeight="1">
      <c r="A295" s="524" t="s">
        <v>1566</v>
      </c>
      <c r="B295" s="156" t="s">
        <v>1580</v>
      </c>
      <c r="C295" s="207" t="s">
        <v>1568</v>
      </c>
      <c r="D295" s="208" t="s">
        <v>332</v>
      </c>
      <c r="E295" s="208" t="s">
        <v>910</v>
      </c>
      <c r="F295" s="678" t="s">
        <v>1744</v>
      </c>
      <c r="G295" s="185">
        <v>42917</v>
      </c>
      <c r="H295" s="524" t="str">
        <f t="shared" si="19"/>
        <v>Jul-17</v>
      </c>
      <c r="I295" s="207" t="s">
        <v>1567</v>
      </c>
      <c r="J295" s="288">
        <f t="shared" si="20"/>
        <v>47.473684210526315</v>
      </c>
      <c r="K295" s="157"/>
      <c r="L295" s="307"/>
      <c r="M295" s="295"/>
      <c r="N295" s="217"/>
      <c r="R295" s="22"/>
      <c r="T295" s="47"/>
    </row>
    <row r="296" spans="1:20" s="600" customFormat="1" ht="13.5" customHeight="1">
      <c r="A296" s="524" t="s">
        <v>1566</v>
      </c>
      <c r="B296" s="156" t="s">
        <v>1580</v>
      </c>
      <c r="C296" s="207" t="s">
        <v>1568</v>
      </c>
      <c r="D296" s="208" t="s">
        <v>332</v>
      </c>
      <c r="E296" s="208" t="s">
        <v>910</v>
      </c>
      <c r="F296" s="678" t="s">
        <v>1721</v>
      </c>
      <c r="G296" s="185">
        <v>42917</v>
      </c>
      <c r="H296" s="524" t="str">
        <f t="shared" si="19"/>
        <v>Jul-17</v>
      </c>
      <c r="I296" s="207" t="s">
        <v>1567</v>
      </c>
      <c r="J296" s="288">
        <f t="shared" si="20"/>
        <v>47.473684210526315</v>
      </c>
      <c r="K296" s="157"/>
      <c r="L296" s="307"/>
      <c r="M296" s="295"/>
      <c r="N296" s="217"/>
      <c r="R296" s="22"/>
      <c r="T296" s="47"/>
    </row>
    <row r="297" spans="1:20" s="600" customFormat="1" ht="13.5" customHeight="1">
      <c r="A297" s="524" t="s">
        <v>1566</v>
      </c>
      <c r="B297" s="156" t="s">
        <v>1580</v>
      </c>
      <c r="C297" s="207" t="s">
        <v>1568</v>
      </c>
      <c r="D297" s="208" t="s">
        <v>332</v>
      </c>
      <c r="E297" s="208" t="s">
        <v>1739</v>
      </c>
      <c r="F297" s="678" t="s">
        <v>1722</v>
      </c>
      <c r="G297" s="185">
        <v>42917</v>
      </c>
      <c r="H297" s="524" t="str">
        <f t="shared" si="19"/>
        <v>Jul-17</v>
      </c>
      <c r="I297" s="207" t="s">
        <v>1567</v>
      </c>
      <c r="J297" s="288">
        <f t="shared" si="20"/>
        <v>47.473684210526315</v>
      </c>
      <c r="K297" s="157"/>
      <c r="L297" s="307"/>
      <c r="M297" s="295"/>
      <c r="N297" s="217"/>
      <c r="R297" s="22"/>
      <c r="T297" s="47"/>
    </row>
    <row r="298" spans="1:20" s="600" customFormat="1" ht="13.5" customHeight="1">
      <c r="A298" s="524" t="s">
        <v>1566</v>
      </c>
      <c r="B298" s="156" t="s">
        <v>1580</v>
      </c>
      <c r="C298" s="207" t="s">
        <v>1568</v>
      </c>
      <c r="D298" s="208" t="s">
        <v>332</v>
      </c>
      <c r="E298" s="208" t="s">
        <v>1739</v>
      </c>
      <c r="F298" s="678" t="s">
        <v>1723</v>
      </c>
      <c r="G298" s="185">
        <v>42917</v>
      </c>
      <c r="H298" s="524" t="str">
        <f t="shared" si="19"/>
        <v>Jul-17</v>
      </c>
      <c r="I298" s="207" t="s">
        <v>1567</v>
      </c>
      <c r="J298" s="288">
        <f t="shared" si="20"/>
        <v>47.473684210526315</v>
      </c>
      <c r="K298" s="157"/>
      <c r="L298" s="307"/>
      <c r="M298" s="295"/>
      <c r="N298" s="217"/>
      <c r="R298" s="22"/>
      <c r="T298" s="47"/>
    </row>
    <row r="299" spans="1:20" s="600" customFormat="1" ht="13.5" customHeight="1">
      <c r="A299" s="524" t="s">
        <v>1566</v>
      </c>
      <c r="B299" s="156" t="s">
        <v>1580</v>
      </c>
      <c r="C299" s="207" t="s">
        <v>1568</v>
      </c>
      <c r="D299" s="208" t="s">
        <v>332</v>
      </c>
      <c r="E299" s="208" t="s">
        <v>910</v>
      </c>
      <c r="F299" s="678" t="s">
        <v>1724</v>
      </c>
      <c r="G299" s="185">
        <v>42917</v>
      </c>
      <c r="H299" s="524" t="str">
        <f t="shared" si="19"/>
        <v>Jul-17</v>
      </c>
      <c r="I299" s="207" t="s">
        <v>1567</v>
      </c>
      <c r="J299" s="288">
        <f t="shared" si="20"/>
        <v>47.473684210526315</v>
      </c>
      <c r="K299" s="157"/>
      <c r="L299" s="307"/>
      <c r="M299" s="295"/>
      <c r="N299" s="217"/>
      <c r="R299" s="22"/>
      <c r="T299" s="47"/>
    </row>
    <row r="300" spans="1:20" s="600" customFormat="1" ht="13.5" customHeight="1">
      <c r="A300" s="524" t="s">
        <v>1566</v>
      </c>
      <c r="B300" s="156" t="s">
        <v>1580</v>
      </c>
      <c r="C300" s="207" t="s">
        <v>1568</v>
      </c>
      <c r="D300" s="208" t="s">
        <v>332</v>
      </c>
      <c r="E300" s="208" t="s">
        <v>910</v>
      </c>
      <c r="F300" s="678" t="s">
        <v>1724</v>
      </c>
      <c r="G300" s="185">
        <v>42917</v>
      </c>
      <c r="H300" s="524" t="str">
        <f t="shared" si="19"/>
        <v>Jul-17</v>
      </c>
      <c r="I300" s="207" t="s">
        <v>1567</v>
      </c>
      <c r="J300" s="288">
        <f t="shared" si="20"/>
        <v>47.473684210526315</v>
      </c>
      <c r="K300" s="157"/>
      <c r="L300" s="307"/>
      <c r="M300" s="295"/>
      <c r="N300" s="217"/>
      <c r="R300" s="22"/>
      <c r="T300" s="47"/>
    </row>
    <row r="301" spans="1:20" s="600" customFormat="1" ht="13.5" customHeight="1">
      <c r="A301" s="524" t="s">
        <v>1566</v>
      </c>
      <c r="B301" s="156" t="s">
        <v>1580</v>
      </c>
      <c r="C301" s="207" t="s">
        <v>1568</v>
      </c>
      <c r="D301" s="208" t="s">
        <v>332</v>
      </c>
      <c r="E301" s="208" t="s">
        <v>910</v>
      </c>
      <c r="F301" s="678" t="s">
        <v>1725</v>
      </c>
      <c r="G301" s="185">
        <v>42917</v>
      </c>
      <c r="H301" s="524" t="str">
        <f t="shared" si="19"/>
        <v>Jul-17</v>
      </c>
      <c r="I301" s="207" t="s">
        <v>1567</v>
      </c>
      <c r="J301" s="288">
        <f t="shared" si="20"/>
        <v>47.473684210526315</v>
      </c>
      <c r="K301" s="157"/>
      <c r="L301" s="307"/>
      <c r="M301" s="295"/>
      <c r="N301" s="217"/>
      <c r="R301" s="22"/>
      <c r="T301" s="47"/>
    </row>
    <row r="302" spans="1:20" s="600" customFormat="1" ht="13.5" customHeight="1">
      <c r="A302" s="524" t="s">
        <v>1566</v>
      </c>
      <c r="B302" s="156" t="s">
        <v>1580</v>
      </c>
      <c r="C302" s="207" t="s">
        <v>1568</v>
      </c>
      <c r="D302" s="208" t="s">
        <v>332</v>
      </c>
      <c r="E302" s="208" t="s">
        <v>1739</v>
      </c>
      <c r="F302" s="678" t="s">
        <v>1726</v>
      </c>
      <c r="G302" s="185">
        <v>42917</v>
      </c>
      <c r="H302" s="524" t="str">
        <f t="shared" si="19"/>
        <v>Jul-17</v>
      </c>
      <c r="I302" s="207" t="s">
        <v>1567</v>
      </c>
      <c r="J302" s="288">
        <f t="shared" si="20"/>
        <v>47.473684210526315</v>
      </c>
      <c r="K302" s="157"/>
      <c r="L302" s="307"/>
      <c r="M302" s="295"/>
      <c r="N302" s="217"/>
      <c r="R302" s="22"/>
      <c r="T302" s="47"/>
    </row>
    <row r="303" spans="1:20" s="600" customFormat="1" ht="13.5" customHeight="1">
      <c r="A303" s="524" t="s">
        <v>1566</v>
      </c>
      <c r="B303" s="156" t="s">
        <v>1580</v>
      </c>
      <c r="C303" s="207" t="s">
        <v>1568</v>
      </c>
      <c r="D303" s="208" t="s">
        <v>332</v>
      </c>
      <c r="E303" s="208" t="s">
        <v>910</v>
      </c>
      <c r="F303" s="678" t="s">
        <v>1750</v>
      </c>
      <c r="G303" s="185">
        <v>42917</v>
      </c>
      <c r="H303" s="524" t="str">
        <f t="shared" si="19"/>
        <v>Jul-17</v>
      </c>
      <c r="I303" s="207" t="s">
        <v>1567</v>
      </c>
      <c r="J303" s="288">
        <f t="shared" si="20"/>
        <v>47.473684210526315</v>
      </c>
      <c r="K303" s="157"/>
      <c r="L303" s="307"/>
      <c r="M303" s="295"/>
      <c r="N303" s="217"/>
      <c r="R303" s="22"/>
      <c r="T303" s="47"/>
    </row>
    <row r="304" spans="1:20" s="600" customFormat="1" ht="13.5" customHeight="1">
      <c r="A304" s="524" t="s">
        <v>1566</v>
      </c>
      <c r="B304" s="156" t="s">
        <v>1580</v>
      </c>
      <c r="C304" s="207" t="s">
        <v>1568</v>
      </c>
      <c r="D304" s="208" t="s">
        <v>332</v>
      </c>
      <c r="E304" s="208" t="s">
        <v>910</v>
      </c>
      <c r="F304" s="678" t="s">
        <v>1727</v>
      </c>
      <c r="G304" s="185">
        <v>42917</v>
      </c>
      <c r="H304" s="524" t="str">
        <f t="shared" si="19"/>
        <v>Jul-17</v>
      </c>
      <c r="I304" s="207" t="s">
        <v>1567</v>
      </c>
      <c r="J304" s="288">
        <f t="shared" si="20"/>
        <v>47.473684210526315</v>
      </c>
      <c r="K304" s="157"/>
      <c r="L304" s="307"/>
      <c r="M304" s="295"/>
      <c r="N304" s="217"/>
      <c r="R304" s="22"/>
      <c r="T304" s="47"/>
    </row>
    <row r="305" spans="1:20" s="600" customFormat="1" ht="13.5" customHeight="1">
      <c r="A305" s="524" t="s">
        <v>1566</v>
      </c>
      <c r="B305" s="156" t="s">
        <v>1580</v>
      </c>
      <c r="C305" s="207" t="s">
        <v>1568</v>
      </c>
      <c r="D305" s="208" t="s">
        <v>332</v>
      </c>
      <c r="E305" s="208" t="s">
        <v>910</v>
      </c>
      <c r="F305" s="678" t="s">
        <v>1728</v>
      </c>
      <c r="G305" s="185">
        <v>42917</v>
      </c>
      <c r="H305" s="524" t="str">
        <f t="shared" si="19"/>
        <v>Jul-17</v>
      </c>
      <c r="I305" s="207" t="s">
        <v>1567</v>
      </c>
      <c r="J305" s="288">
        <f t="shared" si="20"/>
        <v>47.473684210526315</v>
      </c>
      <c r="K305" s="157"/>
      <c r="L305" s="307"/>
      <c r="M305" s="295"/>
      <c r="N305" s="217"/>
      <c r="R305" s="22"/>
      <c r="T305" s="47"/>
    </row>
    <row r="306" spans="1:20" ht="13.5" customHeight="1">
      <c r="A306" s="524" t="s">
        <v>1566</v>
      </c>
      <c r="B306" s="156" t="s">
        <v>1580</v>
      </c>
      <c r="C306" s="207" t="s">
        <v>1568</v>
      </c>
      <c r="D306" s="208" t="s">
        <v>15</v>
      </c>
      <c r="E306" s="208" t="s">
        <v>15</v>
      </c>
      <c r="F306" s="208" t="s">
        <v>15</v>
      </c>
      <c r="G306" s="185">
        <v>42917</v>
      </c>
      <c r="H306" s="524" t="str">
        <f>TEXT(G306,"mmm-yy")</f>
        <v>Jul-17</v>
      </c>
      <c r="I306" s="207" t="s">
        <v>1569</v>
      </c>
      <c r="J306" s="288">
        <v>487</v>
      </c>
      <c r="K306" s="157"/>
      <c r="L306" s="307"/>
    </row>
    <row r="307" spans="1:20" ht="13.5" customHeight="1">
      <c r="A307" s="524" t="s">
        <v>1566</v>
      </c>
      <c r="B307" s="156" t="s">
        <v>1580</v>
      </c>
      <c r="C307" s="207" t="s">
        <v>1568</v>
      </c>
      <c r="D307" s="208" t="s">
        <v>15</v>
      </c>
      <c r="E307" s="208" t="s">
        <v>15</v>
      </c>
      <c r="F307" s="208" t="s">
        <v>15</v>
      </c>
      <c r="G307" s="185">
        <v>42917</v>
      </c>
      <c r="H307" s="524" t="str">
        <f>TEXT(G307,"mmm-yy")</f>
        <v>Jul-17</v>
      </c>
      <c r="I307" s="207" t="s">
        <v>1570</v>
      </c>
      <c r="J307" s="288">
        <v>833</v>
      </c>
      <c r="K307" s="157"/>
      <c r="L307" s="307"/>
    </row>
    <row r="308" spans="1:20" ht="13.5" customHeight="1">
      <c r="A308" s="524" t="s">
        <v>1566</v>
      </c>
      <c r="B308" s="156" t="s">
        <v>1580</v>
      </c>
      <c r="C308" s="207" t="s">
        <v>1568</v>
      </c>
      <c r="D308" s="208" t="s">
        <v>332</v>
      </c>
      <c r="E308" s="208" t="s">
        <v>910</v>
      </c>
      <c r="F308" s="678" t="s">
        <v>1742</v>
      </c>
      <c r="G308" s="185">
        <v>42917</v>
      </c>
      <c r="H308" s="524" t="str">
        <f>TEXT(G308,"mmm-yy")</f>
        <v>Jul-17</v>
      </c>
      <c r="I308" s="207" t="s">
        <v>1716</v>
      </c>
      <c r="J308" s="288">
        <f>833/19</f>
        <v>43.842105263157897</v>
      </c>
      <c r="K308" s="157"/>
      <c r="L308" s="307"/>
    </row>
    <row r="309" spans="1:20" s="600" customFormat="1" ht="13.5" customHeight="1">
      <c r="A309" s="524" t="s">
        <v>1566</v>
      </c>
      <c r="B309" s="156" t="s">
        <v>1580</v>
      </c>
      <c r="C309" s="207" t="s">
        <v>1568</v>
      </c>
      <c r="D309" s="208" t="s">
        <v>332</v>
      </c>
      <c r="E309" s="208" t="s">
        <v>1739</v>
      </c>
      <c r="F309" s="678" t="s">
        <v>1736</v>
      </c>
      <c r="G309" s="185">
        <v>42917</v>
      </c>
      <c r="H309" s="524" t="str">
        <f t="shared" ref="H309:H326" si="21">TEXT(G309,"mmm-yy")</f>
        <v>Jul-17</v>
      </c>
      <c r="I309" s="207" t="s">
        <v>1716</v>
      </c>
      <c r="J309" s="288">
        <f t="shared" ref="J309:J345" si="22">833/19</f>
        <v>43.842105263157897</v>
      </c>
      <c r="K309" s="157"/>
      <c r="L309" s="307"/>
      <c r="M309" s="295"/>
      <c r="N309" s="217"/>
      <c r="R309" s="22"/>
      <c r="T309" s="47"/>
    </row>
    <row r="310" spans="1:20" s="600" customFormat="1" ht="13.5" customHeight="1">
      <c r="A310" s="524" t="s">
        <v>1566</v>
      </c>
      <c r="B310" s="156" t="s">
        <v>1580</v>
      </c>
      <c r="C310" s="207" t="s">
        <v>1568</v>
      </c>
      <c r="D310" s="208" t="s">
        <v>332</v>
      </c>
      <c r="E310" s="208" t="s">
        <v>1739</v>
      </c>
      <c r="F310" s="678" t="s">
        <v>1743</v>
      </c>
      <c r="G310" s="185">
        <v>42917</v>
      </c>
      <c r="H310" s="524" t="str">
        <f t="shared" si="21"/>
        <v>Jul-17</v>
      </c>
      <c r="I310" s="207" t="s">
        <v>1716</v>
      </c>
      <c r="J310" s="288">
        <f t="shared" si="22"/>
        <v>43.842105263157897</v>
      </c>
      <c r="K310" s="157"/>
      <c r="L310" s="307"/>
      <c r="M310" s="295"/>
      <c r="N310" s="217"/>
      <c r="R310" s="22"/>
      <c r="T310" s="47"/>
    </row>
    <row r="311" spans="1:20" s="600" customFormat="1" ht="13.5" customHeight="1">
      <c r="A311" s="524" t="s">
        <v>1566</v>
      </c>
      <c r="B311" s="156" t="s">
        <v>1580</v>
      </c>
      <c r="C311" s="207" t="s">
        <v>1568</v>
      </c>
      <c r="D311" s="208" t="s">
        <v>332</v>
      </c>
      <c r="E311" s="208" t="s">
        <v>1670</v>
      </c>
      <c r="F311" s="678" t="s">
        <v>1737</v>
      </c>
      <c r="G311" s="185">
        <v>42917</v>
      </c>
      <c r="H311" s="524" t="str">
        <f t="shared" si="21"/>
        <v>Jul-17</v>
      </c>
      <c r="I311" s="207" t="s">
        <v>1716</v>
      </c>
      <c r="J311" s="288">
        <f t="shared" si="22"/>
        <v>43.842105263157897</v>
      </c>
      <c r="K311" s="157"/>
      <c r="L311" s="307"/>
      <c r="M311" s="295"/>
      <c r="N311" s="217"/>
      <c r="R311" s="22"/>
      <c r="T311" s="47"/>
    </row>
    <row r="312" spans="1:20" s="600" customFormat="1" ht="13.5" customHeight="1">
      <c r="A312" s="524" t="s">
        <v>1566</v>
      </c>
      <c r="B312" s="156" t="s">
        <v>1580</v>
      </c>
      <c r="C312" s="207" t="s">
        <v>1568</v>
      </c>
      <c r="D312" s="208" t="s">
        <v>332</v>
      </c>
      <c r="E312" s="208" t="s">
        <v>1670</v>
      </c>
      <c r="F312" s="678" t="s">
        <v>1717</v>
      </c>
      <c r="G312" s="185">
        <v>42917</v>
      </c>
      <c r="H312" s="524" t="str">
        <f t="shared" si="21"/>
        <v>Jul-17</v>
      </c>
      <c r="I312" s="207" t="s">
        <v>1716</v>
      </c>
      <c r="J312" s="288">
        <f t="shared" si="22"/>
        <v>43.842105263157897</v>
      </c>
      <c r="K312" s="157"/>
      <c r="L312" s="307"/>
      <c r="M312" s="295"/>
      <c r="N312" s="217"/>
      <c r="R312" s="22"/>
      <c r="T312" s="47"/>
    </row>
    <row r="313" spans="1:20" s="600" customFormat="1" ht="13.5" customHeight="1">
      <c r="A313" s="524" t="s">
        <v>1566</v>
      </c>
      <c r="B313" s="156" t="s">
        <v>1580</v>
      </c>
      <c r="C313" s="207" t="s">
        <v>1568</v>
      </c>
      <c r="D313" s="208" t="s">
        <v>332</v>
      </c>
      <c r="E313" s="208" t="s">
        <v>910</v>
      </c>
      <c r="F313" s="678" t="s">
        <v>1746</v>
      </c>
      <c r="G313" s="185">
        <v>42917</v>
      </c>
      <c r="H313" s="524" t="str">
        <f t="shared" si="21"/>
        <v>Jul-17</v>
      </c>
      <c r="I313" s="207" t="s">
        <v>1716</v>
      </c>
      <c r="J313" s="288">
        <f t="shared" si="22"/>
        <v>43.842105263157897</v>
      </c>
      <c r="K313" s="157"/>
      <c r="L313" s="307"/>
      <c r="M313" s="295"/>
      <c r="N313" s="217"/>
      <c r="R313" s="22"/>
      <c r="T313" s="47"/>
    </row>
    <row r="314" spans="1:20" s="600" customFormat="1" ht="13.5" customHeight="1">
      <c r="A314" s="524" t="s">
        <v>1566</v>
      </c>
      <c r="B314" s="156" t="s">
        <v>1580</v>
      </c>
      <c r="C314" s="207" t="s">
        <v>1568</v>
      </c>
      <c r="D314" s="208" t="s">
        <v>332</v>
      </c>
      <c r="E314" s="208" t="s">
        <v>910</v>
      </c>
      <c r="F314" s="678" t="s">
        <v>1747</v>
      </c>
      <c r="G314" s="185">
        <v>42917</v>
      </c>
      <c r="H314" s="524" t="str">
        <f t="shared" si="21"/>
        <v>Jul-17</v>
      </c>
      <c r="I314" s="207" t="s">
        <v>1716</v>
      </c>
      <c r="J314" s="288">
        <f t="shared" si="22"/>
        <v>43.842105263157897</v>
      </c>
      <c r="K314" s="157"/>
      <c r="L314" s="307"/>
      <c r="M314" s="295"/>
      <c r="N314" s="217"/>
      <c r="R314" s="22"/>
      <c r="T314" s="47"/>
    </row>
    <row r="315" spans="1:20" s="600" customFormat="1" ht="13.5" customHeight="1">
      <c r="A315" s="524" t="s">
        <v>1566</v>
      </c>
      <c r="B315" s="156" t="s">
        <v>1580</v>
      </c>
      <c r="C315" s="207" t="s">
        <v>1568</v>
      </c>
      <c r="D315" s="208" t="s">
        <v>332</v>
      </c>
      <c r="E315" s="208" t="s">
        <v>910</v>
      </c>
      <c r="F315" s="678" t="s">
        <v>1748</v>
      </c>
      <c r="G315" s="185">
        <v>42917</v>
      </c>
      <c r="H315" s="524" t="str">
        <f t="shared" si="21"/>
        <v>Jul-17</v>
      </c>
      <c r="I315" s="207" t="s">
        <v>1716</v>
      </c>
      <c r="J315" s="288">
        <f t="shared" si="22"/>
        <v>43.842105263157897</v>
      </c>
      <c r="K315" s="157"/>
      <c r="L315" s="307"/>
      <c r="M315" s="295"/>
      <c r="N315" s="217"/>
      <c r="R315" s="22"/>
      <c r="T315" s="47"/>
    </row>
    <row r="316" spans="1:20" s="600" customFormat="1" ht="13.5" customHeight="1">
      <c r="A316" s="524" t="s">
        <v>1566</v>
      </c>
      <c r="B316" s="156" t="s">
        <v>1580</v>
      </c>
      <c r="C316" s="207" t="s">
        <v>1568</v>
      </c>
      <c r="D316" s="208" t="s">
        <v>332</v>
      </c>
      <c r="E316" s="208" t="s">
        <v>910</v>
      </c>
      <c r="F316" s="678" t="s">
        <v>1744</v>
      </c>
      <c r="G316" s="185">
        <v>42917</v>
      </c>
      <c r="H316" s="524" t="str">
        <f t="shared" si="21"/>
        <v>Jul-17</v>
      </c>
      <c r="I316" s="207" t="s">
        <v>1716</v>
      </c>
      <c r="J316" s="288">
        <f t="shared" si="22"/>
        <v>43.842105263157897</v>
      </c>
      <c r="K316" s="157"/>
      <c r="L316" s="307"/>
      <c r="M316" s="295"/>
      <c r="N316" s="217"/>
      <c r="R316" s="22"/>
      <c r="T316" s="47"/>
    </row>
    <row r="317" spans="1:20" s="600" customFormat="1" ht="13.5" customHeight="1">
      <c r="A317" s="524" t="s">
        <v>1566</v>
      </c>
      <c r="B317" s="156" t="s">
        <v>1580</v>
      </c>
      <c r="C317" s="207" t="s">
        <v>1568</v>
      </c>
      <c r="D317" s="208" t="s">
        <v>332</v>
      </c>
      <c r="E317" s="208" t="s">
        <v>910</v>
      </c>
      <c r="F317" s="678" t="s">
        <v>1721</v>
      </c>
      <c r="G317" s="185">
        <v>42917</v>
      </c>
      <c r="H317" s="524" t="str">
        <f t="shared" si="21"/>
        <v>Jul-17</v>
      </c>
      <c r="I317" s="207" t="s">
        <v>1716</v>
      </c>
      <c r="J317" s="288">
        <f t="shared" si="22"/>
        <v>43.842105263157897</v>
      </c>
      <c r="K317" s="157"/>
      <c r="L317" s="307"/>
      <c r="M317" s="295"/>
      <c r="N317" s="217"/>
      <c r="R317" s="22"/>
      <c r="T317" s="47"/>
    </row>
    <row r="318" spans="1:20" s="600" customFormat="1" ht="13.5" customHeight="1">
      <c r="A318" s="524" t="s">
        <v>1566</v>
      </c>
      <c r="B318" s="156" t="s">
        <v>1580</v>
      </c>
      <c r="C318" s="207" t="s">
        <v>1568</v>
      </c>
      <c r="D318" s="208" t="s">
        <v>332</v>
      </c>
      <c r="E318" s="208" t="s">
        <v>1739</v>
      </c>
      <c r="F318" s="678" t="s">
        <v>1722</v>
      </c>
      <c r="G318" s="185">
        <v>42917</v>
      </c>
      <c r="H318" s="524" t="str">
        <f t="shared" si="21"/>
        <v>Jul-17</v>
      </c>
      <c r="I318" s="207" t="s">
        <v>1716</v>
      </c>
      <c r="J318" s="288">
        <f t="shared" si="22"/>
        <v>43.842105263157897</v>
      </c>
      <c r="K318" s="157"/>
      <c r="L318" s="307"/>
      <c r="M318" s="295"/>
      <c r="N318" s="217"/>
      <c r="R318" s="22"/>
      <c r="T318" s="47"/>
    </row>
    <row r="319" spans="1:20" s="600" customFormat="1" ht="13.5" customHeight="1">
      <c r="A319" s="524" t="s">
        <v>1566</v>
      </c>
      <c r="B319" s="156" t="s">
        <v>1580</v>
      </c>
      <c r="C319" s="207" t="s">
        <v>1568</v>
      </c>
      <c r="D319" s="208" t="s">
        <v>332</v>
      </c>
      <c r="E319" s="208" t="s">
        <v>1739</v>
      </c>
      <c r="F319" s="678" t="s">
        <v>1723</v>
      </c>
      <c r="G319" s="185">
        <v>42917</v>
      </c>
      <c r="H319" s="524" t="str">
        <f t="shared" si="21"/>
        <v>Jul-17</v>
      </c>
      <c r="I319" s="207" t="s">
        <v>1716</v>
      </c>
      <c r="J319" s="288">
        <f t="shared" si="22"/>
        <v>43.842105263157897</v>
      </c>
      <c r="K319" s="157"/>
      <c r="L319" s="307"/>
      <c r="M319" s="295"/>
      <c r="N319" s="217"/>
      <c r="R319" s="22"/>
      <c r="T319" s="47"/>
    </row>
    <row r="320" spans="1:20" s="600" customFormat="1" ht="13.5" customHeight="1">
      <c r="A320" s="524" t="s">
        <v>1566</v>
      </c>
      <c r="B320" s="156" t="s">
        <v>1580</v>
      </c>
      <c r="C320" s="207" t="s">
        <v>1568</v>
      </c>
      <c r="D320" s="208" t="s">
        <v>332</v>
      </c>
      <c r="E320" s="208" t="s">
        <v>910</v>
      </c>
      <c r="F320" s="678" t="s">
        <v>1724</v>
      </c>
      <c r="G320" s="185">
        <v>42917</v>
      </c>
      <c r="H320" s="524" t="str">
        <f t="shared" si="21"/>
        <v>Jul-17</v>
      </c>
      <c r="I320" s="207" t="s">
        <v>1716</v>
      </c>
      <c r="J320" s="288">
        <f t="shared" si="22"/>
        <v>43.842105263157897</v>
      </c>
      <c r="K320" s="157"/>
      <c r="L320" s="307"/>
      <c r="M320" s="295"/>
      <c r="N320" s="217"/>
      <c r="R320" s="22"/>
      <c r="T320" s="47"/>
    </row>
    <row r="321" spans="1:20" s="600" customFormat="1" ht="13.5" customHeight="1">
      <c r="A321" s="524" t="s">
        <v>1566</v>
      </c>
      <c r="B321" s="156" t="s">
        <v>1580</v>
      </c>
      <c r="C321" s="207" t="s">
        <v>1568</v>
      </c>
      <c r="D321" s="208" t="s">
        <v>332</v>
      </c>
      <c r="E321" s="208" t="s">
        <v>910</v>
      </c>
      <c r="F321" s="678" t="s">
        <v>1724</v>
      </c>
      <c r="G321" s="185">
        <v>42917</v>
      </c>
      <c r="H321" s="524" t="str">
        <f t="shared" si="21"/>
        <v>Jul-17</v>
      </c>
      <c r="I321" s="207" t="s">
        <v>1716</v>
      </c>
      <c r="J321" s="288">
        <f t="shared" si="22"/>
        <v>43.842105263157897</v>
      </c>
      <c r="K321" s="157"/>
      <c r="L321" s="307"/>
      <c r="M321" s="295"/>
      <c r="N321" s="217"/>
      <c r="R321" s="22"/>
      <c r="T321" s="47"/>
    </row>
    <row r="322" spans="1:20" s="600" customFormat="1" ht="13.5" customHeight="1">
      <c r="A322" s="524" t="s">
        <v>1566</v>
      </c>
      <c r="B322" s="156" t="s">
        <v>1580</v>
      </c>
      <c r="C322" s="207" t="s">
        <v>1568</v>
      </c>
      <c r="D322" s="208" t="s">
        <v>332</v>
      </c>
      <c r="E322" s="208" t="s">
        <v>910</v>
      </c>
      <c r="F322" s="678" t="s">
        <v>1725</v>
      </c>
      <c r="G322" s="185">
        <v>42917</v>
      </c>
      <c r="H322" s="524" t="str">
        <f t="shared" si="21"/>
        <v>Jul-17</v>
      </c>
      <c r="I322" s="207" t="s">
        <v>1716</v>
      </c>
      <c r="J322" s="288">
        <f t="shared" si="22"/>
        <v>43.842105263157897</v>
      </c>
      <c r="K322" s="157"/>
      <c r="L322" s="307"/>
      <c r="M322" s="295"/>
      <c r="N322" s="217"/>
      <c r="R322" s="22"/>
      <c r="T322" s="47"/>
    </row>
    <row r="323" spans="1:20" s="600" customFormat="1" ht="13.5" customHeight="1">
      <c r="A323" s="524" t="s">
        <v>1566</v>
      </c>
      <c r="B323" s="156" t="s">
        <v>1580</v>
      </c>
      <c r="C323" s="207" t="s">
        <v>1568</v>
      </c>
      <c r="D323" s="208" t="s">
        <v>332</v>
      </c>
      <c r="E323" s="208" t="s">
        <v>1739</v>
      </c>
      <c r="F323" s="678" t="s">
        <v>1726</v>
      </c>
      <c r="G323" s="185">
        <v>42917</v>
      </c>
      <c r="H323" s="524" t="str">
        <f t="shared" si="21"/>
        <v>Jul-17</v>
      </c>
      <c r="I323" s="207" t="s">
        <v>1716</v>
      </c>
      <c r="J323" s="288">
        <f t="shared" si="22"/>
        <v>43.842105263157897</v>
      </c>
      <c r="K323" s="157"/>
      <c r="L323" s="307"/>
      <c r="M323" s="295"/>
      <c r="N323" s="217"/>
      <c r="R323" s="22"/>
      <c r="T323" s="47"/>
    </row>
    <row r="324" spans="1:20" s="600" customFormat="1" ht="13.5" customHeight="1">
      <c r="A324" s="524" t="s">
        <v>1566</v>
      </c>
      <c r="B324" s="156" t="s">
        <v>1580</v>
      </c>
      <c r="C324" s="207" t="s">
        <v>1568</v>
      </c>
      <c r="D324" s="208" t="s">
        <v>332</v>
      </c>
      <c r="E324" s="208" t="s">
        <v>910</v>
      </c>
      <c r="F324" s="678" t="s">
        <v>1750</v>
      </c>
      <c r="G324" s="185">
        <v>42917</v>
      </c>
      <c r="H324" s="524" t="str">
        <f t="shared" si="21"/>
        <v>Jul-17</v>
      </c>
      <c r="I324" s="207" t="s">
        <v>1716</v>
      </c>
      <c r="J324" s="288">
        <f t="shared" si="22"/>
        <v>43.842105263157897</v>
      </c>
      <c r="K324" s="157"/>
      <c r="L324" s="307"/>
      <c r="M324" s="295"/>
      <c r="N324" s="217"/>
      <c r="R324" s="22"/>
      <c r="T324" s="47"/>
    </row>
    <row r="325" spans="1:20" s="600" customFormat="1" ht="13.5" customHeight="1">
      <c r="A325" s="524" t="s">
        <v>1566</v>
      </c>
      <c r="B325" s="156" t="s">
        <v>1580</v>
      </c>
      <c r="C325" s="207" t="s">
        <v>1568</v>
      </c>
      <c r="D325" s="208" t="s">
        <v>332</v>
      </c>
      <c r="E325" s="208" t="s">
        <v>910</v>
      </c>
      <c r="F325" s="678" t="s">
        <v>1727</v>
      </c>
      <c r="G325" s="185">
        <v>42917</v>
      </c>
      <c r="H325" s="524" t="str">
        <f t="shared" si="21"/>
        <v>Jul-17</v>
      </c>
      <c r="I325" s="207" t="s">
        <v>1716</v>
      </c>
      <c r="J325" s="288">
        <f t="shared" si="22"/>
        <v>43.842105263157897</v>
      </c>
      <c r="K325" s="157"/>
      <c r="L325" s="307"/>
      <c r="M325" s="295"/>
      <c r="N325" s="217"/>
      <c r="R325" s="22"/>
      <c r="T325" s="47"/>
    </row>
    <row r="326" spans="1:20" s="600" customFormat="1" ht="13.5" customHeight="1">
      <c r="A326" s="524" t="s">
        <v>1566</v>
      </c>
      <c r="B326" s="156" t="s">
        <v>1580</v>
      </c>
      <c r="C326" s="207" t="s">
        <v>1568</v>
      </c>
      <c r="D326" s="208" t="s">
        <v>332</v>
      </c>
      <c r="E326" s="208" t="s">
        <v>910</v>
      </c>
      <c r="F326" s="678" t="s">
        <v>1728</v>
      </c>
      <c r="G326" s="185">
        <v>42917</v>
      </c>
      <c r="H326" s="524" t="str">
        <f t="shared" si="21"/>
        <v>Jul-17</v>
      </c>
      <c r="I326" s="207" t="s">
        <v>1716</v>
      </c>
      <c r="J326" s="288">
        <f t="shared" si="22"/>
        <v>43.842105263157897</v>
      </c>
      <c r="K326" s="157"/>
      <c r="L326" s="307"/>
      <c r="M326" s="295"/>
      <c r="N326" s="217"/>
      <c r="R326" s="22"/>
      <c r="T326" s="47"/>
    </row>
    <row r="327" spans="1:20" ht="13.5" customHeight="1">
      <c r="A327" s="524" t="s">
        <v>1566</v>
      </c>
      <c r="B327" s="156" t="s">
        <v>1580</v>
      </c>
      <c r="C327" s="207" t="s">
        <v>1568</v>
      </c>
      <c r="D327" s="208" t="s">
        <v>332</v>
      </c>
      <c r="E327" s="208" t="s">
        <v>910</v>
      </c>
      <c r="F327" s="678" t="s">
        <v>1742</v>
      </c>
      <c r="G327" s="185">
        <v>42917</v>
      </c>
      <c r="H327" s="524" t="str">
        <f>TEXT(G327,"mmm-yy")</f>
        <v>Jul-17</v>
      </c>
      <c r="I327" s="207" t="s">
        <v>1715</v>
      </c>
      <c r="J327" s="288">
        <f t="shared" si="22"/>
        <v>43.842105263157897</v>
      </c>
      <c r="K327" s="157"/>
      <c r="L327" s="307"/>
    </row>
    <row r="328" spans="1:20" s="600" customFormat="1" ht="13.5" customHeight="1">
      <c r="A328" s="524" t="s">
        <v>1566</v>
      </c>
      <c r="B328" s="156" t="s">
        <v>1580</v>
      </c>
      <c r="C328" s="207" t="s">
        <v>1568</v>
      </c>
      <c r="D328" s="208" t="s">
        <v>332</v>
      </c>
      <c r="E328" s="208" t="s">
        <v>1739</v>
      </c>
      <c r="F328" s="678" t="s">
        <v>1736</v>
      </c>
      <c r="G328" s="185">
        <v>42917</v>
      </c>
      <c r="H328" s="524" t="str">
        <f t="shared" ref="H328:H391" si="23">TEXT(G328,"mmm-yy")</f>
        <v>Jul-17</v>
      </c>
      <c r="I328" s="207" t="s">
        <v>1715</v>
      </c>
      <c r="J328" s="288">
        <f t="shared" si="22"/>
        <v>43.842105263157897</v>
      </c>
      <c r="K328" s="157"/>
      <c r="L328" s="307"/>
      <c r="M328" s="295"/>
      <c r="N328" s="217"/>
      <c r="R328" s="22"/>
      <c r="T328" s="47"/>
    </row>
    <row r="329" spans="1:20" s="600" customFormat="1" ht="13.5" customHeight="1">
      <c r="A329" s="524" t="s">
        <v>1566</v>
      </c>
      <c r="B329" s="156" t="s">
        <v>1580</v>
      </c>
      <c r="C329" s="207" t="s">
        <v>1568</v>
      </c>
      <c r="D329" s="208" t="s">
        <v>332</v>
      </c>
      <c r="E329" s="208" t="s">
        <v>1739</v>
      </c>
      <c r="F329" s="678" t="s">
        <v>1743</v>
      </c>
      <c r="G329" s="185">
        <v>42917</v>
      </c>
      <c r="H329" s="524" t="str">
        <f t="shared" si="23"/>
        <v>Jul-17</v>
      </c>
      <c r="I329" s="207" t="s">
        <v>1715</v>
      </c>
      <c r="J329" s="288">
        <f t="shared" si="22"/>
        <v>43.842105263157897</v>
      </c>
      <c r="K329" s="157"/>
      <c r="L329" s="307"/>
      <c r="M329" s="295"/>
      <c r="N329" s="217"/>
      <c r="R329" s="22"/>
      <c r="T329" s="47"/>
    </row>
    <row r="330" spans="1:20" s="600" customFormat="1" ht="13.5" customHeight="1">
      <c r="A330" s="524" t="s">
        <v>1566</v>
      </c>
      <c r="B330" s="156" t="s">
        <v>1580</v>
      </c>
      <c r="C330" s="207" t="s">
        <v>1568</v>
      </c>
      <c r="D330" s="208" t="s">
        <v>332</v>
      </c>
      <c r="E330" s="208" t="s">
        <v>1670</v>
      </c>
      <c r="F330" s="678" t="s">
        <v>1737</v>
      </c>
      <c r="G330" s="185">
        <v>42917</v>
      </c>
      <c r="H330" s="524" t="str">
        <f t="shared" si="23"/>
        <v>Jul-17</v>
      </c>
      <c r="I330" s="207" t="s">
        <v>1715</v>
      </c>
      <c r="J330" s="288">
        <f t="shared" si="22"/>
        <v>43.842105263157897</v>
      </c>
      <c r="K330" s="157"/>
      <c r="L330" s="307"/>
      <c r="M330" s="295"/>
      <c r="N330" s="217"/>
      <c r="R330" s="22"/>
      <c r="T330" s="47"/>
    </row>
    <row r="331" spans="1:20" s="600" customFormat="1" ht="13.5" customHeight="1">
      <c r="A331" s="524" t="s">
        <v>1566</v>
      </c>
      <c r="B331" s="156" t="s">
        <v>1580</v>
      </c>
      <c r="C331" s="207" t="s">
        <v>1568</v>
      </c>
      <c r="D331" s="208" t="s">
        <v>332</v>
      </c>
      <c r="E331" s="208" t="s">
        <v>1670</v>
      </c>
      <c r="F331" s="678" t="s">
        <v>1717</v>
      </c>
      <c r="G331" s="185">
        <v>42917</v>
      </c>
      <c r="H331" s="524" t="str">
        <f t="shared" si="23"/>
        <v>Jul-17</v>
      </c>
      <c r="I331" s="207" t="s">
        <v>1715</v>
      </c>
      <c r="J331" s="288">
        <f t="shared" si="22"/>
        <v>43.842105263157897</v>
      </c>
      <c r="K331" s="157"/>
      <c r="L331" s="307"/>
      <c r="M331" s="295"/>
      <c r="N331" s="217"/>
      <c r="R331" s="22"/>
      <c r="T331" s="47"/>
    </row>
    <row r="332" spans="1:20" s="600" customFormat="1" ht="13.5" customHeight="1">
      <c r="A332" s="524" t="s">
        <v>1566</v>
      </c>
      <c r="B332" s="156" t="s">
        <v>1580</v>
      </c>
      <c r="C332" s="207" t="s">
        <v>1568</v>
      </c>
      <c r="D332" s="208" t="s">
        <v>332</v>
      </c>
      <c r="E332" s="208" t="s">
        <v>910</v>
      </c>
      <c r="F332" s="678" t="s">
        <v>1746</v>
      </c>
      <c r="G332" s="185">
        <v>42917</v>
      </c>
      <c r="H332" s="524" t="str">
        <f t="shared" si="23"/>
        <v>Jul-17</v>
      </c>
      <c r="I332" s="207" t="s">
        <v>1715</v>
      </c>
      <c r="J332" s="288">
        <f t="shared" si="22"/>
        <v>43.842105263157897</v>
      </c>
      <c r="K332" s="157"/>
      <c r="L332" s="307"/>
      <c r="M332" s="295"/>
      <c r="N332" s="217"/>
      <c r="R332" s="22"/>
      <c r="T332" s="47"/>
    </row>
    <row r="333" spans="1:20" s="600" customFormat="1" ht="13.5" customHeight="1">
      <c r="A333" s="524" t="s">
        <v>1566</v>
      </c>
      <c r="B333" s="156" t="s">
        <v>1580</v>
      </c>
      <c r="C333" s="207" t="s">
        <v>1568</v>
      </c>
      <c r="D333" s="208" t="s">
        <v>332</v>
      </c>
      <c r="E333" s="208" t="s">
        <v>910</v>
      </c>
      <c r="F333" s="678" t="s">
        <v>1747</v>
      </c>
      <c r="G333" s="185">
        <v>42917</v>
      </c>
      <c r="H333" s="524" t="str">
        <f t="shared" si="23"/>
        <v>Jul-17</v>
      </c>
      <c r="I333" s="207" t="s">
        <v>1715</v>
      </c>
      <c r="J333" s="288">
        <f t="shared" si="22"/>
        <v>43.842105263157897</v>
      </c>
      <c r="K333" s="157"/>
      <c r="L333" s="307"/>
      <c r="M333" s="295"/>
      <c r="N333" s="217"/>
      <c r="R333" s="22"/>
      <c r="T333" s="47"/>
    </row>
    <row r="334" spans="1:20" s="600" customFormat="1" ht="13.5" customHeight="1">
      <c r="A334" s="524" t="s">
        <v>1566</v>
      </c>
      <c r="B334" s="156" t="s">
        <v>1580</v>
      </c>
      <c r="C334" s="207" t="s">
        <v>1568</v>
      </c>
      <c r="D334" s="208" t="s">
        <v>332</v>
      </c>
      <c r="E334" s="208" t="s">
        <v>910</v>
      </c>
      <c r="F334" s="678" t="s">
        <v>1748</v>
      </c>
      <c r="G334" s="185">
        <v>42917</v>
      </c>
      <c r="H334" s="524" t="str">
        <f t="shared" si="23"/>
        <v>Jul-17</v>
      </c>
      <c r="I334" s="207" t="s">
        <v>1715</v>
      </c>
      <c r="J334" s="288">
        <f t="shared" si="22"/>
        <v>43.842105263157897</v>
      </c>
      <c r="K334" s="157"/>
      <c r="L334" s="307"/>
      <c r="M334" s="295"/>
      <c r="N334" s="217"/>
      <c r="R334" s="22"/>
      <c r="T334" s="47"/>
    </row>
    <row r="335" spans="1:20" s="600" customFormat="1" ht="13.5" customHeight="1">
      <c r="A335" s="524" t="s">
        <v>1566</v>
      </c>
      <c r="B335" s="156" t="s">
        <v>1580</v>
      </c>
      <c r="C335" s="207" t="s">
        <v>1568</v>
      </c>
      <c r="D335" s="208" t="s">
        <v>332</v>
      </c>
      <c r="E335" s="208" t="s">
        <v>910</v>
      </c>
      <c r="F335" s="678" t="s">
        <v>1744</v>
      </c>
      <c r="G335" s="185">
        <v>42917</v>
      </c>
      <c r="H335" s="524" t="str">
        <f t="shared" si="23"/>
        <v>Jul-17</v>
      </c>
      <c r="I335" s="207" t="s">
        <v>1715</v>
      </c>
      <c r="J335" s="288">
        <f t="shared" si="22"/>
        <v>43.842105263157897</v>
      </c>
      <c r="K335" s="157"/>
      <c r="L335" s="307"/>
      <c r="M335" s="295"/>
      <c r="N335" s="217"/>
      <c r="R335" s="22"/>
      <c r="T335" s="47"/>
    </row>
    <row r="336" spans="1:20" s="600" customFormat="1" ht="13.5" customHeight="1">
      <c r="A336" s="524" t="s">
        <v>1566</v>
      </c>
      <c r="B336" s="156" t="s">
        <v>1580</v>
      </c>
      <c r="C336" s="207" t="s">
        <v>1568</v>
      </c>
      <c r="D336" s="208" t="s">
        <v>332</v>
      </c>
      <c r="E336" s="208" t="s">
        <v>910</v>
      </c>
      <c r="F336" s="678" t="s">
        <v>1721</v>
      </c>
      <c r="G336" s="185">
        <v>42917</v>
      </c>
      <c r="H336" s="524" t="str">
        <f t="shared" si="23"/>
        <v>Jul-17</v>
      </c>
      <c r="I336" s="207" t="s">
        <v>1715</v>
      </c>
      <c r="J336" s="288">
        <f t="shared" si="22"/>
        <v>43.842105263157897</v>
      </c>
      <c r="K336" s="157"/>
      <c r="L336" s="307"/>
      <c r="M336" s="295"/>
      <c r="N336" s="217"/>
      <c r="R336" s="22"/>
      <c r="T336" s="47"/>
    </row>
    <row r="337" spans="1:20" s="600" customFormat="1" ht="13.5" customHeight="1">
      <c r="A337" s="524" t="s">
        <v>1566</v>
      </c>
      <c r="B337" s="156" t="s">
        <v>1580</v>
      </c>
      <c r="C337" s="207" t="s">
        <v>1568</v>
      </c>
      <c r="D337" s="208" t="s">
        <v>332</v>
      </c>
      <c r="E337" s="208" t="s">
        <v>1739</v>
      </c>
      <c r="F337" s="678" t="s">
        <v>1722</v>
      </c>
      <c r="G337" s="185">
        <v>42917</v>
      </c>
      <c r="H337" s="524" t="str">
        <f t="shared" si="23"/>
        <v>Jul-17</v>
      </c>
      <c r="I337" s="207" t="s">
        <v>1715</v>
      </c>
      <c r="J337" s="288">
        <f t="shared" si="22"/>
        <v>43.842105263157897</v>
      </c>
      <c r="K337" s="157"/>
      <c r="L337" s="307"/>
      <c r="M337" s="295"/>
      <c r="N337" s="217"/>
      <c r="R337" s="22"/>
      <c r="T337" s="47"/>
    </row>
    <row r="338" spans="1:20" s="600" customFormat="1" ht="13.5" customHeight="1">
      <c r="A338" s="524" t="s">
        <v>1566</v>
      </c>
      <c r="B338" s="156" t="s">
        <v>1580</v>
      </c>
      <c r="C338" s="207" t="s">
        <v>1568</v>
      </c>
      <c r="D338" s="208" t="s">
        <v>332</v>
      </c>
      <c r="E338" s="208" t="s">
        <v>1739</v>
      </c>
      <c r="F338" s="678" t="s">
        <v>1723</v>
      </c>
      <c r="G338" s="185">
        <v>42917</v>
      </c>
      <c r="H338" s="524" t="str">
        <f t="shared" si="23"/>
        <v>Jul-17</v>
      </c>
      <c r="I338" s="207" t="s">
        <v>1715</v>
      </c>
      <c r="J338" s="288">
        <f t="shared" si="22"/>
        <v>43.842105263157897</v>
      </c>
      <c r="K338" s="157"/>
      <c r="L338" s="307"/>
      <c r="M338" s="295"/>
      <c r="N338" s="217"/>
      <c r="R338" s="22"/>
      <c r="T338" s="47"/>
    </row>
    <row r="339" spans="1:20" s="600" customFormat="1" ht="13.5" customHeight="1">
      <c r="A339" s="524" t="s">
        <v>1566</v>
      </c>
      <c r="B339" s="156" t="s">
        <v>1580</v>
      </c>
      <c r="C339" s="207" t="s">
        <v>1568</v>
      </c>
      <c r="D339" s="208" t="s">
        <v>332</v>
      </c>
      <c r="E339" s="208" t="s">
        <v>910</v>
      </c>
      <c r="F339" s="678" t="s">
        <v>1724</v>
      </c>
      <c r="G339" s="185">
        <v>42917</v>
      </c>
      <c r="H339" s="524" t="str">
        <f t="shared" si="23"/>
        <v>Jul-17</v>
      </c>
      <c r="I339" s="207" t="s">
        <v>1715</v>
      </c>
      <c r="J339" s="288">
        <f t="shared" si="22"/>
        <v>43.842105263157897</v>
      </c>
      <c r="K339" s="157"/>
      <c r="L339" s="307"/>
      <c r="M339" s="295"/>
      <c r="N339" s="217"/>
      <c r="R339" s="22"/>
      <c r="T339" s="47"/>
    </row>
    <row r="340" spans="1:20" s="600" customFormat="1" ht="13.5" customHeight="1">
      <c r="A340" s="524" t="s">
        <v>1566</v>
      </c>
      <c r="B340" s="156" t="s">
        <v>1580</v>
      </c>
      <c r="C340" s="207" t="s">
        <v>1568</v>
      </c>
      <c r="D340" s="208" t="s">
        <v>332</v>
      </c>
      <c r="E340" s="208" t="s">
        <v>910</v>
      </c>
      <c r="F340" s="678" t="s">
        <v>1724</v>
      </c>
      <c r="G340" s="185">
        <v>42917</v>
      </c>
      <c r="H340" s="524" t="str">
        <f t="shared" si="23"/>
        <v>Jul-17</v>
      </c>
      <c r="I340" s="207" t="s">
        <v>1715</v>
      </c>
      <c r="J340" s="288">
        <f t="shared" si="22"/>
        <v>43.842105263157897</v>
      </c>
      <c r="K340" s="157"/>
      <c r="L340" s="307"/>
      <c r="M340" s="295"/>
      <c r="N340" s="217"/>
      <c r="R340" s="22"/>
      <c r="T340" s="47"/>
    </row>
    <row r="341" spans="1:20" s="600" customFormat="1" ht="13.5" customHeight="1">
      <c r="A341" s="524" t="s">
        <v>1566</v>
      </c>
      <c r="B341" s="156" t="s">
        <v>1580</v>
      </c>
      <c r="C341" s="207" t="s">
        <v>1568</v>
      </c>
      <c r="D341" s="208" t="s">
        <v>332</v>
      </c>
      <c r="E341" s="208" t="s">
        <v>910</v>
      </c>
      <c r="F341" s="678" t="s">
        <v>1725</v>
      </c>
      <c r="G341" s="185">
        <v>42917</v>
      </c>
      <c r="H341" s="524" t="str">
        <f t="shared" si="23"/>
        <v>Jul-17</v>
      </c>
      <c r="I341" s="207" t="s">
        <v>1715</v>
      </c>
      <c r="J341" s="288">
        <f t="shared" si="22"/>
        <v>43.842105263157897</v>
      </c>
      <c r="K341" s="157"/>
      <c r="L341" s="307"/>
      <c r="M341" s="295"/>
      <c r="N341" s="217"/>
      <c r="R341" s="22"/>
      <c r="T341" s="47"/>
    </row>
    <row r="342" spans="1:20" s="600" customFormat="1" ht="13.5" customHeight="1">
      <c r="A342" s="524" t="s">
        <v>1566</v>
      </c>
      <c r="B342" s="156" t="s">
        <v>1580</v>
      </c>
      <c r="C342" s="207" t="s">
        <v>1568</v>
      </c>
      <c r="D342" s="208" t="s">
        <v>332</v>
      </c>
      <c r="E342" s="208" t="s">
        <v>1739</v>
      </c>
      <c r="F342" s="678" t="s">
        <v>1726</v>
      </c>
      <c r="G342" s="185">
        <v>42917</v>
      </c>
      <c r="H342" s="524" t="str">
        <f t="shared" si="23"/>
        <v>Jul-17</v>
      </c>
      <c r="I342" s="207" t="s">
        <v>1715</v>
      </c>
      <c r="J342" s="288">
        <f t="shared" si="22"/>
        <v>43.842105263157897</v>
      </c>
      <c r="K342" s="157"/>
      <c r="L342" s="307"/>
      <c r="M342" s="295"/>
      <c r="N342" s="217"/>
      <c r="R342" s="22"/>
      <c r="T342" s="47"/>
    </row>
    <row r="343" spans="1:20" s="600" customFormat="1" ht="13.5" customHeight="1">
      <c r="A343" s="524" t="s">
        <v>1566</v>
      </c>
      <c r="B343" s="156" t="s">
        <v>1580</v>
      </c>
      <c r="C343" s="207" t="s">
        <v>1568</v>
      </c>
      <c r="D343" s="208" t="s">
        <v>332</v>
      </c>
      <c r="E343" s="208" t="s">
        <v>910</v>
      </c>
      <c r="F343" s="678" t="s">
        <v>1750</v>
      </c>
      <c r="G343" s="185">
        <v>42917</v>
      </c>
      <c r="H343" s="524" t="str">
        <f t="shared" si="23"/>
        <v>Jul-17</v>
      </c>
      <c r="I343" s="207" t="s">
        <v>1715</v>
      </c>
      <c r="J343" s="288">
        <f t="shared" si="22"/>
        <v>43.842105263157897</v>
      </c>
      <c r="K343" s="157"/>
      <c r="L343" s="307"/>
      <c r="M343" s="295"/>
      <c r="N343" s="217"/>
      <c r="R343" s="22"/>
      <c r="T343" s="47"/>
    </row>
    <row r="344" spans="1:20" s="600" customFormat="1" ht="13.5" customHeight="1">
      <c r="A344" s="524" t="s">
        <v>1566</v>
      </c>
      <c r="B344" s="156" t="s">
        <v>1580</v>
      </c>
      <c r="C344" s="207" t="s">
        <v>1568</v>
      </c>
      <c r="D344" s="208" t="s">
        <v>332</v>
      </c>
      <c r="E344" s="208" t="s">
        <v>910</v>
      </c>
      <c r="F344" s="678" t="s">
        <v>1727</v>
      </c>
      <c r="G344" s="185">
        <v>42917</v>
      </c>
      <c r="H344" s="524" t="str">
        <f t="shared" si="23"/>
        <v>Jul-17</v>
      </c>
      <c r="I344" s="207" t="s">
        <v>1715</v>
      </c>
      <c r="J344" s="288">
        <f t="shared" si="22"/>
        <v>43.842105263157897</v>
      </c>
      <c r="K344" s="157"/>
      <c r="L344" s="307"/>
      <c r="M344" s="295"/>
      <c r="N344" s="217"/>
      <c r="R344" s="22"/>
      <c r="T344" s="47"/>
    </row>
    <row r="345" spans="1:20" s="600" customFormat="1" ht="13.5" customHeight="1">
      <c r="A345" s="524" t="s">
        <v>1566</v>
      </c>
      <c r="B345" s="156" t="s">
        <v>1580</v>
      </c>
      <c r="C345" s="207" t="s">
        <v>1568</v>
      </c>
      <c r="D345" s="208" t="s">
        <v>332</v>
      </c>
      <c r="E345" s="208" t="s">
        <v>910</v>
      </c>
      <c r="F345" s="678" t="s">
        <v>1728</v>
      </c>
      <c r="G345" s="185">
        <v>42917</v>
      </c>
      <c r="H345" s="524" t="str">
        <f t="shared" si="23"/>
        <v>Jul-17</v>
      </c>
      <c r="I345" s="207" t="s">
        <v>1715</v>
      </c>
      <c r="J345" s="288">
        <f t="shared" si="22"/>
        <v>43.842105263157897</v>
      </c>
      <c r="K345" s="157"/>
      <c r="L345" s="307"/>
      <c r="M345" s="295"/>
      <c r="N345" s="217"/>
      <c r="R345" s="22"/>
      <c r="T345" s="47"/>
    </row>
    <row r="346" spans="1:20" ht="13.5" customHeight="1">
      <c r="A346" s="524" t="s">
        <v>1375</v>
      </c>
      <c r="B346" s="156" t="s">
        <v>1580</v>
      </c>
      <c r="C346" s="207" t="s">
        <v>1572</v>
      </c>
      <c r="D346" s="208" t="s">
        <v>15</v>
      </c>
      <c r="E346" s="208" t="s">
        <v>15</v>
      </c>
      <c r="F346" s="208" t="s">
        <v>15</v>
      </c>
      <c r="G346" s="185">
        <v>42947</v>
      </c>
      <c r="H346" s="524" t="str">
        <f t="shared" si="23"/>
        <v>Jul-17</v>
      </c>
      <c r="I346" s="207" t="s">
        <v>1571</v>
      </c>
      <c r="J346" s="288">
        <v>20</v>
      </c>
      <c r="K346" s="157"/>
      <c r="L346" s="307"/>
    </row>
    <row r="347" spans="1:20" ht="13.5" customHeight="1">
      <c r="A347" s="524" t="s">
        <v>1375</v>
      </c>
      <c r="B347" s="156" t="s">
        <v>1580</v>
      </c>
      <c r="C347" s="207" t="s">
        <v>1572</v>
      </c>
      <c r="D347" s="208" t="s">
        <v>15</v>
      </c>
      <c r="E347" s="208" t="s">
        <v>15</v>
      </c>
      <c r="F347" s="208" t="s">
        <v>15</v>
      </c>
      <c r="G347" s="185">
        <v>42947</v>
      </c>
      <c r="H347" s="524" t="str">
        <f t="shared" si="23"/>
        <v>Jul-17</v>
      </c>
      <c r="I347" s="207" t="s">
        <v>1573</v>
      </c>
      <c r="J347" s="288">
        <v>66.180000000000007</v>
      </c>
      <c r="K347" s="157"/>
      <c r="L347" s="307"/>
    </row>
    <row r="348" spans="1:20" ht="13.5" customHeight="1">
      <c r="A348" s="157" t="s">
        <v>1368</v>
      </c>
      <c r="B348" s="156" t="s">
        <v>1580</v>
      </c>
      <c r="C348" s="207" t="s">
        <v>1868</v>
      </c>
      <c r="D348" s="208" t="s">
        <v>17</v>
      </c>
      <c r="E348" s="208" t="s">
        <v>1667</v>
      </c>
      <c r="F348" s="157" t="s">
        <v>2129</v>
      </c>
      <c r="G348" s="185">
        <v>42948</v>
      </c>
      <c r="H348" s="524" t="str">
        <f t="shared" si="23"/>
        <v>Aug-17</v>
      </c>
      <c r="I348" s="207" t="s">
        <v>2128</v>
      </c>
      <c r="J348" s="288"/>
      <c r="K348" s="157"/>
      <c r="L348" s="307"/>
    </row>
    <row r="349" spans="1:20" ht="13.5" customHeight="1">
      <c r="A349" s="157" t="s">
        <v>1375</v>
      </c>
      <c r="B349" s="156" t="s">
        <v>1580</v>
      </c>
      <c r="C349" s="207" t="s">
        <v>1870</v>
      </c>
      <c r="D349" s="208" t="s">
        <v>17</v>
      </c>
      <c r="E349" s="208" t="s">
        <v>1667</v>
      </c>
      <c r="F349" s="157" t="s">
        <v>2130</v>
      </c>
      <c r="G349" s="185">
        <v>42948</v>
      </c>
      <c r="H349" s="524" t="str">
        <f t="shared" si="23"/>
        <v>Aug-17</v>
      </c>
      <c r="I349" s="207" t="s">
        <v>1869</v>
      </c>
      <c r="J349" s="288"/>
      <c r="K349" s="157"/>
      <c r="L349" s="307">
        <v>1359.32</v>
      </c>
    </row>
    <row r="350" spans="1:20" ht="13.5" customHeight="1">
      <c r="A350" s="157" t="s">
        <v>1368</v>
      </c>
      <c r="B350" s="156" t="s">
        <v>1580</v>
      </c>
      <c r="C350" s="207" t="s">
        <v>1871</v>
      </c>
      <c r="D350" s="208" t="s">
        <v>17</v>
      </c>
      <c r="E350" s="208" t="s">
        <v>1674</v>
      </c>
      <c r="F350" s="157" t="s">
        <v>2132</v>
      </c>
      <c r="G350" s="185">
        <v>42948</v>
      </c>
      <c r="H350" s="524" t="str">
        <f t="shared" si="23"/>
        <v>Aug-17</v>
      </c>
      <c r="I350" s="207" t="s">
        <v>2131</v>
      </c>
      <c r="J350" s="288">
        <v>-13228.89</v>
      </c>
      <c r="K350" s="157"/>
      <c r="L350" s="307"/>
    </row>
    <row r="351" spans="1:20" ht="13.5" customHeight="1">
      <c r="A351" s="157" t="s">
        <v>1368</v>
      </c>
      <c r="B351" s="156" t="s">
        <v>1580</v>
      </c>
      <c r="C351" s="207" t="s">
        <v>1872</v>
      </c>
      <c r="D351" s="208" t="s">
        <v>17</v>
      </c>
      <c r="E351" s="208" t="s">
        <v>1673</v>
      </c>
      <c r="F351" s="157" t="s">
        <v>2130</v>
      </c>
      <c r="G351" s="185">
        <v>42948</v>
      </c>
      <c r="H351" s="524" t="str">
        <f t="shared" si="23"/>
        <v>Aug-17</v>
      </c>
      <c r="I351" s="207" t="s">
        <v>1869</v>
      </c>
      <c r="J351" s="288">
        <v>-6239.62</v>
      </c>
      <c r="K351" s="157"/>
      <c r="L351" s="307"/>
    </row>
    <row r="352" spans="1:20" ht="13.5" customHeight="1">
      <c r="A352" s="157" t="s">
        <v>1375</v>
      </c>
      <c r="B352" s="156" t="s">
        <v>1580</v>
      </c>
      <c r="C352" s="207" t="s">
        <v>1874</v>
      </c>
      <c r="D352" s="208" t="s">
        <v>17</v>
      </c>
      <c r="E352" s="208" t="s">
        <v>1667</v>
      </c>
      <c r="F352" s="157" t="s">
        <v>2133</v>
      </c>
      <c r="G352" s="185">
        <v>42948</v>
      </c>
      <c r="H352" s="524" t="str">
        <f t="shared" si="23"/>
        <v>Aug-17</v>
      </c>
      <c r="I352" s="207" t="s">
        <v>1873</v>
      </c>
      <c r="J352" s="288"/>
      <c r="K352" s="157"/>
      <c r="L352" s="307">
        <v>0.01</v>
      </c>
    </row>
    <row r="353" spans="1:12" ht="13.5" customHeight="1">
      <c r="A353" s="157" t="s">
        <v>1375</v>
      </c>
      <c r="B353" s="156" t="s">
        <v>1580</v>
      </c>
      <c r="C353" s="207" t="s">
        <v>1876</v>
      </c>
      <c r="D353" s="208" t="s">
        <v>17</v>
      </c>
      <c r="E353" s="208" t="s">
        <v>911</v>
      </c>
      <c r="F353" s="157" t="s">
        <v>2134</v>
      </c>
      <c r="G353" s="185">
        <v>42964</v>
      </c>
      <c r="H353" s="524" t="str">
        <f t="shared" si="23"/>
        <v>Aug-17</v>
      </c>
      <c r="I353" s="207" t="s">
        <v>1875</v>
      </c>
      <c r="J353" s="288"/>
      <c r="K353" s="157"/>
      <c r="L353" s="307">
        <v>1618.67</v>
      </c>
    </row>
    <row r="354" spans="1:12" ht="13.5" customHeight="1">
      <c r="A354" s="157" t="s">
        <v>1375</v>
      </c>
      <c r="B354" s="156" t="s">
        <v>1580</v>
      </c>
      <c r="C354" s="207" t="s">
        <v>1877</v>
      </c>
      <c r="D354" s="208" t="s">
        <v>17</v>
      </c>
      <c r="E354" s="208" t="s">
        <v>1667</v>
      </c>
      <c r="F354" s="157" t="s">
        <v>2135</v>
      </c>
      <c r="G354" s="185">
        <v>42964</v>
      </c>
      <c r="H354" s="524" t="str">
        <f t="shared" si="23"/>
        <v>Aug-17</v>
      </c>
      <c r="I354" s="207" t="s">
        <v>2127</v>
      </c>
      <c r="J354" s="288"/>
      <c r="K354" s="157"/>
      <c r="L354" s="307">
        <v>3135.04</v>
      </c>
    </row>
    <row r="355" spans="1:12" ht="13.5" customHeight="1">
      <c r="A355" s="157" t="s">
        <v>1375</v>
      </c>
      <c r="B355" s="156" t="s">
        <v>1580</v>
      </c>
      <c r="C355" s="207" t="s">
        <v>1879</v>
      </c>
      <c r="D355" s="208" t="s">
        <v>17</v>
      </c>
      <c r="E355" s="208" t="s">
        <v>1667</v>
      </c>
      <c r="F355" s="157" t="s">
        <v>2136</v>
      </c>
      <c r="G355" s="185">
        <v>42964</v>
      </c>
      <c r="H355" s="524" t="str">
        <f t="shared" si="23"/>
        <v>Aug-17</v>
      </c>
      <c r="I355" s="207" t="s">
        <v>1878</v>
      </c>
      <c r="J355" s="288"/>
      <c r="K355" s="157"/>
      <c r="L355" s="307">
        <v>3471.5</v>
      </c>
    </row>
    <row r="356" spans="1:12" ht="13.5" customHeight="1">
      <c r="A356" s="157" t="s">
        <v>1375</v>
      </c>
      <c r="B356" s="156" t="s">
        <v>1580</v>
      </c>
      <c r="C356" s="207" t="s">
        <v>1881</v>
      </c>
      <c r="D356" s="208" t="s">
        <v>17</v>
      </c>
      <c r="E356" s="208" t="s">
        <v>911</v>
      </c>
      <c r="F356" s="157" t="s">
        <v>2137</v>
      </c>
      <c r="G356" s="185">
        <v>42971</v>
      </c>
      <c r="H356" s="524" t="str">
        <f t="shared" si="23"/>
        <v>Aug-17</v>
      </c>
      <c r="I356" s="207" t="s">
        <v>1880</v>
      </c>
      <c r="J356" s="288"/>
      <c r="K356" s="157"/>
      <c r="L356" s="307">
        <v>957.28</v>
      </c>
    </row>
    <row r="357" spans="1:12" ht="13.5" customHeight="1">
      <c r="A357" s="157" t="s">
        <v>1375</v>
      </c>
      <c r="B357" s="156" t="s">
        <v>1580</v>
      </c>
      <c r="C357" s="207" t="s">
        <v>1890</v>
      </c>
      <c r="D357" s="674" t="s">
        <v>15</v>
      </c>
      <c r="E357" s="674" t="s">
        <v>15</v>
      </c>
      <c r="F357" s="674" t="s">
        <v>15</v>
      </c>
      <c r="G357" s="185">
        <v>42961</v>
      </c>
      <c r="H357" s="524" t="str">
        <f t="shared" si="23"/>
        <v>Aug-17</v>
      </c>
      <c r="I357" s="207" t="s">
        <v>1889</v>
      </c>
      <c r="J357" s="288">
        <v>280</v>
      </c>
      <c r="K357" s="157"/>
      <c r="L357" s="307"/>
    </row>
    <row r="358" spans="1:12" ht="13.5" customHeight="1">
      <c r="A358" s="157" t="s">
        <v>1375</v>
      </c>
      <c r="B358" s="156" t="s">
        <v>1580</v>
      </c>
      <c r="C358" s="207" t="s">
        <v>1892</v>
      </c>
      <c r="D358" s="674" t="s">
        <v>15</v>
      </c>
      <c r="E358" s="674" t="s">
        <v>15</v>
      </c>
      <c r="F358" s="674" t="s">
        <v>15</v>
      </c>
      <c r="G358" s="185">
        <v>42962</v>
      </c>
      <c r="H358" s="524" t="str">
        <f t="shared" si="23"/>
        <v>Aug-17</v>
      </c>
      <c r="I358" s="207" t="s">
        <v>1891</v>
      </c>
      <c r="J358" s="288">
        <v>7.1</v>
      </c>
      <c r="K358" s="157"/>
      <c r="L358" s="307"/>
    </row>
    <row r="359" spans="1:12" ht="13.5" customHeight="1">
      <c r="A359" s="157" t="s">
        <v>1375</v>
      </c>
      <c r="B359" s="156" t="s">
        <v>1580</v>
      </c>
      <c r="C359" s="207" t="s">
        <v>1893</v>
      </c>
      <c r="D359" s="208"/>
      <c r="E359" s="208"/>
      <c r="F359" s="157"/>
      <c r="G359" s="185">
        <v>42978</v>
      </c>
      <c r="H359" s="524" t="str">
        <f t="shared" si="23"/>
        <v>Aug-17</v>
      </c>
      <c r="I359" s="687" t="s">
        <v>2138</v>
      </c>
      <c r="J359" s="288">
        <v>265.74</v>
      </c>
      <c r="K359" s="157"/>
      <c r="L359" s="307"/>
    </row>
    <row r="360" spans="1:12" ht="13.5" customHeight="1">
      <c r="A360" s="157" t="s">
        <v>1375</v>
      </c>
      <c r="B360" s="156" t="s">
        <v>1580</v>
      </c>
      <c r="C360" s="207" t="s">
        <v>1893</v>
      </c>
      <c r="D360" s="208"/>
      <c r="E360" s="208"/>
      <c r="F360" s="157"/>
      <c r="G360" s="185">
        <v>42978</v>
      </c>
      <c r="H360" s="524" t="str">
        <f t="shared" si="23"/>
        <v>Aug-17</v>
      </c>
      <c r="I360" s="687" t="s">
        <v>2139</v>
      </c>
      <c r="J360" s="288">
        <v>276.64999999999998</v>
      </c>
      <c r="K360" s="157"/>
      <c r="L360" s="307"/>
    </row>
    <row r="361" spans="1:12" ht="13.5" customHeight="1">
      <c r="A361" s="157" t="s">
        <v>1375</v>
      </c>
      <c r="B361" s="156" t="s">
        <v>1580</v>
      </c>
      <c r="C361" s="207" t="s">
        <v>1893</v>
      </c>
      <c r="D361" s="208" t="s">
        <v>15</v>
      </c>
      <c r="E361" s="208" t="s">
        <v>15</v>
      </c>
      <c r="F361" s="157" t="s">
        <v>15</v>
      </c>
      <c r="G361" s="185">
        <v>42978</v>
      </c>
      <c r="H361" s="524" t="str">
        <f t="shared" si="23"/>
        <v>Aug-17</v>
      </c>
      <c r="I361" s="675" t="s">
        <v>2140</v>
      </c>
      <c r="J361" s="676">
        <v>4.7300000000000004</v>
      </c>
      <c r="K361" s="157"/>
      <c r="L361" s="307"/>
    </row>
    <row r="362" spans="1:12" ht="13.5" customHeight="1">
      <c r="A362" s="157" t="s">
        <v>1375</v>
      </c>
      <c r="B362" s="156" t="s">
        <v>1580</v>
      </c>
      <c r="C362" s="207" t="s">
        <v>1893</v>
      </c>
      <c r="D362" s="208"/>
      <c r="E362" s="208"/>
      <c r="F362" s="157"/>
      <c r="G362" s="185">
        <v>42978</v>
      </c>
      <c r="H362" s="524" t="str">
        <f t="shared" si="23"/>
        <v>Aug-17</v>
      </c>
      <c r="I362" s="675" t="s">
        <v>2141</v>
      </c>
      <c r="J362" s="288">
        <v>40.71</v>
      </c>
      <c r="K362" s="157"/>
      <c r="L362" s="307"/>
    </row>
    <row r="363" spans="1:12" ht="13.5" customHeight="1">
      <c r="A363" s="157" t="s">
        <v>1375</v>
      </c>
      <c r="B363" s="156" t="s">
        <v>1580</v>
      </c>
      <c r="C363" s="207" t="s">
        <v>1893</v>
      </c>
      <c r="D363" s="208" t="s">
        <v>15</v>
      </c>
      <c r="E363" s="208" t="s">
        <v>15</v>
      </c>
      <c r="F363" s="208" t="s">
        <v>15</v>
      </c>
      <c r="G363" s="185">
        <v>42978</v>
      </c>
      <c r="H363" s="524" t="str">
        <f t="shared" si="23"/>
        <v>Aug-17</v>
      </c>
      <c r="I363" s="207" t="s">
        <v>2142</v>
      </c>
      <c r="J363" s="288">
        <v>202.83</v>
      </c>
      <c r="K363" s="157"/>
      <c r="L363" s="307"/>
    </row>
    <row r="364" spans="1:12" ht="13.5" customHeight="1">
      <c r="A364" s="157" t="s">
        <v>1375</v>
      </c>
      <c r="B364" s="156" t="s">
        <v>1580</v>
      </c>
      <c r="C364" s="207" t="s">
        <v>1893</v>
      </c>
      <c r="D364" s="208"/>
      <c r="E364" s="208"/>
      <c r="F364" s="157"/>
      <c r="G364" s="185">
        <v>42978</v>
      </c>
      <c r="H364" s="524" t="str">
        <f t="shared" si="23"/>
        <v>Aug-17</v>
      </c>
      <c r="I364" s="687" t="s">
        <v>1894</v>
      </c>
      <c r="J364" s="288">
        <v>135.47999999999999</v>
      </c>
      <c r="K364" s="157"/>
      <c r="L364" s="307"/>
    </row>
    <row r="365" spans="1:12" ht="13.5" customHeight="1">
      <c r="A365" s="157" t="s">
        <v>1375</v>
      </c>
      <c r="B365" s="156" t="s">
        <v>1580</v>
      </c>
      <c r="C365" s="207" t="s">
        <v>1893</v>
      </c>
      <c r="D365" s="208" t="s">
        <v>15</v>
      </c>
      <c r="E365" s="208" t="s">
        <v>15</v>
      </c>
      <c r="F365" s="208" t="s">
        <v>15</v>
      </c>
      <c r="G365" s="185">
        <v>42978</v>
      </c>
      <c r="H365" s="524" t="str">
        <f t="shared" si="23"/>
        <v>Aug-17</v>
      </c>
      <c r="I365" s="207" t="s">
        <v>2143</v>
      </c>
      <c r="J365" s="288">
        <v>44.54</v>
      </c>
      <c r="K365" s="157"/>
      <c r="L365" s="307"/>
    </row>
    <row r="366" spans="1:12" ht="13.5" customHeight="1">
      <c r="A366" s="157" t="s">
        <v>1375</v>
      </c>
      <c r="B366" s="156" t="s">
        <v>1580</v>
      </c>
      <c r="C366" s="207" t="s">
        <v>1893</v>
      </c>
      <c r="D366" s="208" t="s">
        <v>15</v>
      </c>
      <c r="E366" s="208" t="s">
        <v>15</v>
      </c>
      <c r="F366" s="208" t="s">
        <v>15</v>
      </c>
      <c r="G366" s="185">
        <v>42978</v>
      </c>
      <c r="H366" s="524" t="str">
        <f t="shared" si="23"/>
        <v>Aug-17</v>
      </c>
      <c r="I366" s="207" t="s">
        <v>2144</v>
      </c>
      <c r="J366" s="288">
        <v>7.14</v>
      </c>
      <c r="K366" s="157"/>
      <c r="L366" s="307"/>
    </row>
    <row r="367" spans="1:12" ht="13.5" customHeight="1">
      <c r="A367" s="157" t="s">
        <v>1375</v>
      </c>
      <c r="B367" s="156" t="s">
        <v>1580</v>
      </c>
      <c r="C367" s="207" t="s">
        <v>1893</v>
      </c>
      <c r="D367" s="208" t="s">
        <v>15</v>
      </c>
      <c r="E367" s="208" t="s">
        <v>15</v>
      </c>
      <c r="F367" s="208" t="s">
        <v>15</v>
      </c>
      <c r="G367" s="185">
        <v>42978</v>
      </c>
      <c r="H367" s="524" t="str">
        <f t="shared" si="23"/>
        <v>Aug-17</v>
      </c>
      <c r="I367" s="207" t="s">
        <v>2145</v>
      </c>
      <c r="J367" s="288">
        <v>29.08</v>
      </c>
      <c r="K367" s="157"/>
      <c r="L367" s="307"/>
    </row>
    <row r="368" spans="1:12" ht="13.5" customHeight="1">
      <c r="A368" s="157" t="s">
        <v>1375</v>
      </c>
      <c r="B368" s="156" t="s">
        <v>1580</v>
      </c>
      <c r="C368" s="207" t="s">
        <v>1896</v>
      </c>
      <c r="D368" s="208" t="s">
        <v>332</v>
      </c>
      <c r="E368" s="208" t="s">
        <v>1669</v>
      </c>
      <c r="F368" s="157" t="s">
        <v>937</v>
      </c>
      <c r="G368" s="185">
        <v>42966</v>
      </c>
      <c r="H368" s="524" t="str">
        <f t="shared" si="23"/>
        <v>Aug-17</v>
      </c>
      <c r="I368" s="207" t="s">
        <v>1895</v>
      </c>
      <c r="J368" s="288">
        <v>29.69</v>
      </c>
      <c r="K368" s="157"/>
      <c r="L368" s="307"/>
    </row>
    <row r="369" spans="1:12" ht="13.5" customHeight="1">
      <c r="A369" s="157" t="s">
        <v>1375</v>
      </c>
      <c r="B369" s="156" t="s">
        <v>1580</v>
      </c>
      <c r="C369" s="207" t="s">
        <v>1898</v>
      </c>
      <c r="D369" s="208" t="s">
        <v>332</v>
      </c>
      <c r="E369" s="208" t="s">
        <v>908</v>
      </c>
      <c r="F369" s="157" t="s">
        <v>1741</v>
      </c>
      <c r="G369" s="185">
        <v>42948</v>
      </c>
      <c r="H369" s="524" t="str">
        <f t="shared" si="23"/>
        <v>Aug-17</v>
      </c>
      <c r="I369" s="207" t="s">
        <v>1897</v>
      </c>
      <c r="J369" s="288">
        <v>136.36000000000001</v>
      </c>
      <c r="K369" s="157"/>
      <c r="L369" s="307"/>
    </row>
    <row r="370" spans="1:12" ht="13.5" customHeight="1">
      <c r="A370" s="157" t="s">
        <v>1375</v>
      </c>
      <c r="B370" s="156" t="s">
        <v>1580</v>
      </c>
      <c r="C370" s="207" t="s">
        <v>1898</v>
      </c>
      <c r="D370" s="208" t="s">
        <v>332</v>
      </c>
      <c r="E370" s="208" t="s">
        <v>908</v>
      </c>
      <c r="F370" s="157" t="s">
        <v>1741</v>
      </c>
      <c r="G370" s="185">
        <v>42948</v>
      </c>
      <c r="H370" s="524" t="str">
        <f t="shared" si="23"/>
        <v>Aug-17</v>
      </c>
      <c r="I370" s="207" t="s">
        <v>1899</v>
      </c>
      <c r="J370" s="288">
        <v>563.64</v>
      </c>
      <c r="K370" s="157"/>
      <c r="L370" s="307"/>
    </row>
    <row r="371" spans="1:12" ht="13.5" customHeight="1">
      <c r="A371" s="157" t="s">
        <v>1375</v>
      </c>
      <c r="B371" s="156" t="s">
        <v>1580</v>
      </c>
      <c r="C371" s="207" t="s">
        <v>1900</v>
      </c>
      <c r="D371" s="208" t="s">
        <v>15</v>
      </c>
      <c r="E371" s="208" t="s">
        <v>15</v>
      </c>
      <c r="F371" s="208" t="s">
        <v>15</v>
      </c>
      <c r="G371" s="185">
        <v>42954</v>
      </c>
      <c r="H371" s="524" t="str">
        <f t="shared" si="23"/>
        <v>Aug-17</v>
      </c>
      <c r="I371" s="207" t="s">
        <v>1384</v>
      </c>
      <c r="J371" s="288">
        <v>39.950000000000003</v>
      </c>
      <c r="K371" s="157"/>
      <c r="L371" s="307"/>
    </row>
    <row r="372" spans="1:12" ht="13.5" customHeight="1">
      <c r="A372" s="157" t="s">
        <v>1375</v>
      </c>
      <c r="B372" s="156" t="s">
        <v>1580</v>
      </c>
      <c r="C372" s="207" t="s">
        <v>1900</v>
      </c>
      <c r="D372" s="208" t="s">
        <v>15</v>
      </c>
      <c r="E372" s="208" t="s">
        <v>15</v>
      </c>
      <c r="F372" s="208" t="s">
        <v>15</v>
      </c>
      <c r="G372" s="185">
        <v>42954</v>
      </c>
      <c r="H372" s="524" t="str">
        <f t="shared" si="23"/>
        <v>Aug-17</v>
      </c>
      <c r="I372" s="207" t="s">
        <v>1901</v>
      </c>
      <c r="J372" s="288">
        <v>171.13</v>
      </c>
      <c r="K372" s="157"/>
      <c r="L372" s="307"/>
    </row>
    <row r="373" spans="1:12" ht="13.5" customHeight="1">
      <c r="A373" s="157" t="s">
        <v>1375</v>
      </c>
      <c r="B373" s="156" t="s">
        <v>1580</v>
      </c>
      <c r="C373" s="207" t="s">
        <v>1900</v>
      </c>
      <c r="D373" s="208" t="s">
        <v>15</v>
      </c>
      <c r="E373" s="208" t="s">
        <v>15</v>
      </c>
      <c r="F373" s="208" t="s">
        <v>15</v>
      </c>
      <c r="G373" s="185">
        <v>42954</v>
      </c>
      <c r="H373" s="524" t="str">
        <f t="shared" si="23"/>
        <v>Aug-17</v>
      </c>
      <c r="I373" s="207" t="s">
        <v>1902</v>
      </c>
      <c r="J373" s="288">
        <v>2.86</v>
      </c>
      <c r="K373" s="157"/>
      <c r="L373" s="307"/>
    </row>
    <row r="374" spans="1:12" ht="13.5" customHeight="1">
      <c r="A374" s="157" t="s">
        <v>1375</v>
      </c>
      <c r="B374" s="156" t="s">
        <v>1580</v>
      </c>
      <c r="C374" s="207"/>
      <c r="D374" s="208"/>
      <c r="E374" s="208"/>
      <c r="F374" s="157"/>
      <c r="G374" s="185"/>
      <c r="H374" s="524"/>
      <c r="I374" s="207"/>
      <c r="J374" s="288"/>
      <c r="K374" s="157"/>
      <c r="L374" s="307"/>
    </row>
    <row r="375" spans="1:12" ht="13.5" customHeight="1">
      <c r="A375" s="157" t="s">
        <v>1375</v>
      </c>
      <c r="B375" s="156" t="s">
        <v>1580</v>
      </c>
      <c r="C375" s="207" t="s">
        <v>1904</v>
      </c>
      <c r="D375" s="208" t="s">
        <v>332</v>
      </c>
      <c r="E375" s="208" t="s">
        <v>906</v>
      </c>
      <c r="F375" s="157" t="s">
        <v>1666</v>
      </c>
      <c r="G375" s="185">
        <v>42955</v>
      </c>
      <c r="H375" s="524" t="str">
        <f t="shared" si="23"/>
        <v>Aug-17</v>
      </c>
      <c r="I375" s="207" t="s">
        <v>1903</v>
      </c>
      <c r="J375" s="288">
        <v>14.91</v>
      </c>
      <c r="K375" s="157"/>
      <c r="L375" s="307"/>
    </row>
    <row r="376" spans="1:12" ht="13.5" customHeight="1">
      <c r="A376" s="157" t="s">
        <v>1375</v>
      </c>
      <c r="B376" s="156" t="s">
        <v>1580</v>
      </c>
      <c r="C376" s="207" t="s">
        <v>1906</v>
      </c>
      <c r="D376" s="208" t="s">
        <v>332</v>
      </c>
      <c r="E376" s="208" t="s">
        <v>1672</v>
      </c>
      <c r="F376" s="157" t="s">
        <v>942</v>
      </c>
      <c r="G376" s="185">
        <v>42961</v>
      </c>
      <c r="H376" s="524" t="str">
        <f t="shared" si="23"/>
        <v>Aug-17</v>
      </c>
      <c r="I376" s="207" t="s">
        <v>1905</v>
      </c>
      <c r="J376" s="288">
        <v>1396</v>
      </c>
      <c r="K376" s="157"/>
      <c r="L376" s="307"/>
    </row>
    <row r="377" spans="1:12" ht="13.5" customHeight="1">
      <c r="A377" s="157" t="s">
        <v>1375</v>
      </c>
      <c r="B377" s="156" t="s">
        <v>1580</v>
      </c>
      <c r="C377" s="207" t="s">
        <v>1908</v>
      </c>
      <c r="D377" s="208" t="s">
        <v>332</v>
      </c>
      <c r="E377" s="208" t="s">
        <v>908</v>
      </c>
      <c r="F377" s="157" t="s">
        <v>1741</v>
      </c>
      <c r="G377" s="185">
        <v>42961</v>
      </c>
      <c r="H377" s="524" t="str">
        <f t="shared" si="23"/>
        <v>Aug-17</v>
      </c>
      <c r="I377" s="207" t="s">
        <v>1907</v>
      </c>
      <c r="J377" s="288">
        <v>752.23</v>
      </c>
      <c r="K377" s="157"/>
      <c r="L377" s="307"/>
    </row>
    <row r="378" spans="1:12" ht="13.5" customHeight="1">
      <c r="A378" s="157" t="s">
        <v>1375</v>
      </c>
      <c r="B378" s="156" t="s">
        <v>1580</v>
      </c>
      <c r="C378" s="207" t="s">
        <v>1910</v>
      </c>
      <c r="D378" s="208" t="s">
        <v>332</v>
      </c>
      <c r="E378" s="208" t="s">
        <v>906</v>
      </c>
      <c r="F378" s="157" t="s">
        <v>1666</v>
      </c>
      <c r="G378" s="185">
        <v>42969</v>
      </c>
      <c r="H378" s="524" t="str">
        <f t="shared" si="23"/>
        <v>Aug-17</v>
      </c>
      <c r="I378" s="207" t="s">
        <v>1909</v>
      </c>
      <c r="J378" s="288">
        <v>45.68</v>
      </c>
      <c r="K378" s="157"/>
      <c r="L378" s="307"/>
    </row>
    <row r="379" spans="1:12" ht="13.5" customHeight="1">
      <c r="A379" s="157" t="s">
        <v>1375</v>
      </c>
      <c r="B379" s="156" t="s">
        <v>1580</v>
      </c>
      <c r="C379" s="207" t="s">
        <v>1910</v>
      </c>
      <c r="D379" s="208" t="s">
        <v>332</v>
      </c>
      <c r="E379" s="208" t="s">
        <v>906</v>
      </c>
      <c r="F379" s="157" t="s">
        <v>1666</v>
      </c>
      <c r="G379" s="185">
        <v>42969</v>
      </c>
      <c r="H379" s="524" t="str">
        <f t="shared" si="23"/>
        <v>Aug-17</v>
      </c>
      <c r="I379" s="207" t="s">
        <v>1911</v>
      </c>
      <c r="J379" s="288">
        <v>18.73</v>
      </c>
      <c r="K379" s="157"/>
      <c r="L379" s="307"/>
    </row>
    <row r="380" spans="1:12" ht="13.5" customHeight="1">
      <c r="A380" s="157" t="s">
        <v>1375</v>
      </c>
      <c r="B380" s="156" t="s">
        <v>1580</v>
      </c>
      <c r="C380" s="207" t="s">
        <v>1910</v>
      </c>
      <c r="D380" s="208" t="s">
        <v>332</v>
      </c>
      <c r="E380" s="208" t="s">
        <v>906</v>
      </c>
      <c r="F380" s="157" t="s">
        <v>1666</v>
      </c>
      <c r="G380" s="185">
        <v>42969</v>
      </c>
      <c r="H380" s="524" t="str">
        <f t="shared" si="23"/>
        <v>Aug-17</v>
      </c>
      <c r="I380" s="207" t="s">
        <v>1912</v>
      </c>
      <c r="J380" s="288">
        <v>12.71</v>
      </c>
      <c r="K380" s="157"/>
      <c r="L380" s="307"/>
    </row>
    <row r="381" spans="1:12" ht="13.5" customHeight="1">
      <c r="A381" s="157" t="s">
        <v>1375</v>
      </c>
      <c r="B381" s="156" t="s">
        <v>1580</v>
      </c>
      <c r="C381" s="207" t="s">
        <v>1914</v>
      </c>
      <c r="D381" s="208" t="s">
        <v>332</v>
      </c>
      <c r="E381" s="208"/>
      <c r="F381" s="157"/>
      <c r="G381" s="185">
        <v>42970</v>
      </c>
      <c r="H381" s="524" t="str">
        <f t="shared" si="23"/>
        <v>Aug-17</v>
      </c>
      <c r="I381" s="207" t="s">
        <v>1913</v>
      </c>
      <c r="J381" s="288">
        <v>13.75</v>
      </c>
      <c r="K381" s="157"/>
      <c r="L381" s="307"/>
    </row>
    <row r="382" spans="1:12" ht="13.5" customHeight="1">
      <c r="A382" s="157" t="s">
        <v>1375</v>
      </c>
      <c r="B382" s="156" t="s">
        <v>1580</v>
      </c>
      <c r="C382" s="207" t="s">
        <v>1914</v>
      </c>
      <c r="D382" s="208" t="s">
        <v>332</v>
      </c>
      <c r="E382" s="208"/>
      <c r="F382" s="157"/>
      <c r="G382" s="185">
        <v>42970</v>
      </c>
      <c r="H382" s="524" t="str">
        <f t="shared" si="23"/>
        <v>Aug-17</v>
      </c>
      <c r="I382" s="207" t="s">
        <v>1915</v>
      </c>
      <c r="J382" s="288">
        <v>10.7</v>
      </c>
      <c r="K382" s="157"/>
      <c r="L382" s="307"/>
    </row>
    <row r="383" spans="1:12" ht="13.5" customHeight="1">
      <c r="A383" s="157" t="s">
        <v>1375</v>
      </c>
      <c r="B383" s="156" t="s">
        <v>1580</v>
      </c>
      <c r="C383" s="207" t="s">
        <v>1914</v>
      </c>
      <c r="D383" s="208" t="s">
        <v>332</v>
      </c>
      <c r="E383" s="208"/>
      <c r="F383" s="157"/>
      <c r="G383" s="185">
        <v>42970</v>
      </c>
      <c r="H383" s="524" t="str">
        <f t="shared" si="23"/>
        <v>Aug-17</v>
      </c>
      <c r="I383" s="207" t="s">
        <v>1916</v>
      </c>
      <c r="J383" s="288">
        <v>1.07</v>
      </c>
      <c r="K383" s="157"/>
      <c r="L383" s="307"/>
    </row>
    <row r="384" spans="1:12" ht="13.5" customHeight="1">
      <c r="A384" s="157" t="s">
        <v>1375</v>
      </c>
      <c r="B384" s="156" t="s">
        <v>1580</v>
      </c>
      <c r="C384" s="207" t="s">
        <v>1918</v>
      </c>
      <c r="D384" s="208" t="s">
        <v>332</v>
      </c>
      <c r="E384" s="208"/>
      <c r="F384" s="157"/>
      <c r="G384" s="185">
        <v>42970</v>
      </c>
      <c r="H384" s="524" t="str">
        <f t="shared" si="23"/>
        <v>Aug-17</v>
      </c>
      <c r="I384" s="207" t="s">
        <v>1917</v>
      </c>
      <c r="J384" s="288">
        <v>11</v>
      </c>
      <c r="K384" s="157"/>
      <c r="L384" s="307"/>
    </row>
    <row r="385" spans="1:12" ht="13.5" customHeight="1">
      <c r="A385" s="157" t="s">
        <v>1375</v>
      </c>
      <c r="B385" s="156" t="s">
        <v>1580</v>
      </c>
      <c r="C385" s="207" t="s">
        <v>1918</v>
      </c>
      <c r="D385" s="208" t="s">
        <v>332</v>
      </c>
      <c r="E385" s="208"/>
      <c r="F385" s="157"/>
      <c r="G385" s="185">
        <v>42970</v>
      </c>
      <c r="H385" s="524" t="str">
        <f t="shared" si="23"/>
        <v>Aug-17</v>
      </c>
      <c r="I385" s="207" t="s">
        <v>1919</v>
      </c>
      <c r="J385" s="288">
        <v>32.729999999999997</v>
      </c>
      <c r="K385" s="157"/>
      <c r="L385" s="307"/>
    </row>
    <row r="386" spans="1:12" ht="13.5" customHeight="1">
      <c r="A386" s="157" t="s">
        <v>1375</v>
      </c>
      <c r="B386" s="156" t="s">
        <v>1580</v>
      </c>
      <c r="C386" s="207" t="s">
        <v>1914</v>
      </c>
      <c r="D386" s="208" t="s">
        <v>332</v>
      </c>
      <c r="E386" s="208"/>
      <c r="F386" s="157"/>
      <c r="G386" s="185">
        <v>42970</v>
      </c>
      <c r="H386" s="524" t="str">
        <f t="shared" si="23"/>
        <v>Aug-17</v>
      </c>
      <c r="I386" s="207" t="s">
        <v>1920</v>
      </c>
      <c r="J386" s="288">
        <v>4.1900000000000004</v>
      </c>
      <c r="K386" s="157"/>
      <c r="L386" s="307"/>
    </row>
    <row r="387" spans="1:12" ht="13.5" customHeight="1">
      <c r="A387" s="157" t="s">
        <v>1375</v>
      </c>
      <c r="B387" s="156" t="s">
        <v>1580</v>
      </c>
      <c r="C387" s="207" t="s">
        <v>1914</v>
      </c>
      <c r="D387" s="208" t="s">
        <v>332</v>
      </c>
      <c r="E387" s="208"/>
      <c r="F387" s="157"/>
      <c r="G387" s="185">
        <v>42970</v>
      </c>
      <c r="H387" s="524" t="str">
        <f t="shared" si="23"/>
        <v>Aug-17</v>
      </c>
      <c r="I387" s="207" t="s">
        <v>1921</v>
      </c>
      <c r="J387" s="288">
        <v>430</v>
      </c>
      <c r="K387" s="157"/>
      <c r="L387" s="307"/>
    </row>
    <row r="388" spans="1:12" ht="13.5" customHeight="1">
      <c r="A388" s="157" t="s">
        <v>1375</v>
      </c>
      <c r="B388" s="156" t="s">
        <v>1580</v>
      </c>
      <c r="C388" s="207" t="s">
        <v>1923</v>
      </c>
      <c r="D388" s="208" t="s">
        <v>332</v>
      </c>
      <c r="E388" s="208"/>
      <c r="F388" s="157"/>
      <c r="G388" s="185">
        <v>42970</v>
      </c>
      <c r="H388" s="524" t="str">
        <f t="shared" si="23"/>
        <v>Aug-17</v>
      </c>
      <c r="I388" s="207" t="s">
        <v>1922</v>
      </c>
      <c r="J388" s="288">
        <v>20</v>
      </c>
      <c r="K388" s="157"/>
      <c r="L388" s="307"/>
    </row>
    <row r="389" spans="1:12" ht="13.5" customHeight="1">
      <c r="A389" s="157" t="s">
        <v>1375</v>
      </c>
      <c r="B389" s="156" t="s">
        <v>1580</v>
      </c>
      <c r="C389" s="207" t="s">
        <v>1923</v>
      </c>
      <c r="D389" s="208" t="s">
        <v>332</v>
      </c>
      <c r="E389" s="208"/>
      <c r="F389" s="157"/>
      <c r="G389" s="185">
        <v>42970</v>
      </c>
      <c r="H389" s="524" t="str">
        <f t="shared" si="23"/>
        <v>Aug-17</v>
      </c>
      <c r="I389" s="207" t="s">
        <v>1924</v>
      </c>
      <c r="J389" s="288">
        <v>53</v>
      </c>
      <c r="K389" s="157"/>
      <c r="L389" s="307"/>
    </row>
    <row r="390" spans="1:12" ht="13.5" customHeight="1">
      <c r="A390" s="157" t="s">
        <v>1375</v>
      </c>
      <c r="B390" s="156" t="s">
        <v>1580</v>
      </c>
      <c r="C390" s="207" t="s">
        <v>1923</v>
      </c>
      <c r="D390" s="208" t="s">
        <v>332</v>
      </c>
      <c r="E390" s="208"/>
      <c r="F390" s="157"/>
      <c r="G390" s="185">
        <v>42970</v>
      </c>
      <c r="H390" s="524" t="str">
        <f t="shared" si="23"/>
        <v>Aug-17</v>
      </c>
      <c r="I390" s="207" t="s">
        <v>1925</v>
      </c>
      <c r="J390" s="288">
        <v>170.79</v>
      </c>
      <c r="K390" s="157"/>
      <c r="L390" s="307"/>
    </row>
    <row r="391" spans="1:12" ht="13.5" customHeight="1">
      <c r="A391" s="157" t="s">
        <v>1375</v>
      </c>
      <c r="B391" s="156" t="s">
        <v>1580</v>
      </c>
      <c r="C391" s="207" t="s">
        <v>1914</v>
      </c>
      <c r="D391" s="208" t="s">
        <v>332</v>
      </c>
      <c r="E391" s="208"/>
      <c r="F391" s="157"/>
      <c r="G391" s="185">
        <v>42970</v>
      </c>
      <c r="H391" s="524" t="str">
        <f t="shared" si="23"/>
        <v>Aug-17</v>
      </c>
      <c r="I391" s="207" t="s">
        <v>1926</v>
      </c>
      <c r="J391" s="288">
        <v>8.3000000000000007</v>
      </c>
      <c r="K391" s="157"/>
      <c r="L391" s="307"/>
    </row>
    <row r="392" spans="1:12" ht="13.5" customHeight="1">
      <c r="A392" s="157" t="s">
        <v>1375</v>
      </c>
      <c r="B392" s="156" t="s">
        <v>1580</v>
      </c>
      <c r="C392" s="207" t="s">
        <v>1923</v>
      </c>
      <c r="D392" s="208" t="s">
        <v>332</v>
      </c>
      <c r="E392" s="208"/>
      <c r="F392" s="157"/>
      <c r="G392" s="185">
        <v>42970</v>
      </c>
      <c r="H392" s="524" t="str">
        <f t="shared" ref="H392:H398" si="24">TEXT(G392,"mmm-yy")</f>
        <v>Aug-17</v>
      </c>
      <c r="I392" s="207" t="s">
        <v>1418</v>
      </c>
      <c r="J392" s="288">
        <v>10.35</v>
      </c>
      <c r="K392" s="157"/>
      <c r="L392" s="307"/>
    </row>
    <row r="393" spans="1:12" ht="13.5" customHeight="1">
      <c r="A393" s="157" t="s">
        <v>1375</v>
      </c>
      <c r="B393" s="156" t="s">
        <v>1580</v>
      </c>
      <c r="C393" s="207" t="s">
        <v>1923</v>
      </c>
      <c r="D393" s="208" t="s">
        <v>332</v>
      </c>
      <c r="E393" s="208"/>
      <c r="F393" s="157"/>
      <c r="G393" s="185">
        <v>42970</v>
      </c>
      <c r="H393" s="524" t="str">
        <f t="shared" si="24"/>
        <v>Aug-17</v>
      </c>
      <c r="I393" s="207" t="s">
        <v>1927</v>
      </c>
      <c r="J393" s="288">
        <v>10.199999999999999</v>
      </c>
      <c r="K393" s="157"/>
      <c r="L393" s="307"/>
    </row>
    <row r="394" spans="1:12" ht="13.5" customHeight="1">
      <c r="A394" s="157" t="s">
        <v>1375</v>
      </c>
      <c r="B394" s="156" t="s">
        <v>1580</v>
      </c>
      <c r="C394" s="207" t="s">
        <v>1929</v>
      </c>
      <c r="D394" s="208" t="s">
        <v>332</v>
      </c>
      <c r="E394" s="208"/>
      <c r="F394" s="157"/>
      <c r="G394" s="185">
        <v>42977</v>
      </c>
      <c r="H394" s="524" t="str">
        <f t="shared" si="24"/>
        <v>Aug-17</v>
      </c>
      <c r="I394" s="207" t="s">
        <v>1928</v>
      </c>
      <c r="J394" s="288">
        <v>40.49</v>
      </c>
      <c r="K394" s="157"/>
      <c r="L394" s="307"/>
    </row>
    <row r="395" spans="1:12" ht="13.5" customHeight="1">
      <c r="A395" s="157" t="s">
        <v>1375</v>
      </c>
      <c r="B395" s="156" t="s">
        <v>1580</v>
      </c>
      <c r="C395" s="207" t="s">
        <v>1929</v>
      </c>
      <c r="D395" s="208" t="s">
        <v>332</v>
      </c>
      <c r="E395" s="208"/>
      <c r="F395" s="157"/>
      <c r="G395" s="185">
        <v>42977</v>
      </c>
      <c r="H395" s="524" t="str">
        <f t="shared" si="24"/>
        <v>Aug-17</v>
      </c>
      <c r="I395" s="207" t="s">
        <v>1930</v>
      </c>
      <c r="J395" s="288">
        <v>13.27</v>
      </c>
      <c r="K395" s="157"/>
      <c r="L395" s="307"/>
    </row>
    <row r="396" spans="1:12" ht="13.5" customHeight="1">
      <c r="A396" s="157" t="s">
        <v>1375</v>
      </c>
      <c r="B396" s="156" t="s">
        <v>1580</v>
      </c>
      <c r="C396" s="207" t="s">
        <v>1932</v>
      </c>
      <c r="D396" s="208" t="s">
        <v>332</v>
      </c>
      <c r="E396" s="208"/>
      <c r="F396" s="157"/>
      <c r="G396" s="185">
        <v>42977</v>
      </c>
      <c r="H396" s="524" t="str">
        <f t="shared" si="24"/>
        <v>Aug-17</v>
      </c>
      <c r="I396" s="207" t="s">
        <v>1931</v>
      </c>
      <c r="J396" s="288">
        <v>11.89</v>
      </c>
      <c r="K396" s="157"/>
      <c r="L396" s="307"/>
    </row>
    <row r="397" spans="1:12" ht="13.5" customHeight="1">
      <c r="A397" s="157" t="s">
        <v>1375</v>
      </c>
      <c r="B397" s="156" t="s">
        <v>1580</v>
      </c>
      <c r="C397" s="207" t="s">
        <v>1932</v>
      </c>
      <c r="D397" s="208" t="s">
        <v>332</v>
      </c>
      <c r="E397" s="208"/>
      <c r="F397" s="157"/>
      <c r="G397" s="185">
        <v>42977</v>
      </c>
      <c r="H397" s="524" t="str">
        <f t="shared" si="24"/>
        <v>Aug-17</v>
      </c>
      <c r="I397" s="207" t="s">
        <v>1933</v>
      </c>
      <c r="J397" s="288">
        <v>19.13</v>
      </c>
      <c r="K397" s="157"/>
      <c r="L397" s="307"/>
    </row>
    <row r="398" spans="1:12" ht="13.5" customHeight="1">
      <c r="A398" s="157" t="s">
        <v>1375</v>
      </c>
      <c r="B398" s="156" t="s">
        <v>1580</v>
      </c>
      <c r="C398" s="207" t="s">
        <v>1932</v>
      </c>
      <c r="D398" s="208" t="s">
        <v>332</v>
      </c>
      <c r="E398" s="208"/>
      <c r="F398" s="157"/>
      <c r="G398" s="185">
        <v>42977</v>
      </c>
      <c r="H398" s="524" t="str">
        <f t="shared" si="24"/>
        <v>Aug-17</v>
      </c>
      <c r="I398" s="207" t="s">
        <v>1934</v>
      </c>
      <c r="J398" s="288">
        <v>20.25</v>
      </c>
      <c r="K398" s="157"/>
      <c r="L398" s="307"/>
    </row>
    <row r="399" spans="1:12" ht="13.5" customHeight="1">
      <c r="A399" s="157"/>
      <c r="B399" s="156"/>
      <c r="C399" s="207"/>
      <c r="D399" s="208"/>
      <c r="E399" s="208"/>
      <c r="F399" s="157"/>
      <c r="G399" s="185" t="s">
        <v>1882</v>
      </c>
      <c r="H399" s="524"/>
      <c r="I399" s="207"/>
      <c r="J399" s="288"/>
      <c r="K399" s="157"/>
      <c r="L399" s="307"/>
    </row>
    <row r="400" spans="1:12" ht="13.5" customHeight="1">
      <c r="A400" s="157"/>
      <c r="B400" s="156"/>
      <c r="C400" s="207"/>
      <c r="D400" s="208"/>
      <c r="E400" s="208"/>
      <c r="F400" s="157"/>
      <c r="G400" s="185"/>
      <c r="H400" s="524"/>
      <c r="I400" s="207"/>
      <c r="J400" s="288"/>
      <c r="K400" s="157"/>
      <c r="L400" s="307"/>
    </row>
    <row r="401" spans="1:12" ht="13.5" customHeight="1">
      <c r="A401" s="157"/>
      <c r="B401" s="156"/>
      <c r="C401" s="207"/>
      <c r="D401" s="208"/>
      <c r="E401" s="208"/>
      <c r="F401" s="157"/>
      <c r="G401" s="185">
        <v>42978</v>
      </c>
      <c r="H401" s="524"/>
      <c r="I401" s="207" t="s">
        <v>1883</v>
      </c>
      <c r="J401" s="288"/>
      <c r="K401" s="157"/>
      <c r="L401" s="307"/>
    </row>
    <row r="402" spans="1:12" ht="13.5" customHeight="1">
      <c r="A402" s="157"/>
      <c r="B402" s="156"/>
      <c r="C402" s="207"/>
      <c r="D402" s="208"/>
      <c r="E402" s="208"/>
      <c r="F402" s="157"/>
      <c r="G402" s="185"/>
      <c r="H402" s="524"/>
      <c r="I402" s="207"/>
      <c r="J402" s="288"/>
      <c r="K402" s="157"/>
      <c r="L402" s="307"/>
    </row>
    <row r="403" spans="1:12" ht="13.5" customHeight="1">
      <c r="A403" s="157"/>
      <c r="B403" s="156"/>
      <c r="C403" s="207"/>
      <c r="D403" s="208"/>
      <c r="E403" s="208"/>
      <c r="F403" s="157"/>
      <c r="G403" s="185"/>
      <c r="H403" s="524"/>
      <c r="I403" s="207"/>
      <c r="J403" s="288"/>
      <c r="K403" s="157"/>
      <c r="L403" s="307"/>
    </row>
    <row r="404" spans="1:12" ht="13.5" customHeight="1">
      <c r="A404" s="157"/>
      <c r="B404" s="156"/>
      <c r="C404" s="207"/>
      <c r="D404" s="208"/>
      <c r="E404" s="208"/>
      <c r="F404" s="157"/>
      <c r="G404" s="185" t="s">
        <v>1935</v>
      </c>
      <c r="H404" s="524"/>
      <c r="I404" s="207"/>
      <c r="J404" s="288"/>
      <c r="K404" s="157"/>
      <c r="L404" s="307"/>
    </row>
    <row r="405" spans="1:12" ht="13.5" customHeight="1">
      <c r="A405" s="157"/>
      <c r="B405" s="156"/>
      <c r="C405" s="207"/>
      <c r="D405" s="208"/>
      <c r="E405" s="208"/>
      <c r="F405" s="157"/>
      <c r="G405" s="185" t="s">
        <v>1884</v>
      </c>
      <c r="H405" s="524"/>
      <c r="I405" s="207"/>
      <c r="J405" s="288"/>
      <c r="K405" s="157"/>
      <c r="L405" s="307"/>
    </row>
    <row r="406" spans="1:12" ht="13.5" customHeight="1">
      <c r="A406" s="157"/>
      <c r="B406" s="156"/>
      <c r="C406" s="207"/>
      <c r="D406" s="208"/>
      <c r="E406" s="208"/>
      <c r="F406" s="157"/>
      <c r="G406" s="185" t="s">
        <v>190</v>
      </c>
      <c r="H406" s="524"/>
      <c r="I406" s="207"/>
      <c r="J406" s="288"/>
      <c r="K406" s="157"/>
      <c r="L406" s="307"/>
    </row>
    <row r="407" spans="1:12" ht="13.5" customHeight="1">
      <c r="A407" s="157"/>
      <c r="B407" s="156"/>
      <c r="C407" s="207"/>
      <c r="D407" s="208"/>
      <c r="E407" s="208"/>
      <c r="F407" s="157"/>
      <c r="G407" s="185" t="s">
        <v>1885</v>
      </c>
      <c r="H407" s="524"/>
      <c r="I407" s="207"/>
      <c r="J407" s="288"/>
      <c r="K407" s="157"/>
      <c r="L407" s="307"/>
    </row>
    <row r="408" spans="1:12" ht="13.5" customHeight="1">
      <c r="A408" s="157"/>
      <c r="B408" s="156"/>
      <c r="C408" s="207"/>
      <c r="D408" s="208"/>
      <c r="E408" s="208"/>
      <c r="F408" s="157"/>
      <c r="G408" s="185"/>
      <c r="H408" s="524"/>
      <c r="I408" s="207"/>
      <c r="J408" s="288"/>
      <c r="K408" s="157"/>
      <c r="L408" s="307"/>
    </row>
    <row r="409" spans="1:12" ht="13.5" customHeight="1">
      <c r="A409" s="157"/>
      <c r="B409" s="156"/>
      <c r="C409" s="207"/>
      <c r="D409" s="208"/>
      <c r="E409" s="208"/>
      <c r="F409" s="157"/>
      <c r="G409" s="185" t="s">
        <v>22</v>
      </c>
      <c r="H409" s="524" t="s">
        <v>1886</v>
      </c>
      <c r="I409" s="207" t="s">
        <v>1887</v>
      </c>
      <c r="J409" s="288" t="s">
        <v>1888</v>
      </c>
      <c r="K409" s="157" t="s">
        <v>24</v>
      </c>
      <c r="L409" s="307" t="s">
        <v>25</v>
      </c>
    </row>
    <row r="410" spans="1:12" ht="13.5" customHeight="1">
      <c r="A410" s="157"/>
      <c r="B410" s="156"/>
      <c r="C410" s="207"/>
      <c r="D410" s="208"/>
      <c r="E410" s="208"/>
      <c r="F410" s="157"/>
      <c r="G410" s="185"/>
      <c r="H410" s="524"/>
      <c r="I410" s="207"/>
      <c r="J410" s="288"/>
      <c r="K410" s="157"/>
      <c r="L410" s="307"/>
    </row>
    <row r="411" spans="1:12" ht="13.5" customHeight="1">
      <c r="A411" s="157"/>
      <c r="B411" s="156"/>
      <c r="C411" s="207"/>
      <c r="D411" s="208"/>
      <c r="E411" s="208"/>
      <c r="F411" s="157"/>
      <c r="G411" s="185">
        <v>42978</v>
      </c>
      <c r="H411" s="524" t="s">
        <v>1375</v>
      </c>
      <c r="I411" s="207" t="s">
        <v>1936</v>
      </c>
      <c r="J411" s="288" t="s">
        <v>1937</v>
      </c>
      <c r="K411" s="157">
        <v>32.729999999999997</v>
      </c>
      <c r="L411" s="307"/>
    </row>
    <row r="412" spans="1:12" ht="13.5" customHeight="1">
      <c r="A412" s="157"/>
      <c r="B412" s="156"/>
      <c r="C412" s="207"/>
      <c r="D412" s="208"/>
      <c r="E412" s="208"/>
      <c r="F412" s="157"/>
      <c r="G412" s="185" t="s">
        <v>1882</v>
      </c>
      <c r="H412" s="524"/>
      <c r="I412" s="207"/>
      <c r="J412" s="288"/>
      <c r="K412" s="157">
        <v>32.729999999999997</v>
      </c>
      <c r="L412" s="307"/>
    </row>
    <row r="413" spans="1:12" ht="13.5" customHeight="1">
      <c r="A413" s="157"/>
      <c r="B413" s="156"/>
      <c r="C413" s="207"/>
      <c r="D413" s="208"/>
      <c r="E413" s="208"/>
      <c r="F413" s="157"/>
      <c r="G413" s="185"/>
      <c r="H413" s="524"/>
      <c r="I413" s="207"/>
      <c r="J413" s="288"/>
      <c r="K413" s="157"/>
      <c r="L413" s="307"/>
    </row>
    <row r="414" spans="1:12" ht="13.5" customHeight="1">
      <c r="A414" s="157"/>
      <c r="B414" s="156"/>
      <c r="C414" s="207"/>
      <c r="D414" s="208"/>
      <c r="E414" s="208"/>
      <c r="F414" s="157"/>
      <c r="G414" s="185">
        <v>42978</v>
      </c>
      <c r="H414" s="524"/>
      <c r="I414" s="207" t="s">
        <v>1883</v>
      </c>
      <c r="J414" s="288"/>
      <c r="K414" s="157">
        <v>32.729999999999997</v>
      </c>
      <c r="L414" s="307"/>
    </row>
    <row r="415" spans="1:12" ht="13.5" customHeight="1">
      <c r="A415" s="157"/>
      <c r="B415" s="156"/>
      <c r="C415" s="207"/>
      <c r="D415" s="208"/>
      <c r="E415" s="208"/>
      <c r="F415" s="157"/>
      <c r="G415" s="185"/>
      <c r="H415" s="524"/>
      <c r="I415" s="207"/>
      <c r="J415" s="288"/>
      <c r="K415" s="157"/>
      <c r="L415" s="307"/>
    </row>
    <row r="416" spans="1:12" ht="13.5" customHeight="1">
      <c r="A416" s="157"/>
      <c r="B416" s="156"/>
      <c r="C416" s="207"/>
      <c r="D416" s="208"/>
      <c r="E416" s="208"/>
      <c r="F416" s="157"/>
      <c r="G416" s="185"/>
      <c r="H416" s="524"/>
      <c r="I416" s="207"/>
      <c r="J416" s="288"/>
      <c r="K416" s="157"/>
      <c r="L416" s="307"/>
    </row>
    <row r="417" spans="1:12" ht="13.5" customHeight="1">
      <c r="A417" s="157"/>
      <c r="B417" s="156"/>
      <c r="C417" s="207"/>
      <c r="D417" s="208"/>
      <c r="E417" s="208"/>
      <c r="F417" s="157"/>
      <c r="G417" s="185" t="s">
        <v>1938</v>
      </c>
      <c r="H417" s="524"/>
      <c r="I417" s="207"/>
      <c r="J417" s="288"/>
      <c r="K417" s="157"/>
      <c r="L417" s="307"/>
    </row>
    <row r="418" spans="1:12" ht="13.5" customHeight="1">
      <c r="A418" s="157"/>
      <c r="B418" s="156"/>
      <c r="C418" s="207"/>
      <c r="D418" s="208"/>
      <c r="E418" s="208"/>
      <c r="F418" s="157"/>
      <c r="G418" s="185" t="s">
        <v>1884</v>
      </c>
      <c r="H418" s="524"/>
      <c r="I418" s="207"/>
      <c r="J418" s="288"/>
      <c r="K418" s="157"/>
      <c r="L418" s="307"/>
    </row>
    <row r="419" spans="1:12" ht="13.5" customHeight="1">
      <c r="A419" s="157"/>
      <c r="B419" s="156"/>
      <c r="C419" s="207"/>
      <c r="D419" s="208"/>
      <c r="E419" s="208"/>
      <c r="F419" s="157"/>
      <c r="G419" s="185" t="s">
        <v>190</v>
      </c>
      <c r="H419" s="524"/>
      <c r="I419" s="207"/>
      <c r="J419" s="288"/>
      <c r="K419" s="157"/>
      <c r="L419" s="307"/>
    </row>
    <row r="420" spans="1:12" ht="13.5" customHeight="1">
      <c r="A420" s="157"/>
      <c r="B420" s="156"/>
      <c r="C420" s="207"/>
      <c r="D420" s="208"/>
      <c r="E420" s="208"/>
      <c r="F420" s="157"/>
      <c r="G420" s="185" t="s">
        <v>1885</v>
      </c>
      <c r="H420" s="524"/>
      <c r="I420" s="207"/>
      <c r="J420" s="288"/>
      <c r="K420" s="157"/>
      <c r="L420" s="307"/>
    </row>
    <row r="421" spans="1:12" ht="13.5" customHeight="1">
      <c r="A421" s="157"/>
      <c r="B421" s="156"/>
      <c r="C421" s="207"/>
      <c r="D421" s="208"/>
      <c r="E421" s="208"/>
      <c r="F421" s="157"/>
      <c r="G421" s="185"/>
      <c r="H421" s="524"/>
      <c r="I421" s="207"/>
      <c r="J421" s="288"/>
      <c r="K421" s="157"/>
      <c r="L421" s="307"/>
    </row>
    <row r="422" spans="1:12" ht="13.5" customHeight="1">
      <c r="A422" s="157"/>
      <c r="B422" s="156"/>
      <c r="C422" s="207"/>
      <c r="D422" s="208"/>
      <c r="E422" s="208"/>
      <c r="F422" s="157"/>
      <c r="G422" s="185" t="s">
        <v>22</v>
      </c>
      <c r="H422" s="524" t="s">
        <v>1886</v>
      </c>
      <c r="I422" s="207" t="s">
        <v>1887</v>
      </c>
      <c r="J422" s="288" t="s">
        <v>1888</v>
      </c>
      <c r="K422" s="157" t="s">
        <v>24</v>
      </c>
      <c r="L422" s="307" t="s">
        <v>25</v>
      </c>
    </row>
    <row r="423" spans="1:12" ht="13.5" customHeight="1">
      <c r="A423" s="157"/>
      <c r="B423" s="156"/>
      <c r="C423" s="207"/>
      <c r="D423" s="208"/>
      <c r="E423" s="208"/>
      <c r="F423" s="157"/>
      <c r="G423" s="185"/>
      <c r="H423" s="524"/>
      <c r="I423" s="207"/>
      <c r="J423" s="288"/>
      <c r="K423" s="157"/>
      <c r="L423" s="307"/>
    </row>
    <row r="424" spans="1:12" ht="13.5" customHeight="1">
      <c r="A424" s="157"/>
      <c r="B424" s="156"/>
      <c r="C424" s="207"/>
      <c r="D424" s="208"/>
      <c r="E424" s="208"/>
      <c r="F424" s="157"/>
      <c r="G424" s="185">
        <v>42948</v>
      </c>
      <c r="H424" s="524" t="s">
        <v>1375</v>
      </c>
      <c r="I424" s="207" t="s">
        <v>1939</v>
      </c>
      <c r="J424" s="288" t="s">
        <v>1940</v>
      </c>
      <c r="K424" s="157">
        <v>42561.19</v>
      </c>
      <c r="L424" s="307"/>
    </row>
    <row r="425" spans="1:12" ht="13.5" customHeight="1">
      <c r="A425" s="157"/>
      <c r="B425" s="156"/>
      <c r="C425" s="207"/>
      <c r="D425" s="208"/>
      <c r="E425" s="208"/>
      <c r="F425" s="157"/>
      <c r="G425" s="185">
        <v>42948</v>
      </c>
      <c r="H425" s="524" t="s">
        <v>1375</v>
      </c>
      <c r="I425" s="207" t="s">
        <v>1941</v>
      </c>
      <c r="J425" s="288" t="s">
        <v>1942</v>
      </c>
      <c r="K425" s="157">
        <v>2234.2199999999998</v>
      </c>
      <c r="L425" s="307"/>
    </row>
    <row r="426" spans="1:12" ht="13.5" customHeight="1">
      <c r="A426" s="157"/>
      <c r="B426" s="156"/>
      <c r="C426" s="207"/>
      <c r="D426" s="208"/>
      <c r="E426" s="208"/>
      <c r="F426" s="157"/>
      <c r="G426" s="185">
        <v>42953</v>
      </c>
      <c r="H426" s="524" t="s">
        <v>1375</v>
      </c>
      <c r="I426" s="207" t="s">
        <v>1441</v>
      </c>
      <c r="J426" s="288" t="s">
        <v>1943</v>
      </c>
      <c r="K426" s="157">
        <v>9642.2999999999993</v>
      </c>
      <c r="L426" s="307"/>
    </row>
    <row r="427" spans="1:12" ht="13.5" customHeight="1">
      <c r="A427" s="157"/>
      <c r="B427" s="156"/>
      <c r="C427" s="207"/>
      <c r="D427" s="208"/>
      <c r="E427" s="208"/>
      <c r="F427" s="157"/>
      <c r="G427" s="185">
        <v>42956</v>
      </c>
      <c r="H427" s="524" t="s">
        <v>1375</v>
      </c>
      <c r="I427" s="207" t="s">
        <v>1944</v>
      </c>
      <c r="J427" s="288" t="s">
        <v>1945</v>
      </c>
      <c r="K427" s="157">
        <v>10667.8</v>
      </c>
      <c r="L427" s="307"/>
    </row>
    <row r="428" spans="1:12" ht="13.5" customHeight="1">
      <c r="A428" s="157"/>
      <c r="B428" s="156"/>
      <c r="C428" s="207"/>
      <c r="D428" s="208"/>
      <c r="E428" s="208"/>
      <c r="F428" s="157"/>
      <c r="G428" s="185">
        <v>42956</v>
      </c>
      <c r="H428" s="524" t="s">
        <v>1375</v>
      </c>
      <c r="I428" s="207" t="s">
        <v>1946</v>
      </c>
      <c r="J428" s="288" t="s">
        <v>1947</v>
      </c>
      <c r="K428" s="157">
        <v>4792.9399999999996</v>
      </c>
      <c r="L428" s="307"/>
    </row>
    <row r="429" spans="1:12" ht="13.5" customHeight="1">
      <c r="A429" s="157"/>
      <c r="B429" s="156"/>
      <c r="C429" s="207"/>
      <c r="D429" s="208"/>
      <c r="E429" s="208"/>
      <c r="F429" s="157"/>
      <c r="G429" s="185">
        <v>42956</v>
      </c>
      <c r="H429" s="524" t="s">
        <v>1375</v>
      </c>
      <c r="I429" s="207" t="s">
        <v>1948</v>
      </c>
      <c r="J429" s="288" t="s">
        <v>1949</v>
      </c>
      <c r="K429" s="157">
        <v>3891.77</v>
      </c>
      <c r="L429" s="307"/>
    </row>
    <row r="430" spans="1:12" ht="13.5" customHeight="1">
      <c r="A430" s="157"/>
      <c r="B430" s="156"/>
      <c r="C430" s="207"/>
      <c r="D430" s="208"/>
      <c r="E430" s="208"/>
      <c r="F430" s="157"/>
      <c r="G430" s="185">
        <v>42966</v>
      </c>
      <c r="H430" s="524" t="s">
        <v>1375</v>
      </c>
      <c r="I430" s="207" t="s">
        <v>1950</v>
      </c>
      <c r="J430" s="288" t="s">
        <v>1951</v>
      </c>
      <c r="K430" s="157">
        <v>2000</v>
      </c>
      <c r="L430" s="307"/>
    </row>
    <row r="431" spans="1:12" ht="13.5" customHeight="1">
      <c r="A431" s="157"/>
      <c r="B431" s="156"/>
      <c r="C431" s="207"/>
      <c r="D431" s="208"/>
      <c r="E431" s="208"/>
      <c r="F431" s="157"/>
      <c r="G431" s="185">
        <v>42966</v>
      </c>
      <c r="H431" s="524" t="s">
        <v>1375</v>
      </c>
      <c r="I431" s="207" t="s">
        <v>1952</v>
      </c>
      <c r="J431" s="288" t="s">
        <v>1951</v>
      </c>
      <c r="K431" s="157">
        <v>1500</v>
      </c>
      <c r="L431" s="307"/>
    </row>
    <row r="432" spans="1:12" ht="13.5" customHeight="1">
      <c r="A432" s="157"/>
      <c r="B432" s="156"/>
      <c r="C432" s="207"/>
      <c r="D432" s="208"/>
      <c r="E432" s="208"/>
      <c r="F432" s="157"/>
      <c r="G432" s="185">
        <v>42967</v>
      </c>
      <c r="H432" s="524" t="s">
        <v>1375</v>
      </c>
      <c r="I432" s="207" t="s">
        <v>1441</v>
      </c>
      <c r="J432" s="288" t="s">
        <v>1953</v>
      </c>
      <c r="K432" s="157">
        <v>9642.2999999999993</v>
      </c>
      <c r="L432" s="307"/>
    </row>
    <row r="433" spans="1:12" ht="13.5" customHeight="1">
      <c r="A433" s="157"/>
      <c r="B433" s="156"/>
      <c r="C433" s="207"/>
      <c r="D433" s="208"/>
      <c r="E433" s="208"/>
      <c r="F433" s="157"/>
      <c r="G433" s="185">
        <v>42970</v>
      </c>
      <c r="H433" s="524" t="s">
        <v>1375</v>
      </c>
      <c r="I433" s="207" t="s">
        <v>1954</v>
      </c>
      <c r="J433" s="288" t="s">
        <v>1955</v>
      </c>
      <c r="K433" s="157">
        <v>615.6</v>
      </c>
      <c r="L433" s="307"/>
    </row>
    <row r="434" spans="1:12" ht="13.5" customHeight="1">
      <c r="A434" s="157"/>
      <c r="B434" s="156"/>
      <c r="C434" s="207"/>
      <c r="D434" s="208"/>
      <c r="E434" s="208"/>
      <c r="F434" s="157"/>
      <c r="G434" s="185">
        <v>42974</v>
      </c>
      <c r="H434" s="524" t="s">
        <v>1375</v>
      </c>
      <c r="I434" s="207" t="s">
        <v>1956</v>
      </c>
      <c r="J434" s="288" t="s">
        <v>1957</v>
      </c>
      <c r="K434" s="157">
        <v>957.49</v>
      </c>
      <c r="L434" s="307"/>
    </row>
    <row r="435" spans="1:12" ht="13.5" customHeight="1">
      <c r="A435" s="157"/>
      <c r="B435" s="156"/>
      <c r="C435" s="207"/>
      <c r="D435" s="208"/>
      <c r="E435" s="208"/>
      <c r="F435" s="157"/>
      <c r="G435" s="185">
        <v>42974</v>
      </c>
      <c r="H435" s="524" t="s">
        <v>1375</v>
      </c>
      <c r="I435" s="207" t="s">
        <v>1958</v>
      </c>
      <c r="J435" s="288" t="s">
        <v>1957</v>
      </c>
      <c r="K435" s="157">
        <v>1192.49</v>
      </c>
      <c r="L435" s="307"/>
    </row>
    <row r="436" spans="1:12" ht="13.5" customHeight="1">
      <c r="A436" s="157"/>
      <c r="B436" s="156"/>
      <c r="C436" s="207"/>
      <c r="D436" s="208"/>
      <c r="E436" s="208"/>
      <c r="F436" s="157"/>
      <c r="G436" s="185">
        <v>42975</v>
      </c>
      <c r="H436" s="524" t="s">
        <v>1375</v>
      </c>
      <c r="I436" s="207" t="s">
        <v>1959</v>
      </c>
      <c r="J436" s="288" t="s">
        <v>1960</v>
      </c>
      <c r="K436" s="157">
        <v>1574.16</v>
      </c>
      <c r="L436" s="307"/>
    </row>
    <row r="437" spans="1:12" ht="13.5" customHeight="1">
      <c r="A437" s="157"/>
      <c r="B437" s="156"/>
      <c r="C437" s="207"/>
      <c r="D437" s="208"/>
      <c r="E437" s="208"/>
      <c r="F437" s="157"/>
      <c r="G437" s="185" t="s">
        <v>1882</v>
      </c>
      <c r="H437" s="524"/>
      <c r="I437" s="207"/>
      <c r="J437" s="288"/>
      <c r="K437" s="157">
        <v>91272.260000000038</v>
      </c>
      <c r="L437" s="307"/>
    </row>
    <row r="438" spans="1:12" ht="13.5" customHeight="1">
      <c r="A438" s="157"/>
      <c r="B438" s="156"/>
      <c r="C438" s="207"/>
      <c r="D438" s="208"/>
      <c r="E438" s="208"/>
      <c r="F438" s="157"/>
      <c r="G438" s="185"/>
      <c r="H438" s="524"/>
      <c r="I438" s="207"/>
      <c r="J438" s="288"/>
      <c r="K438" s="157"/>
      <c r="L438" s="307"/>
    </row>
    <row r="439" spans="1:12" ht="13.5" customHeight="1">
      <c r="A439" s="157"/>
      <c r="B439" s="156"/>
      <c r="C439" s="207"/>
      <c r="D439" s="208"/>
      <c r="E439" s="208"/>
      <c r="F439" s="157"/>
      <c r="G439" s="185">
        <v>42978</v>
      </c>
      <c r="H439" s="524"/>
      <c r="I439" s="207" t="s">
        <v>1883</v>
      </c>
      <c r="J439" s="288"/>
      <c r="K439" s="157">
        <v>91272.26</v>
      </c>
      <c r="L439" s="307"/>
    </row>
    <row r="440" spans="1:12" ht="13.5" customHeight="1">
      <c r="A440" s="157"/>
      <c r="B440" s="156"/>
      <c r="C440" s="207"/>
      <c r="D440" s="208"/>
      <c r="E440" s="208"/>
      <c r="F440" s="157"/>
      <c r="G440" s="185"/>
      <c r="H440" s="524"/>
      <c r="I440" s="207"/>
      <c r="J440" s="288"/>
      <c r="K440" s="157"/>
      <c r="L440" s="307"/>
    </row>
    <row r="441" spans="1:12" ht="13.5" customHeight="1">
      <c r="A441" s="157"/>
      <c r="B441" s="156"/>
      <c r="C441" s="207"/>
      <c r="D441" s="208"/>
      <c r="E441" s="208"/>
      <c r="F441" s="157"/>
      <c r="G441" s="185"/>
      <c r="H441" s="524"/>
      <c r="I441" s="207"/>
      <c r="J441" s="288"/>
      <c r="K441" s="157"/>
      <c r="L441" s="307"/>
    </row>
    <row r="442" spans="1:12" ht="13.5" customHeight="1">
      <c r="A442" s="157"/>
      <c r="B442" s="156"/>
      <c r="C442" s="207"/>
      <c r="D442" s="208"/>
      <c r="E442" s="208"/>
      <c r="F442" s="157"/>
      <c r="G442" s="185" t="s">
        <v>1961</v>
      </c>
      <c r="H442" s="524"/>
      <c r="I442" s="207"/>
      <c r="J442" s="288"/>
      <c r="K442" s="157"/>
      <c r="L442" s="307"/>
    </row>
    <row r="443" spans="1:12" ht="13.5" customHeight="1">
      <c r="A443" s="157"/>
      <c r="B443" s="156"/>
      <c r="C443" s="207"/>
      <c r="D443" s="208"/>
      <c r="E443" s="208"/>
      <c r="F443" s="157"/>
      <c r="G443" s="185" t="s">
        <v>1884</v>
      </c>
      <c r="H443" s="524"/>
      <c r="I443" s="207"/>
      <c r="J443" s="288"/>
      <c r="K443" s="157"/>
      <c r="L443" s="307"/>
    </row>
    <row r="444" spans="1:12" ht="13.5" customHeight="1">
      <c r="A444" s="157"/>
      <c r="B444" s="156"/>
      <c r="C444" s="207"/>
      <c r="D444" s="208"/>
      <c r="E444" s="208"/>
      <c r="F444" s="157"/>
      <c r="G444" s="185" t="s">
        <v>190</v>
      </c>
      <c r="H444" s="524"/>
      <c r="I444" s="207"/>
      <c r="J444" s="288"/>
      <c r="K444" s="157"/>
      <c r="L444" s="307"/>
    </row>
    <row r="445" spans="1:12" ht="13.5" customHeight="1">
      <c r="A445" s="157"/>
      <c r="B445" s="156"/>
      <c r="C445" s="207"/>
      <c r="D445" s="208"/>
      <c r="E445" s="208"/>
      <c r="F445" s="157"/>
      <c r="G445" s="185" t="s">
        <v>1885</v>
      </c>
      <c r="H445" s="524"/>
      <c r="I445" s="207"/>
      <c r="J445" s="288"/>
      <c r="K445" s="157"/>
      <c r="L445" s="307"/>
    </row>
    <row r="446" spans="1:12" ht="13.5" customHeight="1">
      <c r="A446" s="157"/>
      <c r="B446" s="156"/>
      <c r="C446" s="207"/>
      <c r="D446" s="208"/>
      <c r="E446" s="208"/>
      <c r="F446" s="157"/>
      <c r="G446" s="185"/>
      <c r="H446" s="524"/>
      <c r="I446" s="207"/>
      <c r="J446" s="288"/>
      <c r="K446" s="157"/>
      <c r="L446" s="307"/>
    </row>
    <row r="447" spans="1:12" ht="13.5" customHeight="1">
      <c r="A447" s="157"/>
      <c r="B447" s="156"/>
      <c r="C447" s="207"/>
      <c r="D447" s="208"/>
      <c r="E447" s="208"/>
      <c r="F447" s="157"/>
      <c r="G447" s="185" t="s">
        <v>22</v>
      </c>
      <c r="H447" s="524" t="s">
        <v>1886</v>
      </c>
      <c r="I447" s="207" t="s">
        <v>1887</v>
      </c>
      <c r="J447" s="288" t="s">
        <v>1888</v>
      </c>
      <c r="K447" s="157" t="s">
        <v>24</v>
      </c>
      <c r="L447" s="307" t="s">
        <v>25</v>
      </c>
    </row>
    <row r="448" spans="1:12" ht="13.5" customHeight="1">
      <c r="A448" s="157"/>
      <c r="B448" s="156"/>
      <c r="C448" s="207"/>
      <c r="D448" s="208"/>
      <c r="E448" s="208"/>
      <c r="F448" s="157"/>
      <c r="G448" s="185"/>
      <c r="H448" s="524"/>
      <c r="I448" s="207"/>
      <c r="J448" s="288"/>
      <c r="K448" s="157"/>
      <c r="L448" s="307"/>
    </row>
    <row r="449" spans="1:12" ht="13.5" customHeight="1">
      <c r="A449" s="157"/>
      <c r="B449" s="156"/>
      <c r="C449" s="207"/>
      <c r="D449" s="208"/>
      <c r="E449" s="208"/>
      <c r="F449" s="157"/>
      <c r="G449" s="185">
        <v>42954</v>
      </c>
      <c r="H449" s="524" t="s">
        <v>1456</v>
      </c>
      <c r="I449" s="207" t="s">
        <v>1457</v>
      </c>
      <c r="J449" s="288" t="s">
        <v>1962</v>
      </c>
      <c r="K449" s="157">
        <v>57.18</v>
      </c>
      <c r="L449" s="307"/>
    </row>
    <row r="450" spans="1:12" ht="13.5" customHeight="1">
      <c r="A450" s="157"/>
      <c r="B450" s="156"/>
      <c r="C450" s="207"/>
      <c r="D450" s="208"/>
      <c r="E450" s="208"/>
      <c r="F450" s="157"/>
      <c r="G450" s="185">
        <v>42961</v>
      </c>
      <c r="H450" s="524" t="s">
        <v>1456</v>
      </c>
      <c r="I450" s="207" t="s">
        <v>1457</v>
      </c>
      <c r="J450" s="288" t="s">
        <v>1963</v>
      </c>
      <c r="K450" s="157">
        <v>76.239999999999995</v>
      </c>
      <c r="L450" s="307"/>
    </row>
    <row r="451" spans="1:12" ht="13.5" customHeight="1">
      <c r="A451" s="157"/>
      <c r="B451" s="156"/>
      <c r="C451" s="207"/>
      <c r="D451" s="208"/>
      <c r="E451" s="208"/>
      <c r="F451" s="157"/>
      <c r="G451" s="185">
        <v>42968</v>
      </c>
      <c r="H451" s="524" t="s">
        <v>1456</v>
      </c>
      <c r="I451" s="207" t="s">
        <v>1457</v>
      </c>
      <c r="J451" s="288" t="s">
        <v>1964</v>
      </c>
      <c r="K451" s="157">
        <v>76.239999999999995</v>
      </c>
      <c r="L451" s="307"/>
    </row>
    <row r="452" spans="1:12" ht="13.5" customHeight="1">
      <c r="A452" s="157"/>
      <c r="B452" s="156"/>
      <c r="C452" s="207"/>
      <c r="D452" s="208"/>
      <c r="E452" s="208"/>
      <c r="F452" s="157"/>
      <c r="G452" s="185">
        <v>42975</v>
      </c>
      <c r="H452" s="524" t="s">
        <v>1456</v>
      </c>
      <c r="I452" s="207" t="s">
        <v>1457</v>
      </c>
      <c r="J452" s="288" t="s">
        <v>1965</v>
      </c>
      <c r="K452" s="157">
        <v>76.239999999999995</v>
      </c>
      <c r="L452" s="307"/>
    </row>
    <row r="453" spans="1:12" ht="13.5" customHeight="1">
      <c r="A453" s="157"/>
      <c r="B453" s="156"/>
      <c r="C453" s="207"/>
      <c r="D453" s="208"/>
      <c r="E453" s="208"/>
      <c r="F453" s="157"/>
      <c r="G453" s="185"/>
      <c r="H453" s="524"/>
      <c r="I453" s="207" t="s">
        <v>1966</v>
      </c>
      <c r="J453" s="288" t="s">
        <v>1967</v>
      </c>
      <c r="K453" s="157">
        <v>38.119999999999997</v>
      </c>
      <c r="L453" s="307"/>
    </row>
    <row r="454" spans="1:12" ht="13.5" customHeight="1">
      <c r="A454" s="157"/>
      <c r="B454" s="156"/>
      <c r="C454" s="207"/>
      <c r="D454" s="208"/>
      <c r="E454" s="208"/>
      <c r="F454" s="157"/>
      <c r="G454" s="185"/>
      <c r="H454" s="524" t="s">
        <v>1968</v>
      </c>
      <c r="I454" s="207" t="s">
        <v>1969</v>
      </c>
      <c r="J454" s="288" t="s">
        <v>1967</v>
      </c>
      <c r="K454" s="157">
        <v>33.78</v>
      </c>
      <c r="L454" s="307"/>
    </row>
    <row r="455" spans="1:12" ht="13.5" customHeight="1">
      <c r="A455" s="157"/>
      <c r="B455" s="156"/>
      <c r="C455" s="207"/>
      <c r="D455" s="208"/>
      <c r="E455" s="208"/>
      <c r="F455" s="157"/>
      <c r="G455" s="185"/>
      <c r="H455" s="524" t="s">
        <v>1970</v>
      </c>
      <c r="I455" s="207" t="s">
        <v>1971</v>
      </c>
      <c r="J455" s="288" t="s">
        <v>1967</v>
      </c>
      <c r="K455" s="157">
        <v>22.88</v>
      </c>
      <c r="L455" s="307"/>
    </row>
    <row r="456" spans="1:12" ht="13.5" customHeight="1">
      <c r="A456" s="157"/>
      <c r="B456" s="156"/>
      <c r="C456" s="207"/>
      <c r="D456" s="208"/>
      <c r="E456" s="208"/>
      <c r="F456" s="157"/>
      <c r="G456" s="185" t="s">
        <v>1882</v>
      </c>
      <c r="H456" s="524"/>
      <c r="I456" s="207"/>
      <c r="J456" s="288"/>
      <c r="K456" s="157">
        <v>380.67999999999995</v>
      </c>
      <c r="L456" s="307"/>
    </row>
    <row r="457" spans="1:12" ht="13.5" customHeight="1">
      <c r="A457" s="157"/>
      <c r="B457" s="156"/>
      <c r="C457" s="207"/>
      <c r="D457" s="208"/>
      <c r="E457" s="208"/>
      <c r="F457" s="157"/>
      <c r="G457" s="185"/>
      <c r="H457" s="524"/>
      <c r="I457" s="207"/>
      <c r="J457" s="288"/>
      <c r="K457" s="157"/>
      <c r="L457" s="307"/>
    </row>
    <row r="458" spans="1:12" ht="13.5" customHeight="1">
      <c r="A458" s="157"/>
      <c r="B458" s="156"/>
      <c r="C458" s="207"/>
      <c r="D458" s="208"/>
      <c r="E458" s="208"/>
      <c r="F458" s="157"/>
      <c r="G458" s="185">
        <v>42978</v>
      </c>
      <c r="H458" s="524"/>
      <c r="I458" s="207" t="s">
        <v>1883</v>
      </c>
      <c r="J458" s="288"/>
      <c r="K458" s="157">
        <v>380.68</v>
      </c>
      <c r="L458" s="307"/>
    </row>
    <row r="459" spans="1:12" ht="13.5" customHeight="1">
      <c r="A459" s="157"/>
      <c r="B459" s="156"/>
      <c r="C459" s="207"/>
      <c r="D459" s="208"/>
      <c r="E459" s="208"/>
      <c r="F459" s="157"/>
      <c r="G459" s="185"/>
      <c r="H459" s="524"/>
      <c r="I459" s="207"/>
      <c r="J459" s="288"/>
      <c r="K459" s="157"/>
      <c r="L459" s="307"/>
    </row>
    <row r="460" spans="1:12" ht="13.5" customHeight="1">
      <c r="A460" s="157"/>
      <c r="B460" s="156"/>
      <c r="C460" s="207"/>
      <c r="D460" s="208"/>
      <c r="E460" s="208"/>
      <c r="F460" s="157"/>
      <c r="G460" s="185"/>
      <c r="H460" s="524"/>
      <c r="I460" s="207"/>
      <c r="J460" s="288"/>
      <c r="K460" s="157"/>
      <c r="L460" s="307"/>
    </row>
    <row r="461" spans="1:12" ht="13.5" customHeight="1">
      <c r="A461" s="157"/>
      <c r="B461" s="156"/>
      <c r="C461" s="207"/>
      <c r="D461" s="208"/>
      <c r="E461" s="208"/>
      <c r="F461" s="157"/>
      <c r="G461" s="185" t="s">
        <v>1972</v>
      </c>
      <c r="H461" s="524"/>
      <c r="I461" s="207"/>
      <c r="J461" s="288"/>
      <c r="K461" s="157"/>
      <c r="L461" s="307"/>
    </row>
    <row r="462" spans="1:12" ht="13.5" customHeight="1">
      <c r="A462" s="157"/>
      <c r="B462" s="156"/>
      <c r="C462" s="207"/>
      <c r="D462" s="208"/>
      <c r="E462" s="208"/>
      <c r="F462" s="157"/>
      <c r="G462" s="185" t="s">
        <v>1884</v>
      </c>
      <c r="H462" s="524"/>
      <c r="I462" s="207"/>
      <c r="J462" s="288"/>
      <c r="K462" s="157"/>
      <c r="L462" s="307"/>
    </row>
    <row r="463" spans="1:12" ht="13.5" customHeight="1">
      <c r="A463" s="157"/>
      <c r="B463" s="156"/>
      <c r="C463" s="207"/>
      <c r="D463" s="208"/>
      <c r="E463" s="208"/>
      <c r="F463" s="157"/>
      <c r="G463" s="185" t="s">
        <v>190</v>
      </c>
      <c r="H463" s="524"/>
      <c r="I463" s="207"/>
      <c r="J463" s="288"/>
      <c r="K463" s="157"/>
      <c r="L463" s="307"/>
    </row>
    <row r="464" spans="1:12" ht="13.5" customHeight="1">
      <c r="A464" s="157"/>
      <c r="B464" s="156"/>
      <c r="C464" s="207"/>
      <c r="D464" s="208"/>
      <c r="E464" s="208"/>
      <c r="F464" s="157"/>
      <c r="G464" s="185" t="s">
        <v>1885</v>
      </c>
      <c r="H464" s="524"/>
      <c r="I464" s="207"/>
      <c r="J464" s="288"/>
      <c r="K464" s="157"/>
      <c r="L464" s="307"/>
    </row>
    <row r="465" spans="1:12" ht="13.5" customHeight="1">
      <c r="A465" s="157"/>
      <c r="B465" s="156"/>
      <c r="C465" s="207"/>
      <c r="D465" s="208"/>
      <c r="E465" s="208"/>
      <c r="F465" s="157"/>
      <c r="G465" s="185"/>
      <c r="H465" s="524"/>
      <c r="I465" s="207"/>
      <c r="J465" s="288"/>
      <c r="K465" s="157"/>
      <c r="L465" s="307"/>
    </row>
    <row r="466" spans="1:12" ht="13.5" customHeight="1">
      <c r="A466" s="157"/>
      <c r="B466" s="156"/>
      <c r="C466" s="207"/>
      <c r="D466" s="208"/>
      <c r="E466" s="208"/>
      <c r="F466" s="157"/>
      <c r="G466" s="185" t="s">
        <v>22</v>
      </c>
      <c r="H466" s="524" t="s">
        <v>1886</v>
      </c>
      <c r="I466" s="207" t="s">
        <v>1887</v>
      </c>
      <c r="J466" s="288" t="s">
        <v>1888</v>
      </c>
      <c r="K466" s="157" t="s">
        <v>24</v>
      </c>
      <c r="L466" s="307" t="s">
        <v>25</v>
      </c>
    </row>
    <row r="467" spans="1:12" ht="13.5" customHeight="1">
      <c r="A467" s="157"/>
      <c r="B467" s="156"/>
      <c r="C467" s="207"/>
      <c r="D467" s="208"/>
      <c r="E467" s="208"/>
      <c r="F467" s="157"/>
      <c r="G467" s="185"/>
      <c r="H467" s="524"/>
      <c r="I467" s="207"/>
      <c r="J467" s="288"/>
      <c r="K467" s="157"/>
      <c r="L467" s="307"/>
    </row>
    <row r="468" spans="1:12" ht="13.5" customHeight="1">
      <c r="A468" s="157"/>
      <c r="B468" s="156"/>
      <c r="C468" s="207"/>
      <c r="D468" s="208"/>
      <c r="E468" s="208"/>
      <c r="F468" s="157"/>
      <c r="G468" s="185">
        <v>42954</v>
      </c>
      <c r="H468" s="524" t="s">
        <v>1456</v>
      </c>
      <c r="I468" s="207" t="s">
        <v>1457</v>
      </c>
      <c r="J468" s="288" t="s">
        <v>1962</v>
      </c>
      <c r="K468" s="157">
        <v>19.059999999999999</v>
      </c>
      <c r="L468" s="307"/>
    </row>
    <row r="469" spans="1:12" ht="13.5" customHeight="1">
      <c r="A469" s="157"/>
      <c r="B469" s="156"/>
      <c r="C469" s="207"/>
      <c r="D469" s="208"/>
      <c r="E469" s="208"/>
      <c r="F469" s="157"/>
      <c r="G469" s="185"/>
      <c r="H469" s="524" t="s">
        <v>1970</v>
      </c>
      <c r="I469" s="207" t="s">
        <v>1973</v>
      </c>
      <c r="J469" s="288" t="s">
        <v>1967</v>
      </c>
      <c r="K469" s="157">
        <v>11.44</v>
      </c>
      <c r="L469" s="307"/>
    </row>
    <row r="470" spans="1:12" ht="13.5" customHeight="1">
      <c r="A470" s="157"/>
      <c r="B470" s="156"/>
      <c r="C470" s="207"/>
      <c r="D470" s="208"/>
      <c r="E470" s="208"/>
      <c r="F470" s="157"/>
      <c r="G470" s="185" t="s">
        <v>1882</v>
      </c>
      <c r="H470" s="524"/>
      <c r="I470" s="207"/>
      <c r="J470" s="288"/>
      <c r="K470" s="157">
        <v>30.5</v>
      </c>
      <c r="L470" s="307"/>
    </row>
    <row r="471" spans="1:12" ht="13.5" customHeight="1">
      <c r="A471" s="157"/>
      <c r="B471" s="156"/>
      <c r="C471" s="207"/>
      <c r="D471" s="208"/>
      <c r="E471" s="208"/>
      <c r="F471" s="157"/>
      <c r="G471" s="185"/>
      <c r="H471" s="524"/>
      <c r="I471" s="207"/>
      <c r="J471" s="288"/>
      <c r="K471" s="157"/>
      <c r="L471" s="307"/>
    </row>
    <row r="472" spans="1:12" ht="13.5" customHeight="1">
      <c r="A472" s="157"/>
      <c r="B472" s="156"/>
      <c r="C472" s="207"/>
      <c r="D472" s="208"/>
      <c r="E472" s="208"/>
      <c r="F472" s="157"/>
      <c r="G472" s="185">
        <v>42978</v>
      </c>
      <c r="H472" s="524"/>
      <c r="I472" s="207" t="s">
        <v>1883</v>
      </c>
      <c r="J472" s="288"/>
      <c r="K472" s="157">
        <v>30.5</v>
      </c>
      <c r="L472" s="307"/>
    </row>
    <row r="473" spans="1:12" ht="13.5" customHeight="1">
      <c r="A473" s="157"/>
      <c r="B473" s="156"/>
      <c r="C473" s="207"/>
      <c r="D473" s="208"/>
      <c r="E473" s="208"/>
      <c r="F473" s="157"/>
      <c r="G473" s="185"/>
      <c r="H473" s="524"/>
      <c r="I473" s="207"/>
      <c r="J473" s="288"/>
      <c r="K473" s="157"/>
      <c r="L473" s="307"/>
    </row>
    <row r="474" spans="1:12" ht="13.5" customHeight="1">
      <c r="A474" s="157"/>
      <c r="B474" s="156"/>
      <c r="C474" s="207"/>
      <c r="D474" s="208"/>
      <c r="E474" s="208"/>
      <c r="F474" s="157"/>
      <c r="G474" s="185"/>
      <c r="H474" s="524"/>
      <c r="I474" s="207"/>
      <c r="J474" s="288"/>
      <c r="K474" s="157"/>
      <c r="L474" s="307"/>
    </row>
    <row r="475" spans="1:12" ht="13.5" customHeight="1">
      <c r="A475" s="157"/>
      <c r="B475" s="156"/>
      <c r="C475" s="207"/>
      <c r="D475" s="208"/>
      <c r="E475" s="208"/>
      <c r="F475" s="157"/>
      <c r="G475" s="185" t="s">
        <v>1974</v>
      </c>
      <c r="H475" s="524"/>
      <c r="I475" s="207"/>
      <c r="J475" s="288"/>
      <c r="K475" s="157"/>
      <c r="L475" s="307"/>
    </row>
    <row r="476" spans="1:12" ht="13.5" customHeight="1">
      <c r="A476" s="157"/>
      <c r="B476" s="156"/>
      <c r="C476" s="207"/>
      <c r="D476" s="208"/>
      <c r="E476" s="208"/>
      <c r="F476" s="157"/>
      <c r="G476" s="185" t="s">
        <v>1884</v>
      </c>
      <c r="H476" s="524"/>
      <c r="I476" s="207"/>
      <c r="J476" s="288"/>
      <c r="K476" s="157"/>
      <c r="L476" s="307"/>
    </row>
    <row r="477" spans="1:12" ht="13.5" customHeight="1">
      <c r="A477" s="157"/>
      <c r="B477" s="156"/>
      <c r="C477" s="207"/>
      <c r="D477" s="208"/>
      <c r="E477" s="208"/>
      <c r="F477" s="157"/>
      <c r="G477" s="185" t="s">
        <v>190</v>
      </c>
      <c r="H477" s="524"/>
      <c r="I477" s="207"/>
      <c r="J477" s="288"/>
      <c r="K477" s="157"/>
      <c r="L477" s="307"/>
    </row>
    <row r="478" spans="1:12" ht="13.5" customHeight="1">
      <c r="A478" s="157"/>
      <c r="B478" s="156"/>
      <c r="C478" s="207"/>
      <c r="D478" s="208"/>
      <c r="E478" s="208"/>
      <c r="F478" s="157"/>
      <c r="G478" s="185" t="s">
        <v>1885</v>
      </c>
      <c r="H478" s="524"/>
      <c r="I478" s="207"/>
      <c r="J478" s="288"/>
      <c r="K478" s="157"/>
      <c r="L478" s="307"/>
    </row>
    <row r="479" spans="1:12" ht="13.5" customHeight="1">
      <c r="A479" s="157"/>
      <c r="B479" s="156"/>
      <c r="C479" s="207"/>
      <c r="D479" s="208"/>
      <c r="E479" s="208"/>
      <c r="F479" s="157"/>
      <c r="G479" s="185"/>
      <c r="H479" s="524"/>
      <c r="I479" s="207"/>
      <c r="J479" s="288"/>
      <c r="K479" s="157"/>
      <c r="L479" s="307"/>
    </row>
    <row r="480" spans="1:12" ht="13.5" customHeight="1">
      <c r="A480" s="157"/>
      <c r="B480" s="156"/>
      <c r="C480" s="207"/>
      <c r="D480" s="208"/>
      <c r="E480" s="208"/>
      <c r="F480" s="157"/>
      <c r="G480" s="185" t="s">
        <v>22</v>
      </c>
      <c r="H480" s="524" t="s">
        <v>1886</v>
      </c>
      <c r="I480" s="207" t="s">
        <v>1887</v>
      </c>
      <c r="J480" s="288" t="s">
        <v>1888</v>
      </c>
      <c r="K480" s="157" t="s">
        <v>24</v>
      </c>
      <c r="L480" s="307" t="s">
        <v>25</v>
      </c>
    </row>
    <row r="481" spans="1:12" ht="13.5" customHeight="1">
      <c r="A481" s="157"/>
      <c r="B481" s="156"/>
      <c r="C481" s="207"/>
      <c r="D481" s="208"/>
      <c r="E481" s="208"/>
      <c r="F481" s="157"/>
      <c r="G481" s="185"/>
      <c r="H481" s="524"/>
      <c r="I481" s="207"/>
      <c r="J481" s="288"/>
      <c r="K481" s="157"/>
      <c r="L481" s="307"/>
    </row>
    <row r="482" spans="1:12" ht="13.5" customHeight="1">
      <c r="A482" s="157"/>
      <c r="B482" s="156"/>
      <c r="C482" s="207"/>
      <c r="D482" s="208"/>
      <c r="E482" s="208"/>
      <c r="F482" s="157"/>
      <c r="G482" s="185">
        <v>42954</v>
      </c>
      <c r="H482" s="524" t="s">
        <v>1456</v>
      </c>
      <c r="I482" s="207" t="s">
        <v>1463</v>
      </c>
      <c r="J482" s="288" t="s">
        <v>1962</v>
      </c>
      <c r="K482" s="157">
        <v>60.12</v>
      </c>
      <c r="L482" s="307"/>
    </row>
    <row r="483" spans="1:12" ht="13.5" customHeight="1">
      <c r="A483" s="157"/>
      <c r="B483" s="156"/>
      <c r="C483" s="207"/>
      <c r="D483" s="208"/>
      <c r="E483" s="208"/>
      <c r="F483" s="157"/>
      <c r="G483" s="185">
        <v>42961</v>
      </c>
      <c r="H483" s="524" t="s">
        <v>1456</v>
      </c>
      <c r="I483" s="207" t="s">
        <v>1463</v>
      </c>
      <c r="J483" s="288" t="s">
        <v>1963</v>
      </c>
      <c r="K483" s="157">
        <v>30.06</v>
      </c>
      <c r="L483" s="307"/>
    </row>
    <row r="484" spans="1:12" ht="13.5" customHeight="1">
      <c r="A484" s="157"/>
      <c r="B484" s="156"/>
      <c r="C484" s="207"/>
      <c r="D484" s="208"/>
      <c r="E484" s="208"/>
      <c r="F484" s="157"/>
      <c r="G484" s="185">
        <v>42975</v>
      </c>
      <c r="H484" s="524" t="s">
        <v>1456</v>
      </c>
      <c r="I484" s="207" t="s">
        <v>1463</v>
      </c>
      <c r="J484" s="288" t="s">
        <v>1965</v>
      </c>
      <c r="K484" s="157">
        <v>30.06</v>
      </c>
      <c r="L484" s="307"/>
    </row>
    <row r="485" spans="1:12" ht="13.5" customHeight="1">
      <c r="A485" s="157"/>
      <c r="B485" s="156"/>
      <c r="C485" s="207"/>
      <c r="D485" s="208"/>
      <c r="E485" s="208"/>
      <c r="F485" s="157"/>
      <c r="G485" s="185"/>
      <c r="H485" s="524"/>
      <c r="I485" s="207" t="s">
        <v>1975</v>
      </c>
      <c r="J485" s="288" t="s">
        <v>1976</v>
      </c>
      <c r="K485" s="157">
        <v>3669.25</v>
      </c>
      <c r="L485" s="307"/>
    </row>
    <row r="486" spans="1:12" ht="13.5" customHeight="1">
      <c r="A486" s="157"/>
      <c r="B486" s="156"/>
      <c r="C486" s="207"/>
      <c r="D486" s="208"/>
      <c r="E486" s="208"/>
      <c r="F486" s="157"/>
      <c r="G486" s="185"/>
      <c r="H486" s="524" t="s">
        <v>1968</v>
      </c>
      <c r="I486" s="207" t="s">
        <v>1977</v>
      </c>
      <c r="J486" s="288" t="s">
        <v>1976</v>
      </c>
      <c r="K486" s="157">
        <v>1575</v>
      </c>
      <c r="L486" s="307"/>
    </row>
    <row r="487" spans="1:12" ht="13.5" customHeight="1">
      <c r="A487" s="157"/>
      <c r="B487" s="156"/>
      <c r="C487" s="207"/>
      <c r="D487" s="208"/>
      <c r="E487" s="208"/>
      <c r="F487" s="157"/>
      <c r="G487" s="185"/>
      <c r="H487" s="524" t="s">
        <v>1970</v>
      </c>
      <c r="I487" s="207" t="s">
        <v>1971</v>
      </c>
      <c r="J487" s="288" t="s">
        <v>1976</v>
      </c>
      <c r="K487" s="157">
        <v>1095.0899999999999</v>
      </c>
      <c r="L487" s="307"/>
    </row>
    <row r="488" spans="1:12" ht="13.5" customHeight="1">
      <c r="A488" s="157"/>
      <c r="B488" s="156"/>
      <c r="C488" s="207"/>
      <c r="D488" s="208"/>
      <c r="E488" s="208"/>
      <c r="F488" s="157"/>
      <c r="G488" s="185"/>
      <c r="H488" s="524"/>
      <c r="I488" s="207" t="s">
        <v>1978</v>
      </c>
      <c r="J488" s="288" t="s">
        <v>1976</v>
      </c>
      <c r="K488" s="157">
        <v>909.85</v>
      </c>
      <c r="L488" s="307"/>
    </row>
    <row r="489" spans="1:12" ht="13.5" customHeight="1">
      <c r="A489" s="157"/>
      <c r="B489" s="156"/>
      <c r="C489" s="207"/>
      <c r="D489" s="208"/>
      <c r="E489" s="208"/>
      <c r="F489" s="157"/>
      <c r="G489" s="185"/>
      <c r="H489" s="524"/>
      <c r="I489" s="207" t="s">
        <v>1979</v>
      </c>
      <c r="J489" s="288" t="s">
        <v>1976</v>
      </c>
      <c r="K489" s="157">
        <v>365.03</v>
      </c>
      <c r="L489" s="307"/>
    </row>
    <row r="490" spans="1:12" ht="13.5" customHeight="1">
      <c r="A490" s="157"/>
      <c r="B490" s="156"/>
      <c r="C490" s="207"/>
      <c r="D490" s="208"/>
      <c r="E490" s="208"/>
      <c r="F490" s="157"/>
      <c r="G490" s="185" t="s">
        <v>1882</v>
      </c>
      <c r="H490" s="524"/>
      <c r="I490" s="207"/>
      <c r="J490" s="288"/>
      <c r="K490" s="157">
        <v>7734.46</v>
      </c>
      <c r="L490" s="307"/>
    </row>
    <row r="491" spans="1:12" ht="13.5" customHeight="1">
      <c r="A491" s="157"/>
      <c r="B491" s="156"/>
      <c r="C491" s="207"/>
      <c r="D491" s="208"/>
      <c r="E491" s="208"/>
      <c r="F491" s="157"/>
      <c r="G491" s="185"/>
      <c r="H491" s="524"/>
      <c r="I491" s="207"/>
      <c r="J491" s="288"/>
      <c r="K491" s="157"/>
      <c r="L491" s="307"/>
    </row>
    <row r="492" spans="1:12" ht="13.5" customHeight="1">
      <c r="A492" s="157"/>
      <c r="B492" s="156"/>
      <c r="C492" s="207"/>
      <c r="D492" s="208"/>
      <c r="E492" s="208"/>
      <c r="F492" s="157"/>
      <c r="G492" s="185">
        <v>42978</v>
      </c>
      <c r="H492" s="524"/>
      <c r="I492" s="207" t="s">
        <v>1883</v>
      </c>
      <c r="J492" s="288"/>
      <c r="K492" s="157">
        <v>7734.46</v>
      </c>
      <c r="L492" s="307"/>
    </row>
    <row r="493" spans="1:12" ht="13.5" customHeight="1">
      <c r="A493" s="157"/>
      <c r="B493" s="156"/>
      <c r="C493" s="207"/>
      <c r="D493" s="208"/>
      <c r="E493" s="208"/>
      <c r="F493" s="157"/>
      <c r="G493" s="185"/>
      <c r="H493" s="524"/>
      <c r="I493" s="207"/>
      <c r="J493" s="288"/>
      <c r="K493" s="157"/>
      <c r="L493" s="307"/>
    </row>
    <row r="494" spans="1:12" ht="13.5" customHeight="1">
      <c r="A494" s="157"/>
      <c r="B494" s="156"/>
      <c r="C494" s="207"/>
      <c r="D494" s="208"/>
      <c r="E494" s="208"/>
      <c r="F494" s="157"/>
      <c r="G494" s="185"/>
      <c r="H494" s="524"/>
      <c r="I494" s="207"/>
      <c r="J494" s="288"/>
      <c r="K494" s="157"/>
      <c r="L494" s="307"/>
    </row>
    <row r="495" spans="1:12" ht="13.5" customHeight="1">
      <c r="A495" s="157"/>
      <c r="B495" s="156"/>
      <c r="C495" s="207"/>
      <c r="D495" s="208"/>
      <c r="E495" s="208"/>
      <c r="F495" s="157"/>
      <c r="G495" s="185" t="s">
        <v>1980</v>
      </c>
      <c r="H495" s="524"/>
      <c r="I495" s="207"/>
      <c r="J495" s="288"/>
      <c r="K495" s="157"/>
      <c r="L495" s="307"/>
    </row>
    <row r="496" spans="1:12" ht="13.5" customHeight="1">
      <c r="A496" s="157"/>
      <c r="B496" s="156"/>
      <c r="C496" s="207"/>
      <c r="D496" s="208"/>
      <c r="E496" s="208"/>
      <c r="F496" s="157"/>
      <c r="G496" s="185" t="s">
        <v>1884</v>
      </c>
      <c r="H496" s="524"/>
      <c r="I496" s="207"/>
      <c r="J496" s="288"/>
      <c r="K496" s="157"/>
      <c r="L496" s="307"/>
    </row>
    <row r="497" spans="1:12" ht="13.5" customHeight="1">
      <c r="A497" s="157"/>
      <c r="B497" s="156"/>
      <c r="C497" s="207"/>
      <c r="D497" s="208"/>
      <c r="E497" s="208"/>
      <c r="F497" s="157"/>
      <c r="G497" s="185" t="s">
        <v>190</v>
      </c>
      <c r="H497" s="524"/>
      <c r="I497" s="207"/>
      <c r="J497" s="288"/>
      <c r="K497" s="157"/>
      <c r="L497" s="307"/>
    </row>
    <row r="498" spans="1:12" ht="13.5" customHeight="1">
      <c r="A498" s="157"/>
      <c r="B498" s="156"/>
      <c r="C498" s="207"/>
      <c r="D498" s="208"/>
      <c r="E498" s="208"/>
      <c r="F498" s="157"/>
      <c r="G498" s="185" t="s">
        <v>1885</v>
      </c>
      <c r="H498" s="524"/>
      <c r="I498" s="207"/>
      <c r="J498" s="288"/>
      <c r="K498" s="157"/>
      <c r="L498" s="307"/>
    </row>
    <row r="499" spans="1:12" ht="13.5" customHeight="1">
      <c r="A499" s="157"/>
      <c r="B499" s="156"/>
      <c r="C499" s="207"/>
      <c r="D499" s="208"/>
      <c r="E499" s="208"/>
      <c r="F499" s="157"/>
      <c r="G499" s="185"/>
      <c r="H499" s="524"/>
      <c r="I499" s="207"/>
      <c r="J499" s="288"/>
      <c r="K499" s="157"/>
      <c r="L499" s="307"/>
    </row>
    <row r="500" spans="1:12" ht="13.5" customHeight="1">
      <c r="A500" s="157"/>
      <c r="B500" s="156"/>
      <c r="C500" s="207"/>
      <c r="D500" s="208"/>
      <c r="E500" s="208"/>
      <c r="F500" s="157"/>
      <c r="G500" s="185" t="s">
        <v>22</v>
      </c>
      <c r="H500" s="524" t="s">
        <v>1886</v>
      </c>
      <c r="I500" s="207" t="s">
        <v>1887</v>
      </c>
      <c r="J500" s="288" t="s">
        <v>1888</v>
      </c>
      <c r="K500" s="157" t="s">
        <v>24</v>
      </c>
      <c r="L500" s="307" t="s">
        <v>25</v>
      </c>
    </row>
    <row r="501" spans="1:12" ht="13.5" customHeight="1">
      <c r="A501" s="157"/>
      <c r="B501" s="156"/>
      <c r="C501" s="207"/>
      <c r="D501" s="208"/>
      <c r="E501" s="208"/>
      <c r="F501" s="157"/>
      <c r="G501" s="185"/>
      <c r="H501" s="524"/>
      <c r="I501" s="207"/>
      <c r="J501" s="288"/>
      <c r="K501" s="157"/>
      <c r="L501" s="307"/>
    </row>
    <row r="502" spans="1:12" ht="13.5" customHeight="1">
      <c r="A502" s="157"/>
      <c r="B502" s="156"/>
      <c r="C502" s="207"/>
      <c r="D502" s="208"/>
      <c r="E502" s="208"/>
      <c r="F502" s="157"/>
      <c r="G502" s="185">
        <v>42954</v>
      </c>
      <c r="H502" s="524" t="s">
        <v>1456</v>
      </c>
      <c r="I502" s="207" t="s">
        <v>1457</v>
      </c>
      <c r="J502" s="288" t="s">
        <v>1962</v>
      </c>
      <c r="K502" s="157">
        <v>7747.95</v>
      </c>
      <c r="L502" s="307"/>
    </row>
    <row r="503" spans="1:12" ht="13.5" customHeight="1">
      <c r="A503" s="157"/>
      <c r="B503" s="156"/>
      <c r="C503" s="207"/>
      <c r="D503" s="208"/>
      <c r="E503" s="208"/>
      <c r="F503" s="157"/>
      <c r="G503" s="185">
        <v>42961</v>
      </c>
      <c r="H503" s="524" t="s">
        <v>1456</v>
      </c>
      <c r="I503" s="207" t="s">
        <v>1457</v>
      </c>
      <c r="J503" s="288" t="s">
        <v>1963</v>
      </c>
      <c r="K503" s="157">
        <v>9752.4500000000007</v>
      </c>
      <c r="L503" s="307"/>
    </row>
    <row r="504" spans="1:12" ht="13.5" customHeight="1">
      <c r="A504" s="157"/>
      <c r="B504" s="156"/>
      <c r="C504" s="207"/>
      <c r="D504" s="208"/>
      <c r="E504" s="208"/>
      <c r="F504" s="157"/>
      <c r="G504" s="185">
        <v>42968</v>
      </c>
      <c r="H504" s="524" t="s">
        <v>1456</v>
      </c>
      <c r="I504" s="207" t="s">
        <v>1457</v>
      </c>
      <c r="J504" s="288" t="s">
        <v>1964</v>
      </c>
      <c r="K504" s="157">
        <v>7905.53</v>
      </c>
      <c r="L504" s="307"/>
    </row>
    <row r="505" spans="1:12" ht="13.5" customHeight="1">
      <c r="A505" s="157"/>
      <c r="B505" s="156"/>
      <c r="C505" s="207"/>
      <c r="D505" s="208"/>
      <c r="E505" s="208"/>
      <c r="F505" s="157"/>
      <c r="G505" s="185">
        <v>42975</v>
      </c>
      <c r="H505" s="524" t="s">
        <v>1456</v>
      </c>
      <c r="I505" s="207" t="s">
        <v>1457</v>
      </c>
      <c r="J505" s="288" t="s">
        <v>1965</v>
      </c>
      <c r="K505" s="157">
        <v>8397.52</v>
      </c>
      <c r="L505" s="307"/>
    </row>
    <row r="506" spans="1:12" ht="13.5" customHeight="1">
      <c r="A506" s="157"/>
      <c r="B506" s="156"/>
      <c r="C506" s="207"/>
      <c r="D506" s="208"/>
      <c r="E506" s="208"/>
      <c r="F506" s="157"/>
      <c r="G506" s="185"/>
      <c r="H506" s="524"/>
      <c r="I506" s="207" t="s">
        <v>1966</v>
      </c>
      <c r="J506" s="288" t="s">
        <v>1981</v>
      </c>
      <c r="K506" s="157">
        <v>4136.92</v>
      </c>
      <c r="L506" s="307"/>
    </row>
    <row r="507" spans="1:12" ht="13.5" customHeight="1">
      <c r="A507" s="157"/>
      <c r="B507" s="156"/>
      <c r="C507" s="207"/>
      <c r="D507" s="208"/>
      <c r="E507" s="208"/>
      <c r="F507" s="157"/>
      <c r="G507" s="185"/>
      <c r="H507" s="524" t="s">
        <v>1968</v>
      </c>
      <c r="I507" s="207" t="s">
        <v>1977</v>
      </c>
      <c r="J507" s="288" t="s">
        <v>1981</v>
      </c>
      <c r="K507" s="157">
        <v>2417.77</v>
      </c>
      <c r="L507" s="307"/>
    </row>
    <row r="508" spans="1:12" ht="13.5" customHeight="1">
      <c r="A508" s="157"/>
      <c r="B508" s="156"/>
      <c r="C508" s="207"/>
      <c r="D508" s="208"/>
      <c r="E508" s="208"/>
      <c r="F508" s="157"/>
      <c r="G508" s="185"/>
      <c r="H508" s="524" t="s">
        <v>1970</v>
      </c>
      <c r="I508" s="207" t="s">
        <v>1971</v>
      </c>
      <c r="J508" s="288" t="s">
        <v>1981</v>
      </c>
      <c r="K508" s="157">
        <v>1827.8</v>
      </c>
      <c r="L508" s="307"/>
    </row>
    <row r="509" spans="1:12" ht="13.5" customHeight="1">
      <c r="A509" s="157"/>
      <c r="B509" s="156"/>
      <c r="C509" s="207"/>
      <c r="D509" s="208"/>
      <c r="E509" s="208"/>
      <c r="F509" s="157"/>
      <c r="G509" s="185" t="s">
        <v>1882</v>
      </c>
      <c r="H509" s="524"/>
      <c r="I509" s="207"/>
      <c r="J509" s="288"/>
      <c r="K509" s="157">
        <v>42185.939999999995</v>
      </c>
      <c r="L509" s="307"/>
    </row>
    <row r="510" spans="1:12" ht="13.5" customHeight="1">
      <c r="A510" s="157"/>
      <c r="B510" s="156"/>
      <c r="C510" s="207"/>
      <c r="D510" s="208"/>
      <c r="E510" s="208"/>
      <c r="F510" s="157"/>
      <c r="G510" s="185"/>
      <c r="H510" s="524"/>
      <c r="I510" s="207"/>
      <c r="J510" s="288"/>
      <c r="K510" s="157"/>
      <c r="L510" s="307"/>
    </row>
    <row r="511" spans="1:12" ht="13.5" customHeight="1">
      <c r="A511" s="157"/>
      <c r="B511" s="156"/>
      <c r="C511" s="207"/>
      <c r="D511" s="208"/>
      <c r="E511" s="208"/>
      <c r="F511" s="157"/>
      <c r="G511" s="185">
        <v>42978</v>
      </c>
      <c r="H511" s="524"/>
      <c r="I511" s="207" t="s">
        <v>1883</v>
      </c>
      <c r="J511" s="288"/>
      <c r="K511" s="157">
        <v>42185.94</v>
      </c>
      <c r="L511" s="307"/>
    </row>
    <row r="512" spans="1:12" ht="13.5" customHeight="1">
      <c r="A512" s="157"/>
      <c r="B512" s="156"/>
      <c r="C512" s="207"/>
      <c r="D512" s="208"/>
      <c r="E512" s="208"/>
      <c r="F512" s="157"/>
      <c r="G512" s="185"/>
      <c r="H512" s="524"/>
      <c r="I512" s="207"/>
      <c r="J512" s="288"/>
      <c r="K512" s="157"/>
      <c r="L512" s="307"/>
    </row>
    <row r="513" spans="1:12" ht="13.5" customHeight="1">
      <c r="A513" s="157"/>
      <c r="B513" s="156"/>
      <c r="C513" s="207"/>
      <c r="D513" s="208"/>
      <c r="E513" s="208"/>
      <c r="F513" s="157"/>
      <c r="G513" s="185" t="s">
        <v>1982</v>
      </c>
      <c r="H513" s="524"/>
      <c r="I513" s="207"/>
      <c r="J513" s="288"/>
      <c r="K513" s="157"/>
      <c r="L513" s="307"/>
    </row>
    <row r="514" spans="1:12" ht="13.5" customHeight="1">
      <c r="A514" s="157"/>
      <c r="B514" s="156"/>
      <c r="C514" s="207"/>
      <c r="D514" s="208"/>
      <c r="E514" s="208"/>
      <c r="F514" s="157"/>
      <c r="G514" s="185" t="s">
        <v>1884</v>
      </c>
      <c r="H514" s="524"/>
      <c r="I514" s="207"/>
      <c r="J514" s="288"/>
      <c r="K514" s="157"/>
      <c r="L514" s="307"/>
    </row>
    <row r="515" spans="1:12" ht="13.5" customHeight="1">
      <c r="A515" s="157"/>
      <c r="B515" s="156"/>
      <c r="C515" s="207"/>
      <c r="D515" s="208"/>
      <c r="E515" s="208"/>
      <c r="F515" s="157"/>
      <c r="G515" s="185" t="s">
        <v>190</v>
      </c>
      <c r="H515" s="524"/>
      <c r="I515" s="207"/>
      <c r="J515" s="288"/>
      <c r="K515" s="157"/>
      <c r="L515" s="307"/>
    </row>
    <row r="516" spans="1:12" ht="13.5" customHeight="1">
      <c r="A516" s="157"/>
      <c r="B516" s="156"/>
      <c r="C516" s="207"/>
      <c r="D516" s="208"/>
      <c r="E516" s="208"/>
      <c r="F516" s="157"/>
      <c r="G516" s="185" t="s">
        <v>1885</v>
      </c>
      <c r="H516" s="524"/>
      <c r="I516" s="207"/>
      <c r="J516" s="288"/>
      <c r="K516" s="157"/>
      <c r="L516" s="307"/>
    </row>
    <row r="517" spans="1:12" ht="13.5" customHeight="1">
      <c r="A517" s="157"/>
      <c r="B517" s="156"/>
      <c r="C517" s="207"/>
      <c r="D517" s="208"/>
      <c r="E517" s="208"/>
      <c r="F517" s="157"/>
      <c r="G517" s="185"/>
      <c r="H517" s="524"/>
      <c r="I517" s="207"/>
      <c r="J517" s="288"/>
      <c r="K517" s="157"/>
      <c r="L517" s="307"/>
    </row>
    <row r="518" spans="1:12" ht="13.5" customHeight="1">
      <c r="A518" s="157"/>
      <c r="B518" s="156"/>
      <c r="C518" s="207"/>
      <c r="D518" s="208"/>
      <c r="E518" s="208"/>
      <c r="F518" s="157"/>
      <c r="G518" s="185" t="s">
        <v>22</v>
      </c>
      <c r="H518" s="524" t="s">
        <v>1886</v>
      </c>
      <c r="I518" s="207" t="s">
        <v>1887</v>
      </c>
      <c r="J518" s="288" t="s">
        <v>1888</v>
      </c>
      <c r="K518" s="157" t="s">
        <v>24</v>
      </c>
      <c r="L518" s="307" t="s">
        <v>25</v>
      </c>
    </row>
    <row r="519" spans="1:12" ht="13.5" customHeight="1">
      <c r="A519" s="157"/>
      <c r="B519" s="156"/>
      <c r="C519" s="207"/>
      <c r="D519" s="208"/>
      <c r="E519" s="208"/>
      <c r="F519" s="157"/>
      <c r="G519" s="185"/>
      <c r="H519" s="524"/>
      <c r="I519" s="207"/>
      <c r="J519" s="288"/>
      <c r="K519" s="157"/>
      <c r="L519" s="307"/>
    </row>
    <row r="520" spans="1:12" ht="13.5" customHeight="1">
      <c r="A520" s="157"/>
      <c r="B520" s="156"/>
      <c r="C520" s="207"/>
      <c r="D520" s="208"/>
      <c r="E520" s="208"/>
      <c r="F520" s="157"/>
      <c r="G520" s="185">
        <v>42954</v>
      </c>
      <c r="H520" s="524" t="s">
        <v>1456</v>
      </c>
      <c r="I520" s="207" t="s">
        <v>1457</v>
      </c>
      <c r="J520" s="288" t="s">
        <v>1962</v>
      </c>
      <c r="K520" s="157">
        <v>916.19</v>
      </c>
      <c r="L520" s="307"/>
    </row>
    <row r="521" spans="1:12" ht="13.5" customHeight="1">
      <c r="A521" s="157"/>
      <c r="B521" s="156"/>
      <c r="C521" s="207"/>
      <c r="D521" s="208"/>
      <c r="E521" s="208"/>
      <c r="F521" s="157"/>
      <c r="G521" s="185"/>
      <c r="H521" s="524"/>
      <c r="I521" s="207" t="s">
        <v>1983</v>
      </c>
      <c r="J521" s="288" t="s">
        <v>1981</v>
      </c>
      <c r="K521" s="157">
        <v>753.15</v>
      </c>
      <c r="L521" s="307"/>
    </row>
    <row r="522" spans="1:12" ht="13.5" customHeight="1">
      <c r="A522" s="157"/>
      <c r="B522" s="156"/>
      <c r="C522" s="207"/>
      <c r="D522" s="208"/>
      <c r="E522" s="208"/>
      <c r="F522" s="157"/>
      <c r="G522" s="185" t="s">
        <v>1882</v>
      </c>
      <c r="H522" s="524"/>
      <c r="I522" s="207"/>
      <c r="J522" s="288"/>
      <c r="K522" s="157">
        <v>1669.3400000000001</v>
      </c>
      <c r="L522" s="307"/>
    </row>
    <row r="523" spans="1:12" ht="13.5" customHeight="1">
      <c r="A523" s="157"/>
      <c r="B523" s="156"/>
      <c r="C523" s="207"/>
      <c r="D523" s="208"/>
      <c r="E523" s="208"/>
      <c r="F523" s="157"/>
      <c r="G523" s="185"/>
      <c r="H523" s="524"/>
      <c r="I523" s="207"/>
      <c r="J523" s="288"/>
      <c r="K523" s="157"/>
      <c r="L523" s="307"/>
    </row>
    <row r="524" spans="1:12" ht="13.5" customHeight="1">
      <c r="A524" s="157"/>
      <c r="B524" s="156"/>
      <c r="C524" s="207"/>
      <c r="D524" s="208"/>
      <c r="E524" s="208"/>
      <c r="F524" s="157"/>
      <c r="G524" s="185">
        <v>42978</v>
      </c>
      <c r="H524" s="524"/>
      <c r="I524" s="207" t="s">
        <v>1883</v>
      </c>
      <c r="J524" s="288"/>
      <c r="K524" s="157">
        <v>1669.34</v>
      </c>
      <c r="L524" s="307"/>
    </row>
    <row r="525" spans="1:12" ht="13.5" customHeight="1">
      <c r="A525" s="157"/>
      <c r="B525" s="156"/>
      <c r="C525" s="207"/>
      <c r="D525" s="208"/>
      <c r="E525" s="208"/>
      <c r="F525" s="157"/>
      <c r="G525" s="185"/>
      <c r="H525" s="524"/>
      <c r="I525" s="207"/>
      <c r="J525" s="288"/>
      <c r="K525" s="157"/>
      <c r="L525" s="307"/>
    </row>
    <row r="526" spans="1:12" ht="13.5" customHeight="1">
      <c r="A526" s="157"/>
      <c r="B526" s="156"/>
      <c r="C526" s="207"/>
      <c r="D526" s="208"/>
      <c r="E526" s="208"/>
      <c r="F526" s="157"/>
      <c r="G526" s="185"/>
      <c r="H526" s="524"/>
      <c r="I526" s="207"/>
      <c r="J526" s="288"/>
      <c r="K526" s="157"/>
      <c r="L526" s="307"/>
    </row>
    <row r="527" spans="1:12" ht="13.5" customHeight="1">
      <c r="A527" s="157"/>
      <c r="B527" s="156"/>
      <c r="C527" s="207"/>
      <c r="D527" s="208"/>
      <c r="E527" s="208"/>
      <c r="F527" s="157"/>
      <c r="G527" s="185"/>
      <c r="H527" s="524"/>
      <c r="I527" s="207"/>
      <c r="J527" s="288"/>
      <c r="K527" s="157"/>
      <c r="L527" s="307"/>
    </row>
    <row r="528" spans="1:12" ht="13.5" customHeight="1">
      <c r="A528" s="157"/>
      <c r="B528" s="156"/>
      <c r="C528" s="207"/>
      <c r="D528" s="208"/>
      <c r="E528" s="208"/>
      <c r="F528" s="157"/>
      <c r="G528" s="185" t="s">
        <v>1984</v>
      </c>
      <c r="H528" s="524"/>
      <c r="I528" s="207"/>
      <c r="J528" s="288"/>
      <c r="K528" s="157"/>
      <c r="L528" s="307"/>
    </row>
    <row r="529" spans="1:12" ht="13.5" customHeight="1">
      <c r="A529" s="157"/>
      <c r="B529" s="156"/>
      <c r="C529" s="207"/>
      <c r="D529" s="208"/>
      <c r="E529" s="208"/>
      <c r="F529" s="157"/>
      <c r="G529" s="185" t="s">
        <v>1884</v>
      </c>
      <c r="H529" s="524"/>
      <c r="I529" s="207"/>
      <c r="J529" s="288"/>
      <c r="K529" s="157"/>
      <c r="L529" s="307"/>
    </row>
    <row r="530" spans="1:12" ht="13.5" customHeight="1">
      <c r="A530" s="157"/>
      <c r="B530" s="156"/>
      <c r="C530" s="207"/>
      <c r="D530" s="208"/>
      <c r="E530" s="208"/>
      <c r="F530" s="157"/>
      <c r="G530" s="185" t="s">
        <v>190</v>
      </c>
      <c r="H530" s="524"/>
      <c r="I530" s="207"/>
      <c r="J530" s="288"/>
      <c r="K530" s="157"/>
      <c r="L530" s="307"/>
    </row>
    <row r="531" spans="1:12" ht="13.5" customHeight="1">
      <c r="A531" s="157"/>
      <c r="B531" s="156"/>
      <c r="C531" s="207"/>
      <c r="D531" s="208"/>
      <c r="E531" s="208"/>
      <c r="F531" s="157"/>
      <c r="G531" s="185" t="s">
        <v>1885</v>
      </c>
      <c r="H531" s="524"/>
      <c r="I531" s="207"/>
      <c r="J531" s="288"/>
      <c r="K531" s="157"/>
      <c r="L531" s="307"/>
    </row>
    <row r="532" spans="1:12" ht="13.5" customHeight="1">
      <c r="A532" s="157"/>
      <c r="B532" s="156"/>
      <c r="C532" s="207"/>
      <c r="D532" s="208"/>
      <c r="E532" s="208"/>
      <c r="F532" s="157"/>
      <c r="G532" s="185"/>
      <c r="H532" s="524"/>
      <c r="I532" s="207"/>
      <c r="J532" s="288"/>
      <c r="K532" s="157"/>
      <c r="L532" s="307"/>
    </row>
    <row r="533" spans="1:12" ht="13.5" customHeight="1">
      <c r="A533" s="157"/>
      <c r="B533" s="156"/>
      <c r="C533" s="207"/>
      <c r="D533" s="208"/>
      <c r="E533" s="208"/>
      <c r="F533" s="157"/>
      <c r="G533" s="185" t="s">
        <v>22</v>
      </c>
      <c r="H533" s="524" t="s">
        <v>1886</v>
      </c>
      <c r="I533" s="207" t="s">
        <v>1887</v>
      </c>
      <c r="J533" s="288" t="s">
        <v>1888</v>
      </c>
      <c r="K533" s="157" t="s">
        <v>24</v>
      </c>
      <c r="L533" s="307" t="s">
        <v>25</v>
      </c>
    </row>
    <row r="534" spans="1:12" ht="13.5" customHeight="1">
      <c r="A534" s="157"/>
      <c r="B534" s="156"/>
      <c r="C534" s="207"/>
      <c r="D534" s="208"/>
      <c r="E534" s="208"/>
      <c r="F534" s="157"/>
      <c r="G534" s="185"/>
      <c r="H534" s="524"/>
      <c r="I534" s="207"/>
      <c r="J534" s="288"/>
      <c r="K534" s="157"/>
      <c r="L534" s="307"/>
    </row>
    <row r="535" spans="1:12" ht="13.5" customHeight="1">
      <c r="A535" s="157"/>
      <c r="B535" s="156"/>
      <c r="C535" s="207"/>
      <c r="D535" s="208"/>
      <c r="E535" s="208"/>
      <c r="F535" s="157"/>
      <c r="G535" s="185">
        <v>42951</v>
      </c>
      <c r="H535" s="524" t="s">
        <v>1375</v>
      </c>
      <c r="I535" s="207" t="s">
        <v>1985</v>
      </c>
      <c r="J535" s="288" t="s">
        <v>1986</v>
      </c>
      <c r="K535" s="157">
        <v>1824.22</v>
      </c>
      <c r="L535" s="307"/>
    </row>
    <row r="536" spans="1:12" ht="13.5" customHeight="1">
      <c r="A536" s="157"/>
      <c r="B536" s="156"/>
      <c r="C536" s="207"/>
      <c r="D536" s="208"/>
      <c r="E536" s="208"/>
      <c r="F536" s="157"/>
      <c r="G536" s="185" t="s">
        <v>1882</v>
      </c>
      <c r="H536" s="524"/>
      <c r="I536" s="207"/>
      <c r="J536" s="288"/>
      <c r="K536" s="157">
        <v>1824.22</v>
      </c>
      <c r="L536" s="307"/>
    </row>
    <row r="537" spans="1:12" ht="13.5" customHeight="1">
      <c r="A537" s="157"/>
      <c r="B537" s="156"/>
      <c r="C537" s="207"/>
      <c r="D537" s="208"/>
      <c r="E537" s="208"/>
      <c r="F537" s="157"/>
      <c r="G537" s="185"/>
      <c r="H537" s="524"/>
      <c r="I537" s="207"/>
      <c r="J537" s="288"/>
      <c r="K537" s="157"/>
      <c r="L537" s="307"/>
    </row>
    <row r="538" spans="1:12" ht="13.5" customHeight="1">
      <c r="A538" s="157"/>
      <c r="B538" s="156"/>
      <c r="C538" s="207"/>
      <c r="D538" s="208"/>
      <c r="E538" s="208"/>
      <c r="F538" s="157"/>
      <c r="G538" s="185">
        <v>42978</v>
      </c>
      <c r="H538" s="524"/>
      <c r="I538" s="207" t="s">
        <v>1883</v>
      </c>
      <c r="J538" s="288"/>
      <c r="K538" s="157">
        <v>1824.22</v>
      </c>
      <c r="L538" s="307"/>
    </row>
    <row r="539" spans="1:12" ht="13.5" customHeight="1">
      <c r="A539" s="157"/>
      <c r="B539" s="156"/>
      <c r="C539" s="207"/>
      <c r="D539" s="208"/>
      <c r="E539" s="208"/>
      <c r="F539" s="157"/>
      <c r="G539" s="185"/>
      <c r="H539" s="524"/>
      <c r="I539" s="207"/>
      <c r="J539" s="288"/>
      <c r="K539" s="157"/>
      <c r="L539" s="307"/>
    </row>
    <row r="540" spans="1:12" ht="13.5" customHeight="1">
      <c r="A540" s="157"/>
      <c r="B540" s="156"/>
      <c r="C540" s="207"/>
      <c r="D540" s="208"/>
      <c r="E540" s="208"/>
      <c r="F540" s="157"/>
      <c r="G540" s="185"/>
      <c r="H540" s="524"/>
      <c r="I540" s="207"/>
      <c r="J540" s="288"/>
      <c r="K540" s="157"/>
      <c r="L540" s="307"/>
    </row>
    <row r="541" spans="1:12" ht="13.5" customHeight="1">
      <c r="A541" s="157"/>
      <c r="B541" s="156"/>
      <c r="C541" s="207"/>
      <c r="D541" s="208"/>
      <c r="E541" s="208"/>
      <c r="F541" s="157"/>
      <c r="G541" s="185" t="s">
        <v>1987</v>
      </c>
      <c r="H541" s="524"/>
      <c r="I541" s="207"/>
      <c r="J541" s="288"/>
      <c r="K541" s="157"/>
      <c r="L541" s="307"/>
    </row>
    <row r="542" spans="1:12" ht="13.5" customHeight="1">
      <c r="A542" s="157"/>
      <c r="B542" s="156"/>
      <c r="C542" s="207"/>
      <c r="D542" s="208"/>
      <c r="E542" s="208"/>
      <c r="F542" s="157"/>
      <c r="G542" s="185" t="s">
        <v>1884</v>
      </c>
      <c r="H542" s="524"/>
      <c r="I542" s="207"/>
      <c r="J542" s="288"/>
      <c r="K542" s="157"/>
      <c r="L542" s="307"/>
    </row>
    <row r="543" spans="1:12" ht="13.5" customHeight="1">
      <c r="A543" s="157"/>
      <c r="B543" s="156"/>
      <c r="C543" s="207"/>
      <c r="D543" s="208"/>
      <c r="E543" s="208"/>
      <c r="F543" s="157"/>
      <c r="G543" s="185" t="s">
        <v>190</v>
      </c>
      <c r="H543" s="524"/>
      <c r="I543" s="207"/>
      <c r="J543" s="288"/>
      <c r="K543" s="157"/>
      <c r="L543" s="307"/>
    </row>
    <row r="544" spans="1:12" ht="13.5" customHeight="1">
      <c r="A544" s="157"/>
      <c r="B544" s="156"/>
      <c r="C544" s="207"/>
      <c r="D544" s="208"/>
      <c r="E544" s="208"/>
      <c r="F544" s="157"/>
      <c r="G544" s="185" t="s">
        <v>1885</v>
      </c>
      <c r="H544" s="524"/>
      <c r="I544" s="207"/>
      <c r="J544" s="288"/>
      <c r="K544" s="157"/>
      <c r="L544" s="307"/>
    </row>
    <row r="545" spans="1:12" ht="13.5" customHeight="1">
      <c r="A545" s="157"/>
      <c r="B545" s="156"/>
      <c r="C545" s="207"/>
      <c r="D545" s="208"/>
      <c r="E545" s="208"/>
      <c r="F545" s="157"/>
      <c r="G545" s="185"/>
      <c r="H545" s="524"/>
      <c r="I545" s="207"/>
      <c r="J545" s="288"/>
      <c r="K545" s="157"/>
      <c r="L545" s="307"/>
    </row>
    <row r="546" spans="1:12" ht="13.5" customHeight="1">
      <c r="A546" s="157"/>
      <c r="B546" s="156"/>
      <c r="C546" s="207"/>
      <c r="D546" s="208"/>
      <c r="E546" s="208"/>
      <c r="F546" s="157"/>
      <c r="G546" s="185" t="s">
        <v>22</v>
      </c>
      <c r="H546" s="524" t="s">
        <v>1886</v>
      </c>
      <c r="I546" s="207" t="s">
        <v>1887</v>
      </c>
      <c r="J546" s="288" t="s">
        <v>1888</v>
      </c>
      <c r="K546" s="157" t="s">
        <v>24</v>
      </c>
      <c r="L546" s="307" t="s">
        <v>25</v>
      </c>
    </row>
    <row r="547" spans="1:12" ht="13.5" customHeight="1">
      <c r="A547" s="157"/>
      <c r="B547" s="156"/>
      <c r="C547" s="207"/>
      <c r="D547" s="208"/>
      <c r="E547" s="208"/>
      <c r="F547" s="157"/>
      <c r="G547" s="185"/>
      <c r="H547" s="524"/>
      <c r="I547" s="207"/>
      <c r="J547" s="288"/>
      <c r="K547" s="157"/>
      <c r="L547" s="307"/>
    </row>
    <row r="548" spans="1:12" ht="13.5" customHeight="1">
      <c r="A548" s="157"/>
      <c r="B548" s="156"/>
      <c r="C548" s="207"/>
      <c r="D548" s="208"/>
      <c r="E548" s="208"/>
      <c r="F548" s="157"/>
      <c r="G548" s="185">
        <v>42954</v>
      </c>
      <c r="H548" s="524" t="s">
        <v>1456</v>
      </c>
      <c r="I548" s="207" t="s">
        <v>1464</v>
      </c>
      <c r="J548" s="288" t="s">
        <v>1962</v>
      </c>
      <c r="K548" s="157">
        <v>92.44</v>
      </c>
      <c r="L548" s="307"/>
    </row>
    <row r="549" spans="1:12" ht="13.5" customHeight="1">
      <c r="A549" s="157"/>
      <c r="B549" s="156"/>
      <c r="C549" s="207"/>
      <c r="D549" s="208"/>
      <c r="E549" s="208"/>
      <c r="F549" s="157"/>
      <c r="G549" s="185">
        <v>42961</v>
      </c>
      <c r="H549" s="524" t="s">
        <v>1456</v>
      </c>
      <c r="I549" s="207" t="s">
        <v>1464</v>
      </c>
      <c r="J549" s="288" t="s">
        <v>1963</v>
      </c>
      <c r="K549" s="157">
        <v>92.44</v>
      </c>
      <c r="L549" s="307"/>
    </row>
    <row r="550" spans="1:12" ht="13.5" customHeight="1">
      <c r="A550" s="157"/>
      <c r="B550" s="156"/>
      <c r="C550" s="207"/>
      <c r="D550" s="208"/>
      <c r="E550" s="208"/>
      <c r="F550" s="157"/>
      <c r="G550" s="185">
        <v>42968</v>
      </c>
      <c r="H550" s="524" t="s">
        <v>1456</v>
      </c>
      <c r="I550" s="207" t="s">
        <v>1464</v>
      </c>
      <c r="J550" s="288" t="s">
        <v>1964</v>
      </c>
      <c r="K550" s="157">
        <v>92.44</v>
      </c>
      <c r="L550" s="307"/>
    </row>
    <row r="551" spans="1:12" ht="13.5" customHeight="1">
      <c r="A551" s="157"/>
      <c r="B551" s="156"/>
      <c r="C551" s="207"/>
      <c r="D551" s="208"/>
      <c r="E551" s="208"/>
      <c r="F551" s="157"/>
      <c r="G551" s="185">
        <v>42975</v>
      </c>
      <c r="H551" s="524" t="s">
        <v>1456</v>
      </c>
      <c r="I551" s="207" t="s">
        <v>1464</v>
      </c>
      <c r="J551" s="288" t="s">
        <v>1965</v>
      </c>
      <c r="K551" s="157">
        <v>92.44</v>
      </c>
      <c r="L551" s="307"/>
    </row>
    <row r="552" spans="1:12" ht="13.5" customHeight="1">
      <c r="A552" s="157"/>
      <c r="B552" s="156"/>
      <c r="C552" s="207"/>
      <c r="D552" s="208"/>
      <c r="E552" s="208"/>
      <c r="F552" s="157"/>
      <c r="G552" s="185"/>
      <c r="H552" s="524"/>
      <c r="I552" s="207" t="s">
        <v>1988</v>
      </c>
      <c r="J552" s="288" t="s">
        <v>1989</v>
      </c>
      <c r="K552" s="157">
        <v>55.99</v>
      </c>
      <c r="L552" s="307"/>
    </row>
    <row r="553" spans="1:12" ht="13.5" customHeight="1">
      <c r="A553" s="157"/>
      <c r="B553" s="156"/>
      <c r="C553" s="207"/>
      <c r="D553" s="208"/>
      <c r="E553" s="208"/>
      <c r="F553" s="157"/>
      <c r="G553" s="185"/>
      <c r="H553" s="524"/>
      <c r="I553" s="207" t="s">
        <v>1990</v>
      </c>
      <c r="J553" s="288" t="s">
        <v>1989</v>
      </c>
      <c r="K553" s="157">
        <v>133.16999999999999</v>
      </c>
      <c r="L553" s="307"/>
    </row>
    <row r="554" spans="1:12" ht="13.5" customHeight="1">
      <c r="A554" s="157"/>
      <c r="B554" s="156"/>
      <c r="C554" s="207"/>
      <c r="D554" s="208"/>
      <c r="E554" s="208"/>
      <c r="F554" s="157"/>
      <c r="G554" s="185"/>
      <c r="H554" s="524"/>
      <c r="I554" s="207" t="s">
        <v>1979</v>
      </c>
      <c r="J554" s="288" t="s">
        <v>1989</v>
      </c>
      <c r="K554" s="157">
        <v>58.46</v>
      </c>
      <c r="L554" s="307"/>
    </row>
    <row r="555" spans="1:12" ht="13.5" customHeight="1">
      <c r="A555" s="157"/>
      <c r="B555" s="156"/>
      <c r="C555" s="207"/>
      <c r="D555" s="208"/>
      <c r="E555" s="208"/>
      <c r="F555" s="157"/>
      <c r="G555" s="185" t="s">
        <v>1882</v>
      </c>
      <c r="H555" s="524"/>
      <c r="I555" s="207"/>
      <c r="J555" s="288"/>
      <c r="K555" s="157">
        <v>617.38</v>
      </c>
      <c r="L555" s="307"/>
    </row>
    <row r="556" spans="1:12" ht="13.5" customHeight="1">
      <c r="A556" s="157"/>
      <c r="B556" s="156"/>
      <c r="C556" s="207"/>
      <c r="D556" s="208"/>
      <c r="E556" s="208"/>
      <c r="F556" s="157"/>
      <c r="G556" s="185"/>
      <c r="H556" s="524"/>
      <c r="I556" s="207"/>
      <c r="J556" s="288"/>
      <c r="K556" s="157"/>
      <c r="L556" s="307"/>
    </row>
    <row r="557" spans="1:12" ht="13.5" customHeight="1">
      <c r="A557" s="157"/>
      <c r="B557" s="156"/>
      <c r="C557" s="207"/>
      <c r="D557" s="208"/>
      <c r="E557" s="208"/>
      <c r="F557" s="157"/>
      <c r="G557" s="185">
        <v>42978</v>
      </c>
      <c r="H557" s="524"/>
      <c r="I557" s="207" t="s">
        <v>1883</v>
      </c>
      <c r="J557" s="288"/>
      <c r="K557" s="157">
        <v>617.38</v>
      </c>
      <c r="L557" s="307"/>
    </row>
    <row r="558" spans="1:12" ht="13.5" customHeight="1">
      <c r="A558" s="157"/>
      <c r="B558" s="156"/>
      <c r="C558" s="207"/>
      <c r="D558" s="208"/>
      <c r="E558" s="208"/>
      <c r="F558" s="157"/>
      <c r="G558" s="185"/>
      <c r="H558" s="524"/>
      <c r="I558" s="207"/>
      <c r="J558" s="288"/>
      <c r="K558" s="157"/>
      <c r="L558" s="307"/>
    </row>
    <row r="559" spans="1:12" ht="13.5" customHeight="1">
      <c r="A559" s="157"/>
      <c r="B559" s="156"/>
      <c r="C559" s="207"/>
      <c r="D559" s="208"/>
      <c r="E559" s="208"/>
      <c r="F559" s="157"/>
      <c r="G559" s="185"/>
      <c r="H559" s="524"/>
      <c r="I559" s="207"/>
      <c r="J559" s="288"/>
      <c r="K559" s="157"/>
      <c r="L559" s="307"/>
    </row>
    <row r="560" spans="1:12" ht="13.5" customHeight="1">
      <c r="A560" s="157"/>
      <c r="B560" s="156"/>
      <c r="C560" s="207"/>
      <c r="D560" s="208"/>
      <c r="E560" s="208"/>
      <c r="F560" s="157"/>
      <c r="G560" s="185" t="s">
        <v>1991</v>
      </c>
      <c r="H560" s="524"/>
      <c r="I560" s="207"/>
      <c r="J560" s="288"/>
      <c r="K560" s="157"/>
      <c r="L560" s="307"/>
    </row>
    <row r="561" spans="1:12" ht="13.5" customHeight="1">
      <c r="A561" s="157"/>
      <c r="B561" s="156"/>
      <c r="C561" s="207"/>
      <c r="D561" s="208"/>
      <c r="E561" s="208"/>
      <c r="F561" s="157"/>
      <c r="G561" s="185" t="s">
        <v>1884</v>
      </c>
      <c r="H561" s="524"/>
      <c r="I561" s="207"/>
      <c r="J561" s="288"/>
      <c r="K561" s="157"/>
      <c r="L561" s="307"/>
    </row>
    <row r="562" spans="1:12" ht="13.5" customHeight="1">
      <c r="A562" s="157"/>
      <c r="B562" s="156"/>
      <c r="C562" s="207"/>
      <c r="D562" s="208"/>
      <c r="E562" s="208"/>
      <c r="F562" s="157"/>
      <c r="G562" s="185" t="s">
        <v>190</v>
      </c>
      <c r="H562" s="524"/>
      <c r="I562" s="207"/>
      <c r="J562" s="288"/>
      <c r="K562" s="157"/>
      <c r="L562" s="307"/>
    </row>
    <row r="563" spans="1:12" ht="13.5" customHeight="1">
      <c r="A563" s="157"/>
      <c r="B563" s="156"/>
      <c r="C563" s="207"/>
      <c r="D563" s="208"/>
      <c r="E563" s="208"/>
      <c r="F563" s="157"/>
      <c r="G563" s="185" t="s">
        <v>1885</v>
      </c>
      <c r="H563" s="524"/>
      <c r="I563" s="207"/>
      <c r="J563" s="288"/>
      <c r="K563" s="157"/>
      <c r="L563" s="307"/>
    </row>
    <row r="564" spans="1:12" ht="13.5" customHeight="1">
      <c r="A564" s="157"/>
      <c r="B564" s="156"/>
      <c r="C564" s="207"/>
      <c r="D564" s="208"/>
      <c r="E564" s="208"/>
      <c r="F564" s="157"/>
      <c r="G564" s="185"/>
      <c r="H564" s="524"/>
      <c r="I564" s="207"/>
      <c r="J564" s="288"/>
      <c r="K564" s="157"/>
      <c r="L564" s="307"/>
    </row>
    <row r="565" spans="1:12" ht="13.5" customHeight="1">
      <c r="A565" s="157"/>
      <c r="B565" s="156"/>
      <c r="C565" s="207"/>
      <c r="D565" s="208"/>
      <c r="E565" s="208"/>
      <c r="F565" s="157"/>
      <c r="G565" s="185" t="s">
        <v>22</v>
      </c>
      <c r="H565" s="524" t="s">
        <v>1886</v>
      </c>
      <c r="I565" s="207" t="s">
        <v>1887</v>
      </c>
      <c r="J565" s="288" t="s">
        <v>1888</v>
      </c>
      <c r="K565" s="157" t="s">
        <v>24</v>
      </c>
      <c r="L565" s="307" t="s">
        <v>25</v>
      </c>
    </row>
    <row r="566" spans="1:12" ht="13.5" customHeight="1">
      <c r="A566" s="157"/>
      <c r="B566" s="156"/>
      <c r="C566" s="207"/>
      <c r="D566" s="208"/>
      <c r="E566" s="208"/>
      <c r="F566" s="157"/>
      <c r="G566" s="185"/>
      <c r="H566" s="524"/>
      <c r="I566" s="207"/>
      <c r="J566" s="288"/>
      <c r="K566" s="157"/>
      <c r="L566" s="307"/>
    </row>
    <row r="567" spans="1:12" ht="13.5" customHeight="1">
      <c r="A567" s="157"/>
      <c r="B567" s="156"/>
      <c r="C567" s="207"/>
      <c r="D567" s="208"/>
      <c r="E567" s="208"/>
      <c r="F567" s="157"/>
      <c r="G567" s="185">
        <v>42954</v>
      </c>
      <c r="H567" s="524" t="s">
        <v>1456</v>
      </c>
      <c r="I567" s="207" t="s">
        <v>1464</v>
      </c>
      <c r="J567" s="288" t="s">
        <v>1962</v>
      </c>
      <c r="K567" s="157">
        <v>547.49</v>
      </c>
      <c r="L567" s="307"/>
    </row>
    <row r="568" spans="1:12" ht="13.5" customHeight="1">
      <c r="A568" s="157"/>
      <c r="B568" s="156"/>
      <c r="C568" s="207"/>
      <c r="D568" s="208"/>
      <c r="E568" s="208"/>
      <c r="F568" s="157"/>
      <c r="G568" s="185">
        <v>42961</v>
      </c>
      <c r="H568" s="524" t="s">
        <v>1456</v>
      </c>
      <c r="I568" s="207" t="s">
        <v>1464</v>
      </c>
      <c r="J568" s="288" t="s">
        <v>1963</v>
      </c>
      <c r="K568" s="157">
        <v>544.63</v>
      </c>
      <c r="L568" s="307"/>
    </row>
    <row r="569" spans="1:12" ht="13.5" customHeight="1">
      <c r="A569" s="157"/>
      <c r="B569" s="156"/>
      <c r="C569" s="207"/>
      <c r="D569" s="208"/>
      <c r="E569" s="208"/>
      <c r="F569" s="157"/>
      <c r="G569" s="185">
        <v>42968</v>
      </c>
      <c r="H569" s="524" t="s">
        <v>1456</v>
      </c>
      <c r="I569" s="207" t="s">
        <v>1464</v>
      </c>
      <c r="J569" s="288" t="s">
        <v>1964</v>
      </c>
      <c r="K569" s="157">
        <v>547.94000000000005</v>
      </c>
      <c r="L569" s="307"/>
    </row>
    <row r="570" spans="1:12" ht="13.5" customHeight="1">
      <c r="A570" s="157"/>
      <c r="B570" s="156"/>
      <c r="C570" s="207"/>
      <c r="D570" s="208"/>
      <c r="E570" s="208"/>
      <c r="F570" s="157"/>
      <c r="G570" s="185">
        <v>42975</v>
      </c>
      <c r="H570" s="524" t="s">
        <v>1456</v>
      </c>
      <c r="I570" s="207" t="s">
        <v>1464</v>
      </c>
      <c r="J570" s="288" t="s">
        <v>1965</v>
      </c>
      <c r="K570" s="157">
        <v>553.65</v>
      </c>
      <c r="L570" s="307"/>
    </row>
    <row r="571" spans="1:12" ht="13.5" customHeight="1">
      <c r="A571" s="157"/>
      <c r="B571" s="156"/>
      <c r="C571" s="207"/>
      <c r="D571" s="208"/>
      <c r="E571" s="208"/>
      <c r="F571" s="157"/>
      <c r="G571" s="185"/>
      <c r="H571" s="524"/>
      <c r="I571" s="207" t="s">
        <v>1966</v>
      </c>
      <c r="J571" s="288"/>
      <c r="K571" s="157">
        <v>315.74</v>
      </c>
      <c r="L571" s="307"/>
    </row>
    <row r="572" spans="1:12" ht="13.5" customHeight="1">
      <c r="A572" s="157"/>
      <c r="B572" s="156"/>
      <c r="C572" s="207"/>
      <c r="D572" s="208"/>
      <c r="E572" s="208"/>
      <c r="F572" s="157"/>
      <c r="G572" s="185"/>
      <c r="H572" s="524" t="s">
        <v>1968</v>
      </c>
      <c r="I572" s="207" t="s">
        <v>1977</v>
      </c>
      <c r="J572" s="288"/>
      <c r="K572" s="157">
        <v>220.76</v>
      </c>
      <c r="L572" s="307"/>
    </row>
    <row r="573" spans="1:12" ht="13.5" customHeight="1">
      <c r="A573" s="157"/>
      <c r="B573" s="156"/>
      <c r="C573" s="207"/>
      <c r="D573" s="208"/>
      <c r="E573" s="208"/>
      <c r="F573" s="157"/>
      <c r="G573" s="185"/>
      <c r="H573" s="524" t="s">
        <v>1970</v>
      </c>
      <c r="I573" s="207" t="s">
        <v>1992</v>
      </c>
      <c r="J573" s="288"/>
      <c r="K573" s="157">
        <v>201.52</v>
      </c>
      <c r="L573" s="307"/>
    </row>
    <row r="574" spans="1:12" ht="13.5" customHeight="1">
      <c r="A574" s="157"/>
      <c r="B574" s="156"/>
      <c r="C574" s="207"/>
      <c r="D574" s="208"/>
      <c r="E574" s="208"/>
      <c r="F574" s="157"/>
      <c r="G574" s="185" t="s">
        <v>1882</v>
      </c>
      <c r="H574" s="524"/>
      <c r="I574" s="207"/>
      <c r="J574" s="288"/>
      <c r="K574" s="157">
        <v>2931.73</v>
      </c>
      <c r="L574" s="307"/>
    </row>
    <row r="575" spans="1:12" ht="13.5" customHeight="1">
      <c r="A575" s="157"/>
      <c r="B575" s="156"/>
      <c r="C575" s="207"/>
      <c r="D575" s="208"/>
      <c r="E575" s="208"/>
      <c r="F575" s="157"/>
      <c r="G575" s="185"/>
      <c r="H575" s="524"/>
      <c r="I575" s="207"/>
      <c r="J575" s="288"/>
      <c r="K575" s="157"/>
      <c r="L575" s="307"/>
    </row>
    <row r="576" spans="1:12" ht="13.5" customHeight="1">
      <c r="A576" s="157"/>
      <c r="B576" s="156"/>
      <c r="C576" s="207"/>
      <c r="D576" s="208"/>
      <c r="E576" s="208"/>
      <c r="F576" s="157"/>
      <c r="G576" s="185">
        <v>42978</v>
      </c>
      <c r="H576" s="524"/>
      <c r="I576" s="207" t="s">
        <v>1883</v>
      </c>
      <c r="J576" s="288"/>
      <c r="K576" s="157">
        <v>2931.73</v>
      </c>
      <c r="L576" s="307"/>
    </row>
    <row r="577" spans="1:12" ht="13.5" customHeight="1">
      <c r="A577" s="157"/>
      <c r="B577" s="156"/>
      <c r="C577" s="207"/>
      <c r="D577" s="208"/>
      <c r="E577" s="208"/>
      <c r="F577" s="157"/>
      <c r="G577" s="185"/>
      <c r="H577" s="524"/>
      <c r="I577" s="207"/>
      <c r="J577" s="288"/>
      <c r="K577" s="157"/>
      <c r="L577" s="307"/>
    </row>
    <row r="578" spans="1:12" ht="13.5" customHeight="1">
      <c r="A578" s="157"/>
      <c r="B578" s="156"/>
      <c r="C578" s="207"/>
      <c r="D578" s="208"/>
      <c r="E578" s="208"/>
      <c r="F578" s="157"/>
      <c r="G578" s="185"/>
      <c r="H578" s="524"/>
      <c r="I578" s="207"/>
      <c r="J578" s="288"/>
      <c r="K578" s="157"/>
      <c r="L578" s="307"/>
    </row>
    <row r="579" spans="1:12" ht="13.5" customHeight="1">
      <c r="A579" s="157"/>
      <c r="B579" s="156"/>
      <c r="C579" s="207"/>
      <c r="D579" s="208"/>
      <c r="E579" s="208"/>
      <c r="F579" s="157"/>
      <c r="G579" s="185"/>
      <c r="H579" s="524"/>
      <c r="I579" s="207"/>
      <c r="J579" s="288"/>
      <c r="K579" s="157"/>
      <c r="L579" s="307"/>
    </row>
    <row r="580" spans="1:12" ht="13.5" customHeight="1">
      <c r="A580" s="157"/>
      <c r="B580" s="156"/>
      <c r="C580" s="207"/>
      <c r="D580" s="208"/>
      <c r="E580" s="208"/>
      <c r="F580" s="157"/>
      <c r="G580" s="185" t="s">
        <v>1993</v>
      </c>
      <c r="H580" s="524"/>
      <c r="I580" s="207"/>
      <c r="J580" s="288"/>
      <c r="K580" s="157"/>
      <c r="L580" s="307"/>
    </row>
    <row r="581" spans="1:12" ht="13.5" customHeight="1">
      <c r="A581" s="157"/>
      <c r="B581" s="156"/>
      <c r="C581" s="207"/>
      <c r="D581" s="208"/>
      <c r="E581" s="208"/>
      <c r="F581" s="157"/>
      <c r="G581" s="185" t="s">
        <v>1884</v>
      </c>
      <c r="H581" s="524"/>
      <c r="I581" s="207"/>
      <c r="J581" s="288"/>
      <c r="K581" s="157"/>
      <c r="L581" s="307"/>
    </row>
    <row r="582" spans="1:12" ht="13.5" customHeight="1">
      <c r="A582" s="157"/>
      <c r="B582" s="156"/>
      <c r="C582" s="207"/>
      <c r="D582" s="208"/>
      <c r="E582" s="208"/>
      <c r="F582" s="157"/>
      <c r="G582" s="185" t="s">
        <v>190</v>
      </c>
      <c r="H582" s="524"/>
      <c r="I582" s="207"/>
      <c r="J582" s="288"/>
      <c r="K582" s="157"/>
      <c r="L582" s="307"/>
    </row>
    <row r="583" spans="1:12" ht="13.5" customHeight="1">
      <c r="A583" s="157"/>
      <c r="B583" s="156"/>
      <c r="C583" s="207"/>
      <c r="D583" s="208"/>
      <c r="E583" s="208"/>
      <c r="F583" s="157"/>
      <c r="G583" s="185" t="s">
        <v>1885</v>
      </c>
      <c r="H583" s="524"/>
      <c r="I583" s="207"/>
      <c r="J583" s="288"/>
      <c r="K583" s="157"/>
      <c r="L583" s="307"/>
    </row>
    <row r="584" spans="1:12" ht="13.5" customHeight="1">
      <c r="A584" s="157"/>
      <c r="B584" s="156"/>
      <c r="C584" s="207"/>
      <c r="D584" s="208"/>
      <c r="E584" s="208"/>
      <c r="F584" s="157"/>
      <c r="G584" s="185"/>
      <c r="H584" s="524"/>
      <c r="I584" s="207"/>
      <c r="J584" s="288"/>
      <c r="K584" s="157"/>
      <c r="L584" s="307"/>
    </row>
    <row r="585" spans="1:12" ht="13.5" customHeight="1">
      <c r="A585" s="157"/>
      <c r="B585" s="156"/>
      <c r="C585" s="207"/>
      <c r="D585" s="208"/>
      <c r="E585" s="208"/>
      <c r="F585" s="157"/>
      <c r="G585" s="185" t="s">
        <v>22</v>
      </c>
      <c r="H585" s="524" t="s">
        <v>1886</v>
      </c>
      <c r="I585" s="207" t="s">
        <v>1887</v>
      </c>
      <c r="J585" s="288" t="s">
        <v>1888</v>
      </c>
      <c r="K585" s="157" t="s">
        <v>24</v>
      </c>
      <c r="L585" s="307" t="s">
        <v>25</v>
      </c>
    </row>
    <row r="586" spans="1:12" ht="13.5" customHeight="1">
      <c r="A586" s="157"/>
      <c r="B586" s="156"/>
      <c r="C586" s="207"/>
      <c r="D586" s="208"/>
      <c r="E586" s="208"/>
      <c r="F586" s="157"/>
      <c r="G586" s="185"/>
      <c r="H586" s="524"/>
      <c r="I586" s="207"/>
      <c r="J586" s="288"/>
      <c r="K586" s="157"/>
      <c r="L586" s="307"/>
    </row>
    <row r="587" spans="1:12" ht="13.5" customHeight="1">
      <c r="A587" s="157"/>
      <c r="B587" s="156"/>
      <c r="C587" s="207"/>
      <c r="D587" s="208"/>
      <c r="E587" s="208"/>
      <c r="F587" s="157"/>
      <c r="G587" s="185">
        <v>42954</v>
      </c>
      <c r="H587" s="524" t="s">
        <v>1456</v>
      </c>
      <c r="I587" s="207" t="s">
        <v>1457</v>
      </c>
      <c r="J587" s="288" t="s">
        <v>1962</v>
      </c>
      <c r="K587" s="157">
        <v>23.08</v>
      </c>
      <c r="L587" s="307"/>
    </row>
    <row r="588" spans="1:12" ht="13.5" customHeight="1">
      <c r="A588" s="157"/>
      <c r="B588" s="156"/>
      <c r="C588" s="207"/>
      <c r="D588" s="208"/>
      <c r="E588" s="208"/>
      <c r="F588" s="157"/>
      <c r="G588" s="185">
        <v>42961</v>
      </c>
      <c r="H588" s="524" t="s">
        <v>1456</v>
      </c>
      <c r="I588" s="207" t="s">
        <v>1457</v>
      </c>
      <c r="J588" s="288" t="s">
        <v>1963</v>
      </c>
      <c r="K588" s="157">
        <v>23.08</v>
      </c>
      <c r="L588" s="307"/>
    </row>
    <row r="589" spans="1:12" ht="13.5" customHeight="1">
      <c r="A589" s="157"/>
      <c r="B589" s="156"/>
      <c r="C589" s="207"/>
      <c r="D589" s="208"/>
      <c r="E589" s="208"/>
      <c r="F589" s="157"/>
      <c r="G589" s="185">
        <v>42968</v>
      </c>
      <c r="H589" s="524" t="s">
        <v>1456</v>
      </c>
      <c r="I589" s="207" t="s">
        <v>1457</v>
      </c>
      <c r="J589" s="288" t="s">
        <v>1964</v>
      </c>
      <c r="K589" s="157">
        <v>23.08</v>
      </c>
      <c r="L589" s="307"/>
    </row>
    <row r="590" spans="1:12" ht="13.5" customHeight="1">
      <c r="A590" s="157"/>
      <c r="B590" s="156"/>
      <c r="C590" s="207"/>
      <c r="D590" s="208"/>
      <c r="E590" s="208"/>
      <c r="F590" s="157"/>
      <c r="G590" s="185">
        <v>42975</v>
      </c>
      <c r="H590" s="524" t="s">
        <v>1456</v>
      </c>
      <c r="I590" s="207" t="s">
        <v>1457</v>
      </c>
      <c r="J590" s="288" t="s">
        <v>1965</v>
      </c>
      <c r="K590" s="157">
        <v>23.08</v>
      </c>
      <c r="L590" s="307"/>
    </row>
    <row r="591" spans="1:12" ht="13.5" customHeight="1">
      <c r="A591" s="157"/>
      <c r="B591" s="156"/>
      <c r="C591" s="207"/>
      <c r="D591" s="208"/>
      <c r="E591" s="208"/>
      <c r="F591" s="157"/>
      <c r="G591" s="185"/>
      <c r="H591" s="524"/>
      <c r="I591" s="207" t="s">
        <v>1994</v>
      </c>
      <c r="J591" s="288" t="s">
        <v>1995</v>
      </c>
      <c r="K591" s="157">
        <v>20</v>
      </c>
      <c r="L591" s="307"/>
    </row>
    <row r="592" spans="1:12" ht="13.5" customHeight="1">
      <c r="A592" s="157"/>
      <c r="B592" s="156"/>
      <c r="C592" s="207"/>
      <c r="D592" s="208"/>
      <c r="E592" s="208"/>
      <c r="F592" s="157"/>
      <c r="G592" s="185" t="s">
        <v>1882</v>
      </c>
      <c r="H592" s="524"/>
      <c r="I592" s="207"/>
      <c r="J592" s="288"/>
      <c r="K592" s="157">
        <v>112.32</v>
      </c>
      <c r="L592" s="307"/>
    </row>
    <row r="593" spans="1:12" ht="13.5" customHeight="1">
      <c r="A593" s="157"/>
      <c r="B593" s="156"/>
      <c r="C593" s="207"/>
      <c r="D593" s="208"/>
      <c r="E593" s="208"/>
      <c r="F593" s="157"/>
      <c r="G593" s="185"/>
      <c r="H593" s="524"/>
      <c r="I593" s="207"/>
      <c r="J593" s="288"/>
      <c r="K593" s="157"/>
      <c r="L593" s="307"/>
    </row>
    <row r="594" spans="1:12" ht="13.5" customHeight="1">
      <c r="A594" s="157"/>
      <c r="B594" s="156"/>
      <c r="C594" s="207"/>
      <c r="D594" s="208"/>
      <c r="E594" s="208"/>
      <c r="F594" s="157"/>
      <c r="G594" s="185">
        <v>42978</v>
      </c>
      <c r="H594" s="524"/>
      <c r="I594" s="207" t="s">
        <v>1883</v>
      </c>
      <c r="J594" s="288"/>
      <c r="K594" s="157">
        <v>112.32</v>
      </c>
      <c r="L594" s="307"/>
    </row>
    <row r="595" spans="1:12" ht="13.5" customHeight="1">
      <c r="A595" s="157"/>
      <c r="B595" s="156"/>
      <c r="C595" s="207"/>
      <c r="D595" s="208"/>
      <c r="E595" s="208"/>
      <c r="F595" s="157"/>
      <c r="G595" s="185"/>
      <c r="H595" s="524"/>
      <c r="I595" s="207"/>
      <c r="J595" s="288"/>
      <c r="K595" s="157"/>
      <c r="L595" s="307"/>
    </row>
    <row r="596" spans="1:12" ht="13.5" customHeight="1">
      <c r="A596" s="157"/>
      <c r="B596" s="156"/>
      <c r="C596" s="207"/>
      <c r="D596" s="208"/>
      <c r="E596" s="208"/>
      <c r="F596" s="157"/>
      <c r="G596" s="185" t="s">
        <v>1996</v>
      </c>
      <c r="H596" s="524"/>
      <c r="I596" s="207"/>
      <c r="J596" s="288"/>
      <c r="K596" s="157"/>
      <c r="L596" s="307"/>
    </row>
    <row r="597" spans="1:12" ht="13.5" customHeight="1">
      <c r="A597" s="157"/>
      <c r="B597" s="156"/>
      <c r="C597" s="207"/>
      <c r="D597" s="208"/>
      <c r="E597" s="208"/>
      <c r="F597" s="157"/>
      <c r="G597" s="185" t="s">
        <v>1884</v>
      </c>
      <c r="H597" s="524"/>
      <c r="I597" s="207"/>
      <c r="J597" s="288"/>
      <c r="K597" s="157"/>
      <c r="L597" s="307"/>
    </row>
    <row r="598" spans="1:12" ht="13.5" customHeight="1">
      <c r="A598" s="157"/>
      <c r="B598" s="156"/>
      <c r="C598" s="207"/>
      <c r="D598" s="208"/>
      <c r="E598" s="208"/>
      <c r="F598" s="157"/>
      <c r="G598" s="185" t="s">
        <v>190</v>
      </c>
      <c r="H598" s="524"/>
      <c r="I598" s="207"/>
      <c r="J598" s="288"/>
      <c r="K598" s="157"/>
      <c r="L598" s="307"/>
    </row>
    <row r="599" spans="1:12" ht="13.5" customHeight="1">
      <c r="A599" s="157"/>
      <c r="B599" s="156"/>
      <c r="C599" s="207"/>
      <c r="D599" s="208"/>
      <c r="E599" s="208"/>
      <c r="F599" s="157"/>
      <c r="G599" s="185" t="s">
        <v>1885</v>
      </c>
      <c r="H599" s="524"/>
      <c r="I599" s="207"/>
      <c r="J599" s="288"/>
      <c r="K599" s="157"/>
      <c r="L599" s="307"/>
    </row>
    <row r="600" spans="1:12" ht="13.5" customHeight="1">
      <c r="A600" s="157"/>
      <c r="B600" s="156"/>
      <c r="C600" s="207"/>
      <c r="D600" s="208"/>
      <c r="E600" s="208"/>
      <c r="F600" s="157"/>
      <c r="G600" s="185"/>
      <c r="H600" s="524"/>
      <c r="I600" s="207"/>
      <c r="J600" s="288"/>
      <c r="K600" s="157"/>
      <c r="L600" s="307"/>
    </row>
    <row r="601" spans="1:12" ht="13.5" customHeight="1">
      <c r="A601" s="157"/>
      <c r="B601" s="156"/>
      <c r="C601" s="207"/>
      <c r="D601" s="208"/>
      <c r="E601" s="208"/>
      <c r="F601" s="157"/>
      <c r="G601" s="185" t="s">
        <v>22</v>
      </c>
      <c r="H601" s="524" t="s">
        <v>1886</v>
      </c>
      <c r="I601" s="207" t="s">
        <v>1887</v>
      </c>
      <c r="J601" s="288" t="s">
        <v>1888</v>
      </c>
      <c r="K601" s="157" t="s">
        <v>24</v>
      </c>
      <c r="L601" s="307" t="s">
        <v>25</v>
      </c>
    </row>
    <row r="602" spans="1:12" ht="13.5" customHeight="1">
      <c r="A602" s="157"/>
      <c r="B602" s="156"/>
      <c r="C602" s="207"/>
      <c r="D602" s="208"/>
      <c r="E602" s="208"/>
      <c r="F602" s="157"/>
      <c r="G602" s="185"/>
      <c r="H602" s="524"/>
      <c r="I602" s="207"/>
      <c r="J602" s="288"/>
      <c r="K602" s="157"/>
      <c r="L602" s="307"/>
    </row>
    <row r="603" spans="1:12" ht="13.5" customHeight="1">
      <c r="A603" s="157"/>
      <c r="B603" s="156"/>
      <c r="C603" s="207"/>
      <c r="D603" s="208"/>
      <c r="E603" s="208"/>
      <c r="F603" s="157"/>
      <c r="G603" s="185">
        <v>42954</v>
      </c>
      <c r="H603" s="524" t="s">
        <v>1456</v>
      </c>
      <c r="I603" s="207" t="s">
        <v>1457</v>
      </c>
      <c r="J603" s="288" t="s">
        <v>1962</v>
      </c>
      <c r="K603" s="157">
        <v>950</v>
      </c>
      <c r="L603" s="307"/>
    </row>
    <row r="604" spans="1:12" ht="13.5" customHeight="1">
      <c r="A604" s="157"/>
      <c r="B604" s="156"/>
      <c r="C604" s="207"/>
      <c r="D604" s="208"/>
      <c r="E604" s="208"/>
      <c r="F604" s="157"/>
      <c r="G604" s="185">
        <v>42961</v>
      </c>
      <c r="H604" s="524" t="s">
        <v>1456</v>
      </c>
      <c r="I604" s="207" t="s">
        <v>1457</v>
      </c>
      <c r="J604" s="288" t="s">
        <v>1963</v>
      </c>
      <c r="K604" s="157">
        <v>991.25</v>
      </c>
      <c r="L604" s="307"/>
    </row>
    <row r="605" spans="1:12" ht="13.5" customHeight="1">
      <c r="A605" s="157"/>
      <c r="B605" s="156"/>
      <c r="C605" s="207"/>
      <c r="D605" s="208"/>
      <c r="E605" s="208"/>
      <c r="F605" s="157"/>
      <c r="G605" s="185">
        <v>42968</v>
      </c>
      <c r="H605" s="524" t="s">
        <v>1456</v>
      </c>
      <c r="I605" s="207" t="s">
        <v>1457</v>
      </c>
      <c r="J605" s="288" t="s">
        <v>1964</v>
      </c>
      <c r="K605" s="157">
        <v>1062.51</v>
      </c>
      <c r="L605" s="307"/>
    </row>
    <row r="606" spans="1:12" ht="13.5" customHeight="1">
      <c r="A606" s="157"/>
      <c r="B606" s="156"/>
      <c r="C606" s="207"/>
      <c r="D606" s="208"/>
      <c r="E606" s="208"/>
      <c r="F606" s="157"/>
      <c r="G606" s="185">
        <v>42968</v>
      </c>
      <c r="H606" s="524" t="s">
        <v>1456</v>
      </c>
      <c r="I606" s="207" t="s">
        <v>1457</v>
      </c>
      <c r="J606" s="288" t="s">
        <v>1964</v>
      </c>
      <c r="K606" s="157"/>
      <c r="L606" s="307">
        <v>0.01</v>
      </c>
    </row>
    <row r="607" spans="1:12" ht="13.5" customHeight="1">
      <c r="A607" s="157"/>
      <c r="B607" s="156"/>
      <c r="C607" s="207"/>
      <c r="D607" s="208"/>
      <c r="E607" s="208"/>
      <c r="F607" s="157"/>
      <c r="G607" s="185">
        <v>42975</v>
      </c>
      <c r="H607" s="524" t="s">
        <v>1456</v>
      </c>
      <c r="I607" s="207" t="s">
        <v>1457</v>
      </c>
      <c r="J607" s="288" t="s">
        <v>1965</v>
      </c>
      <c r="K607" s="157">
        <v>950</v>
      </c>
      <c r="L607" s="307"/>
    </row>
    <row r="608" spans="1:12" ht="13.5" customHeight="1">
      <c r="A608" s="157"/>
      <c r="B608" s="156"/>
      <c r="C608" s="207"/>
      <c r="D608" s="208"/>
      <c r="E608" s="208"/>
      <c r="F608" s="157"/>
      <c r="G608" s="185"/>
      <c r="H608" s="524"/>
      <c r="I608" s="207" t="s">
        <v>1997</v>
      </c>
      <c r="J608" s="288"/>
      <c r="K608" s="157">
        <v>618.82000000000005</v>
      </c>
      <c r="L608" s="307"/>
    </row>
    <row r="609" spans="1:12" ht="13.5" customHeight="1">
      <c r="A609" s="157"/>
      <c r="B609" s="156"/>
      <c r="C609" s="207"/>
      <c r="D609" s="208"/>
      <c r="E609" s="208"/>
      <c r="F609" s="157"/>
      <c r="G609" s="185"/>
      <c r="H609" s="524"/>
      <c r="I609" s="207" t="s">
        <v>1990</v>
      </c>
      <c r="J609" s="288"/>
      <c r="K609" s="157">
        <v>1619.37</v>
      </c>
      <c r="L609" s="307"/>
    </row>
    <row r="610" spans="1:12" ht="13.5" customHeight="1">
      <c r="A610" s="157"/>
      <c r="B610" s="156"/>
      <c r="C610" s="207"/>
      <c r="D610" s="208"/>
      <c r="E610" s="208"/>
      <c r="F610" s="157"/>
      <c r="G610" s="185"/>
      <c r="H610" s="524"/>
      <c r="I610" s="207" t="s">
        <v>1979</v>
      </c>
      <c r="J610" s="288"/>
      <c r="K610" s="157">
        <v>615.38</v>
      </c>
      <c r="L610" s="307"/>
    </row>
    <row r="611" spans="1:12" ht="13.5" customHeight="1">
      <c r="A611" s="157"/>
      <c r="B611" s="156"/>
      <c r="C611" s="207"/>
      <c r="D611" s="208"/>
      <c r="E611" s="208"/>
      <c r="F611" s="157"/>
      <c r="G611" s="185" t="s">
        <v>1882</v>
      </c>
      <c r="H611" s="524"/>
      <c r="I611" s="207"/>
      <c r="J611" s="288"/>
      <c r="K611" s="157">
        <v>6807.33</v>
      </c>
      <c r="L611" s="307">
        <v>0.01</v>
      </c>
    </row>
    <row r="612" spans="1:12" ht="13.5" customHeight="1">
      <c r="A612" s="157"/>
      <c r="B612" s="156"/>
      <c r="C612" s="207"/>
      <c r="D612" s="208"/>
      <c r="E612" s="208"/>
      <c r="F612" s="157"/>
      <c r="G612" s="185"/>
      <c r="H612" s="524"/>
      <c r="I612" s="207"/>
      <c r="J612" s="288"/>
      <c r="K612" s="157"/>
      <c r="L612" s="307"/>
    </row>
    <row r="613" spans="1:12" ht="13.5" customHeight="1">
      <c r="A613" s="157"/>
      <c r="B613" s="156"/>
      <c r="C613" s="207"/>
      <c r="D613" s="208"/>
      <c r="E613" s="208"/>
      <c r="F613" s="157"/>
      <c r="G613" s="185">
        <v>42978</v>
      </c>
      <c r="H613" s="524"/>
      <c r="I613" s="207" t="s">
        <v>1883</v>
      </c>
      <c r="J613" s="288"/>
      <c r="K613" s="157">
        <v>6807.32</v>
      </c>
      <c r="L613" s="307"/>
    </row>
    <row r="614" spans="1:12" ht="13.5" customHeight="1">
      <c r="A614" s="157"/>
      <c r="B614" s="156"/>
      <c r="C614" s="207"/>
      <c r="D614" s="208"/>
      <c r="E614" s="208"/>
      <c r="F614" s="157"/>
      <c r="G614" s="185"/>
      <c r="H614" s="524"/>
      <c r="I614" s="207"/>
      <c r="J614" s="288"/>
      <c r="K614" s="157"/>
      <c r="L614" s="307"/>
    </row>
    <row r="615" spans="1:12" ht="13.5" customHeight="1">
      <c r="A615" s="157"/>
      <c r="B615" s="156"/>
      <c r="C615" s="207"/>
      <c r="D615" s="208"/>
      <c r="E615" s="208"/>
      <c r="F615" s="157"/>
      <c r="G615" s="185"/>
      <c r="H615" s="524"/>
      <c r="I615" s="207"/>
      <c r="J615" s="288"/>
      <c r="K615" s="157"/>
      <c r="L615" s="307"/>
    </row>
    <row r="616" spans="1:12" ht="13.5" customHeight="1">
      <c r="A616" s="157"/>
      <c r="B616" s="156"/>
      <c r="C616" s="207"/>
      <c r="D616" s="208"/>
      <c r="E616" s="208"/>
      <c r="F616" s="157"/>
      <c r="G616" s="185" t="s">
        <v>1998</v>
      </c>
      <c r="H616" s="524"/>
      <c r="I616" s="207"/>
      <c r="J616" s="288"/>
      <c r="K616" s="157"/>
      <c r="L616" s="307"/>
    </row>
    <row r="617" spans="1:12" ht="13.5" customHeight="1">
      <c r="A617" s="157"/>
      <c r="B617" s="156"/>
      <c r="C617" s="207"/>
      <c r="D617" s="208"/>
      <c r="E617" s="208"/>
      <c r="F617" s="157"/>
      <c r="G617" s="185" t="s">
        <v>1884</v>
      </c>
      <c r="H617" s="524"/>
      <c r="I617" s="207"/>
      <c r="J617" s="288"/>
      <c r="K617" s="157"/>
      <c r="L617" s="307"/>
    </row>
    <row r="618" spans="1:12" ht="13.5" customHeight="1">
      <c r="A618" s="157"/>
      <c r="B618" s="156"/>
      <c r="C618" s="207"/>
      <c r="D618" s="208"/>
      <c r="E618" s="208"/>
      <c r="F618" s="157"/>
      <c r="G618" s="185" t="s">
        <v>190</v>
      </c>
      <c r="H618" s="524"/>
      <c r="I618" s="207"/>
      <c r="J618" s="288"/>
      <c r="K618" s="157"/>
      <c r="L618" s="307"/>
    </row>
    <row r="619" spans="1:12" ht="13.5" customHeight="1">
      <c r="A619" s="157"/>
      <c r="B619" s="156"/>
      <c r="C619" s="207"/>
      <c r="D619" s="208"/>
      <c r="E619" s="208"/>
      <c r="F619" s="157"/>
      <c r="G619" s="185" t="s">
        <v>1885</v>
      </c>
      <c r="H619" s="524"/>
      <c r="I619" s="207"/>
      <c r="J619" s="288"/>
      <c r="K619" s="157"/>
      <c r="L619" s="307"/>
    </row>
    <row r="620" spans="1:12" ht="13.5" customHeight="1">
      <c r="A620" s="157"/>
      <c r="B620" s="156"/>
      <c r="C620" s="207"/>
      <c r="D620" s="208"/>
      <c r="E620" s="208"/>
      <c r="F620" s="157"/>
      <c r="G620" s="185"/>
      <c r="H620" s="524"/>
      <c r="I620" s="207"/>
      <c r="J620" s="288"/>
      <c r="K620" s="157"/>
      <c r="L620" s="307"/>
    </row>
    <row r="621" spans="1:12" ht="13.5" customHeight="1">
      <c r="A621" s="157"/>
      <c r="B621" s="156"/>
      <c r="C621" s="207"/>
      <c r="D621" s="208"/>
      <c r="E621" s="208"/>
      <c r="F621" s="157"/>
      <c r="G621" s="185" t="s">
        <v>22</v>
      </c>
      <c r="H621" s="524" t="s">
        <v>1886</v>
      </c>
      <c r="I621" s="207" t="s">
        <v>1887</v>
      </c>
      <c r="J621" s="288" t="s">
        <v>1888</v>
      </c>
      <c r="K621" s="157" t="s">
        <v>24</v>
      </c>
      <c r="L621" s="307" t="s">
        <v>25</v>
      </c>
    </row>
    <row r="622" spans="1:12" ht="13.5" customHeight="1">
      <c r="A622" s="157"/>
      <c r="B622" s="156"/>
      <c r="C622" s="207"/>
      <c r="D622" s="208"/>
      <c r="E622" s="208"/>
      <c r="F622" s="157"/>
      <c r="G622" s="185"/>
      <c r="H622" s="524"/>
      <c r="I622" s="207"/>
      <c r="J622" s="288"/>
      <c r="K622" s="157"/>
      <c r="L622" s="307"/>
    </row>
    <row r="623" spans="1:12" ht="13.5" customHeight="1">
      <c r="A623" s="157"/>
      <c r="B623" s="156"/>
      <c r="C623" s="207"/>
      <c r="D623" s="208"/>
      <c r="E623" s="208"/>
      <c r="F623" s="157"/>
      <c r="G623" s="185">
        <v>42957</v>
      </c>
      <c r="H623" s="524" t="s">
        <v>1465</v>
      </c>
      <c r="I623" s="207" t="s">
        <v>1466</v>
      </c>
      <c r="J623" s="288" t="s">
        <v>1999</v>
      </c>
      <c r="K623" s="157">
        <v>1.6</v>
      </c>
      <c r="L623" s="307"/>
    </row>
    <row r="624" spans="1:12" ht="13.5" customHeight="1">
      <c r="A624" s="157"/>
      <c r="B624" s="156"/>
      <c r="C624" s="207"/>
      <c r="D624" s="208"/>
      <c r="E624" s="208"/>
      <c r="F624" s="157"/>
      <c r="G624" s="185">
        <v>42966</v>
      </c>
      <c r="H624" s="524" t="s">
        <v>1375</v>
      </c>
      <c r="I624" s="207" t="s">
        <v>2000</v>
      </c>
      <c r="J624" s="288" t="s">
        <v>1896</v>
      </c>
      <c r="K624" s="157">
        <v>9.5</v>
      </c>
      <c r="L624" s="307"/>
    </row>
    <row r="625" spans="1:12" ht="13.5" customHeight="1">
      <c r="A625" s="157"/>
      <c r="B625" s="156"/>
      <c r="C625" s="207"/>
      <c r="D625" s="208"/>
      <c r="E625" s="208"/>
      <c r="F625" s="157"/>
      <c r="G625" s="185">
        <v>42971</v>
      </c>
      <c r="H625" s="524" t="s">
        <v>1465</v>
      </c>
      <c r="I625" s="207" t="s">
        <v>1466</v>
      </c>
      <c r="J625" s="288" t="s">
        <v>2001</v>
      </c>
      <c r="K625" s="157">
        <v>1.6</v>
      </c>
      <c r="L625" s="307"/>
    </row>
    <row r="626" spans="1:12" ht="13.5" customHeight="1">
      <c r="A626" s="157"/>
      <c r="B626" s="156"/>
      <c r="C626" s="207"/>
      <c r="D626" s="208"/>
      <c r="E626" s="208"/>
      <c r="F626" s="157"/>
      <c r="G626" s="185">
        <v>42978</v>
      </c>
      <c r="H626" s="524" t="s">
        <v>1465</v>
      </c>
      <c r="I626" s="207" t="s">
        <v>1466</v>
      </c>
      <c r="J626" s="288" t="s">
        <v>2002</v>
      </c>
      <c r="K626" s="157">
        <v>1.6</v>
      </c>
      <c r="L626" s="307"/>
    </row>
    <row r="627" spans="1:12" ht="13.5" customHeight="1">
      <c r="A627" s="157"/>
      <c r="B627" s="156"/>
      <c r="C627" s="207"/>
      <c r="D627" s="208"/>
      <c r="E627" s="208"/>
      <c r="F627" s="157"/>
      <c r="G627" s="185" t="s">
        <v>1882</v>
      </c>
      <c r="H627" s="524"/>
      <c r="I627" s="207"/>
      <c r="J627" s="288"/>
      <c r="K627" s="157">
        <v>14.299999999999999</v>
      </c>
      <c r="L627" s="307"/>
    </row>
    <row r="628" spans="1:12" ht="13.5" customHeight="1">
      <c r="A628" s="157"/>
      <c r="B628" s="156"/>
      <c r="C628" s="207"/>
      <c r="D628" s="208"/>
      <c r="E628" s="208"/>
      <c r="F628" s="157"/>
      <c r="G628" s="185"/>
      <c r="H628" s="524"/>
      <c r="I628" s="207"/>
      <c r="J628" s="288"/>
      <c r="K628" s="157"/>
      <c r="L628" s="307"/>
    </row>
    <row r="629" spans="1:12" ht="13.5" customHeight="1">
      <c r="A629" s="157"/>
      <c r="B629" s="156"/>
      <c r="C629" s="207"/>
      <c r="D629" s="208"/>
      <c r="E629" s="208"/>
      <c r="F629" s="157"/>
      <c r="G629" s="185">
        <v>42978</v>
      </c>
      <c r="H629" s="524"/>
      <c r="I629" s="207" t="s">
        <v>1883</v>
      </c>
      <c r="J629" s="288"/>
      <c r="K629" s="157">
        <v>14.3</v>
      </c>
      <c r="L629" s="307"/>
    </row>
    <row r="630" spans="1:12" ht="13.5" customHeight="1">
      <c r="A630" s="157"/>
      <c r="B630" s="156"/>
      <c r="C630" s="207"/>
      <c r="D630" s="208"/>
      <c r="E630" s="208"/>
      <c r="F630" s="157"/>
      <c r="G630" s="185"/>
      <c r="H630" s="524"/>
      <c r="I630" s="207"/>
      <c r="J630" s="288"/>
      <c r="K630" s="157"/>
      <c r="L630" s="307"/>
    </row>
    <row r="631" spans="1:12" ht="13.5" customHeight="1">
      <c r="A631" s="157"/>
      <c r="B631" s="156"/>
      <c r="C631" s="207"/>
      <c r="D631" s="208"/>
      <c r="E631" s="208"/>
      <c r="F631" s="157"/>
      <c r="G631" s="185"/>
      <c r="H631" s="524"/>
      <c r="I631" s="207"/>
      <c r="J631" s="288"/>
      <c r="K631" s="157"/>
      <c r="L631" s="307"/>
    </row>
    <row r="632" spans="1:12" ht="13.5" customHeight="1">
      <c r="A632" s="157"/>
      <c r="B632" s="156"/>
      <c r="C632" s="207"/>
      <c r="D632" s="208"/>
      <c r="E632" s="208"/>
      <c r="F632" s="157"/>
      <c r="G632" s="185" t="s">
        <v>2003</v>
      </c>
      <c r="H632" s="524"/>
      <c r="I632" s="207"/>
      <c r="J632" s="288"/>
      <c r="K632" s="157"/>
      <c r="L632" s="307"/>
    </row>
    <row r="633" spans="1:12" ht="13.5" customHeight="1">
      <c r="A633" s="157"/>
      <c r="B633" s="156"/>
      <c r="C633" s="207"/>
      <c r="D633" s="208"/>
      <c r="E633" s="208"/>
      <c r="F633" s="157"/>
      <c r="G633" s="185" t="s">
        <v>1884</v>
      </c>
      <c r="H633" s="524"/>
      <c r="I633" s="207"/>
      <c r="J633" s="288"/>
      <c r="K633" s="157"/>
      <c r="L633" s="307"/>
    </row>
    <row r="634" spans="1:12" ht="13.5" customHeight="1">
      <c r="A634" s="157"/>
      <c r="B634" s="156"/>
      <c r="C634" s="207"/>
      <c r="D634" s="208"/>
      <c r="E634" s="208"/>
      <c r="F634" s="157"/>
      <c r="G634" s="185" t="s">
        <v>190</v>
      </c>
      <c r="H634" s="524"/>
      <c r="I634" s="207"/>
      <c r="J634" s="288"/>
      <c r="K634" s="157"/>
      <c r="L634" s="307"/>
    </row>
    <row r="635" spans="1:12" ht="13.5" customHeight="1">
      <c r="A635" s="157"/>
      <c r="B635" s="156"/>
      <c r="C635" s="207"/>
      <c r="D635" s="208"/>
      <c r="E635" s="208"/>
      <c r="F635" s="157"/>
      <c r="G635" s="185" t="s">
        <v>1885</v>
      </c>
      <c r="H635" s="524"/>
      <c r="I635" s="207"/>
      <c r="J635" s="288"/>
      <c r="K635" s="157"/>
      <c r="L635" s="307"/>
    </row>
    <row r="636" spans="1:12" ht="13.5" customHeight="1">
      <c r="A636" s="157"/>
      <c r="B636" s="156"/>
      <c r="C636" s="207"/>
      <c r="D636" s="208"/>
      <c r="E636" s="208"/>
      <c r="F636" s="157"/>
      <c r="G636" s="185"/>
      <c r="H636" s="524"/>
      <c r="I636" s="207"/>
      <c r="J636" s="288"/>
      <c r="K636" s="157"/>
      <c r="L636" s="307"/>
    </row>
    <row r="637" spans="1:12" ht="13.5" customHeight="1">
      <c r="A637" s="157"/>
      <c r="B637" s="156"/>
      <c r="C637" s="207"/>
      <c r="D637" s="208"/>
      <c r="E637" s="208"/>
      <c r="F637" s="157"/>
      <c r="G637" s="185" t="s">
        <v>22</v>
      </c>
      <c r="H637" s="524" t="s">
        <v>1886</v>
      </c>
      <c r="I637" s="207" t="s">
        <v>1887</v>
      </c>
      <c r="J637" s="288" t="s">
        <v>1888</v>
      </c>
      <c r="K637" s="157" t="s">
        <v>24</v>
      </c>
      <c r="L637" s="307" t="s">
        <v>25</v>
      </c>
    </row>
    <row r="638" spans="1:12" ht="13.5" customHeight="1">
      <c r="A638" s="157"/>
      <c r="B638" s="156"/>
      <c r="C638" s="207"/>
      <c r="D638" s="208"/>
      <c r="E638" s="208"/>
      <c r="F638" s="157"/>
      <c r="G638" s="185"/>
      <c r="H638" s="524"/>
      <c r="I638" s="207"/>
      <c r="J638" s="288"/>
      <c r="K638" s="157"/>
      <c r="L638" s="307"/>
    </row>
    <row r="639" spans="1:12" ht="13.5" customHeight="1">
      <c r="A639" s="157"/>
      <c r="B639" s="156"/>
      <c r="C639" s="207"/>
      <c r="D639" s="208"/>
      <c r="E639" s="208"/>
      <c r="F639" s="157"/>
      <c r="G639" s="185">
        <v>42948</v>
      </c>
      <c r="H639" s="524" t="s">
        <v>1375</v>
      </c>
      <c r="I639" s="207" t="s">
        <v>2004</v>
      </c>
      <c r="J639" s="288" t="s">
        <v>2005</v>
      </c>
      <c r="K639" s="157">
        <v>508.64</v>
      </c>
      <c r="L639" s="307"/>
    </row>
    <row r="640" spans="1:12" ht="13.5" customHeight="1">
      <c r="A640" s="157"/>
      <c r="B640" s="156"/>
      <c r="C640" s="207"/>
      <c r="D640" s="208"/>
      <c r="E640" s="208"/>
      <c r="F640" s="157"/>
      <c r="G640" s="185" t="s">
        <v>1882</v>
      </c>
      <c r="H640" s="524"/>
      <c r="I640" s="207"/>
      <c r="J640" s="288"/>
      <c r="K640" s="157">
        <v>508.64</v>
      </c>
      <c r="L640" s="307"/>
    </row>
    <row r="641" spans="1:12" ht="13.5" customHeight="1">
      <c r="A641" s="157"/>
      <c r="B641" s="156"/>
      <c r="C641" s="207"/>
      <c r="D641" s="208"/>
      <c r="E641" s="208"/>
      <c r="F641" s="157"/>
      <c r="G641" s="185"/>
      <c r="H641" s="524"/>
      <c r="I641" s="207"/>
      <c r="J641" s="288"/>
      <c r="K641" s="157"/>
      <c r="L641" s="307"/>
    </row>
    <row r="642" spans="1:12" ht="13.5" customHeight="1">
      <c r="A642" s="157"/>
      <c r="B642" s="156"/>
      <c r="C642" s="207"/>
      <c r="D642" s="208"/>
      <c r="E642" s="208"/>
      <c r="F642" s="157"/>
      <c r="G642" s="185">
        <v>42978</v>
      </c>
      <c r="H642" s="524"/>
      <c r="I642" s="207" t="s">
        <v>1883</v>
      </c>
      <c r="J642" s="288"/>
      <c r="K642" s="157">
        <v>508.64</v>
      </c>
      <c r="L642" s="307"/>
    </row>
    <row r="643" spans="1:12" ht="13.5" customHeight="1">
      <c r="A643" s="157"/>
      <c r="B643" s="156"/>
      <c r="C643" s="207"/>
      <c r="D643" s="208"/>
      <c r="E643" s="208"/>
      <c r="F643" s="157"/>
      <c r="G643" s="185"/>
      <c r="H643" s="524"/>
      <c r="I643" s="207"/>
      <c r="J643" s="288"/>
      <c r="K643" s="157"/>
      <c r="L643" s="307"/>
    </row>
    <row r="644" spans="1:12" ht="13.5" customHeight="1">
      <c r="A644" s="157"/>
      <c r="B644" s="156"/>
      <c r="C644" s="207"/>
      <c r="D644" s="208"/>
      <c r="E644" s="208"/>
      <c r="F644" s="157"/>
      <c r="G644" s="185"/>
      <c r="H644" s="524"/>
      <c r="I644" s="207"/>
      <c r="J644" s="288"/>
      <c r="K644" s="157"/>
      <c r="L644" s="307"/>
    </row>
    <row r="645" spans="1:12" ht="13.5" customHeight="1">
      <c r="A645" s="157"/>
      <c r="B645" s="156"/>
      <c r="C645" s="207"/>
      <c r="D645" s="208"/>
      <c r="E645" s="208"/>
      <c r="F645" s="157"/>
      <c r="G645" s="185"/>
      <c r="H645" s="524"/>
      <c r="I645" s="207"/>
      <c r="J645" s="288"/>
      <c r="K645" s="157"/>
      <c r="L645" s="307"/>
    </row>
    <row r="646" spans="1:12" ht="13.5" customHeight="1">
      <c r="A646" s="157"/>
      <c r="B646" s="156"/>
      <c r="C646" s="207"/>
      <c r="D646" s="208"/>
      <c r="E646" s="208"/>
      <c r="F646" s="157"/>
      <c r="G646" s="185" t="s">
        <v>2006</v>
      </c>
      <c r="H646" s="524"/>
      <c r="I646" s="207"/>
      <c r="J646" s="288"/>
      <c r="K646" s="157"/>
      <c r="L646" s="307"/>
    </row>
    <row r="647" spans="1:12" ht="13.5" customHeight="1">
      <c r="A647" s="157"/>
      <c r="B647" s="156"/>
      <c r="C647" s="207"/>
      <c r="D647" s="208"/>
      <c r="E647" s="208"/>
      <c r="F647" s="157"/>
      <c r="G647" s="185" t="s">
        <v>1884</v>
      </c>
      <c r="H647" s="524"/>
      <c r="I647" s="207"/>
      <c r="J647" s="288"/>
      <c r="K647" s="157"/>
      <c r="L647" s="307"/>
    </row>
    <row r="648" spans="1:12" ht="13.5" customHeight="1">
      <c r="A648" s="157"/>
      <c r="B648" s="156"/>
      <c r="C648" s="207"/>
      <c r="D648" s="208"/>
      <c r="E648" s="208"/>
      <c r="F648" s="157"/>
      <c r="G648" s="185" t="s">
        <v>190</v>
      </c>
      <c r="H648" s="524"/>
      <c r="I648" s="207"/>
      <c r="J648" s="288"/>
      <c r="K648" s="157"/>
      <c r="L648" s="307"/>
    </row>
    <row r="649" spans="1:12" ht="13.5" customHeight="1">
      <c r="A649" s="157"/>
      <c r="B649" s="156"/>
      <c r="C649" s="207"/>
      <c r="D649" s="208"/>
      <c r="E649" s="208"/>
      <c r="F649" s="157"/>
      <c r="G649" s="185" t="s">
        <v>1885</v>
      </c>
      <c r="H649" s="524"/>
      <c r="I649" s="207"/>
      <c r="J649" s="288"/>
      <c r="K649" s="157"/>
      <c r="L649" s="307"/>
    </row>
    <row r="650" spans="1:12" ht="13.5" customHeight="1">
      <c r="A650" s="157"/>
      <c r="B650" s="156"/>
      <c r="C650" s="207"/>
      <c r="D650" s="208"/>
      <c r="E650" s="208"/>
      <c r="F650" s="157"/>
      <c r="G650" s="185"/>
      <c r="H650" s="524"/>
      <c r="I650" s="207"/>
      <c r="J650" s="288"/>
      <c r="K650" s="157"/>
      <c r="L650" s="307"/>
    </row>
    <row r="651" spans="1:12" ht="13.5" customHeight="1">
      <c r="A651" s="157"/>
      <c r="B651" s="156"/>
      <c r="C651" s="207"/>
      <c r="D651" s="208"/>
      <c r="E651" s="208"/>
      <c r="F651" s="157"/>
      <c r="G651" s="185" t="s">
        <v>22</v>
      </c>
      <c r="H651" s="524" t="s">
        <v>1886</v>
      </c>
      <c r="I651" s="207" t="s">
        <v>1887</v>
      </c>
      <c r="J651" s="288" t="s">
        <v>1888</v>
      </c>
      <c r="K651" s="157" t="s">
        <v>24</v>
      </c>
      <c r="L651" s="307" t="s">
        <v>25</v>
      </c>
    </row>
    <row r="652" spans="1:12" ht="13.5" customHeight="1">
      <c r="A652" s="157"/>
      <c r="B652" s="156"/>
      <c r="C652" s="207"/>
      <c r="D652" s="208"/>
      <c r="E652" s="208"/>
      <c r="F652" s="157"/>
      <c r="G652" s="185"/>
      <c r="H652" s="524"/>
      <c r="I652" s="207"/>
      <c r="J652" s="288"/>
      <c r="K652" s="157"/>
      <c r="L652" s="307"/>
    </row>
    <row r="653" spans="1:12" ht="13.5" customHeight="1">
      <c r="A653" s="157"/>
      <c r="B653" s="156"/>
      <c r="C653" s="207"/>
      <c r="D653" s="208"/>
      <c r="E653" s="208"/>
      <c r="F653" s="157"/>
      <c r="G653" s="185">
        <v>42950</v>
      </c>
      <c r="H653" s="524" t="s">
        <v>1375</v>
      </c>
      <c r="I653" s="207" t="s">
        <v>2007</v>
      </c>
      <c r="J653" s="288" t="s">
        <v>2008</v>
      </c>
      <c r="K653" s="157">
        <v>533.33000000000004</v>
      </c>
      <c r="L653" s="307"/>
    </row>
    <row r="654" spans="1:12" ht="13.5" customHeight="1">
      <c r="A654" s="157"/>
      <c r="B654" s="156"/>
      <c r="C654" s="207"/>
      <c r="D654" s="208"/>
      <c r="E654" s="208"/>
      <c r="F654" s="157"/>
      <c r="G654" s="185" t="s">
        <v>1882</v>
      </c>
      <c r="H654" s="524"/>
      <c r="I654" s="207"/>
      <c r="J654" s="288"/>
      <c r="K654" s="157">
        <v>533.33000000000004</v>
      </c>
      <c r="L654" s="307"/>
    </row>
    <row r="655" spans="1:12" ht="13.5" customHeight="1">
      <c r="A655" s="157"/>
      <c r="B655" s="156"/>
      <c r="C655" s="207"/>
      <c r="D655" s="208"/>
      <c r="E655" s="208"/>
      <c r="F655" s="157"/>
      <c r="G655" s="185"/>
      <c r="H655" s="524"/>
      <c r="I655" s="207"/>
      <c r="J655" s="288"/>
      <c r="K655" s="157"/>
      <c r="L655" s="307"/>
    </row>
    <row r="656" spans="1:12" ht="13.5" customHeight="1">
      <c r="A656" s="157"/>
      <c r="B656" s="156"/>
      <c r="C656" s="207"/>
      <c r="D656" s="208"/>
      <c r="E656" s="208"/>
      <c r="F656" s="157"/>
      <c r="G656" s="185">
        <v>42978</v>
      </c>
      <c r="H656" s="524"/>
      <c r="I656" s="207" t="s">
        <v>1883</v>
      </c>
      <c r="J656" s="288"/>
      <c r="K656" s="157">
        <v>533.33000000000004</v>
      </c>
      <c r="L656" s="307"/>
    </row>
    <row r="657" spans="1:12" ht="13.5" customHeight="1">
      <c r="A657" s="157"/>
      <c r="B657" s="156"/>
      <c r="C657" s="207"/>
      <c r="D657" s="208"/>
      <c r="E657" s="208"/>
      <c r="F657" s="157"/>
      <c r="G657" s="185"/>
      <c r="H657" s="524"/>
      <c r="I657" s="207"/>
      <c r="J657" s="288"/>
      <c r="K657" s="157"/>
      <c r="L657" s="307"/>
    </row>
    <row r="658" spans="1:12" ht="13.5" customHeight="1">
      <c r="A658" s="157"/>
      <c r="B658" s="156"/>
      <c r="C658" s="207"/>
      <c r="D658" s="208"/>
      <c r="E658" s="208"/>
      <c r="F658" s="157"/>
      <c r="G658" s="185"/>
      <c r="H658" s="524"/>
      <c r="I658" s="207"/>
      <c r="J658" s="288"/>
      <c r="K658" s="157"/>
      <c r="L658" s="307"/>
    </row>
    <row r="659" spans="1:12" ht="13.5" customHeight="1">
      <c r="A659" s="157"/>
      <c r="B659" s="156"/>
      <c r="C659" s="207"/>
      <c r="D659" s="208"/>
      <c r="E659" s="208"/>
      <c r="F659" s="157"/>
      <c r="G659" s="185" t="s">
        <v>2009</v>
      </c>
      <c r="H659" s="524"/>
      <c r="I659" s="207"/>
      <c r="J659" s="288"/>
      <c r="K659" s="157"/>
      <c r="L659" s="307"/>
    </row>
    <row r="660" spans="1:12" ht="13.5" customHeight="1">
      <c r="A660" s="157"/>
      <c r="B660" s="156"/>
      <c r="C660" s="207"/>
      <c r="D660" s="208"/>
      <c r="E660" s="208"/>
      <c r="F660" s="157"/>
      <c r="G660" s="185" t="s">
        <v>1884</v>
      </c>
      <c r="H660" s="524"/>
      <c r="I660" s="207"/>
      <c r="J660" s="288"/>
      <c r="K660" s="157"/>
      <c r="L660" s="307"/>
    </row>
    <row r="661" spans="1:12" ht="13.5" customHeight="1">
      <c r="A661" s="157"/>
      <c r="B661" s="156"/>
      <c r="C661" s="207"/>
      <c r="D661" s="208"/>
      <c r="E661" s="208"/>
      <c r="F661" s="157"/>
      <c r="G661" s="185" t="s">
        <v>190</v>
      </c>
      <c r="H661" s="524"/>
      <c r="I661" s="207"/>
      <c r="J661" s="288"/>
      <c r="K661" s="157"/>
      <c r="L661" s="307"/>
    </row>
    <row r="662" spans="1:12" ht="13.5" customHeight="1">
      <c r="A662" s="157"/>
      <c r="B662" s="156"/>
      <c r="C662" s="207"/>
      <c r="D662" s="208"/>
      <c r="E662" s="208"/>
      <c r="F662" s="157"/>
      <c r="G662" s="185" t="s">
        <v>1885</v>
      </c>
      <c r="H662" s="524"/>
      <c r="I662" s="207"/>
      <c r="J662" s="288"/>
      <c r="K662" s="157"/>
      <c r="L662" s="307"/>
    </row>
    <row r="663" spans="1:12" ht="13.5" customHeight="1">
      <c r="A663" s="157"/>
      <c r="B663" s="156"/>
      <c r="C663" s="207"/>
      <c r="D663" s="208"/>
      <c r="E663" s="208"/>
      <c r="F663" s="157"/>
      <c r="G663" s="185"/>
      <c r="H663" s="524"/>
      <c r="I663" s="207"/>
      <c r="J663" s="288"/>
      <c r="K663" s="157"/>
      <c r="L663" s="307"/>
    </row>
    <row r="664" spans="1:12" ht="13.5" customHeight="1">
      <c r="A664" s="157"/>
      <c r="B664" s="156"/>
      <c r="C664" s="207"/>
      <c r="D664" s="208"/>
      <c r="E664" s="208"/>
      <c r="F664" s="157"/>
      <c r="G664" s="185" t="s">
        <v>22</v>
      </c>
      <c r="H664" s="524" t="s">
        <v>1886</v>
      </c>
      <c r="I664" s="207" t="s">
        <v>1887</v>
      </c>
      <c r="J664" s="288" t="s">
        <v>1888</v>
      </c>
      <c r="K664" s="157" t="s">
        <v>24</v>
      </c>
      <c r="L664" s="307" t="s">
        <v>25</v>
      </c>
    </row>
    <row r="665" spans="1:12" ht="13.5" customHeight="1">
      <c r="A665" s="157"/>
      <c r="B665" s="156"/>
      <c r="C665" s="207"/>
      <c r="D665" s="208"/>
      <c r="E665" s="208"/>
      <c r="F665" s="157"/>
      <c r="G665" s="185"/>
      <c r="H665" s="524"/>
      <c r="I665" s="207"/>
      <c r="J665" s="288"/>
      <c r="K665" s="157"/>
      <c r="L665" s="307"/>
    </row>
    <row r="666" spans="1:12" ht="13.5" customHeight="1">
      <c r="A666" s="157"/>
      <c r="B666" s="156"/>
      <c r="C666" s="207"/>
      <c r="D666" s="208"/>
      <c r="E666" s="208"/>
      <c r="F666" s="157"/>
      <c r="G666" s="185">
        <v>42951</v>
      </c>
      <c r="H666" s="524" t="s">
        <v>1375</v>
      </c>
      <c r="I666" s="207" t="s">
        <v>2010</v>
      </c>
      <c r="J666" s="288" t="s">
        <v>2011</v>
      </c>
      <c r="K666" s="157">
        <v>24.9</v>
      </c>
      <c r="L666" s="307"/>
    </row>
    <row r="667" spans="1:12" ht="13.5" customHeight="1">
      <c r="A667" s="157"/>
      <c r="B667" s="156"/>
      <c r="C667" s="207"/>
      <c r="D667" s="208"/>
      <c r="E667" s="208"/>
      <c r="F667" s="157"/>
      <c r="G667" s="185">
        <v>42975</v>
      </c>
      <c r="H667" s="524" t="s">
        <v>1375</v>
      </c>
      <c r="I667" s="207" t="s">
        <v>2012</v>
      </c>
      <c r="J667" s="288" t="s">
        <v>2013</v>
      </c>
      <c r="K667" s="157">
        <v>22.68</v>
      </c>
      <c r="L667" s="307"/>
    </row>
    <row r="668" spans="1:12" ht="13.5" customHeight="1">
      <c r="A668" s="157"/>
      <c r="B668" s="156"/>
      <c r="C668" s="207"/>
      <c r="D668" s="208"/>
      <c r="E668" s="208"/>
      <c r="F668" s="157"/>
      <c r="G668" s="185">
        <v>42975</v>
      </c>
      <c r="H668" s="524" t="s">
        <v>1375</v>
      </c>
      <c r="I668" s="207" t="s">
        <v>2014</v>
      </c>
      <c r="J668" s="288" t="s">
        <v>2013</v>
      </c>
      <c r="K668" s="157">
        <v>32.67</v>
      </c>
      <c r="L668" s="307"/>
    </row>
    <row r="669" spans="1:12" ht="13.5" customHeight="1">
      <c r="A669" s="157"/>
      <c r="B669" s="156"/>
      <c r="C669" s="207"/>
      <c r="D669" s="208"/>
      <c r="E669" s="208"/>
      <c r="F669" s="157"/>
      <c r="G669" s="185" t="s">
        <v>1882</v>
      </c>
      <c r="H669" s="524"/>
      <c r="I669" s="207"/>
      <c r="J669" s="288"/>
      <c r="K669" s="157">
        <v>80.25</v>
      </c>
      <c r="L669" s="307"/>
    </row>
    <row r="670" spans="1:12" ht="13.5" customHeight="1">
      <c r="A670" s="157"/>
      <c r="B670" s="156"/>
      <c r="C670" s="207"/>
      <c r="D670" s="208"/>
      <c r="E670" s="208"/>
      <c r="F670" s="157"/>
      <c r="G670" s="185"/>
      <c r="H670" s="524"/>
      <c r="I670" s="207"/>
      <c r="J670" s="288"/>
      <c r="K670" s="157"/>
      <c r="L670" s="307"/>
    </row>
    <row r="671" spans="1:12" ht="13.5" customHeight="1">
      <c r="A671" s="157"/>
      <c r="B671" s="156"/>
      <c r="C671" s="207"/>
      <c r="D671" s="208"/>
      <c r="E671" s="208"/>
      <c r="F671" s="157"/>
      <c r="G671" s="185">
        <v>42978</v>
      </c>
      <c r="H671" s="524"/>
      <c r="I671" s="207" t="s">
        <v>1883</v>
      </c>
      <c r="J671" s="288"/>
      <c r="K671" s="157">
        <v>80.25</v>
      </c>
      <c r="L671" s="307"/>
    </row>
    <row r="672" spans="1:12" ht="13.5" customHeight="1">
      <c r="A672" s="157"/>
      <c r="B672" s="156"/>
      <c r="C672" s="207"/>
      <c r="D672" s="208"/>
      <c r="E672" s="208"/>
      <c r="F672" s="157"/>
      <c r="G672" s="185"/>
      <c r="H672" s="524"/>
      <c r="I672" s="207"/>
      <c r="J672" s="288"/>
      <c r="K672" s="157"/>
      <c r="L672" s="307"/>
    </row>
    <row r="673" spans="1:12" ht="13.5" customHeight="1">
      <c r="A673" s="157"/>
      <c r="B673" s="156"/>
      <c r="C673" s="207"/>
      <c r="D673" s="208"/>
      <c r="E673" s="208"/>
      <c r="F673" s="157"/>
      <c r="G673" s="185"/>
      <c r="H673" s="524"/>
      <c r="I673" s="207"/>
      <c r="J673" s="288"/>
      <c r="K673" s="157"/>
      <c r="L673" s="307"/>
    </row>
    <row r="674" spans="1:12" ht="13.5" customHeight="1">
      <c r="A674" s="157"/>
      <c r="B674" s="156"/>
      <c r="C674" s="207"/>
      <c r="D674" s="208"/>
      <c r="E674" s="208"/>
      <c r="F674" s="157"/>
      <c r="G674" s="185" t="s">
        <v>2015</v>
      </c>
      <c r="H674" s="524"/>
      <c r="I674" s="207"/>
      <c r="J674" s="288"/>
      <c r="K674" s="157"/>
      <c r="L674" s="307"/>
    </row>
    <row r="675" spans="1:12" ht="13.5" customHeight="1">
      <c r="A675" s="157"/>
      <c r="B675" s="156"/>
      <c r="C675" s="207"/>
      <c r="D675" s="208"/>
      <c r="E675" s="208"/>
      <c r="F675" s="157"/>
      <c r="G675" s="185" t="s">
        <v>1884</v>
      </c>
      <c r="H675" s="524"/>
      <c r="I675" s="207"/>
      <c r="J675" s="288"/>
      <c r="K675" s="157"/>
      <c r="L675" s="307"/>
    </row>
    <row r="676" spans="1:12" ht="13.5" customHeight="1">
      <c r="A676" s="157"/>
      <c r="B676" s="156"/>
      <c r="C676" s="207"/>
      <c r="D676" s="208"/>
      <c r="E676" s="208"/>
      <c r="F676" s="157"/>
      <c r="G676" s="185" t="s">
        <v>190</v>
      </c>
      <c r="H676" s="524"/>
      <c r="I676" s="207"/>
      <c r="J676" s="288"/>
      <c r="K676" s="157"/>
      <c r="L676" s="307"/>
    </row>
    <row r="677" spans="1:12" ht="13.5" customHeight="1">
      <c r="A677" s="157"/>
      <c r="B677" s="156"/>
      <c r="C677" s="207"/>
      <c r="D677" s="208"/>
      <c r="E677" s="208"/>
      <c r="F677" s="157"/>
      <c r="G677" s="185" t="s">
        <v>1885</v>
      </c>
      <c r="H677" s="524"/>
      <c r="I677" s="207"/>
      <c r="J677" s="288"/>
      <c r="K677" s="157"/>
      <c r="L677" s="307"/>
    </row>
    <row r="678" spans="1:12" ht="13.5" customHeight="1">
      <c r="A678" s="157"/>
      <c r="B678" s="156"/>
      <c r="C678" s="207"/>
      <c r="D678" s="208"/>
      <c r="E678" s="208"/>
      <c r="F678" s="157"/>
      <c r="G678" s="185"/>
      <c r="H678" s="524"/>
      <c r="I678" s="207"/>
      <c r="J678" s="288"/>
      <c r="K678" s="157"/>
      <c r="L678" s="307"/>
    </row>
    <row r="679" spans="1:12" ht="13.5" customHeight="1">
      <c r="A679" s="157"/>
      <c r="B679" s="156"/>
      <c r="C679" s="207"/>
      <c r="D679" s="208"/>
      <c r="E679" s="208"/>
      <c r="F679" s="157"/>
      <c r="G679" s="185" t="s">
        <v>22</v>
      </c>
      <c r="H679" s="524" t="s">
        <v>1886</v>
      </c>
      <c r="I679" s="207" t="s">
        <v>1887</v>
      </c>
      <c r="J679" s="288" t="s">
        <v>1888</v>
      </c>
      <c r="K679" s="157" t="s">
        <v>24</v>
      </c>
      <c r="L679" s="307" t="s">
        <v>25</v>
      </c>
    </row>
    <row r="680" spans="1:12" ht="13.5" customHeight="1">
      <c r="A680" s="157"/>
      <c r="B680" s="156"/>
      <c r="C680" s="207"/>
      <c r="D680" s="208"/>
      <c r="E680" s="208"/>
      <c r="F680" s="157"/>
      <c r="G680" s="185"/>
      <c r="H680" s="524"/>
      <c r="I680" s="207"/>
      <c r="J680" s="288"/>
      <c r="K680" s="157"/>
      <c r="L680" s="307"/>
    </row>
    <row r="681" spans="1:12" ht="13.5" customHeight="1">
      <c r="A681" s="157"/>
      <c r="B681" s="156"/>
      <c r="C681" s="207"/>
      <c r="D681" s="208"/>
      <c r="E681" s="208"/>
      <c r="F681" s="157"/>
      <c r="G681" s="185">
        <v>42963</v>
      </c>
      <c r="H681" s="524" t="s">
        <v>1375</v>
      </c>
      <c r="I681" s="207" t="s">
        <v>1481</v>
      </c>
      <c r="J681" s="288" t="s">
        <v>2016</v>
      </c>
      <c r="K681" s="157">
        <v>74.72</v>
      </c>
      <c r="L681" s="307"/>
    </row>
    <row r="682" spans="1:12" ht="13.5" customHeight="1">
      <c r="A682" s="157"/>
      <c r="B682" s="156"/>
      <c r="C682" s="207"/>
      <c r="D682" s="208"/>
      <c r="E682" s="208"/>
      <c r="F682" s="157"/>
      <c r="G682" s="185">
        <v>42968</v>
      </c>
      <c r="H682" s="524" t="s">
        <v>1375</v>
      </c>
      <c r="I682" s="207" t="s">
        <v>1486</v>
      </c>
      <c r="J682" s="288" t="s">
        <v>2017</v>
      </c>
      <c r="K682" s="157">
        <v>136.36000000000001</v>
      </c>
      <c r="L682" s="307"/>
    </row>
    <row r="683" spans="1:12" ht="13.5" customHeight="1">
      <c r="A683" s="157"/>
      <c r="B683" s="156"/>
      <c r="C683" s="207"/>
      <c r="D683" s="208"/>
      <c r="E683" s="208"/>
      <c r="F683" s="157"/>
      <c r="G683" s="185" t="s">
        <v>1882</v>
      </c>
      <c r="H683" s="524"/>
      <c r="I683" s="207"/>
      <c r="J683" s="288"/>
      <c r="K683" s="157">
        <v>211.08</v>
      </c>
      <c r="L683" s="307"/>
    </row>
    <row r="684" spans="1:12" ht="13.5" customHeight="1">
      <c r="A684" s="157"/>
      <c r="B684" s="156"/>
      <c r="C684" s="207"/>
      <c r="D684" s="208"/>
      <c r="E684" s="208"/>
      <c r="F684" s="157"/>
      <c r="G684" s="185"/>
      <c r="H684" s="524"/>
      <c r="I684" s="207"/>
      <c r="J684" s="288"/>
      <c r="K684" s="157"/>
      <c r="L684" s="307"/>
    </row>
    <row r="685" spans="1:12" ht="13.5" customHeight="1">
      <c r="A685" s="157"/>
      <c r="B685" s="156"/>
      <c r="C685" s="207"/>
      <c r="D685" s="208"/>
      <c r="E685" s="208"/>
      <c r="F685" s="157"/>
      <c r="G685" s="185">
        <v>42978</v>
      </c>
      <c r="H685" s="524"/>
      <c r="I685" s="207" t="s">
        <v>1883</v>
      </c>
      <c r="J685" s="288"/>
      <c r="K685" s="157">
        <v>211.08</v>
      </c>
      <c r="L685" s="307"/>
    </row>
    <row r="686" spans="1:12" ht="13.5" customHeight="1">
      <c r="A686" s="157"/>
      <c r="B686" s="156"/>
      <c r="C686" s="207"/>
      <c r="D686" s="208"/>
      <c r="E686" s="208"/>
      <c r="F686" s="157"/>
      <c r="G686" s="185"/>
      <c r="H686" s="524"/>
      <c r="I686" s="207"/>
      <c r="J686" s="288"/>
      <c r="K686" s="157"/>
      <c r="L686" s="307"/>
    </row>
    <row r="687" spans="1:12" ht="13.5" customHeight="1">
      <c r="A687" s="157"/>
      <c r="B687" s="156"/>
      <c r="C687" s="207"/>
      <c r="D687" s="208"/>
      <c r="E687" s="208"/>
      <c r="F687" s="157"/>
      <c r="G687" s="185"/>
      <c r="H687" s="524"/>
      <c r="I687" s="207"/>
      <c r="J687" s="288"/>
      <c r="K687" s="157"/>
      <c r="L687" s="307"/>
    </row>
    <row r="688" spans="1:12" ht="13.5" customHeight="1">
      <c r="A688" s="157"/>
      <c r="B688" s="156"/>
      <c r="C688" s="207"/>
      <c r="D688" s="208"/>
      <c r="E688" s="208"/>
      <c r="F688" s="157"/>
      <c r="G688" s="185" t="s">
        <v>2018</v>
      </c>
      <c r="H688" s="524"/>
      <c r="I688" s="207"/>
      <c r="J688" s="288"/>
      <c r="K688" s="157"/>
      <c r="L688" s="307"/>
    </row>
    <row r="689" spans="1:12" ht="13.5" customHeight="1">
      <c r="A689" s="157"/>
      <c r="B689" s="156"/>
      <c r="C689" s="207"/>
      <c r="D689" s="208"/>
      <c r="E689" s="208"/>
      <c r="F689" s="157"/>
      <c r="G689" s="185" t="s">
        <v>1884</v>
      </c>
      <c r="H689" s="524"/>
      <c r="I689" s="207"/>
      <c r="J689" s="288"/>
      <c r="K689" s="157"/>
      <c r="L689" s="307"/>
    </row>
    <row r="690" spans="1:12" ht="13.5" customHeight="1">
      <c r="A690" s="157"/>
      <c r="B690" s="156"/>
      <c r="C690" s="207"/>
      <c r="D690" s="208"/>
      <c r="E690" s="208"/>
      <c r="F690" s="157"/>
      <c r="G690" s="185" t="s">
        <v>190</v>
      </c>
      <c r="H690" s="524"/>
      <c r="I690" s="207"/>
      <c r="J690" s="288"/>
      <c r="K690" s="157"/>
      <c r="L690" s="307"/>
    </row>
    <row r="691" spans="1:12" ht="13.5" customHeight="1">
      <c r="A691" s="157"/>
      <c r="B691" s="156"/>
      <c r="C691" s="207"/>
      <c r="D691" s="208"/>
      <c r="E691" s="208"/>
      <c r="F691" s="157"/>
      <c r="G691" s="185" t="s">
        <v>1885</v>
      </c>
      <c r="H691" s="524"/>
      <c r="I691" s="207"/>
      <c r="J691" s="288"/>
      <c r="K691" s="157"/>
      <c r="L691" s="307"/>
    </row>
    <row r="692" spans="1:12" ht="13.5" customHeight="1">
      <c r="A692" s="157"/>
      <c r="B692" s="156"/>
      <c r="C692" s="207"/>
      <c r="D692" s="208"/>
      <c r="E692" s="208"/>
      <c r="F692" s="157"/>
      <c r="G692" s="185"/>
      <c r="H692" s="524"/>
      <c r="I692" s="207"/>
      <c r="J692" s="288"/>
      <c r="K692" s="157"/>
      <c r="L692" s="307"/>
    </row>
    <row r="693" spans="1:12" ht="13.5" customHeight="1">
      <c r="A693" s="157"/>
      <c r="B693" s="156"/>
      <c r="C693" s="207"/>
      <c r="D693" s="208"/>
      <c r="E693" s="208"/>
      <c r="F693" s="157"/>
      <c r="G693" s="185" t="s">
        <v>22</v>
      </c>
      <c r="H693" s="524" t="s">
        <v>1886</v>
      </c>
      <c r="I693" s="207" t="s">
        <v>1887</v>
      </c>
      <c r="J693" s="288" t="s">
        <v>1888</v>
      </c>
      <c r="K693" s="157" t="s">
        <v>24</v>
      </c>
      <c r="L693" s="307" t="s">
        <v>25</v>
      </c>
    </row>
    <row r="694" spans="1:12" ht="13.5" customHeight="1">
      <c r="A694" s="157"/>
      <c r="B694" s="156"/>
      <c r="C694" s="207"/>
      <c r="D694" s="208"/>
      <c r="E694" s="208"/>
      <c r="F694" s="157"/>
      <c r="G694" s="185"/>
      <c r="H694" s="524"/>
      <c r="I694" s="207"/>
      <c r="J694" s="288"/>
      <c r="K694" s="157"/>
      <c r="L694" s="307"/>
    </row>
    <row r="695" spans="1:12" ht="13.5" customHeight="1">
      <c r="A695" s="157"/>
      <c r="B695" s="156"/>
      <c r="C695" s="207"/>
      <c r="D695" s="208"/>
      <c r="E695" s="208"/>
      <c r="F695" s="157"/>
      <c r="G695" s="185">
        <v>42957</v>
      </c>
      <c r="H695" s="524" t="s">
        <v>1375</v>
      </c>
      <c r="I695" s="207" t="s">
        <v>2019</v>
      </c>
      <c r="J695" s="288" t="s">
        <v>2020</v>
      </c>
      <c r="K695" s="157">
        <v>650</v>
      </c>
      <c r="L695" s="307"/>
    </row>
    <row r="696" spans="1:12" ht="13.5" customHeight="1">
      <c r="A696" s="157"/>
      <c r="B696" s="156"/>
      <c r="C696" s="207"/>
      <c r="D696" s="208"/>
      <c r="E696" s="208"/>
      <c r="F696" s="157"/>
      <c r="G696" s="185" t="s">
        <v>1882</v>
      </c>
      <c r="H696" s="524"/>
      <c r="I696" s="207"/>
      <c r="J696" s="288"/>
      <c r="K696" s="157">
        <v>650</v>
      </c>
      <c r="L696" s="307"/>
    </row>
    <row r="697" spans="1:12" ht="13.5" customHeight="1">
      <c r="A697" s="157"/>
      <c r="B697" s="156"/>
      <c r="C697" s="207"/>
      <c r="D697" s="208"/>
      <c r="E697" s="208"/>
      <c r="F697" s="157"/>
      <c r="G697" s="185"/>
      <c r="H697" s="524"/>
      <c r="I697" s="207"/>
      <c r="J697" s="288"/>
      <c r="K697" s="157"/>
      <c r="L697" s="307"/>
    </row>
    <row r="698" spans="1:12" ht="13.5" customHeight="1">
      <c r="A698" s="157"/>
      <c r="B698" s="156"/>
      <c r="C698" s="207"/>
      <c r="D698" s="208"/>
      <c r="E698" s="208"/>
      <c r="F698" s="157"/>
      <c r="G698" s="185">
        <v>42978</v>
      </c>
      <c r="H698" s="524"/>
      <c r="I698" s="207" t="s">
        <v>1883</v>
      </c>
      <c r="J698" s="288"/>
      <c r="K698" s="157">
        <v>650</v>
      </c>
      <c r="L698" s="307"/>
    </row>
    <row r="699" spans="1:12" ht="13.5" customHeight="1">
      <c r="A699" s="157"/>
      <c r="B699" s="156"/>
      <c r="C699" s="207"/>
      <c r="D699" s="208"/>
      <c r="E699" s="208"/>
      <c r="F699" s="157"/>
      <c r="G699" s="185"/>
      <c r="H699" s="524"/>
      <c r="I699" s="207"/>
      <c r="J699" s="288"/>
      <c r="K699" s="157"/>
      <c r="L699" s="307"/>
    </row>
    <row r="700" spans="1:12" ht="13.5" customHeight="1">
      <c r="A700" s="157"/>
      <c r="B700" s="156"/>
      <c r="C700" s="207"/>
      <c r="D700" s="208"/>
      <c r="E700" s="208"/>
      <c r="F700" s="157"/>
      <c r="G700" s="185"/>
      <c r="H700" s="524"/>
      <c r="I700" s="207"/>
      <c r="J700" s="288"/>
      <c r="K700" s="157"/>
      <c r="L700" s="307"/>
    </row>
    <row r="701" spans="1:12" ht="13.5" customHeight="1">
      <c r="A701" s="157"/>
      <c r="B701" s="156"/>
      <c r="C701" s="207"/>
      <c r="D701" s="208"/>
      <c r="E701" s="208"/>
      <c r="F701" s="157"/>
      <c r="G701" s="185" t="s">
        <v>2021</v>
      </c>
      <c r="H701" s="524"/>
      <c r="I701" s="207"/>
      <c r="J701" s="288"/>
      <c r="K701" s="157"/>
      <c r="L701" s="307"/>
    </row>
    <row r="702" spans="1:12" ht="13.5" customHeight="1">
      <c r="A702" s="157"/>
      <c r="B702" s="156"/>
      <c r="C702" s="207"/>
      <c r="D702" s="208"/>
      <c r="E702" s="208"/>
      <c r="F702" s="157"/>
      <c r="G702" s="185" t="s">
        <v>1884</v>
      </c>
      <c r="H702" s="524"/>
      <c r="I702" s="207"/>
      <c r="J702" s="288"/>
      <c r="K702" s="157"/>
      <c r="L702" s="307"/>
    </row>
    <row r="703" spans="1:12" ht="13.5" customHeight="1">
      <c r="A703" s="157"/>
      <c r="B703" s="156"/>
      <c r="C703" s="207"/>
      <c r="D703" s="208"/>
      <c r="E703" s="208"/>
      <c r="F703" s="157"/>
      <c r="G703" s="185" t="s">
        <v>190</v>
      </c>
      <c r="H703" s="524"/>
      <c r="I703" s="207"/>
      <c r="J703" s="288"/>
      <c r="K703" s="157"/>
      <c r="L703" s="307"/>
    </row>
    <row r="704" spans="1:12" ht="13.5" customHeight="1">
      <c r="A704" s="157"/>
      <c r="B704" s="156"/>
      <c r="C704" s="207"/>
      <c r="D704" s="208"/>
      <c r="E704" s="208"/>
      <c r="F704" s="157"/>
      <c r="G704" s="185" t="s">
        <v>1885</v>
      </c>
      <c r="H704" s="524"/>
      <c r="I704" s="207"/>
      <c r="J704" s="288"/>
      <c r="K704" s="157"/>
      <c r="L704" s="307"/>
    </row>
    <row r="705" spans="1:12" ht="13.5" customHeight="1">
      <c r="A705" s="157"/>
      <c r="B705" s="156"/>
      <c r="C705" s="207"/>
      <c r="D705" s="208"/>
      <c r="E705" s="208"/>
      <c r="F705" s="157"/>
      <c r="G705" s="185"/>
      <c r="H705" s="524"/>
      <c r="I705" s="207"/>
      <c r="J705" s="288"/>
      <c r="K705" s="157"/>
      <c r="L705" s="307"/>
    </row>
    <row r="706" spans="1:12" ht="13.5" customHeight="1">
      <c r="A706" s="157"/>
      <c r="B706" s="156"/>
      <c r="C706" s="207"/>
      <c r="D706" s="208"/>
      <c r="E706" s="208"/>
      <c r="F706" s="157"/>
      <c r="G706" s="185" t="s">
        <v>22</v>
      </c>
      <c r="H706" s="524" t="s">
        <v>1886</v>
      </c>
      <c r="I706" s="207" t="s">
        <v>1887</v>
      </c>
      <c r="J706" s="288" t="s">
        <v>1888</v>
      </c>
      <c r="K706" s="157" t="s">
        <v>24</v>
      </c>
      <c r="L706" s="307" t="s">
        <v>25</v>
      </c>
    </row>
    <row r="707" spans="1:12" ht="13.5" customHeight="1">
      <c r="A707" s="157"/>
      <c r="B707" s="156"/>
      <c r="C707" s="207"/>
      <c r="D707" s="208"/>
      <c r="E707" s="208"/>
      <c r="F707" s="157"/>
      <c r="G707" s="185"/>
      <c r="H707" s="524"/>
      <c r="I707" s="207"/>
      <c r="J707" s="288"/>
      <c r="K707" s="157"/>
      <c r="L707" s="307"/>
    </row>
    <row r="708" spans="1:12" ht="13.5" customHeight="1">
      <c r="A708" s="157"/>
      <c r="B708" s="156"/>
      <c r="C708" s="207"/>
      <c r="D708" s="208"/>
      <c r="E708" s="208"/>
      <c r="F708" s="157"/>
      <c r="G708" s="185">
        <v>42978</v>
      </c>
      <c r="H708" s="524" t="s">
        <v>1375</v>
      </c>
      <c r="I708" s="207" t="s">
        <v>2022</v>
      </c>
      <c r="J708" s="288" t="s">
        <v>2023</v>
      </c>
      <c r="K708" s="157">
        <v>93.9</v>
      </c>
      <c r="L708" s="307"/>
    </row>
    <row r="709" spans="1:12" ht="13.5" customHeight="1">
      <c r="A709" s="157"/>
      <c r="B709" s="156"/>
      <c r="C709" s="207"/>
      <c r="D709" s="208"/>
      <c r="E709" s="208"/>
      <c r="F709" s="157"/>
      <c r="G709" s="185">
        <v>42978</v>
      </c>
      <c r="H709" s="524" t="s">
        <v>1375</v>
      </c>
      <c r="I709" s="207" t="s">
        <v>2024</v>
      </c>
      <c r="J709" s="288" t="s">
        <v>2023</v>
      </c>
      <c r="K709" s="157">
        <v>13</v>
      </c>
      <c r="L709" s="307"/>
    </row>
    <row r="710" spans="1:12" ht="13.5" customHeight="1">
      <c r="A710" s="157"/>
      <c r="B710" s="156"/>
      <c r="C710" s="207"/>
      <c r="D710" s="208"/>
      <c r="E710" s="208"/>
      <c r="F710" s="157"/>
      <c r="G710" s="185">
        <v>42978</v>
      </c>
      <c r="H710" s="524" t="s">
        <v>1375</v>
      </c>
      <c r="I710" s="207" t="s">
        <v>2025</v>
      </c>
      <c r="J710" s="288" t="s">
        <v>2023</v>
      </c>
      <c r="K710" s="157">
        <v>10.1</v>
      </c>
      <c r="L710" s="307"/>
    </row>
    <row r="711" spans="1:12" ht="13.5" customHeight="1">
      <c r="A711" s="157"/>
      <c r="B711" s="156"/>
      <c r="C711" s="207"/>
      <c r="D711" s="208"/>
      <c r="E711" s="208"/>
      <c r="F711" s="157"/>
      <c r="G711" s="185">
        <v>42978</v>
      </c>
      <c r="H711" s="524" t="s">
        <v>1375</v>
      </c>
      <c r="I711" s="207" t="s">
        <v>2026</v>
      </c>
      <c r="J711" s="288" t="s">
        <v>2023</v>
      </c>
      <c r="K711" s="157">
        <v>13</v>
      </c>
      <c r="L711" s="307"/>
    </row>
    <row r="712" spans="1:12" ht="13.5" customHeight="1">
      <c r="A712" s="157"/>
      <c r="B712" s="156"/>
      <c r="C712" s="207"/>
      <c r="D712" s="208"/>
      <c r="E712" s="208"/>
      <c r="F712" s="157"/>
      <c r="G712" s="185">
        <v>42978</v>
      </c>
      <c r="H712" s="524" t="s">
        <v>1375</v>
      </c>
      <c r="I712" s="207" t="s">
        <v>2027</v>
      </c>
      <c r="J712" s="288" t="s">
        <v>2023</v>
      </c>
      <c r="K712" s="157">
        <v>93.9</v>
      </c>
      <c r="L712" s="307"/>
    </row>
    <row r="713" spans="1:12" ht="13.5" customHeight="1">
      <c r="A713" s="157"/>
      <c r="B713" s="156"/>
      <c r="C713" s="207"/>
      <c r="D713" s="208"/>
      <c r="E713" s="208"/>
      <c r="F713" s="157"/>
      <c r="G713" s="185">
        <v>42978</v>
      </c>
      <c r="H713" s="524" t="s">
        <v>1375</v>
      </c>
      <c r="I713" s="207" t="s">
        <v>2028</v>
      </c>
      <c r="J713" s="288" t="s">
        <v>2023</v>
      </c>
      <c r="K713" s="157">
        <v>13</v>
      </c>
      <c r="L713" s="307"/>
    </row>
    <row r="714" spans="1:12" ht="13.5" customHeight="1">
      <c r="A714" s="157"/>
      <c r="B714" s="156"/>
      <c r="C714" s="207"/>
      <c r="D714" s="208"/>
      <c r="E714" s="208"/>
      <c r="F714" s="157"/>
      <c r="G714" s="185" t="s">
        <v>1882</v>
      </c>
      <c r="H714" s="524"/>
      <c r="I714" s="207"/>
      <c r="J714" s="288"/>
      <c r="K714" s="157">
        <v>236.9</v>
      </c>
      <c r="L714" s="307"/>
    </row>
    <row r="715" spans="1:12" ht="13.5" customHeight="1">
      <c r="A715" s="157"/>
      <c r="B715" s="156"/>
      <c r="C715" s="207"/>
      <c r="D715" s="208"/>
      <c r="E715" s="208"/>
      <c r="F715" s="157"/>
      <c r="G715" s="185"/>
      <c r="H715" s="524"/>
      <c r="I715" s="207"/>
      <c r="J715" s="288"/>
      <c r="K715" s="157"/>
      <c r="L715" s="307"/>
    </row>
    <row r="716" spans="1:12" ht="13.5" customHeight="1">
      <c r="A716" s="157"/>
      <c r="B716" s="156"/>
      <c r="C716" s="207"/>
      <c r="D716" s="208"/>
      <c r="E716" s="208"/>
      <c r="F716" s="157"/>
      <c r="G716" s="185">
        <v>42978</v>
      </c>
      <c r="H716" s="524"/>
      <c r="I716" s="207" t="s">
        <v>1883</v>
      </c>
      <c r="J716" s="288"/>
      <c r="K716" s="157">
        <v>236.9</v>
      </c>
      <c r="L716" s="307"/>
    </row>
    <row r="717" spans="1:12" ht="13.5" customHeight="1">
      <c r="A717" s="157"/>
      <c r="B717" s="156"/>
      <c r="C717" s="207"/>
      <c r="D717" s="208"/>
      <c r="E717" s="208"/>
      <c r="F717" s="157"/>
      <c r="G717" s="185"/>
      <c r="H717" s="524"/>
      <c r="I717" s="207"/>
      <c r="J717" s="288"/>
      <c r="K717" s="157"/>
      <c r="L717" s="307"/>
    </row>
    <row r="718" spans="1:12" ht="13.5" customHeight="1">
      <c r="A718" s="157"/>
      <c r="B718" s="156"/>
      <c r="C718" s="207"/>
      <c r="D718" s="208"/>
      <c r="E718" s="208"/>
      <c r="F718" s="157"/>
      <c r="G718" s="185"/>
      <c r="H718" s="524"/>
      <c r="I718" s="207"/>
      <c r="J718" s="288"/>
      <c r="K718" s="157"/>
      <c r="L718" s="307"/>
    </row>
    <row r="719" spans="1:12" ht="13.5" customHeight="1">
      <c r="A719" s="157"/>
      <c r="B719" s="156"/>
      <c r="C719" s="207"/>
      <c r="D719" s="208"/>
      <c r="E719" s="208"/>
      <c r="F719" s="157"/>
      <c r="G719" s="185" t="s">
        <v>2029</v>
      </c>
      <c r="H719" s="524"/>
      <c r="I719" s="207"/>
      <c r="J719" s="288"/>
      <c r="K719" s="157"/>
      <c r="L719" s="307"/>
    </row>
    <row r="720" spans="1:12" ht="13.5" customHeight="1">
      <c r="A720" s="157"/>
      <c r="B720" s="156"/>
      <c r="C720" s="207"/>
      <c r="D720" s="208"/>
      <c r="E720" s="208"/>
      <c r="F720" s="157"/>
      <c r="G720" s="185" t="s">
        <v>1884</v>
      </c>
      <c r="H720" s="524"/>
      <c r="I720" s="207"/>
      <c r="J720" s="288"/>
      <c r="K720" s="157"/>
      <c r="L720" s="307"/>
    </row>
    <row r="721" spans="1:12" ht="13.5" customHeight="1">
      <c r="A721" s="157"/>
      <c r="B721" s="156"/>
      <c r="C721" s="207"/>
      <c r="D721" s="208"/>
      <c r="E721" s="208"/>
      <c r="F721" s="157"/>
      <c r="G721" s="185" t="s">
        <v>190</v>
      </c>
      <c r="H721" s="524"/>
      <c r="I721" s="207"/>
      <c r="J721" s="288"/>
      <c r="K721" s="157"/>
      <c r="L721" s="307"/>
    </row>
    <row r="722" spans="1:12" ht="13.5" customHeight="1">
      <c r="A722" s="157"/>
      <c r="B722" s="156"/>
      <c r="C722" s="207"/>
      <c r="D722" s="208"/>
      <c r="E722" s="208"/>
      <c r="F722" s="157"/>
      <c r="G722" s="185" t="s">
        <v>1885</v>
      </c>
      <c r="H722" s="524"/>
      <c r="I722" s="207"/>
      <c r="J722" s="288"/>
      <c r="K722" s="157"/>
      <c r="L722" s="307"/>
    </row>
    <row r="723" spans="1:12" ht="13.5" customHeight="1">
      <c r="A723" s="157"/>
      <c r="B723" s="156"/>
      <c r="C723" s="207"/>
      <c r="D723" s="208"/>
      <c r="E723" s="208"/>
      <c r="F723" s="157"/>
      <c r="G723" s="185"/>
      <c r="H723" s="524"/>
      <c r="I723" s="207"/>
      <c r="J723" s="288"/>
      <c r="K723" s="157"/>
      <c r="L723" s="307"/>
    </row>
    <row r="724" spans="1:12" ht="13.5" customHeight="1">
      <c r="A724" s="157"/>
      <c r="B724" s="156"/>
      <c r="C724" s="207"/>
      <c r="D724" s="208"/>
      <c r="E724" s="208"/>
      <c r="F724" s="157"/>
      <c r="G724" s="185" t="s">
        <v>22</v>
      </c>
      <c r="H724" s="524" t="s">
        <v>1886</v>
      </c>
      <c r="I724" s="207" t="s">
        <v>1887</v>
      </c>
      <c r="J724" s="288" t="s">
        <v>1888</v>
      </c>
      <c r="K724" s="157" t="s">
        <v>24</v>
      </c>
      <c r="L724" s="307" t="s">
        <v>25</v>
      </c>
    </row>
    <row r="725" spans="1:12" ht="13.5" customHeight="1">
      <c r="A725" s="157"/>
      <c r="B725" s="156"/>
      <c r="C725" s="207"/>
      <c r="D725" s="208"/>
      <c r="E725" s="208"/>
      <c r="F725" s="157"/>
      <c r="G725" s="185"/>
      <c r="H725" s="524"/>
      <c r="I725" s="207"/>
      <c r="J725" s="288"/>
      <c r="K725" s="157"/>
      <c r="L725" s="307"/>
    </row>
    <row r="726" spans="1:12" ht="13.5" customHeight="1">
      <c r="A726" s="157"/>
      <c r="B726" s="156"/>
      <c r="C726" s="207"/>
      <c r="D726" s="208"/>
      <c r="E726" s="208"/>
      <c r="F726" s="157"/>
      <c r="G726" s="185">
        <v>42975</v>
      </c>
      <c r="H726" s="524" t="s">
        <v>1375</v>
      </c>
      <c r="I726" s="207" t="s">
        <v>2030</v>
      </c>
      <c r="J726" s="288" t="s">
        <v>2031</v>
      </c>
      <c r="K726" s="157">
        <v>215.41</v>
      </c>
      <c r="L726" s="307"/>
    </row>
    <row r="727" spans="1:12" ht="13.5" customHeight="1">
      <c r="A727" s="157"/>
      <c r="B727" s="156"/>
      <c r="C727" s="207"/>
      <c r="D727" s="208"/>
      <c r="E727" s="208"/>
      <c r="F727" s="157"/>
      <c r="G727" s="185" t="s">
        <v>1882</v>
      </c>
      <c r="H727" s="524"/>
      <c r="I727" s="207"/>
      <c r="J727" s="288"/>
      <c r="K727" s="157">
        <v>215.41</v>
      </c>
      <c r="L727" s="307"/>
    </row>
    <row r="728" spans="1:12" ht="13.5" customHeight="1">
      <c r="A728" s="157"/>
      <c r="B728" s="156"/>
      <c r="C728" s="207"/>
      <c r="D728" s="208"/>
      <c r="E728" s="208"/>
      <c r="F728" s="157"/>
      <c r="G728" s="185"/>
      <c r="H728" s="524"/>
      <c r="I728" s="207"/>
      <c r="J728" s="288"/>
      <c r="K728" s="157"/>
      <c r="L728" s="307"/>
    </row>
    <row r="729" spans="1:12" ht="13.5" customHeight="1">
      <c r="A729" s="157"/>
      <c r="B729" s="156"/>
      <c r="C729" s="207"/>
      <c r="D729" s="208"/>
      <c r="E729" s="208"/>
      <c r="F729" s="157"/>
      <c r="G729" s="185">
        <v>42978</v>
      </c>
      <c r="H729" s="524"/>
      <c r="I729" s="207" t="s">
        <v>1883</v>
      </c>
      <c r="J729" s="288"/>
      <c r="K729" s="157">
        <v>215.41</v>
      </c>
      <c r="L729" s="307"/>
    </row>
    <row r="730" spans="1:12" ht="13.5" customHeight="1">
      <c r="A730" s="157"/>
      <c r="B730" s="156"/>
      <c r="C730" s="207"/>
      <c r="D730" s="208"/>
      <c r="E730" s="208"/>
      <c r="F730" s="157"/>
      <c r="G730" s="185"/>
      <c r="H730" s="524"/>
      <c r="I730" s="207"/>
      <c r="J730" s="288"/>
      <c r="K730" s="157"/>
      <c r="L730" s="307"/>
    </row>
    <row r="731" spans="1:12" ht="13.5" customHeight="1">
      <c r="A731" s="157"/>
      <c r="B731" s="156"/>
      <c r="C731" s="207"/>
      <c r="D731" s="208"/>
      <c r="E731" s="208"/>
      <c r="F731" s="157"/>
      <c r="G731" s="185"/>
      <c r="H731" s="524"/>
      <c r="I731" s="207"/>
      <c r="J731" s="288"/>
      <c r="K731" s="157"/>
      <c r="L731" s="307"/>
    </row>
    <row r="732" spans="1:12" ht="13.5" customHeight="1">
      <c r="A732" s="157"/>
      <c r="B732" s="156"/>
      <c r="C732" s="207"/>
      <c r="D732" s="208"/>
      <c r="E732" s="208"/>
      <c r="F732" s="157"/>
      <c r="G732" s="185" t="s">
        <v>2032</v>
      </c>
      <c r="H732" s="524"/>
      <c r="I732" s="207"/>
      <c r="J732" s="288"/>
      <c r="K732" s="157"/>
      <c r="L732" s="307"/>
    </row>
    <row r="733" spans="1:12" ht="13.5" customHeight="1">
      <c r="A733" s="157"/>
      <c r="B733" s="156"/>
      <c r="C733" s="207"/>
      <c r="D733" s="208"/>
      <c r="E733" s="208"/>
      <c r="F733" s="157"/>
      <c r="G733" s="185" t="s">
        <v>1884</v>
      </c>
      <c r="H733" s="524"/>
      <c r="I733" s="207"/>
      <c r="J733" s="288"/>
      <c r="K733" s="157"/>
      <c r="L733" s="307"/>
    </row>
    <row r="734" spans="1:12" ht="13.5" customHeight="1">
      <c r="A734" s="157"/>
      <c r="B734" s="156"/>
      <c r="C734" s="207"/>
      <c r="D734" s="208"/>
      <c r="E734" s="208"/>
      <c r="F734" s="157"/>
      <c r="G734" s="185" t="s">
        <v>190</v>
      </c>
      <c r="H734" s="524"/>
      <c r="I734" s="207"/>
      <c r="J734" s="288"/>
      <c r="K734" s="157"/>
      <c r="L734" s="307"/>
    </row>
    <row r="735" spans="1:12" ht="13.5" customHeight="1">
      <c r="A735" s="157"/>
      <c r="B735" s="156"/>
      <c r="C735" s="207"/>
      <c r="D735" s="208"/>
      <c r="E735" s="208"/>
      <c r="F735" s="157"/>
      <c r="G735" s="185" t="s">
        <v>1885</v>
      </c>
      <c r="H735" s="524"/>
      <c r="I735" s="207"/>
      <c r="J735" s="288"/>
      <c r="K735" s="157"/>
      <c r="L735" s="307"/>
    </row>
    <row r="736" spans="1:12" ht="13.5" customHeight="1">
      <c r="A736" s="157"/>
      <c r="B736" s="156"/>
      <c r="C736" s="207"/>
      <c r="D736" s="208"/>
      <c r="E736" s="208"/>
      <c r="F736" s="157"/>
      <c r="G736" s="185"/>
      <c r="H736" s="524"/>
      <c r="I736" s="207"/>
      <c r="J736" s="288"/>
      <c r="K736" s="157"/>
      <c r="L736" s="307"/>
    </row>
    <row r="737" spans="1:12" ht="13.5" customHeight="1">
      <c r="A737" s="157"/>
      <c r="B737" s="156"/>
      <c r="C737" s="207"/>
      <c r="D737" s="208"/>
      <c r="E737" s="208"/>
      <c r="F737" s="157"/>
      <c r="G737" s="185" t="s">
        <v>22</v>
      </c>
      <c r="H737" s="524" t="s">
        <v>1886</v>
      </c>
      <c r="I737" s="207" t="s">
        <v>1887</v>
      </c>
      <c r="J737" s="288" t="s">
        <v>1888</v>
      </c>
      <c r="K737" s="157" t="s">
        <v>24</v>
      </c>
      <c r="L737" s="307" t="s">
        <v>25</v>
      </c>
    </row>
    <row r="738" spans="1:12" ht="13.5" customHeight="1">
      <c r="A738" s="157"/>
      <c r="B738" s="156"/>
      <c r="C738" s="207"/>
      <c r="D738" s="208"/>
      <c r="E738" s="208"/>
      <c r="F738" s="157"/>
      <c r="G738" s="185"/>
      <c r="H738" s="524"/>
      <c r="I738" s="207"/>
      <c r="J738" s="288"/>
      <c r="K738" s="157"/>
      <c r="L738" s="307"/>
    </row>
    <row r="739" spans="1:12" ht="13.5" customHeight="1">
      <c r="A739" s="157"/>
      <c r="B739" s="156"/>
      <c r="C739" s="207"/>
      <c r="D739" s="208"/>
      <c r="E739" s="208"/>
      <c r="F739" s="157"/>
      <c r="G739" s="185">
        <v>42948</v>
      </c>
      <c r="H739" s="524" t="s">
        <v>1375</v>
      </c>
      <c r="I739" s="207" t="s">
        <v>2033</v>
      </c>
      <c r="J739" s="288" t="s">
        <v>2034</v>
      </c>
      <c r="K739" s="157">
        <v>4416.66</v>
      </c>
      <c r="L739" s="307"/>
    </row>
    <row r="740" spans="1:12" ht="13.5" customHeight="1">
      <c r="A740" s="157"/>
      <c r="B740" s="156"/>
      <c r="C740" s="207"/>
      <c r="D740" s="208"/>
      <c r="E740" s="208"/>
      <c r="F740" s="157"/>
      <c r="G740" s="185" t="s">
        <v>1882</v>
      </c>
      <c r="H740" s="524"/>
      <c r="I740" s="207"/>
      <c r="J740" s="288"/>
      <c r="K740" s="157">
        <v>4416.66</v>
      </c>
      <c r="L740" s="307"/>
    </row>
    <row r="741" spans="1:12" ht="13.5" customHeight="1">
      <c r="A741" s="157"/>
      <c r="B741" s="156"/>
      <c r="C741" s="207"/>
      <c r="D741" s="208"/>
      <c r="E741" s="208"/>
      <c r="F741" s="157"/>
      <c r="G741" s="185"/>
      <c r="H741" s="524"/>
      <c r="I741" s="207"/>
      <c r="J741" s="288"/>
      <c r="K741" s="157"/>
      <c r="L741" s="307"/>
    </row>
    <row r="742" spans="1:12" ht="13.5" customHeight="1">
      <c r="A742" s="157"/>
      <c r="B742" s="156"/>
      <c r="C742" s="207"/>
      <c r="D742" s="208"/>
      <c r="E742" s="208"/>
      <c r="F742" s="157"/>
      <c r="G742" s="185">
        <v>42978</v>
      </c>
      <c r="H742" s="524"/>
      <c r="I742" s="207" t="s">
        <v>1883</v>
      </c>
      <c r="J742" s="288"/>
      <c r="K742" s="157">
        <v>4416.66</v>
      </c>
      <c r="L742" s="307"/>
    </row>
    <row r="743" spans="1:12" ht="13.5" customHeight="1">
      <c r="A743" s="157"/>
      <c r="B743" s="156"/>
      <c r="C743" s="207"/>
      <c r="D743" s="208"/>
      <c r="E743" s="208"/>
      <c r="F743" s="157"/>
      <c r="G743" s="185"/>
      <c r="H743" s="524"/>
      <c r="I743" s="207"/>
      <c r="J743" s="288"/>
      <c r="K743" s="157"/>
      <c r="L743" s="307"/>
    </row>
    <row r="744" spans="1:12" ht="13.5" customHeight="1">
      <c r="A744" s="157"/>
      <c r="B744" s="156"/>
      <c r="C744" s="207"/>
      <c r="D744" s="208"/>
      <c r="E744" s="208"/>
      <c r="F744" s="157"/>
      <c r="G744" s="185" t="s">
        <v>2035</v>
      </c>
      <c r="H744" s="524"/>
      <c r="I744" s="207"/>
      <c r="J744" s="288"/>
      <c r="K744" s="157"/>
      <c r="L744" s="307"/>
    </row>
    <row r="745" spans="1:12" ht="13.5" customHeight="1">
      <c r="A745" s="157"/>
      <c r="B745" s="156"/>
      <c r="C745" s="207"/>
      <c r="D745" s="208"/>
      <c r="E745" s="208"/>
      <c r="F745" s="157"/>
      <c r="G745" s="185" t="s">
        <v>1884</v>
      </c>
      <c r="H745" s="524"/>
      <c r="I745" s="207"/>
      <c r="J745" s="288"/>
      <c r="K745" s="157"/>
      <c r="L745" s="307"/>
    </row>
    <row r="746" spans="1:12" ht="13.5" customHeight="1">
      <c r="A746" s="157"/>
      <c r="B746" s="156"/>
      <c r="C746" s="207"/>
      <c r="D746" s="208"/>
      <c r="E746" s="208"/>
      <c r="F746" s="157"/>
      <c r="G746" s="185" t="s">
        <v>190</v>
      </c>
      <c r="H746" s="524"/>
      <c r="I746" s="207"/>
      <c r="J746" s="288"/>
      <c r="K746" s="157"/>
      <c r="L746" s="307"/>
    </row>
    <row r="747" spans="1:12" ht="13.5" customHeight="1">
      <c r="A747" s="157"/>
      <c r="B747" s="156"/>
      <c r="C747" s="207"/>
      <c r="D747" s="208"/>
      <c r="E747" s="208"/>
      <c r="F747" s="157"/>
      <c r="G747" s="185" t="s">
        <v>1885</v>
      </c>
      <c r="H747" s="524"/>
      <c r="I747" s="207"/>
      <c r="J747" s="288"/>
      <c r="K747" s="157"/>
      <c r="L747" s="307"/>
    </row>
    <row r="748" spans="1:12" ht="13.5" customHeight="1">
      <c r="A748" s="157"/>
      <c r="B748" s="156"/>
      <c r="C748" s="207"/>
      <c r="D748" s="208"/>
      <c r="E748" s="208"/>
      <c r="F748" s="157"/>
      <c r="G748" s="185"/>
      <c r="H748" s="524"/>
      <c r="I748" s="207"/>
      <c r="J748" s="288"/>
      <c r="K748" s="157"/>
      <c r="L748" s="307"/>
    </row>
    <row r="749" spans="1:12" ht="13.5" customHeight="1">
      <c r="A749" s="157"/>
      <c r="B749" s="156"/>
      <c r="C749" s="207"/>
      <c r="D749" s="208"/>
      <c r="E749" s="208"/>
      <c r="F749" s="157"/>
      <c r="G749" s="185" t="s">
        <v>22</v>
      </c>
      <c r="H749" s="524" t="s">
        <v>1886</v>
      </c>
      <c r="I749" s="207" t="s">
        <v>1887</v>
      </c>
      <c r="J749" s="288" t="s">
        <v>1888</v>
      </c>
      <c r="K749" s="157" t="s">
        <v>24</v>
      </c>
      <c r="L749" s="307" t="s">
        <v>25</v>
      </c>
    </row>
    <row r="750" spans="1:12" ht="13.5" customHeight="1">
      <c r="A750" s="157"/>
      <c r="B750" s="156"/>
      <c r="C750" s="207"/>
      <c r="D750" s="208"/>
      <c r="E750" s="208"/>
      <c r="F750" s="157"/>
      <c r="G750" s="185"/>
      <c r="H750" s="524"/>
      <c r="I750" s="207"/>
      <c r="J750" s="288"/>
      <c r="K750" s="157"/>
      <c r="L750" s="307"/>
    </row>
    <row r="751" spans="1:12" ht="13.5" customHeight="1">
      <c r="A751" s="157"/>
      <c r="B751" s="156"/>
      <c r="C751" s="207"/>
      <c r="D751" s="208"/>
      <c r="E751" s="208"/>
      <c r="F751" s="157"/>
      <c r="G751" s="185">
        <v>42954</v>
      </c>
      <c r="H751" s="524" t="s">
        <v>1375</v>
      </c>
      <c r="I751" s="207" t="s">
        <v>2036</v>
      </c>
      <c r="J751" s="288" t="s">
        <v>2037</v>
      </c>
      <c r="K751" s="157">
        <v>143.76</v>
      </c>
      <c r="L751" s="307"/>
    </row>
    <row r="752" spans="1:12" ht="13.5" customHeight="1">
      <c r="A752" s="157"/>
      <c r="B752" s="156"/>
      <c r="C752" s="207"/>
      <c r="D752" s="208"/>
      <c r="E752" s="208"/>
      <c r="F752" s="157"/>
      <c r="G752" s="185">
        <v>42975</v>
      </c>
      <c r="H752" s="524" t="s">
        <v>1375</v>
      </c>
      <c r="I752" s="207" t="s">
        <v>2038</v>
      </c>
      <c r="J752" s="288" t="s">
        <v>2031</v>
      </c>
      <c r="K752" s="157">
        <v>10.08</v>
      </c>
      <c r="L752" s="307"/>
    </row>
    <row r="753" spans="1:12" ht="13.5" customHeight="1">
      <c r="A753" s="157"/>
      <c r="B753" s="156"/>
      <c r="C753" s="207"/>
      <c r="D753" s="208"/>
      <c r="E753" s="208"/>
      <c r="F753" s="157"/>
      <c r="G753" s="185">
        <v>42975</v>
      </c>
      <c r="H753" s="524" t="s">
        <v>1375</v>
      </c>
      <c r="I753" s="207" t="s">
        <v>2039</v>
      </c>
      <c r="J753" s="288" t="s">
        <v>2031</v>
      </c>
      <c r="K753" s="157">
        <v>35.94</v>
      </c>
      <c r="L753" s="307"/>
    </row>
    <row r="754" spans="1:12" ht="13.5" customHeight="1">
      <c r="A754" s="157"/>
      <c r="B754" s="156"/>
      <c r="C754" s="207"/>
      <c r="D754" s="208"/>
      <c r="E754" s="208"/>
      <c r="F754" s="157"/>
      <c r="G754" s="185" t="s">
        <v>1882</v>
      </c>
      <c r="H754" s="524"/>
      <c r="I754" s="207"/>
      <c r="J754" s="288"/>
      <c r="K754" s="157">
        <v>189.78</v>
      </c>
      <c r="L754" s="307"/>
    </row>
    <row r="755" spans="1:12" ht="13.5" customHeight="1">
      <c r="A755" s="157"/>
      <c r="B755" s="156"/>
      <c r="C755" s="207"/>
      <c r="D755" s="208"/>
      <c r="E755" s="208"/>
      <c r="F755" s="157"/>
      <c r="G755" s="185"/>
      <c r="H755" s="524"/>
      <c r="I755" s="207"/>
      <c r="J755" s="288"/>
      <c r="K755" s="157"/>
      <c r="L755" s="307"/>
    </row>
    <row r="756" spans="1:12" ht="13.5" customHeight="1">
      <c r="A756" s="157"/>
      <c r="B756" s="156"/>
      <c r="C756" s="207"/>
      <c r="D756" s="208"/>
      <c r="E756" s="208"/>
      <c r="F756" s="157"/>
      <c r="G756" s="185">
        <v>42978</v>
      </c>
      <c r="H756" s="524"/>
      <c r="I756" s="207" t="s">
        <v>1883</v>
      </c>
      <c r="J756" s="288"/>
      <c r="K756" s="157">
        <v>189.78</v>
      </c>
      <c r="L756" s="307"/>
    </row>
    <row r="757" spans="1:12" ht="13.5" customHeight="1">
      <c r="A757" s="157"/>
      <c r="B757" s="156"/>
      <c r="C757" s="207"/>
      <c r="D757" s="208"/>
      <c r="E757" s="208"/>
      <c r="F757" s="157"/>
      <c r="G757" s="185"/>
      <c r="H757" s="524"/>
      <c r="I757" s="207"/>
      <c r="J757" s="288"/>
      <c r="K757" s="157"/>
      <c r="L757" s="307"/>
    </row>
    <row r="758" spans="1:12" ht="13.5" customHeight="1">
      <c r="A758" s="157"/>
      <c r="B758" s="156"/>
      <c r="C758" s="207"/>
      <c r="D758" s="208"/>
      <c r="E758" s="208"/>
      <c r="F758" s="157"/>
      <c r="G758" s="185"/>
      <c r="H758" s="524"/>
      <c r="I758" s="207"/>
      <c r="J758" s="288"/>
      <c r="K758" s="157"/>
      <c r="L758" s="307"/>
    </row>
    <row r="759" spans="1:12" ht="13.5" customHeight="1">
      <c r="A759" s="157"/>
      <c r="B759" s="156"/>
      <c r="C759" s="207"/>
      <c r="D759" s="208"/>
      <c r="E759" s="208"/>
      <c r="F759" s="157"/>
      <c r="G759" s="185" t="s">
        <v>2040</v>
      </c>
      <c r="H759" s="524"/>
      <c r="I759" s="207"/>
      <c r="J759" s="288"/>
      <c r="K759" s="157"/>
      <c r="L759" s="307"/>
    </row>
    <row r="760" spans="1:12" ht="13.5" customHeight="1">
      <c r="A760" s="157"/>
      <c r="B760" s="156"/>
      <c r="C760" s="207"/>
      <c r="D760" s="208"/>
      <c r="E760" s="208"/>
      <c r="F760" s="157"/>
      <c r="G760" s="185" t="s">
        <v>1884</v>
      </c>
      <c r="H760" s="524"/>
      <c r="I760" s="207"/>
      <c r="J760" s="288"/>
      <c r="K760" s="157"/>
      <c r="L760" s="307"/>
    </row>
    <row r="761" spans="1:12" ht="13.5" customHeight="1">
      <c r="A761" s="157"/>
      <c r="B761" s="156"/>
      <c r="C761" s="207"/>
      <c r="D761" s="208"/>
      <c r="E761" s="208"/>
      <c r="F761" s="157"/>
      <c r="G761" s="185" t="s">
        <v>190</v>
      </c>
      <c r="H761" s="524"/>
      <c r="I761" s="207"/>
      <c r="J761" s="288"/>
      <c r="K761" s="157"/>
      <c r="L761" s="307"/>
    </row>
    <row r="762" spans="1:12" ht="13.5" customHeight="1">
      <c r="A762" s="157"/>
      <c r="B762" s="156"/>
      <c r="C762" s="207"/>
      <c r="D762" s="208"/>
      <c r="E762" s="208"/>
      <c r="F762" s="157"/>
      <c r="G762" s="185" t="s">
        <v>1885</v>
      </c>
      <c r="H762" s="524"/>
      <c r="I762" s="207"/>
      <c r="J762" s="288"/>
      <c r="K762" s="157"/>
      <c r="L762" s="307"/>
    </row>
    <row r="763" spans="1:12" ht="13.5" customHeight="1">
      <c r="A763" s="157"/>
      <c r="B763" s="156"/>
      <c r="C763" s="207"/>
      <c r="D763" s="208"/>
      <c r="E763" s="208"/>
      <c r="F763" s="157"/>
      <c r="G763" s="185"/>
      <c r="H763" s="524"/>
      <c r="I763" s="207"/>
      <c r="J763" s="288"/>
      <c r="K763" s="157"/>
      <c r="L763" s="307"/>
    </row>
    <row r="764" spans="1:12" ht="13.5" customHeight="1">
      <c r="A764" s="157"/>
      <c r="B764" s="156"/>
      <c r="C764" s="207"/>
      <c r="D764" s="208"/>
      <c r="E764" s="208"/>
      <c r="F764" s="157"/>
      <c r="G764" s="185" t="s">
        <v>22</v>
      </c>
      <c r="H764" s="524" t="s">
        <v>1886</v>
      </c>
      <c r="I764" s="207" t="s">
        <v>1887</v>
      </c>
      <c r="J764" s="288" t="s">
        <v>1888</v>
      </c>
      <c r="K764" s="157" t="s">
        <v>24</v>
      </c>
      <c r="L764" s="307" t="s">
        <v>25</v>
      </c>
    </row>
    <row r="765" spans="1:12" ht="13.5" customHeight="1">
      <c r="A765" s="157"/>
      <c r="B765" s="156"/>
      <c r="C765" s="207"/>
      <c r="D765" s="208"/>
      <c r="E765" s="208"/>
      <c r="F765" s="157"/>
      <c r="G765" s="185"/>
      <c r="H765" s="524"/>
      <c r="I765" s="207"/>
      <c r="J765" s="288"/>
      <c r="K765" s="157"/>
      <c r="L765" s="307"/>
    </row>
    <row r="766" spans="1:12" ht="13.5" customHeight="1">
      <c r="A766" s="157"/>
      <c r="B766" s="156"/>
      <c r="C766" s="207"/>
      <c r="D766" s="208"/>
      <c r="E766" s="208"/>
      <c r="F766" s="157"/>
      <c r="G766" s="185">
        <v>42969</v>
      </c>
      <c r="H766" s="524" t="s">
        <v>1375</v>
      </c>
      <c r="I766" s="207" t="s">
        <v>2041</v>
      </c>
      <c r="J766" s="288" t="s">
        <v>2042</v>
      </c>
      <c r="K766" s="157">
        <v>72.73</v>
      </c>
      <c r="L766" s="307"/>
    </row>
    <row r="767" spans="1:12" ht="13.5" customHeight="1">
      <c r="A767" s="157"/>
      <c r="B767" s="156"/>
      <c r="C767" s="207"/>
      <c r="D767" s="208"/>
      <c r="E767" s="208"/>
      <c r="F767" s="157"/>
      <c r="G767" s="185">
        <v>42970</v>
      </c>
      <c r="H767" s="524" t="s">
        <v>1375</v>
      </c>
      <c r="I767" s="207" t="s">
        <v>2043</v>
      </c>
      <c r="J767" s="288" t="s">
        <v>2044</v>
      </c>
      <c r="K767" s="157">
        <v>65</v>
      </c>
      <c r="L767" s="307"/>
    </row>
    <row r="768" spans="1:12" ht="13.5" customHeight="1">
      <c r="A768" s="157"/>
      <c r="B768" s="156"/>
      <c r="C768" s="207"/>
      <c r="D768" s="208"/>
      <c r="E768" s="208"/>
      <c r="F768" s="157"/>
      <c r="G768" s="185" t="s">
        <v>1882</v>
      </c>
      <c r="H768" s="524"/>
      <c r="I768" s="207"/>
      <c r="J768" s="288"/>
      <c r="K768" s="157">
        <v>137.73000000000002</v>
      </c>
      <c r="L768" s="307"/>
    </row>
    <row r="769" spans="1:12" ht="13.5" customHeight="1">
      <c r="A769" s="157"/>
      <c r="B769" s="156"/>
      <c r="C769" s="207"/>
      <c r="D769" s="208"/>
      <c r="E769" s="208"/>
      <c r="F769" s="157"/>
      <c r="G769" s="185"/>
      <c r="H769" s="524"/>
      <c r="I769" s="207"/>
      <c r="J769" s="288"/>
      <c r="K769" s="157"/>
      <c r="L769" s="307"/>
    </row>
    <row r="770" spans="1:12" ht="13.5" customHeight="1">
      <c r="A770" s="157"/>
      <c r="B770" s="156"/>
      <c r="C770" s="207"/>
      <c r="D770" s="208"/>
      <c r="E770" s="208"/>
      <c r="F770" s="157"/>
      <c r="G770" s="185">
        <v>42978</v>
      </c>
      <c r="H770" s="524"/>
      <c r="I770" s="207" t="s">
        <v>1883</v>
      </c>
      <c r="J770" s="288"/>
      <c r="K770" s="157">
        <v>137.72999999999999</v>
      </c>
      <c r="L770" s="307"/>
    </row>
    <row r="771" spans="1:12" ht="13.5" customHeight="1">
      <c r="A771" s="157"/>
      <c r="B771" s="156"/>
      <c r="C771" s="207"/>
      <c r="D771" s="208"/>
      <c r="E771" s="208"/>
      <c r="F771" s="157"/>
      <c r="G771" s="185"/>
      <c r="H771" s="524"/>
      <c r="I771" s="207"/>
      <c r="J771" s="288"/>
      <c r="K771" s="157"/>
      <c r="L771" s="307"/>
    </row>
    <row r="772" spans="1:12" ht="13.5" customHeight="1">
      <c r="A772" s="157"/>
      <c r="B772" s="156"/>
      <c r="C772" s="207"/>
      <c r="D772" s="208"/>
      <c r="E772" s="208"/>
      <c r="F772" s="157"/>
      <c r="G772" s="185" t="s">
        <v>2045</v>
      </c>
      <c r="H772" s="524"/>
      <c r="I772" s="207"/>
      <c r="J772" s="288"/>
      <c r="K772" s="157"/>
      <c r="L772" s="307"/>
    </row>
    <row r="773" spans="1:12" ht="13.5" customHeight="1">
      <c r="A773" s="157"/>
      <c r="B773" s="156"/>
      <c r="C773" s="207"/>
      <c r="D773" s="208"/>
      <c r="E773" s="208"/>
      <c r="F773" s="157"/>
      <c r="G773" s="185" t="s">
        <v>1884</v>
      </c>
      <c r="H773" s="524"/>
      <c r="I773" s="207"/>
      <c r="J773" s="288"/>
      <c r="K773" s="157"/>
      <c r="L773" s="307"/>
    </row>
    <row r="774" spans="1:12" ht="13.5" customHeight="1">
      <c r="A774" s="157"/>
      <c r="B774" s="156"/>
      <c r="C774" s="207"/>
      <c r="D774" s="208"/>
      <c r="E774" s="208"/>
      <c r="F774" s="157"/>
      <c r="G774" s="185" t="s">
        <v>190</v>
      </c>
      <c r="H774" s="524"/>
      <c r="I774" s="207"/>
      <c r="J774" s="288"/>
      <c r="K774" s="157"/>
      <c r="L774" s="307"/>
    </row>
    <row r="775" spans="1:12" ht="13.5" customHeight="1">
      <c r="A775" s="157"/>
      <c r="B775" s="156"/>
      <c r="C775" s="207"/>
      <c r="D775" s="208"/>
      <c r="E775" s="208"/>
      <c r="F775" s="157"/>
      <c r="G775" s="185" t="s">
        <v>1885</v>
      </c>
      <c r="H775" s="524"/>
      <c r="I775" s="207"/>
      <c r="J775" s="288"/>
      <c r="K775" s="157"/>
      <c r="L775" s="307"/>
    </row>
    <row r="776" spans="1:12" ht="13.5" customHeight="1">
      <c r="A776" s="157"/>
      <c r="B776" s="156"/>
      <c r="C776" s="207"/>
      <c r="D776" s="208"/>
      <c r="E776" s="208"/>
      <c r="F776" s="157"/>
      <c r="G776" s="185"/>
      <c r="H776" s="524"/>
      <c r="I776" s="207"/>
      <c r="J776" s="288"/>
      <c r="K776" s="157"/>
      <c r="L776" s="307"/>
    </row>
    <row r="777" spans="1:12" ht="13.5" customHeight="1">
      <c r="A777" s="157"/>
      <c r="B777" s="156"/>
      <c r="C777" s="207"/>
      <c r="D777" s="208"/>
      <c r="E777" s="208"/>
      <c r="F777" s="157"/>
      <c r="G777" s="185" t="s">
        <v>22</v>
      </c>
      <c r="H777" s="524" t="s">
        <v>1886</v>
      </c>
      <c r="I777" s="207" t="s">
        <v>1887</v>
      </c>
      <c r="J777" s="288" t="s">
        <v>1888</v>
      </c>
      <c r="K777" s="157" t="s">
        <v>24</v>
      </c>
      <c r="L777" s="307" t="s">
        <v>25</v>
      </c>
    </row>
    <row r="778" spans="1:12" ht="13.5" customHeight="1">
      <c r="A778" s="157"/>
      <c r="B778" s="156"/>
      <c r="C778" s="207"/>
      <c r="D778" s="208"/>
      <c r="E778" s="208"/>
      <c r="F778" s="157"/>
      <c r="G778" s="185"/>
      <c r="H778" s="524"/>
      <c r="I778" s="207"/>
      <c r="J778" s="288"/>
      <c r="K778" s="157"/>
      <c r="L778" s="307"/>
    </row>
    <row r="779" spans="1:12" ht="13.5" customHeight="1">
      <c r="A779" s="157"/>
      <c r="B779" s="156"/>
      <c r="C779" s="207"/>
      <c r="D779" s="208"/>
      <c r="E779" s="208"/>
      <c r="F779" s="157"/>
      <c r="G779" s="185">
        <v>42977</v>
      </c>
      <c r="H779" s="524" t="s">
        <v>1375</v>
      </c>
      <c r="I779" s="207" t="s">
        <v>2046</v>
      </c>
      <c r="J779" s="288" t="s">
        <v>2047</v>
      </c>
      <c r="K779" s="157">
        <v>197.84</v>
      </c>
      <c r="L779" s="307"/>
    </row>
    <row r="780" spans="1:12" ht="13.5" customHeight="1">
      <c r="A780" s="157"/>
      <c r="B780" s="156"/>
      <c r="C780" s="207"/>
      <c r="D780" s="208"/>
      <c r="E780" s="208"/>
      <c r="F780" s="157"/>
      <c r="G780" s="185" t="s">
        <v>1882</v>
      </c>
      <c r="H780" s="524"/>
      <c r="I780" s="207"/>
      <c r="J780" s="288"/>
      <c r="K780" s="157">
        <v>197.84</v>
      </c>
      <c r="L780" s="307"/>
    </row>
    <row r="781" spans="1:12" ht="13.5" customHeight="1">
      <c r="A781" s="157"/>
      <c r="B781" s="156"/>
      <c r="C781" s="207"/>
      <c r="D781" s="208"/>
      <c r="E781" s="208"/>
      <c r="F781" s="157"/>
      <c r="G781" s="185"/>
      <c r="H781" s="524"/>
      <c r="I781" s="207"/>
      <c r="J781" s="288"/>
      <c r="K781" s="157"/>
      <c r="L781" s="307"/>
    </row>
    <row r="782" spans="1:12" ht="13.5" customHeight="1">
      <c r="A782" s="157"/>
      <c r="B782" s="156"/>
      <c r="C782" s="207"/>
      <c r="D782" s="208"/>
      <c r="E782" s="208"/>
      <c r="F782" s="157"/>
      <c r="G782" s="185">
        <v>42978</v>
      </c>
      <c r="H782" s="524"/>
      <c r="I782" s="207" t="s">
        <v>1883</v>
      </c>
      <c r="J782" s="288"/>
      <c r="K782" s="157">
        <v>197.84</v>
      </c>
      <c r="L782" s="307"/>
    </row>
    <row r="783" spans="1:12" ht="13.5" customHeight="1">
      <c r="A783" s="157"/>
      <c r="B783" s="156"/>
      <c r="C783" s="207"/>
      <c r="D783" s="208"/>
      <c r="E783" s="208"/>
      <c r="F783" s="157"/>
      <c r="G783" s="185"/>
      <c r="H783" s="524"/>
      <c r="I783" s="207"/>
      <c r="J783" s="288"/>
      <c r="K783" s="157"/>
      <c r="L783" s="307"/>
    </row>
    <row r="784" spans="1:12" ht="13.5" customHeight="1">
      <c r="A784" s="157"/>
      <c r="B784" s="156"/>
      <c r="C784" s="207"/>
      <c r="D784" s="208"/>
      <c r="E784" s="208"/>
      <c r="F784" s="157"/>
      <c r="G784" s="185" t="s">
        <v>2048</v>
      </c>
      <c r="H784" s="524"/>
      <c r="I784" s="207"/>
      <c r="J784" s="288"/>
      <c r="K784" s="157"/>
      <c r="L784" s="307"/>
    </row>
    <row r="785" spans="1:12" ht="13.5" customHeight="1">
      <c r="A785" s="157"/>
      <c r="B785" s="156"/>
      <c r="C785" s="207"/>
      <c r="D785" s="208"/>
      <c r="E785" s="208"/>
      <c r="F785" s="157"/>
      <c r="G785" s="185" t="s">
        <v>1884</v>
      </c>
      <c r="H785" s="524"/>
      <c r="I785" s="207"/>
      <c r="J785" s="288"/>
      <c r="K785" s="157"/>
      <c r="L785" s="307"/>
    </row>
    <row r="786" spans="1:12" ht="13.5" customHeight="1">
      <c r="A786" s="157"/>
      <c r="B786" s="156"/>
      <c r="C786" s="207"/>
      <c r="D786" s="208"/>
      <c r="E786" s="208"/>
      <c r="F786" s="157"/>
      <c r="G786" s="185" t="s">
        <v>190</v>
      </c>
      <c r="H786" s="524"/>
      <c r="I786" s="207"/>
      <c r="J786" s="288"/>
      <c r="K786" s="157"/>
      <c r="L786" s="307"/>
    </row>
    <row r="787" spans="1:12" ht="13.5" customHeight="1">
      <c r="A787" s="157"/>
      <c r="B787" s="156"/>
      <c r="C787" s="207"/>
      <c r="D787" s="208"/>
      <c r="E787" s="208"/>
      <c r="F787" s="157"/>
      <c r="G787" s="185" t="s">
        <v>1885</v>
      </c>
      <c r="H787" s="524"/>
      <c r="I787" s="207"/>
      <c r="J787" s="288"/>
      <c r="K787" s="157"/>
      <c r="L787" s="307"/>
    </row>
    <row r="788" spans="1:12" ht="13.5" customHeight="1">
      <c r="A788" s="157"/>
      <c r="B788" s="156"/>
      <c r="C788" s="207"/>
      <c r="D788" s="208"/>
      <c r="E788" s="208"/>
      <c r="F788" s="157"/>
      <c r="G788" s="185"/>
      <c r="H788" s="524"/>
      <c r="I788" s="207"/>
      <c r="J788" s="288"/>
      <c r="K788" s="157"/>
      <c r="L788" s="307"/>
    </row>
    <row r="789" spans="1:12" ht="13.5" customHeight="1">
      <c r="A789" s="157"/>
      <c r="B789" s="156"/>
      <c r="C789" s="207"/>
      <c r="D789" s="208"/>
      <c r="E789" s="208"/>
      <c r="F789" s="157"/>
      <c r="G789" s="185" t="s">
        <v>22</v>
      </c>
      <c r="H789" s="524" t="s">
        <v>1886</v>
      </c>
      <c r="I789" s="207" t="s">
        <v>1887</v>
      </c>
      <c r="J789" s="288" t="s">
        <v>1888</v>
      </c>
      <c r="K789" s="157" t="s">
        <v>24</v>
      </c>
      <c r="L789" s="307" t="s">
        <v>25</v>
      </c>
    </row>
    <row r="790" spans="1:12" ht="13.5" customHeight="1">
      <c r="A790" s="157"/>
      <c r="B790" s="156"/>
      <c r="C790" s="207"/>
      <c r="D790" s="208"/>
      <c r="E790" s="208"/>
      <c r="F790" s="157"/>
      <c r="G790" s="185"/>
      <c r="H790" s="524"/>
      <c r="I790" s="207"/>
      <c r="J790" s="288"/>
      <c r="K790" s="157"/>
      <c r="L790" s="307"/>
    </row>
    <row r="791" spans="1:12" ht="13.5" customHeight="1">
      <c r="A791" s="157"/>
      <c r="B791" s="156"/>
      <c r="C791" s="207"/>
      <c r="D791" s="208"/>
      <c r="E791" s="208"/>
      <c r="F791" s="157"/>
      <c r="G791" s="185">
        <v>42948</v>
      </c>
      <c r="H791" s="524" t="s">
        <v>1375</v>
      </c>
      <c r="I791" s="207" t="s">
        <v>2049</v>
      </c>
      <c r="J791" s="288" t="s">
        <v>2050</v>
      </c>
      <c r="K791" s="157">
        <v>54.56</v>
      </c>
      <c r="L791" s="307"/>
    </row>
    <row r="792" spans="1:12" ht="13.5" customHeight="1">
      <c r="A792" s="157"/>
      <c r="B792" s="156"/>
      <c r="C792" s="207"/>
      <c r="D792" s="208"/>
      <c r="E792" s="208"/>
      <c r="F792" s="157"/>
      <c r="G792" s="185">
        <v>42951</v>
      </c>
      <c r="H792" s="524" t="s">
        <v>1375</v>
      </c>
      <c r="I792" s="207" t="s">
        <v>2051</v>
      </c>
      <c r="J792" s="288" t="s">
        <v>2052</v>
      </c>
      <c r="K792" s="157">
        <v>54.95</v>
      </c>
      <c r="L792" s="307"/>
    </row>
    <row r="793" spans="1:12" ht="13.5" customHeight="1">
      <c r="A793" s="157"/>
      <c r="B793" s="156"/>
      <c r="C793" s="207"/>
      <c r="D793" s="208"/>
      <c r="E793" s="208"/>
      <c r="F793" s="157"/>
      <c r="G793" s="185">
        <v>42956</v>
      </c>
      <c r="H793" s="524" t="s">
        <v>1375</v>
      </c>
      <c r="I793" s="207" t="s">
        <v>2053</v>
      </c>
      <c r="J793" s="288" t="s">
        <v>2054</v>
      </c>
      <c r="K793" s="157">
        <v>63.27</v>
      </c>
      <c r="L793" s="307"/>
    </row>
    <row r="794" spans="1:12" ht="13.5" customHeight="1">
      <c r="A794" s="157"/>
      <c r="B794" s="156"/>
      <c r="C794" s="207"/>
      <c r="D794" s="208"/>
      <c r="E794" s="208"/>
      <c r="F794" s="157"/>
      <c r="G794" s="185">
        <v>42961</v>
      </c>
      <c r="H794" s="524" t="s">
        <v>1375</v>
      </c>
      <c r="I794" s="207" t="s">
        <v>2055</v>
      </c>
      <c r="J794" s="288" t="s">
        <v>2056</v>
      </c>
      <c r="K794" s="157">
        <v>59.99</v>
      </c>
      <c r="L794" s="307"/>
    </row>
    <row r="795" spans="1:12" ht="13.5" customHeight="1">
      <c r="A795" s="157"/>
      <c r="B795" s="156"/>
      <c r="C795" s="207"/>
      <c r="D795" s="208"/>
      <c r="E795" s="208"/>
      <c r="F795" s="157"/>
      <c r="G795" s="185">
        <v>42964</v>
      </c>
      <c r="H795" s="524" t="s">
        <v>1375</v>
      </c>
      <c r="I795" s="207" t="s">
        <v>2057</v>
      </c>
      <c r="J795" s="288" t="s">
        <v>2058</v>
      </c>
      <c r="K795" s="157">
        <v>61.86</v>
      </c>
      <c r="L795" s="307"/>
    </row>
    <row r="796" spans="1:12" ht="13.5" customHeight="1">
      <c r="A796" s="157"/>
      <c r="B796" s="156"/>
      <c r="C796" s="207"/>
      <c r="D796" s="208"/>
      <c r="E796" s="208"/>
      <c r="F796" s="157"/>
      <c r="G796" s="185">
        <v>42969</v>
      </c>
      <c r="H796" s="524" t="s">
        <v>1375</v>
      </c>
      <c r="I796" s="207" t="s">
        <v>2059</v>
      </c>
      <c r="J796" s="288" t="s">
        <v>2060</v>
      </c>
      <c r="K796" s="157">
        <v>36.450000000000003</v>
      </c>
      <c r="L796" s="307"/>
    </row>
    <row r="797" spans="1:12" ht="13.5" customHeight="1">
      <c r="A797" s="157"/>
      <c r="B797" s="156"/>
      <c r="C797" s="207"/>
      <c r="D797" s="208"/>
      <c r="E797" s="208"/>
      <c r="F797" s="157"/>
      <c r="G797" s="185">
        <v>42972</v>
      </c>
      <c r="H797" s="524" t="s">
        <v>1375</v>
      </c>
      <c r="I797" s="207" t="s">
        <v>2061</v>
      </c>
      <c r="J797" s="288" t="s">
        <v>2062</v>
      </c>
      <c r="K797" s="157">
        <v>59.55</v>
      </c>
      <c r="L797" s="307"/>
    </row>
    <row r="798" spans="1:12" ht="13.5" customHeight="1">
      <c r="A798" s="157"/>
      <c r="B798" s="156"/>
      <c r="C798" s="207"/>
      <c r="D798" s="208"/>
      <c r="E798" s="208"/>
      <c r="F798" s="157"/>
      <c r="G798" s="185">
        <v>42977</v>
      </c>
      <c r="H798" s="524" t="s">
        <v>1375</v>
      </c>
      <c r="I798" s="207" t="s">
        <v>2063</v>
      </c>
      <c r="J798" s="288" t="s">
        <v>2064</v>
      </c>
      <c r="K798" s="157">
        <v>31.82</v>
      </c>
      <c r="L798" s="307"/>
    </row>
    <row r="799" spans="1:12" ht="13.5" customHeight="1">
      <c r="A799" s="157"/>
      <c r="B799" s="156"/>
      <c r="C799" s="207"/>
      <c r="D799" s="208"/>
      <c r="E799" s="208"/>
      <c r="F799" s="157"/>
      <c r="G799" s="185">
        <v>42977</v>
      </c>
      <c r="H799" s="524" t="s">
        <v>1375</v>
      </c>
      <c r="I799" s="207" t="s">
        <v>2065</v>
      </c>
      <c r="J799" s="288" t="s">
        <v>2064</v>
      </c>
      <c r="K799" s="157">
        <v>0.91</v>
      </c>
      <c r="L799" s="307"/>
    </row>
    <row r="800" spans="1:12" ht="13.5" customHeight="1">
      <c r="A800" s="157"/>
      <c r="B800" s="156"/>
      <c r="C800" s="207"/>
      <c r="D800" s="208"/>
      <c r="E800" s="208"/>
      <c r="F800" s="157"/>
      <c r="G800" s="185">
        <v>42977</v>
      </c>
      <c r="H800" s="524" t="s">
        <v>1375</v>
      </c>
      <c r="I800" s="207" t="s">
        <v>2066</v>
      </c>
      <c r="J800" s="288" t="s">
        <v>2064</v>
      </c>
      <c r="K800" s="157">
        <v>9</v>
      </c>
      <c r="L800" s="307"/>
    </row>
    <row r="801" spans="1:12" ht="13.5" customHeight="1">
      <c r="A801" s="157"/>
      <c r="B801" s="156"/>
      <c r="C801" s="207"/>
      <c r="D801" s="208"/>
      <c r="E801" s="208"/>
      <c r="F801" s="157"/>
      <c r="G801" s="185">
        <v>42977</v>
      </c>
      <c r="H801" s="524" t="s">
        <v>1375</v>
      </c>
      <c r="I801" s="207" t="s">
        <v>2067</v>
      </c>
      <c r="J801" s="288" t="s">
        <v>2064</v>
      </c>
      <c r="K801" s="157">
        <v>153</v>
      </c>
      <c r="L801" s="307"/>
    </row>
    <row r="802" spans="1:12" ht="13.5" customHeight="1">
      <c r="A802" s="157"/>
      <c r="B802" s="156"/>
      <c r="C802" s="207"/>
      <c r="D802" s="208"/>
      <c r="E802" s="208"/>
      <c r="F802" s="157"/>
      <c r="G802" s="185">
        <v>42977</v>
      </c>
      <c r="H802" s="524" t="s">
        <v>1375</v>
      </c>
      <c r="I802" s="207" t="s">
        <v>2068</v>
      </c>
      <c r="J802" s="288" t="s">
        <v>2064</v>
      </c>
      <c r="K802" s="157">
        <v>10.71</v>
      </c>
      <c r="L802" s="307"/>
    </row>
    <row r="803" spans="1:12" ht="13.5" customHeight="1">
      <c r="A803" s="157"/>
      <c r="B803" s="156"/>
      <c r="C803" s="207"/>
      <c r="D803" s="208"/>
      <c r="E803" s="208"/>
      <c r="F803" s="157"/>
      <c r="G803" s="185">
        <v>42977</v>
      </c>
      <c r="H803" s="524" t="s">
        <v>1375</v>
      </c>
      <c r="I803" s="207" t="s">
        <v>2069</v>
      </c>
      <c r="J803" s="288" t="s">
        <v>2064</v>
      </c>
      <c r="K803" s="157">
        <v>74.650000000000006</v>
      </c>
      <c r="L803" s="307"/>
    </row>
    <row r="804" spans="1:12" ht="13.5" customHeight="1">
      <c r="A804" s="157"/>
      <c r="B804" s="156"/>
      <c r="C804" s="207"/>
      <c r="D804" s="208"/>
      <c r="E804" s="208"/>
      <c r="F804" s="157"/>
      <c r="G804" s="185">
        <v>42977</v>
      </c>
      <c r="H804" s="524" t="s">
        <v>1375</v>
      </c>
      <c r="I804" s="207" t="s">
        <v>2070</v>
      </c>
      <c r="J804" s="288" t="s">
        <v>2064</v>
      </c>
      <c r="K804" s="157">
        <v>9</v>
      </c>
      <c r="L804" s="307"/>
    </row>
    <row r="805" spans="1:12" ht="13.5" customHeight="1">
      <c r="A805" s="157"/>
      <c r="B805" s="156"/>
      <c r="C805" s="207"/>
      <c r="D805" s="208"/>
      <c r="E805" s="208"/>
      <c r="F805" s="157"/>
      <c r="G805" s="185">
        <v>42977</v>
      </c>
      <c r="H805" s="524" t="s">
        <v>1375</v>
      </c>
      <c r="I805" s="207" t="s">
        <v>2071</v>
      </c>
      <c r="J805" s="288" t="s">
        <v>2064</v>
      </c>
      <c r="K805" s="157">
        <v>1.82</v>
      </c>
      <c r="L805" s="307"/>
    </row>
    <row r="806" spans="1:12" ht="13.5" customHeight="1">
      <c r="A806" s="157"/>
      <c r="B806" s="156"/>
      <c r="C806" s="207"/>
      <c r="D806" s="208"/>
      <c r="E806" s="208"/>
      <c r="F806" s="157"/>
      <c r="G806" s="185" t="s">
        <v>1882</v>
      </c>
      <c r="H806" s="524"/>
      <c r="I806" s="207"/>
      <c r="J806" s="288"/>
      <c r="K806" s="157">
        <v>681.54000000000008</v>
      </c>
      <c r="L806" s="307"/>
    </row>
    <row r="807" spans="1:12" ht="13.5" customHeight="1">
      <c r="A807" s="157"/>
      <c r="B807" s="156"/>
      <c r="C807" s="207"/>
      <c r="D807" s="208"/>
      <c r="E807" s="208"/>
      <c r="F807" s="157"/>
      <c r="G807" s="185"/>
      <c r="H807" s="524"/>
      <c r="I807" s="207"/>
      <c r="J807" s="288"/>
      <c r="K807" s="157"/>
      <c r="L807" s="307"/>
    </row>
    <row r="808" spans="1:12" ht="13.5" customHeight="1">
      <c r="A808" s="157"/>
      <c r="B808" s="156"/>
      <c r="C808" s="207"/>
      <c r="D808" s="208"/>
      <c r="E808" s="208"/>
      <c r="F808" s="157"/>
      <c r="G808" s="185">
        <v>42978</v>
      </c>
      <c r="H808" s="524"/>
      <c r="I808" s="207" t="s">
        <v>1883</v>
      </c>
      <c r="J808" s="288"/>
      <c r="K808" s="157">
        <v>681.54</v>
      </c>
      <c r="L808" s="307"/>
    </row>
    <row r="809" spans="1:12" ht="13.5" customHeight="1">
      <c r="A809" s="157"/>
      <c r="B809" s="156"/>
      <c r="C809" s="207"/>
      <c r="D809" s="208"/>
      <c r="E809" s="208"/>
      <c r="F809" s="157"/>
      <c r="G809" s="185"/>
      <c r="H809" s="524"/>
      <c r="I809" s="207"/>
      <c r="J809" s="288"/>
      <c r="K809" s="157"/>
      <c r="L809" s="307"/>
    </row>
    <row r="810" spans="1:12" ht="13.5" customHeight="1">
      <c r="A810" s="157"/>
      <c r="B810" s="156"/>
      <c r="C810" s="207"/>
      <c r="D810" s="208"/>
      <c r="E810" s="208"/>
      <c r="F810" s="157"/>
      <c r="G810" s="185"/>
      <c r="H810" s="524"/>
      <c r="I810" s="207"/>
      <c r="J810" s="288"/>
      <c r="K810" s="157"/>
      <c r="L810" s="307"/>
    </row>
    <row r="811" spans="1:12" ht="13.5" customHeight="1">
      <c r="A811" s="157"/>
      <c r="B811" s="156"/>
      <c r="C811" s="207"/>
      <c r="D811" s="208"/>
      <c r="E811" s="208"/>
      <c r="F811" s="157"/>
      <c r="G811" s="185" t="s">
        <v>2072</v>
      </c>
      <c r="H811" s="524"/>
      <c r="I811" s="207"/>
      <c r="J811" s="288"/>
      <c r="K811" s="157"/>
      <c r="L811" s="307"/>
    </row>
    <row r="812" spans="1:12" ht="13.5" customHeight="1">
      <c r="A812" s="157"/>
      <c r="B812" s="156"/>
      <c r="C812" s="207"/>
      <c r="D812" s="208"/>
      <c r="E812" s="208"/>
      <c r="F812" s="157"/>
      <c r="G812" s="185" t="s">
        <v>1884</v>
      </c>
      <c r="H812" s="524"/>
      <c r="I812" s="207"/>
      <c r="J812" s="288"/>
      <c r="K812" s="157"/>
      <c r="L812" s="307"/>
    </row>
    <row r="813" spans="1:12" ht="13.5" customHeight="1">
      <c r="A813" s="157"/>
      <c r="B813" s="156"/>
      <c r="C813" s="207"/>
      <c r="D813" s="208"/>
      <c r="E813" s="208"/>
      <c r="F813" s="157"/>
      <c r="G813" s="185" t="s">
        <v>190</v>
      </c>
      <c r="H813" s="524"/>
      <c r="I813" s="207"/>
      <c r="J813" s="288"/>
      <c r="K813" s="157"/>
      <c r="L813" s="307"/>
    </row>
    <row r="814" spans="1:12" ht="13.5" customHeight="1">
      <c r="A814" s="157"/>
      <c r="B814" s="156"/>
      <c r="C814" s="207"/>
      <c r="D814" s="208"/>
      <c r="E814" s="208"/>
      <c r="F814" s="157"/>
      <c r="G814" s="185" t="s">
        <v>1885</v>
      </c>
      <c r="H814" s="524"/>
      <c r="I814" s="207"/>
      <c r="J814" s="288"/>
      <c r="K814" s="157"/>
      <c r="L814" s="307"/>
    </row>
    <row r="815" spans="1:12" ht="13.5" customHeight="1">
      <c r="A815" s="157"/>
      <c r="B815" s="156"/>
      <c r="C815" s="207"/>
      <c r="D815" s="208"/>
      <c r="E815" s="208"/>
      <c r="F815" s="157"/>
      <c r="G815" s="185"/>
      <c r="H815" s="524"/>
      <c r="I815" s="207"/>
      <c r="J815" s="288"/>
      <c r="K815" s="157"/>
      <c r="L815" s="307"/>
    </row>
    <row r="816" spans="1:12" ht="13.5" customHeight="1">
      <c r="A816" s="157"/>
      <c r="B816" s="156"/>
      <c r="C816" s="207"/>
      <c r="D816" s="208"/>
      <c r="E816" s="208"/>
      <c r="F816" s="157"/>
      <c r="G816" s="185" t="s">
        <v>22</v>
      </c>
      <c r="H816" s="524" t="s">
        <v>1886</v>
      </c>
      <c r="I816" s="207" t="s">
        <v>1887</v>
      </c>
      <c r="J816" s="288" t="s">
        <v>1888</v>
      </c>
      <c r="K816" s="157" t="s">
        <v>24</v>
      </c>
      <c r="L816" s="307" t="s">
        <v>25</v>
      </c>
    </row>
    <row r="817" spans="1:12" ht="13.5" customHeight="1">
      <c r="A817" s="157"/>
      <c r="B817" s="156"/>
      <c r="C817" s="207"/>
      <c r="D817" s="208"/>
      <c r="E817" s="208"/>
      <c r="F817" s="157"/>
      <c r="G817" s="185"/>
      <c r="H817" s="524"/>
      <c r="I817" s="207"/>
      <c r="J817" s="288"/>
      <c r="K817" s="157"/>
      <c r="L817" s="307"/>
    </row>
    <row r="818" spans="1:12" ht="13.5" customHeight="1">
      <c r="A818" s="157"/>
      <c r="B818" s="156"/>
      <c r="C818" s="207"/>
      <c r="D818" s="208"/>
      <c r="E818" s="208"/>
      <c r="F818" s="157"/>
      <c r="G818" s="185">
        <v>42948</v>
      </c>
      <c r="H818" s="524" t="s">
        <v>1375</v>
      </c>
      <c r="I818" s="207" t="s">
        <v>2073</v>
      </c>
      <c r="J818" s="288" t="s">
        <v>2074</v>
      </c>
      <c r="K818" s="157">
        <v>60</v>
      </c>
      <c r="L818" s="307"/>
    </row>
    <row r="819" spans="1:12" ht="13.5" customHeight="1">
      <c r="A819" s="157"/>
      <c r="B819" s="156"/>
      <c r="C819" s="207"/>
      <c r="D819" s="208"/>
      <c r="E819" s="208"/>
      <c r="F819" s="157"/>
      <c r="G819" s="185">
        <v>42948</v>
      </c>
      <c r="H819" s="524" t="s">
        <v>1375</v>
      </c>
      <c r="I819" s="207" t="s">
        <v>2075</v>
      </c>
      <c r="J819" s="288" t="s">
        <v>2076</v>
      </c>
      <c r="K819" s="157">
        <v>98.77</v>
      </c>
      <c r="L819" s="307"/>
    </row>
    <row r="820" spans="1:12" ht="13.5" customHeight="1">
      <c r="A820" s="157"/>
      <c r="B820" s="156"/>
      <c r="C820" s="207"/>
      <c r="D820" s="208"/>
      <c r="E820" s="208"/>
      <c r="F820" s="157"/>
      <c r="G820" s="185">
        <v>42954</v>
      </c>
      <c r="H820" s="524" t="s">
        <v>1375</v>
      </c>
      <c r="I820" s="207" t="s">
        <v>2077</v>
      </c>
      <c r="J820" s="288" t="s">
        <v>1543</v>
      </c>
      <c r="K820" s="157">
        <v>101.82</v>
      </c>
      <c r="L820" s="307"/>
    </row>
    <row r="821" spans="1:12" ht="13.5" customHeight="1">
      <c r="A821" s="157"/>
      <c r="B821" s="156"/>
      <c r="C821" s="207"/>
      <c r="D821" s="208"/>
      <c r="E821" s="208"/>
      <c r="F821" s="157"/>
      <c r="G821" s="185">
        <v>42958</v>
      </c>
      <c r="H821" s="524" t="s">
        <v>1375</v>
      </c>
      <c r="I821" s="207" t="s">
        <v>2078</v>
      </c>
      <c r="J821" s="288" t="s">
        <v>2079</v>
      </c>
      <c r="K821" s="157">
        <v>98.45</v>
      </c>
      <c r="L821" s="307"/>
    </row>
    <row r="822" spans="1:12" ht="13.5" customHeight="1">
      <c r="A822" s="157"/>
      <c r="B822" s="156"/>
      <c r="C822" s="207"/>
      <c r="D822" s="208"/>
      <c r="E822" s="208"/>
      <c r="F822" s="157"/>
      <c r="G822" s="185">
        <v>42963</v>
      </c>
      <c r="H822" s="524" t="s">
        <v>1375</v>
      </c>
      <c r="I822" s="207" t="s">
        <v>2080</v>
      </c>
      <c r="J822" s="288" t="s">
        <v>2081</v>
      </c>
      <c r="K822" s="157">
        <v>101.82</v>
      </c>
      <c r="L822" s="307"/>
    </row>
    <row r="823" spans="1:12" ht="13.5" customHeight="1">
      <c r="A823" s="157"/>
      <c r="B823" s="156"/>
      <c r="C823" s="207"/>
      <c r="D823" s="208"/>
      <c r="E823" s="208"/>
      <c r="F823" s="157"/>
      <c r="G823" s="185">
        <v>42968</v>
      </c>
      <c r="H823" s="524" t="s">
        <v>1375</v>
      </c>
      <c r="I823" s="207" t="s">
        <v>2082</v>
      </c>
      <c r="J823" s="288" t="s">
        <v>2083</v>
      </c>
      <c r="K823" s="157">
        <v>88.27</v>
      </c>
      <c r="L823" s="307"/>
    </row>
    <row r="824" spans="1:12" ht="13.5" customHeight="1">
      <c r="A824" s="157"/>
      <c r="B824" s="156"/>
      <c r="C824" s="207"/>
      <c r="D824" s="208"/>
      <c r="E824" s="208"/>
      <c r="F824" s="157"/>
      <c r="G824" s="185">
        <v>42972</v>
      </c>
      <c r="H824" s="524" t="s">
        <v>1375</v>
      </c>
      <c r="I824" s="207" t="s">
        <v>2084</v>
      </c>
      <c r="J824" s="288" t="s">
        <v>2085</v>
      </c>
      <c r="K824" s="157">
        <v>86.38</v>
      </c>
      <c r="L824" s="307"/>
    </row>
    <row r="825" spans="1:12" ht="13.5" customHeight="1">
      <c r="A825" s="157"/>
      <c r="B825" s="156"/>
      <c r="C825" s="207"/>
      <c r="D825" s="208"/>
      <c r="E825" s="208"/>
      <c r="F825" s="157"/>
      <c r="G825" s="185">
        <v>42978</v>
      </c>
      <c r="H825" s="524" t="s">
        <v>1375</v>
      </c>
      <c r="I825" s="207" t="s">
        <v>2086</v>
      </c>
      <c r="J825" s="288" t="s">
        <v>2087</v>
      </c>
      <c r="K825" s="157">
        <v>104.55</v>
      </c>
      <c r="L825" s="307"/>
    </row>
    <row r="826" spans="1:12" ht="13.5" customHeight="1">
      <c r="A826" s="157"/>
      <c r="B826" s="156"/>
      <c r="C826" s="207"/>
      <c r="D826" s="208"/>
      <c r="E826" s="208"/>
      <c r="F826" s="157"/>
      <c r="G826" s="185" t="s">
        <v>1882</v>
      </c>
      <c r="H826" s="524"/>
      <c r="I826" s="207"/>
      <c r="J826" s="288"/>
      <c r="K826" s="157">
        <v>740.06</v>
      </c>
      <c r="L826" s="307"/>
    </row>
    <row r="827" spans="1:12" ht="13.5" customHeight="1">
      <c r="A827" s="157"/>
      <c r="B827" s="156"/>
      <c r="C827" s="207"/>
      <c r="D827" s="208"/>
      <c r="E827" s="208"/>
      <c r="F827" s="157"/>
      <c r="G827" s="185"/>
      <c r="H827" s="524"/>
      <c r="I827" s="207"/>
      <c r="J827" s="288"/>
      <c r="K827" s="157"/>
      <c r="L827" s="307"/>
    </row>
    <row r="828" spans="1:12" ht="13.5" customHeight="1">
      <c r="A828" s="157"/>
      <c r="B828" s="156"/>
      <c r="C828" s="207"/>
      <c r="D828" s="208"/>
      <c r="E828" s="208"/>
      <c r="F828" s="157"/>
      <c r="G828" s="185">
        <v>42978</v>
      </c>
      <c r="H828" s="524"/>
      <c r="I828" s="207" t="s">
        <v>1883</v>
      </c>
      <c r="J828" s="288"/>
      <c r="K828" s="157">
        <v>740.06</v>
      </c>
      <c r="L828" s="307"/>
    </row>
    <row r="829" spans="1:12" ht="13.5" customHeight="1">
      <c r="A829" s="157"/>
      <c r="B829" s="156"/>
      <c r="C829" s="207"/>
      <c r="D829" s="208"/>
      <c r="E829" s="208"/>
      <c r="F829" s="157"/>
      <c r="G829" s="185"/>
      <c r="H829" s="524"/>
      <c r="I829" s="207"/>
      <c r="J829" s="288"/>
      <c r="K829" s="157"/>
      <c r="L829" s="307"/>
    </row>
    <row r="830" spans="1:12" ht="13.5" customHeight="1">
      <c r="A830" s="157"/>
      <c r="B830" s="156"/>
      <c r="C830" s="207"/>
      <c r="D830" s="208"/>
      <c r="E830" s="208"/>
      <c r="F830" s="157"/>
      <c r="G830" s="185"/>
      <c r="H830" s="524"/>
      <c r="I830" s="207"/>
      <c r="J830" s="288"/>
      <c r="K830" s="157"/>
      <c r="L830" s="307"/>
    </row>
    <row r="831" spans="1:12" ht="13.5" customHeight="1">
      <c r="A831" s="157"/>
      <c r="B831" s="156"/>
      <c r="C831" s="207"/>
      <c r="D831" s="208"/>
      <c r="E831" s="208"/>
      <c r="F831" s="157"/>
      <c r="G831" s="185" t="s">
        <v>2088</v>
      </c>
      <c r="H831" s="524"/>
      <c r="I831" s="207"/>
      <c r="J831" s="288"/>
      <c r="K831" s="157"/>
      <c r="L831" s="307"/>
    </row>
    <row r="832" spans="1:12" ht="13.5" customHeight="1">
      <c r="A832" s="157"/>
      <c r="B832" s="156"/>
      <c r="C832" s="207"/>
      <c r="D832" s="208"/>
      <c r="E832" s="208"/>
      <c r="F832" s="157"/>
      <c r="G832" s="185" t="s">
        <v>1884</v>
      </c>
      <c r="H832" s="524"/>
      <c r="I832" s="207"/>
      <c r="J832" s="288"/>
      <c r="K832" s="157"/>
      <c r="L832" s="307"/>
    </row>
    <row r="833" spans="1:12" ht="13.5" customHeight="1">
      <c r="A833" s="157"/>
      <c r="B833" s="156"/>
      <c r="C833" s="207"/>
      <c r="D833" s="208"/>
      <c r="E833" s="208"/>
      <c r="F833" s="157"/>
      <c r="G833" s="185" t="s">
        <v>190</v>
      </c>
      <c r="H833" s="524"/>
      <c r="I833" s="207"/>
      <c r="J833" s="288"/>
      <c r="K833" s="157"/>
      <c r="L833" s="307"/>
    </row>
    <row r="834" spans="1:12" ht="13.5" customHeight="1">
      <c r="A834" s="157"/>
      <c r="B834" s="156"/>
      <c r="C834" s="207"/>
      <c r="D834" s="208"/>
      <c r="E834" s="208"/>
      <c r="F834" s="157"/>
      <c r="G834" s="185" t="s">
        <v>1885</v>
      </c>
      <c r="H834" s="524"/>
      <c r="I834" s="207"/>
      <c r="J834" s="288"/>
      <c r="K834" s="157"/>
      <c r="L834" s="307"/>
    </row>
    <row r="835" spans="1:12" ht="13.5" customHeight="1">
      <c r="A835" s="157"/>
      <c r="B835" s="156"/>
      <c r="C835" s="207"/>
      <c r="D835" s="208"/>
      <c r="E835" s="208"/>
      <c r="F835" s="157"/>
      <c r="G835" s="185"/>
      <c r="H835" s="524"/>
      <c r="I835" s="207"/>
      <c r="J835" s="288"/>
      <c r="K835" s="157"/>
      <c r="L835" s="307"/>
    </row>
    <row r="836" spans="1:12" ht="13.5" customHeight="1">
      <c r="A836" s="157"/>
      <c r="B836" s="156"/>
      <c r="C836" s="207"/>
      <c r="D836" s="208"/>
      <c r="E836" s="208"/>
      <c r="F836" s="157"/>
      <c r="G836" s="185" t="s">
        <v>22</v>
      </c>
      <c r="H836" s="524" t="s">
        <v>1886</v>
      </c>
      <c r="I836" s="207" t="s">
        <v>1887</v>
      </c>
      <c r="J836" s="288" t="s">
        <v>1888</v>
      </c>
      <c r="K836" s="157" t="s">
        <v>24</v>
      </c>
      <c r="L836" s="307" t="s">
        <v>25</v>
      </c>
    </row>
    <row r="837" spans="1:12" ht="13.5" customHeight="1">
      <c r="A837" s="157"/>
      <c r="B837" s="156"/>
      <c r="C837" s="207"/>
      <c r="D837" s="208"/>
      <c r="E837" s="208"/>
      <c r="F837" s="157"/>
      <c r="G837" s="185"/>
      <c r="H837" s="524"/>
      <c r="I837" s="207"/>
      <c r="J837" s="288"/>
      <c r="K837" s="157"/>
      <c r="L837" s="307"/>
    </row>
    <row r="838" spans="1:12" ht="13.5" customHeight="1">
      <c r="A838" s="157"/>
      <c r="B838" s="156"/>
      <c r="C838" s="207"/>
      <c r="D838" s="208"/>
      <c r="E838" s="208"/>
      <c r="F838" s="157"/>
      <c r="G838" s="185">
        <v>42964</v>
      </c>
      <c r="H838" s="524" t="s">
        <v>1375</v>
      </c>
      <c r="I838" s="207" t="s">
        <v>2089</v>
      </c>
      <c r="J838" s="288" t="s">
        <v>2090</v>
      </c>
      <c r="K838" s="157">
        <v>60.91</v>
      </c>
      <c r="L838" s="307"/>
    </row>
    <row r="839" spans="1:12" ht="13.5" customHeight="1">
      <c r="A839" s="157"/>
      <c r="B839" s="156"/>
      <c r="C839" s="207"/>
      <c r="D839" s="208"/>
      <c r="E839" s="208"/>
      <c r="F839" s="157"/>
      <c r="G839" s="185" t="s">
        <v>1882</v>
      </c>
      <c r="H839" s="524"/>
      <c r="I839" s="207"/>
      <c r="J839" s="288"/>
      <c r="K839" s="157">
        <v>60.91</v>
      </c>
      <c r="L839" s="307"/>
    </row>
    <row r="840" spans="1:12" ht="13.5" customHeight="1">
      <c r="A840" s="157"/>
      <c r="B840" s="156"/>
      <c r="C840" s="207"/>
      <c r="D840" s="208"/>
      <c r="E840" s="208"/>
      <c r="F840" s="157"/>
      <c r="G840" s="185"/>
      <c r="H840" s="524"/>
      <c r="I840" s="207"/>
      <c r="J840" s="288"/>
      <c r="K840" s="157"/>
      <c r="L840" s="307"/>
    </row>
    <row r="841" spans="1:12" ht="13.5" customHeight="1">
      <c r="A841" s="157"/>
      <c r="B841" s="156"/>
      <c r="C841" s="207"/>
      <c r="D841" s="208"/>
      <c r="E841" s="208"/>
      <c r="F841" s="157"/>
      <c r="G841" s="185">
        <v>42978</v>
      </c>
      <c r="H841" s="524"/>
      <c r="I841" s="207" t="s">
        <v>1883</v>
      </c>
      <c r="J841" s="288"/>
      <c r="K841" s="157">
        <v>60.91</v>
      </c>
      <c r="L841" s="307"/>
    </row>
    <row r="842" spans="1:12" ht="13.5" customHeight="1">
      <c r="A842" s="157"/>
      <c r="B842" s="156"/>
      <c r="C842" s="207"/>
      <c r="D842" s="208"/>
      <c r="E842" s="208"/>
      <c r="F842" s="157"/>
      <c r="G842" s="185"/>
      <c r="H842" s="524"/>
      <c r="I842" s="207"/>
      <c r="J842" s="288"/>
      <c r="K842" s="157"/>
      <c r="L842" s="307"/>
    </row>
    <row r="843" spans="1:12" ht="13.5" customHeight="1">
      <c r="A843" s="157"/>
      <c r="B843" s="156"/>
      <c r="C843" s="207"/>
      <c r="D843" s="208"/>
      <c r="E843" s="208"/>
      <c r="F843" s="157"/>
      <c r="G843" s="185"/>
      <c r="H843" s="524"/>
      <c r="I843" s="207"/>
      <c r="J843" s="288"/>
      <c r="K843" s="157"/>
      <c r="L843" s="307"/>
    </row>
    <row r="844" spans="1:12" ht="13.5" customHeight="1">
      <c r="A844" s="157"/>
      <c r="B844" s="156"/>
      <c r="C844" s="207"/>
      <c r="D844" s="208"/>
      <c r="E844" s="208"/>
      <c r="F844" s="157"/>
      <c r="G844" s="185" t="s">
        <v>2091</v>
      </c>
      <c r="H844" s="524"/>
      <c r="I844" s="207"/>
      <c r="J844" s="288"/>
      <c r="K844" s="157"/>
      <c r="L844" s="307"/>
    </row>
    <row r="845" spans="1:12" ht="13.5" customHeight="1">
      <c r="A845" s="157"/>
      <c r="B845" s="156"/>
      <c r="C845" s="207"/>
      <c r="D845" s="208"/>
      <c r="E845" s="208"/>
      <c r="F845" s="157"/>
      <c r="G845" s="185" t="s">
        <v>1884</v>
      </c>
      <c r="H845" s="524"/>
      <c r="I845" s="207"/>
      <c r="J845" s="288"/>
      <c r="K845" s="157"/>
      <c r="L845" s="307"/>
    </row>
    <row r="846" spans="1:12" ht="13.5" customHeight="1">
      <c r="A846" s="157"/>
      <c r="B846" s="156"/>
      <c r="C846" s="207"/>
      <c r="D846" s="208"/>
      <c r="E846" s="208"/>
      <c r="F846" s="157"/>
      <c r="G846" s="185" t="s">
        <v>190</v>
      </c>
      <c r="H846" s="524"/>
      <c r="I846" s="207"/>
      <c r="J846" s="288"/>
      <c r="K846" s="157"/>
      <c r="L846" s="307"/>
    </row>
    <row r="847" spans="1:12" ht="13.5" customHeight="1">
      <c r="A847" s="157"/>
      <c r="B847" s="156"/>
      <c r="C847" s="207"/>
      <c r="D847" s="208"/>
      <c r="E847" s="208"/>
      <c r="F847" s="157"/>
      <c r="G847" s="185" t="s">
        <v>1885</v>
      </c>
      <c r="H847" s="524"/>
      <c r="I847" s="207"/>
      <c r="J847" s="288"/>
      <c r="K847" s="157"/>
      <c r="L847" s="307"/>
    </row>
    <row r="848" spans="1:12" ht="13.5" customHeight="1">
      <c r="A848" s="157"/>
      <c r="B848" s="156"/>
      <c r="C848" s="207"/>
      <c r="D848" s="208"/>
      <c r="E848" s="208"/>
      <c r="F848" s="157"/>
      <c r="G848" s="185"/>
      <c r="H848" s="524"/>
      <c r="I848" s="207"/>
      <c r="J848" s="288"/>
      <c r="K848" s="157"/>
      <c r="L848" s="307"/>
    </row>
    <row r="849" spans="1:12" ht="13.5" customHeight="1">
      <c r="A849" s="157"/>
      <c r="B849" s="156"/>
      <c r="C849" s="207"/>
      <c r="D849" s="208"/>
      <c r="E849" s="208"/>
      <c r="F849" s="157"/>
      <c r="G849" s="185" t="s">
        <v>22</v>
      </c>
      <c r="H849" s="524" t="s">
        <v>1886</v>
      </c>
      <c r="I849" s="207" t="s">
        <v>1887</v>
      </c>
      <c r="J849" s="288" t="s">
        <v>1888</v>
      </c>
      <c r="K849" s="157" t="s">
        <v>24</v>
      </c>
      <c r="L849" s="307" t="s">
        <v>25</v>
      </c>
    </row>
    <row r="850" spans="1:12" ht="13.5" customHeight="1">
      <c r="A850" s="157"/>
      <c r="B850" s="156"/>
      <c r="C850" s="207"/>
      <c r="D850" s="208"/>
      <c r="E850" s="208"/>
      <c r="F850" s="157"/>
      <c r="G850" s="185"/>
      <c r="H850" s="524"/>
      <c r="I850" s="207"/>
      <c r="J850" s="288"/>
      <c r="K850" s="157"/>
      <c r="L850" s="307"/>
    </row>
    <row r="851" spans="1:12" ht="13.5" customHeight="1">
      <c r="A851" s="157"/>
      <c r="B851" s="156"/>
      <c r="C851" s="207"/>
      <c r="D851" s="208"/>
      <c r="E851" s="208"/>
      <c r="F851" s="157"/>
      <c r="G851" s="185">
        <v>42963</v>
      </c>
      <c r="H851" s="524" t="s">
        <v>1375</v>
      </c>
      <c r="I851" s="207" t="s">
        <v>2092</v>
      </c>
      <c r="J851" s="288" t="s">
        <v>2093</v>
      </c>
      <c r="K851" s="157">
        <v>58.95</v>
      </c>
      <c r="L851" s="307"/>
    </row>
    <row r="852" spans="1:12" ht="13.5" customHeight="1">
      <c r="A852" s="157"/>
      <c r="B852" s="156"/>
      <c r="C852" s="207"/>
      <c r="D852" s="208"/>
      <c r="E852" s="208"/>
      <c r="F852" s="157"/>
      <c r="G852" s="185">
        <v>42970</v>
      </c>
      <c r="H852" s="524" t="s">
        <v>1375</v>
      </c>
      <c r="I852" s="207" t="s">
        <v>2094</v>
      </c>
      <c r="J852" s="288" t="s">
        <v>2095</v>
      </c>
      <c r="K852" s="157">
        <v>70.91</v>
      </c>
      <c r="L852" s="307"/>
    </row>
    <row r="853" spans="1:12" ht="13.5" customHeight="1">
      <c r="A853" s="157"/>
      <c r="B853" s="156"/>
      <c r="C853" s="207"/>
      <c r="D853" s="208"/>
      <c r="E853" s="208"/>
      <c r="F853" s="157"/>
      <c r="G853" s="185">
        <v>42976</v>
      </c>
      <c r="H853" s="524" t="s">
        <v>1375</v>
      </c>
      <c r="I853" s="207" t="s">
        <v>2096</v>
      </c>
      <c r="J853" s="288" t="s">
        <v>2097</v>
      </c>
      <c r="K853" s="157">
        <v>40.200000000000003</v>
      </c>
      <c r="L853" s="307"/>
    </row>
    <row r="854" spans="1:12" ht="13.5" customHeight="1">
      <c r="A854" s="157"/>
      <c r="B854" s="156"/>
      <c r="C854" s="207"/>
      <c r="D854" s="208"/>
      <c r="E854" s="208"/>
      <c r="F854" s="157"/>
      <c r="G854" s="185" t="s">
        <v>1882</v>
      </c>
      <c r="H854" s="524"/>
      <c r="I854" s="207"/>
      <c r="J854" s="288"/>
      <c r="K854" s="157">
        <v>170.06</v>
      </c>
      <c r="L854" s="307"/>
    </row>
    <row r="855" spans="1:12" ht="13.5" customHeight="1">
      <c r="A855" s="157"/>
      <c r="B855" s="156"/>
      <c r="C855" s="207"/>
      <c r="D855" s="208"/>
      <c r="E855" s="208"/>
      <c r="F855" s="157"/>
      <c r="G855" s="185"/>
      <c r="H855" s="524"/>
      <c r="I855" s="207"/>
      <c r="J855" s="288"/>
      <c r="K855" s="157"/>
      <c r="L855" s="307"/>
    </row>
    <row r="856" spans="1:12" ht="13.5" customHeight="1">
      <c r="A856" s="157"/>
      <c r="B856" s="156"/>
      <c r="C856" s="207"/>
      <c r="D856" s="208"/>
      <c r="E856" s="208"/>
      <c r="F856" s="157"/>
      <c r="G856" s="185">
        <v>42978</v>
      </c>
      <c r="H856" s="524"/>
      <c r="I856" s="207" t="s">
        <v>1883</v>
      </c>
      <c r="J856" s="288"/>
      <c r="K856" s="157">
        <v>170.06</v>
      </c>
      <c r="L856" s="307"/>
    </row>
    <row r="857" spans="1:12" ht="13.5" customHeight="1">
      <c r="A857" s="157"/>
      <c r="B857" s="156"/>
      <c r="C857" s="207"/>
      <c r="D857" s="208"/>
      <c r="E857" s="208"/>
      <c r="F857" s="157"/>
      <c r="G857" s="185"/>
      <c r="H857" s="524"/>
      <c r="I857" s="207"/>
      <c r="J857" s="288"/>
      <c r="K857" s="157"/>
      <c r="L857" s="307"/>
    </row>
    <row r="858" spans="1:12" ht="13.5" customHeight="1">
      <c r="A858" s="157"/>
      <c r="B858" s="156"/>
      <c r="C858" s="207"/>
      <c r="D858" s="208"/>
      <c r="E858" s="208"/>
      <c r="F858" s="157"/>
      <c r="G858" s="185" t="s">
        <v>2098</v>
      </c>
      <c r="H858" s="524"/>
      <c r="I858" s="207"/>
      <c r="J858" s="288"/>
      <c r="K858" s="157"/>
      <c r="L858" s="307"/>
    </row>
    <row r="859" spans="1:12" ht="13.5" customHeight="1">
      <c r="A859" s="157"/>
      <c r="B859" s="156"/>
      <c r="C859" s="207"/>
      <c r="D859" s="208"/>
      <c r="E859" s="208"/>
      <c r="F859" s="157"/>
      <c r="G859" s="185" t="s">
        <v>1884</v>
      </c>
      <c r="H859" s="524"/>
      <c r="I859" s="207"/>
      <c r="J859" s="288"/>
      <c r="K859" s="157"/>
      <c r="L859" s="307"/>
    </row>
    <row r="860" spans="1:12" ht="13.5" customHeight="1">
      <c r="A860" s="157"/>
      <c r="B860" s="156"/>
      <c r="C860" s="207"/>
      <c r="D860" s="208"/>
      <c r="E860" s="208"/>
      <c r="F860" s="157"/>
      <c r="G860" s="185" t="s">
        <v>190</v>
      </c>
      <c r="H860" s="524"/>
      <c r="I860" s="207"/>
      <c r="J860" s="288"/>
      <c r="K860" s="157"/>
      <c r="L860" s="307"/>
    </row>
    <row r="861" spans="1:12" ht="13.5" customHeight="1">
      <c r="A861" s="157"/>
      <c r="B861" s="156"/>
      <c r="C861" s="207"/>
      <c r="D861" s="208"/>
      <c r="E861" s="208"/>
      <c r="F861" s="157"/>
      <c r="G861" s="185" t="s">
        <v>1885</v>
      </c>
      <c r="H861" s="524"/>
      <c r="I861" s="207"/>
      <c r="J861" s="288"/>
      <c r="K861" s="157"/>
      <c r="L861" s="307"/>
    </row>
    <row r="862" spans="1:12" ht="13.5" customHeight="1">
      <c r="A862" s="157"/>
      <c r="B862" s="156"/>
      <c r="C862" s="207"/>
      <c r="D862" s="208"/>
      <c r="E862" s="208"/>
      <c r="F862" s="157"/>
      <c r="G862" s="185"/>
      <c r="H862" s="524"/>
      <c r="I862" s="207"/>
      <c r="J862" s="288"/>
      <c r="K862" s="157"/>
      <c r="L862" s="307"/>
    </row>
    <row r="863" spans="1:12" ht="13.5" customHeight="1">
      <c r="A863" s="157"/>
      <c r="B863" s="156"/>
      <c r="C863" s="207"/>
      <c r="D863" s="208"/>
      <c r="E863" s="208"/>
      <c r="F863" s="157"/>
      <c r="G863" s="185" t="s">
        <v>22</v>
      </c>
      <c r="H863" s="524" t="s">
        <v>1886</v>
      </c>
      <c r="I863" s="207" t="s">
        <v>1887</v>
      </c>
      <c r="J863" s="288" t="s">
        <v>1888</v>
      </c>
      <c r="K863" s="157" t="s">
        <v>24</v>
      </c>
      <c r="L863" s="307" t="s">
        <v>25</v>
      </c>
    </row>
    <row r="864" spans="1:12" ht="13.5" customHeight="1">
      <c r="A864" s="157"/>
      <c r="B864" s="156"/>
      <c r="C864" s="207"/>
      <c r="D864" s="208"/>
      <c r="E864" s="208"/>
      <c r="F864" s="157"/>
      <c r="G864" s="185"/>
      <c r="H864" s="524"/>
      <c r="I864" s="207"/>
      <c r="J864" s="288"/>
      <c r="K864" s="157"/>
      <c r="L864" s="307"/>
    </row>
    <row r="865" spans="1:12" ht="13.5" customHeight="1">
      <c r="A865" s="157"/>
      <c r="B865" s="156"/>
      <c r="C865" s="207"/>
      <c r="D865" s="208"/>
      <c r="E865" s="208"/>
      <c r="F865" s="157"/>
      <c r="G865" s="185">
        <v>42955</v>
      </c>
      <c r="H865" s="524" t="s">
        <v>1375</v>
      </c>
      <c r="I865" s="207" t="s">
        <v>2099</v>
      </c>
      <c r="J865" s="288" t="s">
        <v>2100</v>
      </c>
      <c r="K865" s="157">
        <v>71.489999999999995</v>
      </c>
      <c r="L865" s="307"/>
    </row>
    <row r="866" spans="1:12" ht="13.5" customHeight="1">
      <c r="A866" s="157"/>
      <c r="B866" s="156"/>
      <c r="C866" s="207"/>
      <c r="D866" s="208"/>
      <c r="E866" s="208"/>
      <c r="F866" s="157"/>
      <c r="G866" s="185">
        <v>42964</v>
      </c>
      <c r="H866" s="524" t="s">
        <v>1375</v>
      </c>
      <c r="I866" s="207" t="s">
        <v>2101</v>
      </c>
      <c r="J866" s="288" t="s">
        <v>2102</v>
      </c>
      <c r="K866" s="157">
        <v>76.48</v>
      </c>
      <c r="L866" s="307"/>
    </row>
    <row r="867" spans="1:12" ht="13.5" customHeight="1">
      <c r="A867" s="157"/>
      <c r="B867" s="156"/>
      <c r="C867" s="207"/>
      <c r="D867" s="208"/>
      <c r="E867" s="208"/>
      <c r="F867" s="157"/>
      <c r="G867" s="185" t="s">
        <v>1882</v>
      </c>
      <c r="H867" s="524"/>
      <c r="I867" s="207"/>
      <c r="J867" s="288"/>
      <c r="K867" s="157">
        <v>147.97</v>
      </c>
      <c r="L867" s="307"/>
    </row>
    <row r="868" spans="1:12" ht="13.5" customHeight="1">
      <c r="A868" s="157"/>
      <c r="B868" s="156"/>
      <c r="C868" s="207"/>
      <c r="D868" s="208"/>
      <c r="E868" s="208"/>
      <c r="F868" s="157"/>
      <c r="G868" s="185"/>
      <c r="H868" s="524"/>
      <c r="I868" s="207"/>
      <c r="J868" s="288"/>
      <c r="K868" s="157"/>
      <c r="L868" s="307"/>
    </row>
    <row r="869" spans="1:12" ht="13.5" customHeight="1">
      <c r="A869" s="157"/>
      <c r="B869" s="156"/>
      <c r="C869" s="207"/>
      <c r="D869" s="208"/>
      <c r="E869" s="208"/>
      <c r="F869" s="157"/>
      <c r="G869" s="185">
        <v>42978</v>
      </c>
      <c r="H869" s="524"/>
      <c r="I869" s="207" t="s">
        <v>1883</v>
      </c>
      <c r="J869" s="288"/>
      <c r="K869" s="157">
        <v>147.97</v>
      </c>
      <c r="L869" s="307"/>
    </row>
    <row r="870" spans="1:12" ht="13.5" customHeight="1">
      <c r="A870" s="157"/>
      <c r="B870" s="156"/>
      <c r="C870" s="207"/>
      <c r="D870" s="208"/>
      <c r="E870" s="208"/>
      <c r="F870" s="157"/>
      <c r="G870" s="185"/>
      <c r="H870" s="524"/>
      <c r="I870" s="207"/>
      <c r="J870" s="288"/>
      <c r="K870" s="157"/>
      <c r="L870" s="307"/>
    </row>
    <row r="871" spans="1:12" ht="13.5" customHeight="1">
      <c r="A871" s="157"/>
      <c r="B871" s="156"/>
      <c r="C871" s="207"/>
      <c r="D871" s="208"/>
      <c r="E871" s="208"/>
      <c r="F871" s="157"/>
      <c r="G871" s="185"/>
      <c r="H871" s="524"/>
      <c r="I871" s="207"/>
      <c r="J871" s="288"/>
      <c r="K871" s="157"/>
      <c r="L871" s="307"/>
    </row>
    <row r="872" spans="1:12" ht="13.5" customHeight="1">
      <c r="A872" s="157"/>
      <c r="B872" s="156"/>
      <c r="C872" s="207"/>
      <c r="D872" s="208"/>
      <c r="E872" s="208"/>
      <c r="F872" s="157"/>
      <c r="G872" s="185"/>
      <c r="H872" s="524"/>
      <c r="I872" s="207"/>
      <c r="J872" s="288"/>
      <c r="K872" s="157"/>
      <c r="L872" s="307"/>
    </row>
    <row r="873" spans="1:12" ht="13.5" customHeight="1">
      <c r="A873" s="157"/>
      <c r="B873" s="156"/>
      <c r="C873" s="207"/>
      <c r="D873" s="208"/>
      <c r="E873" s="208"/>
      <c r="F873" s="157"/>
      <c r="G873" s="185" t="s">
        <v>2103</v>
      </c>
      <c r="H873" s="524"/>
      <c r="I873" s="207"/>
      <c r="J873" s="288"/>
      <c r="K873" s="157"/>
      <c r="L873" s="307"/>
    </row>
    <row r="874" spans="1:12" ht="13.5" customHeight="1">
      <c r="A874" s="157"/>
      <c r="B874" s="156"/>
      <c r="C874" s="207"/>
      <c r="D874" s="208"/>
      <c r="E874" s="208"/>
      <c r="F874" s="157"/>
      <c r="G874" s="185" t="s">
        <v>1884</v>
      </c>
      <c r="H874" s="524"/>
      <c r="I874" s="207"/>
      <c r="J874" s="288"/>
      <c r="K874" s="157"/>
      <c r="L874" s="307"/>
    </row>
    <row r="875" spans="1:12" ht="13.5" customHeight="1">
      <c r="A875" s="157"/>
      <c r="B875" s="156"/>
      <c r="C875" s="207"/>
      <c r="D875" s="208"/>
      <c r="E875" s="208"/>
      <c r="F875" s="157"/>
      <c r="G875" s="185" t="s">
        <v>190</v>
      </c>
      <c r="H875" s="524"/>
      <c r="I875" s="207"/>
      <c r="J875" s="288"/>
      <c r="K875" s="157"/>
      <c r="L875" s="307"/>
    </row>
    <row r="876" spans="1:12" ht="13.5" customHeight="1">
      <c r="A876" s="157"/>
      <c r="B876" s="156"/>
      <c r="C876" s="207"/>
      <c r="D876" s="208"/>
      <c r="E876" s="208"/>
      <c r="F876" s="157"/>
      <c r="G876" s="185" t="s">
        <v>1885</v>
      </c>
      <c r="H876" s="524"/>
      <c r="I876" s="207"/>
      <c r="J876" s="288"/>
      <c r="K876" s="157"/>
      <c r="L876" s="307"/>
    </row>
    <row r="877" spans="1:12" ht="13.5" customHeight="1">
      <c r="A877" s="157"/>
      <c r="B877" s="156"/>
      <c r="C877" s="207"/>
      <c r="D877" s="208"/>
      <c r="E877" s="208"/>
      <c r="F877" s="157"/>
      <c r="G877" s="185"/>
      <c r="H877" s="524"/>
      <c r="I877" s="207"/>
      <c r="J877" s="288"/>
      <c r="K877" s="157"/>
      <c r="L877" s="307"/>
    </row>
    <row r="878" spans="1:12" ht="13.5" customHeight="1">
      <c r="A878" s="157"/>
      <c r="B878" s="156"/>
      <c r="C878" s="207"/>
      <c r="D878" s="208"/>
      <c r="E878" s="208"/>
      <c r="F878" s="157"/>
      <c r="G878" s="185" t="s">
        <v>22</v>
      </c>
      <c r="H878" s="524" t="s">
        <v>1886</v>
      </c>
      <c r="I878" s="207" t="s">
        <v>1887</v>
      </c>
      <c r="J878" s="288" t="s">
        <v>1888</v>
      </c>
      <c r="K878" s="157" t="s">
        <v>24</v>
      </c>
      <c r="L878" s="307" t="s">
        <v>25</v>
      </c>
    </row>
    <row r="879" spans="1:12" ht="13.5" customHeight="1">
      <c r="A879" s="157"/>
      <c r="B879" s="156"/>
      <c r="C879" s="207"/>
      <c r="D879" s="208"/>
      <c r="E879" s="208"/>
      <c r="F879" s="157"/>
      <c r="G879" s="185"/>
      <c r="H879" s="524"/>
      <c r="I879" s="207"/>
      <c r="J879" s="288"/>
      <c r="K879" s="157"/>
      <c r="L879" s="307"/>
    </row>
    <row r="880" spans="1:12" ht="13.5" customHeight="1">
      <c r="A880" s="157"/>
      <c r="B880" s="156"/>
      <c r="C880" s="207"/>
      <c r="D880" s="208"/>
      <c r="E880" s="208"/>
      <c r="F880" s="157"/>
      <c r="G880" s="185">
        <v>42948</v>
      </c>
      <c r="H880" s="524" t="s">
        <v>1375</v>
      </c>
      <c r="I880" s="207" t="s">
        <v>2104</v>
      </c>
      <c r="J880" s="288" t="s">
        <v>2105</v>
      </c>
      <c r="K880" s="157">
        <v>59.38</v>
      </c>
      <c r="L880" s="307"/>
    </row>
    <row r="881" spans="1:12" ht="13.5" customHeight="1">
      <c r="A881" s="157"/>
      <c r="B881" s="156"/>
      <c r="C881" s="207"/>
      <c r="D881" s="208"/>
      <c r="E881" s="208"/>
      <c r="F881" s="157"/>
      <c r="G881" s="185">
        <v>42955</v>
      </c>
      <c r="H881" s="524" t="s">
        <v>1375</v>
      </c>
      <c r="I881" s="207" t="s">
        <v>2106</v>
      </c>
      <c r="J881" s="288" t="s">
        <v>2107</v>
      </c>
      <c r="K881" s="157">
        <v>57.68</v>
      </c>
      <c r="L881" s="307"/>
    </row>
    <row r="882" spans="1:12" ht="13.5" customHeight="1">
      <c r="A882" s="157"/>
      <c r="B882" s="156"/>
      <c r="C882" s="207"/>
      <c r="D882" s="208"/>
      <c r="E882" s="208"/>
      <c r="F882" s="157"/>
      <c r="G882" s="185">
        <v>42962</v>
      </c>
      <c r="H882" s="524" t="s">
        <v>1375</v>
      </c>
      <c r="I882" s="207" t="s">
        <v>2108</v>
      </c>
      <c r="J882" s="288" t="s">
        <v>2109</v>
      </c>
      <c r="K882" s="157">
        <v>65.650000000000006</v>
      </c>
      <c r="L882" s="307"/>
    </row>
    <row r="883" spans="1:12" ht="13.5" customHeight="1">
      <c r="A883" s="157"/>
      <c r="B883" s="156"/>
      <c r="C883" s="207"/>
      <c r="D883" s="208"/>
      <c r="E883" s="208"/>
      <c r="F883" s="157"/>
      <c r="G883" s="185">
        <v>42969</v>
      </c>
      <c r="H883" s="524" t="s">
        <v>1375</v>
      </c>
      <c r="I883" s="207" t="s">
        <v>2110</v>
      </c>
      <c r="J883" s="288" t="s">
        <v>2111</v>
      </c>
      <c r="K883" s="157">
        <v>66.33</v>
      </c>
      <c r="L883" s="307"/>
    </row>
    <row r="884" spans="1:12" ht="13.5" customHeight="1">
      <c r="A884" s="157"/>
      <c r="B884" s="156"/>
      <c r="C884" s="207"/>
      <c r="D884" s="208"/>
      <c r="E884" s="208"/>
      <c r="F884" s="157"/>
      <c r="G884" s="185">
        <v>42976</v>
      </c>
      <c r="H884" s="524" t="s">
        <v>1375</v>
      </c>
      <c r="I884" s="207" t="s">
        <v>2112</v>
      </c>
      <c r="J884" s="288" t="s">
        <v>2113</v>
      </c>
      <c r="K884" s="157">
        <v>67.069999999999993</v>
      </c>
      <c r="L884" s="307"/>
    </row>
    <row r="885" spans="1:12" ht="13.5" customHeight="1">
      <c r="A885" s="157"/>
      <c r="B885" s="156"/>
      <c r="C885" s="207"/>
      <c r="D885" s="208"/>
      <c r="E885" s="208"/>
      <c r="F885" s="157"/>
      <c r="G885" s="185" t="s">
        <v>1882</v>
      </c>
      <c r="H885" s="524"/>
      <c r="I885" s="207"/>
      <c r="J885" s="288"/>
      <c r="K885" s="157">
        <v>316.11</v>
      </c>
      <c r="L885" s="307"/>
    </row>
    <row r="886" spans="1:12" ht="13.5" customHeight="1">
      <c r="A886" s="157"/>
      <c r="B886" s="156"/>
      <c r="C886" s="207"/>
      <c r="D886" s="208"/>
      <c r="E886" s="208"/>
      <c r="F886" s="157"/>
      <c r="G886" s="185"/>
      <c r="H886" s="524"/>
      <c r="I886" s="207"/>
      <c r="J886" s="288"/>
      <c r="K886" s="157"/>
      <c r="L886" s="307"/>
    </row>
    <row r="887" spans="1:12" ht="13.5" customHeight="1">
      <c r="A887" s="157"/>
      <c r="B887" s="156"/>
      <c r="C887" s="207"/>
      <c r="D887" s="208"/>
      <c r="E887" s="208"/>
      <c r="F887" s="157"/>
      <c r="G887" s="185">
        <v>42978</v>
      </c>
      <c r="H887" s="524"/>
      <c r="I887" s="207" t="s">
        <v>1883</v>
      </c>
      <c r="J887" s="288"/>
      <c r="K887" s="157">
        <v>316.11</v>
      </c>
      <c r="L887" s="307"/>
    </row>
    <row r="888" spans="1:12" ht="13.5" customHeight="1">
      <c r="A888" s="157"/>
      <c r="B888" s="156"/>
      <c r="C888" s="207"/>
      <c r="D888" s="208"/>
      <c r="E888" s="208"/>
      <c r="F888" s="157"/>
      <c r="G888" s="185"/>
      <c r="H888" s="524"/>
      <c r="I888" s="207"/>
      <c r="J888" s="288"/>
      <c r="K888" s="157"/>
      <c r="L888" s="307"/>
    </row>
    <row r="889" spans="1:12" ht="13.5" customHeight="1">
      <c r="A889" s="157"/>
      <c r="B889" s="156"/>
      <c r="C889" s="207"/>
      <c r="D889" s="208"/>
      <c r="E889" s="208"/>
      <c r="F889" s="157"/>
      <c r="G889" s="185" t="s">
        <v>2114</v>
      </c>
      <c r="H889" s="524"/>
      <c r="I889" s="207"/>
      <c r="J889" s="288"/>
      <c r="K889" s="157"/>
      <c r="L889" s="307"/>
    </row>
    <row r="890" spans="1:12" ht="13.5" customHeight="1">
      <c r="A890" s="157"/>
      <c r="B890" s="156"/>
      <c r="C890" s="207"/>
      <c r="D890" s="208"/>
      <c r="E890" s="208"/>
      <c r="F890" s="157"/>
      <c r="G890" s="185" t="s">
        <v>1884</v>
      </c>
      <c r="H890" s="524"/>
      <c r="I890" s="207"/>
      <c r="J890" s="288"/>
      <c r="K890" s="157"/>
      <c r="L890" s="307"/>
    </row>
    <row r="891" spans="1:12" ht="13.5" customHeight="1">
      <c r="A891" s="157"/>
      <c r="B891" s="156"/>
      <c r="C891" s="207"/>
      <c r="D891" s="208"/>
      <c r="E891" s="208"/>
      <c r="F891" s="157"/>
      <c r="G891" s="185" t="s">
        <v>190</v>
      </c>
      <c r="H891" s="524"/>
      <c r="I891" s="207"/>
      <c r="J891" s="288"/>
      <c r="K891" s="157"/>
      <c r="L891" s="307"/>
    </row>
    <row r="892" spans="1:12" ht="13.5" customHeight="1">
      <c r="A892" s="157"/>
      <c r="B892" s="156"/>
      <c r="C892" s="207"/>
      <c r="D892" s="208"/>
      <c r="E892" s="208"/>
      <c r="F892" s="157"/>
      <c r="G892" s="185" t="s">
        <v>2115</v>
      </c>
      <c r="H892" s="524"/>
      <c r="I892" s="207"/>
      <c r="J892" s="288"/>
      <c r="K892" s="157"/>
      <c r="L892" s="307"/>
    </row>
    <row r="893" spans="1:12" ht="13.5" customHeight="1">
      <c r="A893" s="157"/>
      <c r="B893" s="156"/>
      <c r="C893" s="207"/>
      <c r="D893" s="208"/>
      <c r="E893" s="208"/>
      <c r="F893" s="157"/>
      <c r="G893" s="185"/>
      <c r="H893" s="524"/>
      <c r="I893" s="207"/>
      <c r="J893" s="288"/>
      <c r="K893" s="157"/>
      <c r="L893" s="307"/>
    </row>
    <row r="894" spans="1:12" ht="13.5" customHeight="1">
      <c r="A894" s="157"/>
      <c r="B894" s="156"/>
      <c r="C894" s="207"/>
      <c r="D894" s="208"/>
      <c r="E894" s="208"/>
      <c r="F894" s="157"/>
      <c r="G894" s="185" t="s">
        <v>22</v>
      </c>
      <c r="H894" s="524" t="s">
        <v>1886</v>
      </c>
      <c r="I894" s="207" t="s">
        <v>1887</v>
      </c>
      <c r="J894" s="288" t="s">
        <v>1888</v>
      </c>
      <c r="K894" s="157" t="s">
        <v>24</v>
      </c>
      <c r="L894" s="307" t="s">
        <v>25</v>
      </c>
    </row>
    <row r="895" spans="1:12" ht="13.5" customHeight="1">
      <c r="A895" s="157"/>
      <c r="B895" s="156"/>
      <c r="C895" s="207"/>
      <c r="D895" s="208"/>
      <c r="E895" s="208"/>
      <c r="F895" s="157"/>
      <c r="G895" s="185"/>
      <c r="H895" s="524"/>
      <c r="I895" s="207"/>
      <c r="J895" s="288"/>
      <c r="K895" s="157"/>
      <c r="L895" s="307"/>
    </row>
    <row r="896" spans="1:12" ht="13.5" customHeight="1">
      <c r="A896" s="157"/>
      <c r="B896" s="156"/>
      <c r="C896" s="207"/>
      <c r="D896" s="208"/>
      <c r="E896" s="208"/>
      <c r="F896" s="157"/>
      <c r="G896" s="185">
        <v>42948</v>
      </c>
      <c r="H896" s="524" t="s">
        <v>1566</v>
      </c>
      <c r="I896" s="207" t="s">
        <v>1567</v>
      </c>
      <c r="J896" s="288" t="s">
        <v>1568</v>
      </c>
      <c r="K896" s="157">
        <v>902</v>
      </c>
      <c r="L896" s="307"/>
    </row>
    <row r="897" spans="1:12" ht="13.5" customHeight="1">
      <c r="A897" s="157"/>
      <c r="B897" s="156"/>
      <c r="C897" s="207"/>
      <c r="D897" s="208"/>
      <c r="E897" s="208"/>
      <c r="F897" s="157"/>
      <c r="G897" s="185">
        <v>42948</v>
      </c>
      <c r="H897" s="524" t="s">
        <v>1566</v>
      </c>
      <c r="I897" s="207" t="s">
        <v>1569</v>
      </c>
      <c r="J897" s="288" t="s">
        <v>1568</v>
      </c>
      <c r="K897" s="157">
        <v>487</v>
      </c>
      <c r="L897" s="307"/>
    </row>
    <row r="898" spans="1:12" ht="13.5" customHeight="1">
      <c r="A898" s="157"/>
      <c r="B898" s="156"/>
      <c r="C898" s="207"/>
      <c r="D898" s="208"/>
      <c r="E898" s="208"/>
      <c r="F898" s="157"/>
      <c r="G898" s="185">
        <v>42948</v>
      </c>
      <c r="H898" s="524" t="s">
        <v>1566</v>
      </c>
      <c r="I898" s="207" t="s">
        <v>1570</v>
      </c>
      <c r="J898" s="288" t="s">
        <v>1568</v>
      </c>
      <c r="K898" s="157">
        <v>833</v>
      </c>
      <c r="L898" s="307"/>
    </row>
    <row r="899" spans="1:12" ht="13.5" customHeight="1">
      <c r="A899" s="157"/>
      <c r="B899" s="156"/>
      <c r="C899" s="207"/>
      <c r="D899" s="208"/>
      <c r="E899" s="208"/>
      <c r="F899" s="157"/>
      <c r="G899" s="185">
        <v>42948</v>
      </c>
      <c r="H899" s="524" t="s">
        <v>1566</v>
      </c>
      <c r="I899" s="207" t="s">
        <v>2116</v>
      </c>
      <c r="J899" s="288" t="s">
        <v>1568</v>
      </c>
      <c r="K899" s="157">
        <v>833</v>
      </c>
      <c r="L899" s="307"/>
    </row>
    <row r="900" spans="1:12" ht="13.5" customHeight="1">
      <c r="A900" s="157"/>
      <c r="B900" s="156"/>
      <c r="C900" s="207"/>
      <c r="D900" s="208"/>
      <c r="E900" s="208"/>
      <c r="F900" s="157"/>
      <c r="G900" s="185">
        <v>42948</v>
      </c>
      <c r="H900" s="524" t="s">
        <v>1566</v>
      </c>
      <c r="I900" s="207" t="s">
        <v>2117</v>
      </c>
      <c r="J900" s="288" t="s">
        <v>1568</v>
      </c>
      <c r="K900" s="157">
        <v>833</v>
      </c>
      <c r="L900" s="307"/>
    </row>
    <row r="901" spans="1:12" ht="13.5" customHeight="1">
      <c r="A901" s="157"/>
      <c r="B901" s="156"/>
      <c r="C901" s="207"/>
      <c r="D901" s="208"/>
      <c r="E901" s="208"/>
      <c r="F901" s="157"/>
      <c r="G901" s="185" t="s">
        <v>1882</v>
      </c>
      <c r="H901" s="524"/>
      <c r="I901" s="207"/>
      <c r="J901" s="288"/>
      <c r="K901" s="157">
        <v>3888</v>
      </c>
      <c r="L901" s="307"/>
    </row>
    <row r="902" spans="1:12" ht="13.5" customHeight="1">
      <c r="A902" s="157"/>
      <c r="B902" s="156"/>
      <c r="C902" s="207"/>
      <c r="D902" s="208"/>
      <c r="E902" s="208"/>
      <c r="F902" s="157"/>
      <c r="G902" s="185"/>
      <c r="H902" s="524"/>
      <c r="I902" s="207"/>
      <c r="J902" s="288"/>
      <c r="K902" s="157"/>
      <c r="L902" s="307"/>
    </row>
    <row r="903" spans="1:12" ht="13.5" customHeight="1">
      <c r="A903" s="157"/>
      <c r="B903" s="156"/>
      <c r="C903" s="207"/>
      <c r="D903" s="208"/>
      <c r="E903" s="208"/>
      <c r="F903" s="157"/>
      <c r="G903" s="185">
        <v>42916</v>
      </c>
      <c r="H903" s="524"/>
      <c r="I903" s="207" t="s">
        <v>1883</v>
      </c>
      <c r="J903" s="288"/>
      <c r="K903" s="157">
        <v>3888</v>
      </c>
      <c r="L903" s="307"/>
    </row>
    <row r="904" spans="1:12" ht="13.5" customHeight="1">
      <c r="A904" s="157"/>
      <c r="B904" s="156"/>
      <c r="C904" s="207"/>
      <c r="D904" s="208"/>
      <c r="E904" s="208"/>
      <c r="F904" s="157"/>
      <c r="G904" s="185"/>
      <c r="H904" s="524"/>
      <c r="I904" s="207"/>
      <c r="J904" s="288"/>
      <c r="K904" s="157"/>
      <c r="L904" s="307"/>
    </row>
    <row r="905" spans="1:12" ht="13.5" customHeight="1">
      <c r="A905" s="157"/>
      <c r="B905" s="156"/>
      <c r="C905" s="207"/>
      <c r="D905" s="208"/>
      <c r="E905" s="208"/>
      <c r="F905" s="157"/>
      <c r="G905" s="185" t="s">
        <v>2118</v>
      </c>
      <c r="H905" s="524"/>
      <c r="I905" s="207"/>
      <c r="J905" s="288"/>
      <c r="K905" s="157"/>
      <c r="L905" s="307"/>
    </row>
    <row r="906" spans="1:12" ht="13.5" customHeight="1">
      <c r="A906" s="157"/>
      <c r="B906" s="156"/>
      <c r="C906" s="207"/>
      <c r="D906" s="208"/>
      <c r="E906" s="208"/>
      <c r="F906" s="157"/>
      <c r="G906" s="185" t="s">
        <v>1884</v>
      </c>
      <c r="H906" s="524"/>
      <c r="I906" s="207"/>
      <c r="J906" s="288"/>
      <c r="K906" s="157"/>
      <c r="L906" s="307"/>
    </row>
    <row r="907" spans="1:12" ht="13.5" customHeight="1">
      <c r="A907" s="157"/>
      <c r="B907" s="156"/>
      <c r="C907" s="207"/>
      <c r="D907" s="208"/>
      <c r="E907" s="208"/>
      <c r="F907" s="157"/>
      <c r="G907" s="185" t="s">
        <v>190</v>
      </c>
      <c r="H907" s="524"/>
      <c r="I907" s="207"/>
      <c r="J907" s="288"/>
      <c r="K907" s="157"/>
      <c r="L907" s="307"/>
    </row>
    <row r="908" spans="1:12" ht="13.5" customHeight="1">
      <c r="A908" s="157"/>
      <c r="B908" s="156"/>
      <c r="C908" s="207"/>
      <c r="D908" s="208"/>
      <c r="E908" s="208"/>
      <c r="F908" s="157"/>
      <c r="G908" s="185" t="s">
        <v>1885</v>
      </c>
      <c r="H908" s="524"/>
      <c r="I908" s="207"/>
      <c r="J908" s="288"/>
      <c r="K908" s="157"/>
      <c r="L908" s="307"/>
    </row>
    <row r="909" spans="1:12" ht="13.5" customHeight="1">
      <c r="A909" s="157"/>
      <c r="B909" s="156"/>
      <c r="C909" s="207"/>
      <c r="D909" s="208"/>
      <c r="E909" s="208"/>
      <c r="F909" s="157"/>
      <c r="G909" s="185"/>
      <c r="H909" s="524"/>
      <c r="I909" s="207"/>
      <c r="J909" s="288"/>
      <c r="K909" s="157"/>
      <c r="L909" s="307"/>
    </row>
    <row r="910" spans="1:12" ht="13.5" customHeight="1">
      <c r="A910" s="157"/>
      <c r="B910" s="156"/>
      <c r="C910" s="207"/>
      <c r="D910" s="208"/>
      <c r="E910" s="208"/>
      <c r="F910" s="157"/>
      <c r="G910" s="185" t="s">
        <v>22</v>
      </c>
      <c r="H910" s="524" t="s">
        <v>1886</v>
      </c>
      <c r="I910" s="207" t="s">
        <v>1887</v>
      </c>
      <c r="J910" s="288" t="s">
        <v>1888</v>
      </c>
      <c r="K910" s="157" t="s">
        <v>24</v>
      </c>
      <c r="L910" s="307" t="s">
        <v>25</v>
      </c>
    </row>
    <row r="911" spans="1:12" ht="13.5" customHeight="1">
      <c r="A911" s="157"/>
      <c r="B911" s="156"/>
      <c r="C911" s="207"/>
      <c r="D911" s="208"/>
      <c r="E911" s="208"/>
      <c r="F911" s="157"/>
      <c r="G911" s="185"/>
      <c r="H911" s="524"/>
      <c r="I911" s="207"/>
      <c r="J911" s="288"/>
      <c r="K911" s="157"/>
      <c r="L911" s="307"/>
    </row>
    <row r="912" spans="1:12" ht="13.5" customHeight="1">
      <c r="A912" s="157"/>
      <c r="B912" s="156"/>
      <c r="C912" s="207"/>
      <c r="D912" s="208"/>
      <c r="E912" s="208"/>
      <c r="F912" s="157"/>
      <c r="G912" s="185">
        <v>42978</v>
      </c>
      <c r="H912" s="524" t="s">
        <v>1375</v>
      </c>
      <c r="I912" s="207" t="s">
        <v>2119</v>
      </c>
      <c r="J912" s="288" t="s">
        <v>2120</v>
      </c>
      <c r="K912" s="157">
        <v>10</v>
      </c>
      <c r="L912" s="307"/>
    </row>
    <row r="913" spans="1:12" ht="13.5" customHeight="1">
      <c r="A913" s="157"/>
      <c r="B913" s="156"/>
      <c r="C913" s="207"/>
      <c r="D913" s="208"/>
      <c r="E913" s="208"/>
      <c r="F913" s="157"/>
      <c r="G913" s="185">
        <v>42978</v>
      </c>
      <c r="H913" s="524" t="s">
        <v>1375</v>
      </c>
      <c r="I913" s="207" t="s">
        <v>2121</v>
      </c>
      <c r="J913" s="288" t="s">
        <v>2120</v>
      </c>
      <c r="K913" s="157">
        <v>34.090000000000003</v>
      </c>
      <c r="L913" s="307"/>
    </row>
    <row r="914" spans="1:12" ht="13.5" customHeight="1">
      <c r="A914" s="157"/>
      <c r="B914" s="156"/>
      <c r="C914" s="207"/>
      <c r="D914" s="208"/>
      <c r="E914" s="208"/>
      <c r="F914" s="157"/>
      <c r="G914" s="185" t="s">
        <v>1882</v>
      </c>
      <c r="H914" s="524"/>
      <c r="I914" s="207"/>
      <c r="J914" s="288"/>
      <c r="K914" s="157">
        <v>44.09</v>
      </c>
      <c r="L914" s="307"/>
    </row>
    <row r="915" spans="1:12" ht="13.5" customHeight="1">
      <c r="A915" s="157"/>
      <c r="B915" s="156"/>
      <c r="C915" s="207"/>
      <c r="D915" s="208"/>
      <c r="E915" s="208"/>
      <c r="F915" s="157"/>
      <c r="G915" s="185"/>
      <c r="H915" s="524"/>
      <c r="I915" s="207"/>
      <c r="J915" s="288"/>
      <c r="K915" s="157"/>
      <c r="L915" s="307"/>
    </row>
    <row r="916" spans="1:12" ht="13.5" customHeight="1">
      <c r="A916" s="157"/>
      <c r="B916" s="156"/>
      <c r="C916" s="207"/>
      <c r="D916" s="208"/>
      <c r="E916" s="208"/>
      <c r="F916" s="157"/>
      <c r="G916" s="185">
        <v>42978</v>
      </c>
      <c r="H916" s="524"/>
      <c r="I916" s="207" t="s">
        <v>1883</v>
      </c>
      <c r="J916" s="288"/>
      <c r="K916" s="157">
        <v>44.09</v>
      </c>
      <c r="L916" s="307"/>
    </row>
    <row r="917" spans="1:12" ht="13.5" customHeight="1">
      <c r="A917" s="157"/>
      <c r="B917" s="156"/>
      <c r="C917" s="207"/>
      <c r="D917" s="208"/>
      <c r="E917" s="208"/>
      <c r="F917" s="157"/>
      <c r="G917" s="185"/>
      <c r="H917" s="524"/>
      <c r="I917" s="207"/>
      <c r="J917" s="288"/>
      <c r="K917" s="157"/>
      <c r="L917" s="307"/>
    </row>
    <row r="918" spans="1:12" ht="13.5" customHeight="1">
      <c r="A918" s="157"/>
      <c r="B918" s="156"/>
      <c r="C918" s="207"/>
      <c r="D918" s="208"/>
      <c r="E918" s="208"/>
      <c r="F918" s="157"/>
      <c r="G918" s="185"/>
      <c r="H918" s="524"/>
      <c r="I918" s="207"/>
      <c r="J918" s="288"/>
      <c r="K918" s="157"/>
      <c r="L918" s="307"/>
    </row>
    <row r="919" spans="1:12" ht="13.5" customHeight="1">
      <c r="A919" s="157"/>
      <c r="B919" s="156"/>
      <c r="C919" s="207"/>
      <c r="D919" s="208"/>
      <c r="E919" s="208"/>
      <c r="F919" s="157"/>
      <c r="G919" s="185" t="s">
        <v>2122</v>
      </c>
      <c r="H919" s="524"/>
      <c r="I919" s="207"/>
      <c r="J919" s="288"/>
      <c r="K919" s="157"/>
      <c r="L919" s="307"/>
    </row>
    <row r="920" spans="1:12" ht="13.5" customHeight="1">
      <c r="A920" s="157"/>
      <c r="B920" s="156"/>
      <c r="C920" s="207"/>
      <c r="D920" s="208"/>
      <c r="E920" s="208"/>
      <c r="F920" s="157"/>
      <c r="G920" s="185" t="s">
        <v>1884</v>
      </c>
      <c r="H920" s="524"/>
      <c r="I920" s="207"/>
      <c r="J920" s="288"/>
      <c r="K920" s="157"/>
      <c r="L920" s="307"/>
    </row>
    <row r="921" spans="1:12" ht="13.5" customHeight="1">
      <c r="A921" s="157"/>
      <c r="B921" s="156"/>
      <c r="C921" s="207"/>
      <c r="D921" s="208"/>
      <c r="E921" s="208"/>
      <c r="F921" s="157"/>
      <c r="G921" s="185" t="s">
        <v>190</v>
      </c>
      <c r="H921" s="524"/>
      <c r="I921" s="207"/>
      <c r="J921" s="288"/>
      <c r="K921" s="157"/>
      <c r="L921" s="307"/>
    </row>
    <row r="922" spans="1:12" ht="13.5" customHeight="1">
      <c r="A922" s="157"/>
      <c r="B922" s="156"/>
      <c r="C922" s="207"/>
      <c r="D922" s="208"/>
      <c r="E922" s="208"/>
      <c r="F922" s="157"/>
      <c r="G922" s="185" t="s">
        <v>1885</v>
      </c>
      <c r="H922" s="524"/>
      <c r="I922" s="207"/>
      <c r="J922" s="288"/>
      <c r="K922" s="157"/>
      <c r="L922" s="307"/>
    </row>
    <row r="923" spans="1:12" ht="13.5" customHeight="1">
      <c r="A923" s="157"/>
      <c r="B923" s="156"/>
      <c r="C923" s="207"/>
      <c r="D923" s="208"/>
      <c r="E923" s="208"/>
      <c r="F923" s="157"/>
      <c r="G923" s="185"/>
      <c r="H923" s="524"/>
      <c r="I923" s="207"/>
      <c r="J923" s="288"/>
      <c r="K923" s="157"/>
      <c r="L923" s="307"/>
    </row>
    <row r="924" spans="1:12" ht="13.5" customHeight="1">
      <c r="A924" s="157"/>
      <c r="B924" s="156"/>
      <c r="C924" s="207"/>
      <c r="D924" s="208"/>
      <c r="E924" s="208"/>
      <c r="F924" s="157"/>
      <c r="G924" s="185" t="s">
        <v>22</v>
      </c>
      <c r="H924" s="524" t="s">
        <v>1886</v>
      </c>
      <c r="I924" s="207" t="s">
        <v>1887</v>
      </c>
      <c r="J924" s="288" t="s">
        <v>1888</v>
      </c>
      <c r="K924" s="157" t="s">
        <v>24</v>
      </c>
      <c r="L924" s="307" t="s">
        <v>25</v>
      </c>
    </row>
    <row r="925" spans="1:12" ht="13.5" customHeight="1">
      <c r="A925" s="157"/>
      <c r="B925" s="156"/>
      <c r="C925" s="207"/>
      <c r="D925" s="208"/>
      <c r="E925" s="208"/>
      <c r="F925" s="157"/>
      <c r="G925" s="185"/>
      <c r="H925" s="524"/>
      <c r="I925" s="207"/>
      <c r="J925" s="288"/>
      <c r="K925" s="157"/>
      <c r="L925" s="307"/>
    </row>
    <row r="926" spans="1:12" ht="13.5" customHeight="1">
      <c r="A926" s="157"/>
      <c r="B926" s="156"/>
      <c r="C926" s="207"/>
      <c r="D926" s="208"/>
      <c r="E926" s="208"/>
      <c r="F926" s="157"/>
      <c r="G926" s="185">
        <v>42954</v>
      </c>
      <c r="H926" s="524" t="s">
        <v>1375</v>
      </c>
      <c r="I926" s="207" t="s">
        <v>2123</v>
      </c>
      <c r="J926" s="288" t="s">
        <v>1543</v>
      </c>
      <c r="K926" s="157">
        <v>24.55</v>
      </c>
      <c r="L926" s="307"/>
    </row>
    <row r="927" spans="1:12" ht="13.5" customHeight="1">
      <c r="A927" s="157"/>
      <c r="B927" s="156"/>
      <c r="C927" s="207"/>
      <c r="D927" s="208"/>
      <c r="E927" s="208"/>
      <c r="F927" s="157"/>
      <c r="G927" s="185" t="s">
        <v>1882</v>
      </c>
      <c r="H927" s="524"/>
      <c r="I927" s="207"/>
      <c r="J927" s="288"/>
      <c r="K927" s="157">
        <v>24.55</v>
      </c>
      <c r="L927" s="307"/>
    </row>
    <row r="928" spans="1:12" ht="13.5" customHeight="1">
      <c r="A928" s="157"/>
      <c r="B928" s="156"/>
      <c r="C928" s="207"/>
      <c r="D928" s="208"/>
      <c r="E928" s="208"/>
      <c r="F928" s="157"/>
      <c r="G928" s="185"/>
      <c r="H928" s="524"/>
      <c r="I928" s="207"/>
      <c r="J928" s="288"/>
      <c r="K928" s="157"/>
      <c r="L928" s="307"/>
    </row>
    <row r="929" spans="1:12" ht="13.5" customHeight="1">
      <c r="A929" s="157"/>
      <c r="B929" s="156"/>
      <c r="C929" s="207"/>
      <c r="D929" s="208"/>
      <c r="E929" s="208"/>
      <c r="F929" s="157"/>
      <c r="G929" s="185">
        <v>42978</v>
      </c>
      <c r="H929" s="524"/>
      <c r="I929" s="207" t="s">
        <v>1883</v>
      </c>
      <c r="J929" s="288"/>
      <c r="K929" s="157">
        <v>24.55</v>
      </c>
      <c r="L929" s="307"/>
    </row>
    <row r="930" spans="1:12" ht="13.5" customHeight="1">
      <c r="A930" s="157"/>
      <c r="B930" s="156"/>
      <c r="C930" s="207"/>
      <c r="D930" s="208"/>
      <c r="E930" s="208"/>
      <c r="F930" s="157"/>
      <c r="G930" s="185"/>
      <c r="H930" s="524"/>
      <c r="I930" s="207"/>
      <c r="J930" s="288"/>
      <c r="K930" s="157"/>
      <c r="L930" s="307"/>
    </row>
    <row r="931" spans="1:12" ht="13.5" customHeight="1">
      <c r="A931" s="157"/>
      <c r="B931" s="156"/>
      <c r="C931" s="207"/>
      <c r="D931" s="208"/>
      <c r="E931" s="208"/>
      <c r="F931" s="157"/>
      <c r="G931" s="185"/>
      <c r="H931" s="524"/>
      <c r="I931" s="207"/>
      <c r="J931" s="288"/>
      <c r="K931" s="157"/>
      <c r="L931" s="307"/>
    </row>
    <row r="932" spans="1:12" ht="13.5" customHeight="1">
      <c r="A932" s="157"/>
      <c r="B932" s="156"/>
      <c r="C932" s="207"/>
      <c r="D932" s="208"/>
      <c r="E932" s="208"/>
      <c r="F932" s="157"/>
      <c r="G932" s="185" t="s">
        <v>2124</v>
      </c>
      <c r="H932" s="524"/>
      <c r="I932" s="207"/>
      <c r="J932" s="288"/>
      <c r="K932" s="157"/>
      <c r="L932" s="307"/>
    </row>
    <row r="933" spans="1:12" ht="13.5" customHeight="1">
      <c r="A933" s="157"/>
      <c r="B933" s="156"/>
      <c r="C933" s="207"/>
      <c r="D933" s="208"/>
      <c r="E933" s="208"/>
      <c r="F933" s="157"/>
      <c r="G933" s="185" t="s">
        <v>1884</v>
      </c>
      <c r="H933" s="524"/>
      <c r="I933" s="207"/>
      <c r="J933" s="288"/>
      <c r="K933" s="157"/>
      <c r="L933" s="307"/>
    </row>
    <row r="934" spans="1:12" ht="13.5" customHeight="1">
      <c r="A934" s="157"/>
      <c r="B934" s="156"/>
      <c r="C934" s="207"/>
      <c r="D934" s="208"/>
      <c r="E934" s="208"/>
      <c r="F934" s="157"/>
      <c r="G934" s="185" t="s">
        <v>190</v>
      </c>
      <c r="H934" s="524"/>
      <c r="I934" s="207"/>
      <c r="J934" s="288"/>
      <c r="K934" s="157"/>
      <c r="L934" s="307"/>
    </row>
    <row r="935" spans="1:12" ht="13.5" customHeight="1">
      <c r="A935" s="157"/>
      <c r="B935" s="156"/>
      <c r="C935" s="207"/>
      <c r="D935" s="208"/>
      <c r="E935" s="208"/>
      <c r="F935" s="157"/>
      <c r="G935" s="185" t="s">
        <v>1885</v>
      </c>
      <c r="H935" s="524"/>
      <c r="I935" s="207"/>
      <c r="J935" s="288"/>
      <c r="K935" s="157"/>
      <c r="L935" s="307"/>
    </row>
    <row r="936" spans="1:12" ht="13.5" customHeight="1">
      <c r="A936" s="157"/>
      <c r="B936" s="156"/>
      <c r="C936" s="207"/>
      <c r="D936" s="208"/>
      <c r="E936" s="208"/>
      <c r="F936" s="157"/>
      <c r="G936" s="185"/>
      <c r="H936" s="524"/>
      <c r="I936" s="207"/>
      <c r="J936" s="288"/>
      <c r="K936" s="157"/>
      <c r="L936" s="307"/>
    </row>
    <row r="937" spans="1:12" ht="13.5" customHeight="1">
      <c r="A937" s="157"/>
      <c r="B937" s="156"/>
      <c r="C937" s="207"/>
      <c r="D937" s="208"/>
      <c r="E937" s="208"/>
      <c r="F937" s="157"/>
      <c r="G937" s="185" t="s">
        <v>22</v>
      </c>
      <c r="H937" s="524" t="s">
        <v>1886</v>
      </c>
      <c r="I937" s="207" t="s">
        <v>1887</v>
      </c>
      <c r="J937" s="288" t="s">
        <v>1888</v>
      </c>
      <c r="K937" s="157" t="s">
        <v>24</v>
      </c>
      <c r="L937" s="307" t="s">
        <v>25</v>
      </c>
    </row>
    <row r="938" spans="1:12" ht="13.5" customHeight="1">
      <c r="A938" s="157"/>
      <c r="B938" s="156"/>
      <c r="C938" s="207"/>
      <c r="D938" s="208"/>
      <c r="E938" s="208"/>
      <c r="F938" s="157"/>
      <c r="G938" s="185"/>
      <c r="H938" s="524"/>
      <c r="I938" s="207"/>
      <c r="J938" s="288"/>
      <c r="K938" s="157"/>
      <c r="L938" s="307"/>
    </row>
    <row r="939" spans="1:12" ht="13.5" customHeight="1">
      <c r="A939" s="157"/>
      <c r="B939" s="156"/>
      <c r="C939" s="207"/>
      <c r="D939" s="208"/>
      <c r="E939" s="208"/>
      <c r="F939" s="157"/>
      <c r="G939" s="185">
        <v>42950</v>
      </c>
      <c r="H939" s="524" t="s">
        <v>1375</v>
      </c>
      <c r="I939" s="207" t="s">
        <v>2125</v>
      </c>
      <c r="J939" s="288" t="s">
        <v>2126</v>
      </c>
      <c r="K939" s="157">
        <v>90.91</v>
      </c>
      <c r="L939" s="307"/>
    </row>
    <row r="940" spans="1:12" ht="13.5" customHeight="1">
      <c r="A940" s="157"/>
      <c r="B940" s="156"/>
      <c r="C940" s="207"/>
      <c r="D940" s="208"/>
      <c r="E940" s="208"/>
      <c r="F940" s="157"/>
      <c r="G940" s="185" t="s">
        <v>1882</v>
      </c>
      <c r="H940" s="524"/>
      <c r="I940" s="207"/>
      <c r="J940" s="288"/>
      <c r="K940" s="157">
        <v>90.91</v>
      </c>
      <c r="L940" s="307"/>
    </row>
    <row r="941" spans="1:12" ht="13.5" customHeight="1">
      <c r="A941" s="157"/>
      <c r="B941" s="156"/>
      <c r="C941" s="207"/>
      <c r="D941" s="208"/>
      <c r="E941" s="208"/>
      <c r="F941" s="157"/>
      <c r="G941" s="185"/>
      <c r="H941" s="524"/>
      <c r="I941" s="207"/>
      <c r="J941" s="288"/>
      <c r="K941" s="157"/>
      <c r="L941" s="307"/>
    </row>
    <row r="942" spans="1:12" ht="13.5" customHeight="1">
      <c r="A942" s="157"/>
      <c r="B942" s="156"/>
      <c r="C942" s="207"/>
      <c r="D942" s="208"/>
      <c r="E942" s="208"/>
      <c r="F942" s="157"/>
      <c r="G942" s="185">
        <v>42978</v>
      </c>
      <c r="H942" s="524"/>
      <c r="I942" s="207" t="s">
        <v>1883</v>
      </c>
      <c r="J942" s="288"/>
      <c r="K942" s="157">
        <v>90.91</v>
      </c>
      <c r="L942" s="307"/>
    </row>
    <row r="943" spans="1:12" ht="13.5" customHeight="1">
      <c r="A943" s="157"/>
      <c r="B943" s="156"/>
      <c r="C943" s="207"/>
      <c r="D943" s="208"/>
      <c r="E943" s="208"/>
      <c r="F943" s="157"/>
      <c r="G943" s="185"/>
      <c r="H943" s="524"/>
      <c r="I943" s="207"/>
      <c r="J943" s="288"/>
      <c r="K943" s="157"/>
      <c r="L943" s="307"/>
    </row>
    <row r="944" spans="1:12" ht="13.5" customHeight="1">
      <c r="A944" s="157"/>
      <c r="B944" s="156"/>
      <c r="C944" s="207"/>
      <c r="D944" s="208"/>
      <c r="E944" s="208"/>
      <c r="F944" s="157"/>
      <c r="G944" s="185"/>
      <c r="H944" s="524"/>
      <c r="I944" s="207"/>
      <c r="J944" s="288"/>
      <c r="K944" s="157"/>
      <c r="L944" s="307"/>
    </row>
    <row r="945" spans="1:12" ht="13.5" customHeight="1">
      <c r="A945" s="157"/>
      <c r="B945" s="156"/>
      <c r="C945" s="207"/>
      <c r="D945" s="208"/>
      <c r="E945" s="208"/>
      <c r="F945" s="157"/>
      <c r="G945" s="185"/>
      <c r="H945" s="524"/>
      <c r="I945" s="207"/>
      <c r="J945" s="288"/>
      <c r="K945" s="157"/>
      <c r="L945" s="307"/>
    </row>
    <row r="946" spans="1:12" ht="13.5" customHeight="1">
      <c r="A946" s="157"/>
      <c r="B946" s="156"/>
      <c r="C946" s="207"/>
      <c r="D946" s="208"/>
      <c r="E946" s="208"/>
      <c r="F946" s="157"/>
      <c r="G946" s="185"/>
      <c r="H946" s="524"/>
      <c r="I946" s="207"/>
      <c r="J946" s="288"/>
      <c r="K946" s="157"/>
      <c r="L946" s="307"/>
    </row>
    <row r="947" spans="1:12" ht="13.5" customHeight="1">
      <c r="A947" s="157"/>
      <c r="B947" s="156"/>
      <c r="C947" s="207"/>
      <c r="D947" s="208"/>
      <c r="E947" s="208"/>
      <c r="F947" s="157"/>
      <c r="G947" s="185"/>
      <c r="H947" s="524"/>
      <c r="I947" s="207"/>
      <c r="J947" s="288"/>
      <c r="K947" s="157"/>
      <c r="L947" s="307"/>
    </row>
    <row r="948" spans="1:12" ht="13.5" customHeight="1">
      <c r="A948" s="157"/>
      <c r="B948" s="156"/>
      <c r="C948" s="207"/>
      <c r="D948" s="208"/>
      <c r="E948" s="208"/>
      <c r="F948" s="157"/>
      <c r="G948" s="185"/>
      <c r="H948" s="524"/>
      <c r="I948" s="207"/>
      <c r="J948" s="288"/>
      <c r="K948" s="157"/>
      <c r="L948" s="307"/>
    </row>
    <row r="949" spans="1:12" ht="13.5" customHeight="1">
      <c r="A949" s="157"/>
      <c r="B949" s="156"/>
      <c r="C949" s="207"/>
      <c r="D949" s="208"/>
      <c r="E949" s="208"/>
      <c r="F949" s="157"/>
      <c r="G949" s="185"/>
      <c r="H949" s="524"/>
      <c r="I949" s="207"/>
      <c r="J949" s="288"/>
      <c r="K949" s="157"/>
      <c r="L949" s="307"/>
    </row>
    <row r="950" spans="1:12" ht="13.5" customHeight="1">
      <c r="A950" s="157"/>
      <c r="B950" s="156"/>
      <c r="C950" s="207"/>
      <c r="D950" s="208"/>
      <c r="E950" s="208"/>
      <c r="F950" s="157"/>
      <c r="G950" s="185"/>
      <c r="H950" s="524"/>
      <c r="I950" s="207"/>
      <c r="J950" s="288"/>
      <c r="K950" s="157"/>
      <c r="L950" s="307"/>
    </row>
    <row r="951" spans="1:12" ht="13.5" customHeight="1">
      <c r="A951" s="157"/>
      <c r="B951" s="156"/>
      <c r="C951" s="207"/>
      <c r="D951" s="208"/>
      <c r="E951" s="208"/>
      <c r="F951" s="157"/>
      <c r="G951" s="185"/>
      <c r="H951" s="524"/>
      <c r="I951" s="207"/>
      <c r="J951" s="288"/>
      <c r="K951" s="157"/>
      <c r="L951" s="307"/>
    </row>
    <row r="952" spans="1:12" ht="13.5" customHeight="1">
      <c r="A952" s="157"/>
      <c r="B952" s="156"/>
      <c r="C952" s="207"/>
      <c r="D952" s="208"/>
      <c r="E952" s="208"/>
      <c r="F952" s="157"/>
      <c r="G952" s="185"/>
      <c r="H952" s="524"/>
      <c r="I952" s="207"/>
      <c r="J952" s="288"/>
      <c r="K952" s="157"/>
      <c r="L952" s="307"/>
    </row>
    <row r="953" spans="1:12" ht="13.5" customHeight="1">
      <c r="A953" s="157"/>
      <c r="B953" s="156"/>
      <c r="C953" s="207"/>
      <c r="D953" s="208"/>
      <c r="E953" s="208"/>
      <c r="F953" s="157"/>
      <c r="G953" s="185"/>
      <c r="H953" s="524"/>
      <c r="I953" s="207"/>
      <c r="J953" s="288"/>
      <c r="K953" s="157"/>
      <c r="L953" s="307"/>
    </row>
    <row r="954" spans="1:12" ht="13.5" customHeight="1">
      <c r="A954" s="157"/>
      <c r="B954" s="156"/>
      <c r="C954" s="207"/>
      <c r="D954" s="208"/>
      <c r="E954" s="208"/>
      <c r="F954" s="157"/>
      <c r="G954" s="185"/>
      <c r="H954" s="524"/>
      <c r="I954" s="207"/>
      <c r="J954" s="288"/>
      <c r="K954" s="157"/>
      <c r="L954" s="307"/>
    </row>
    <row r="955" spans="1:12" ht="13.5" customHeight="1">
      <c r="A955" s="157"/>
      <c r="B955" s="156"/>
      <c r="C955" s="207"/>
      <c r="D955" s="208"/>
      <c r="E955" s="208"/>
      <c r="F955" s="157"/>
      <c r="G955" s="185"/>
      <c r="H955" s="524"/>
      <c r="I955" s="207"/>
      <c r="J955" s="288"/>
      <c r="K955" s="157"/>
      <c r="L955" s="307"/>
    </row>
    <row r="956" spans="1:12" ht="13.5" customHeight="1">
      <c r="A956" s="157"/>
      <c r="B956" s="156"/>
      <c r="C956" s="207"/>
      <c r="D956" s="208"/>
      <c r="E956" s="208"/>
      <c r="F956" s="157"/>
      <c r="G956" s="185"/>
      <c r="H956" s="524"/>
      <c r="I956" s="207"/>
      <c r="J956" s="288"/>
      <c r="K956" s="157"/>
      <c r="L956" s="307"/>
    </row>
    <row r="957" spans="1:12" ht="13.5" customHeight="1">
      <c r="A957" s="157"/>
      <c r="B957" s="156"/>
      <c r="C957" s="207"/>
      <c r="D957" s="208"/>
      <c r="E957" s="208"/>
      <c r="F957" s="157"/>
      <c r="G957" s="185"/>
      <c r="H957" s="524"/>
      <c r="I957" s="207"/>
      <c r="J957" s="288"/>
      <c r="K957" s="157"/>
      <c r="L957" s="307"/>
    </row>
    <row r="958" spans="1:12" ht="13.5" customHeight="1">
      <c r="A958" s="157"/>
      <c r="B958" s="156"/>
      <c r="C958" s="207"/>
      <c r="D958" s="208"/>
      <c r="E958" s="208"/>
      <c r="F958" s="157"/>
      <c r="G958" s="185"/>
      <c r="H958" s="524"/>
      <c r="I958" s="207"/>
      <c r="J958" s="288"/>
      <c r="K958" s="157"/>
      <c r="L958" s="307"/>
    </row>
  </sheetData>
  <autoFilter ref="A1:N347"/>
  <sortState ref="A2058:K2081">
    <sortCondition ref="C2058:C2081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266"/>
  <sheetViews>
    <sheetView workbookViewId="0">
      <pane ySplit="2" topLeftCell="A9" activePane="bottomLeft" state="frozen"/>
      <selection pane="bottomLeft" activeCell="J36" sqref="J36"/>
    </sheetView>
  </sheetViews>
  <sheetFormatPr defaultColWidth="9" defaultRowHeight="14.35"/>
  <cols>
    <col min="1" max="1" width="4.234375" style="175" customWidth="1"/>
    <col min="2" max="2" width="42.87890625" style="175" customWidth="1"/>
    <col min="3" max="3" width="14.87890625" style="13" bestFit="1" customWidth="1"/>
    <col min="4" max="4" width="10" style="13" bestFit="1" customWidth="1"/>
    <col min="5" max="5" width="13.5859375" style="175" bestFit="1" customWidth="1"/>
    <col min="6" max="6" width="2.5859375" style="175" customWidth="1"/>
    <col min="7" max="7" width="8" style="175" customWidth="1"/>
    <col min="8" max="8" width="3.41015625" style="175" customWidth="1"/>
    <col min="9" max="9" width="13.1171875" style="175" customWidth="1"/>
    <col min="10" max="10" width="14" style="175" customWidth="1"/>
    <col min="11" max="11" width="14.5859375" style="175" customWidth="1"/>
    <col min="12" max="12" width="12.87890625" style="175" customWidth="1"/>
    <col min="13" max="13" width="11.5859375" style="175" hidden="1" customWidth="1"/>
    <col min="14" max="14" width="12.87890625" style="175" customWidth="1"/>
    <col min="15" max="15" width="11" style="175" customWidth="1"/>
    <col min="16" max="16" width="12.1171875" style="175" bestFit="1" customWidth="1"/>
    <col min="17" max="17" width="8" style="175" customWidth="1"/>
    <col min="18" max="18" width="3" style="175" customWidth="1"/>
    <col min="19" max="19" width="11.5859375" style="44" customWidth="1"/>
    <col min="20" max="20" width="10.703125" style="44" bestFit="1" customWidth="1"/>
    <col min="21" max="21" width="14" style="44" customWidth="1"/>
    <col min="22" max="16384" width="9" style="175"/>
  </cols>
  <sheetData>
    <row r="1" spans="2:33">
      <c r="B1" s="179" t="s">
        <v>120</v>
      </c>
      <c r="C1" s="225"/>
      <c r="I1" s="119"/>
      <c r="J1" s="119"/>
      <c r="K1" s="119"/>
      <c r="L1" s="119"/>
      <c r="N1" s="119"/>
      <c r="T1" s="89"/>
      <c r="U1" s="89"/>
    </row>
    <row r="2" spans="2:33" ht="43">
      <c r="B2" s="159" t="s">
        <v>119</v>
      </c>
      <c r="C2" s="120" t="s">
        <v>73</v>
      </c>
      <c r="D2" s="120" t="s">
        <v>89</v>
      </c>
      <c r="E2" s="159" t="s">
        <v>95</v>
      </c>
      <c r="F2" s="121" t="s">
        <v>74</v>
      </c>
      <c r="G2" s="159" t="s">
        <v>75</v>
      </c>
      <c r="H2" s="160" t="s">
        <v>74</v>
      </c>
      <c r="I2" s="159" t="s">
        <v>76</v>
      </c>
      <c r="J2" s="159" t="s">
        <v>78</v>
      </c>
      <c r="K2" s="159" t="s">
        <v>87</v>
      </c>
      <c r="L2" s="159" t="s">
        <v>106</v>
      </c>
      <c r="M2" s="159" t="s">
        <v>77</v>
      </c>
      <c r="N2" s="178" t="s">
        <v>101</v>
      </c>
      <c r="O2" s="178" t="s">
        <v>96</v>
      </c>
      <c r="P2" s="178" t="s">
        <v>97</v>
      </c>
      <c r="Q2" s="178" t="s">
        <v>63</v>
      </c>
      <c r="R2" s="1"/>
      <c r="S2" s="222"/>
      <c r="T2" s="222"/>
      <c r="U2" s="222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2:33">
      <c r="B3" s="223" t="s">
        <v>137</v>
      </c>
      <c r="C3" s="280">
        <f>117500.25+E3</f>
        <v>153761.2475</v>
      </c>
      <c r="D3" s="221"/>
      <c r="E3" s="224">
        <v>36260.997499999998</v>
      </c>
      <c r="F3" s="121"/>
      <c r="G3" s="9"/>
      <c r="H3" s="160"/>
      <c r="I3" s="249">
        <f>C3-E3</f>
        <v>117500.25</v>
      </c>
      <c r="J3" s="15">
        <v>42293</v>
      </c>
      <c r="K3" s="15">
        <v>42306</v>
      </c>
      <c r="L3" s="224">
        <v>117500.25</v>
      </c>
      <c r="M3" s="224"/>
      <c r="N3" s="249">
        <f>L3+E3</f>
        <v>153761.2475</v>
      </c>
      <c r="O3" s="224">
        <v>103017.95</v>
      </c>
      <c r="P3" s="237">
        <v>50743.297500000001</v>
      </c>
      <c r="Q3" s="238">
        <f t="shared" ref="Q3:Q8" si="0">P3/N3</f>
        <v>0.33001356534909748</v>
      </c>
      <c r="S3" s="222"/>
      <c r="T3" s="222"/>
      <c r="U3" s="222"/>
    </row>
    <row r="4" spans="2:33">
      <c r="B4" s="223" t="s">
        <v>138</v>
      </c>
      <c r="C4" s="280">
        <f>384283.82+E4</f>
        <v>502875.18</v>
      </c>
      <c r="D4" s="221"/>
      <c r="E4" s="224">
        <v>118591.36</v>
      </c>
      <c r="F4" s="121"/>
      <c r="G4" s="9"/>
      <c r="H4" s="160"/>
      <c r="I4" s="249">
        <f>C4-E4</f>
        <v>384283.82</v>
      </c>
      <c r="J4" s="15">
        <v>42340</v>
      </c>
      <c r="K4" s="15">
        <v>42345</v>
      </c>
      <c r="L4" s="224">
        <v>384283.8</v>
      </c>
      <c r="M4" s="224"/>
      <c r="N4" s="249">
        <f>L4+E4</f>
        <v>502875.16</v>
      </c>
      <c r="O4" s="224">
        <v>394929.18</v>
      </c>
      <c r="P4" s="237">
        <v>107945.97999999998</v>
      </c>
      <c r="Q4" s="238">
        <f t="shared" si="0"/>
        <v>0.21465761005176709</v>
      </c>
      <c r="S4" s="222"/>
      <c r="T4" s="222"/>
      <c r="U4" s="222"/>
    </row>
    <row r="5" spans="2:33">
      <c r="B5" s="223" t="s">
        <v>121</v>
      </c>
      <c r="C5" s="249">
        <v>11355.4</v>
      </c>
      <c r="D5" s="221"/>
      <c r="E5" s="9"/>
      <c r="F5" s="121"/>
      <c r="G5" s="9"/>
      <c r="H5" s="160"/>
      <c r="I5" s="249">
        <f>C5</f>
        <v>11355.4</v>
      </c>
      <c r="J5" s="15">
        <v>42296</v>
      </c>
      <c r="K5" s="15">
        <v>42306</v>
      </c>
      <c r="L5" s="224">
        <v>11355.4</v>
      </c>
      <c r="M5" s="224"/>
      <c r="N5" s="249">
        <f>L5+E5</f>
        <v>11355.4</v>
      </c>
      <c r="O5" s="224">
        <v>4800</v>
      </c>
      <c r="P5" s="237">
        <v>6555.4</v>
      </c>
      <c r="Q5" s="238">
        <f t="shared" si="0"/>
        <v>0.57729362241752824</v>
      </c>
      <c r="S5" s="222"/>
      <c r="T5" s="222"/>
      <c r="U5" s="222"/>
    </row>
    <row r="6" spans="2:33">
      <c r="B6" s="223" t="s">
        <v>124</v>
      </c>
      <c r="C6" s="251">
        <v>3196.8</v>
      </c>
      <c r="D6" s="221"/>
      <c r="E6" s="9"/>
      <c r="F6" s="121"/>
      <c r="G6" s="9"/>
      <c r="H6" s="160"/>
      <c r="I6" s="252">
        <f>C6</f>
        <v>3196.8</v>
      </c>
      <c r="J6" s="15">
        <v>42500</v>
      </c>
      <c r="K6" s="15">
        <v>42516</v>
      </c>
      <c r="L6" s="224">
        <v>3196.8</v>
      </c>
      <c r="M6" s="224"/>
      <c r="N6" s="249">
        <f>I6+E6</f>
        <v>3196.8</v>
      </c>
      <c r="O6" s="224"/>
      <c r="P6" s="237">
        <v>3196.8</v>
      </c>
      <c r="Q6" s="238">
        <f t="shared" si="0"/>
        <v>1</v>
      </c>
      <c r="S6" s="222"/>
      <c r="T6" s="222"/>
      <c r="U6" s="222"/>
    </row>
    <row r="7" spans="2:33">
      <c r="B7" s="223" t="s">
        <v>127</v>
      </c>
      <c r="C7" s="251">
        <v>15939.25</v>
      </c>
      <c r="D7" s="221"/>
      <c r="E7" s="9"/>
      <c r="F7" s="121"/>
      <c r="G7" s="9"/>
      <c r="H7" s="160"/>
      <c r="I7" s="252">
        <v>25062.26</v>
      </c>
      <c r="J7" s="15">
        <v>42398</v>
      </c>
      <c r="K7" s="15">
        <v>42402</v>
      </c>
      <c r="L7" s="224">
        <v>25062.26</v>
      </c>
      <c r="M7" s="224"/>
      <c r="N7" s="249">
        <f>I7+E7</f>
        <v>25062.26</v>
      </c>
      <c r="O7" s="224">
        <v>12248</v>
      </c>
      <c r="P7" s="237">
        <v>12814.259999999998</v>
      </c>
      <c r="Q7" s="238">
        <f t="shared" si="0"/>
        <v>0.51129706578736311</v>
      </c>
      <c r="S7" s="222"/>
      <c r="T7" s="222"/>
      <c r="U7" s="222"/>
    </row>
    <row r="8" spans="2:33" ht="15.75" customHeight="1">
      <c r="B8" s="223" t="s">
        <v>125</v>
      </c>
      <c r="C8" s="249">
        <v>7548.35</v>
      </c>
      <c r="D8" s="221"/>
      <c r="E8" s="9"/>
      <c r="F8" s="121"/>
      <c r="G8" s="9"/>
      <c r="H8" s="160"/>
      <c r="I8" s="249">
        <v>6488.23</v>
      </c>
      <c r="J8" s="15">
        <v>42501</v>
      </c>
      <c r="K8" s="15">
        <v>42516</v>
      </c>
      <c r="L8" s="224">
        <v>6488.23</v>
      </c>
      <c r="M8" s="224"/>
      <c r="N8" s="249">
        <f>I8+E8</f>
        <v>6488.23</v>
      </c>
      <c r="O8" s="224">
        <v>3165.5</v>
      </c>
      <c r="P8" s="237">
        <v>3322.7299999999996</v>
      </c>
      <c r="Q8" s="238">
        <f t="shared" si="0"/>
        <v>0.51211655567080694</v>
      </c>
      <c r="S8" s="222"/>
      <c r="T8" s="222"/>
      <c r="U8" s="222"/>
    </row>
    <row r="9" spans="2:33" ht="15.75" customHeight="1">
      <c r="B9" s="282" t="s">
        <v>155</v>
      </c>
      <c r="C9" s="256"/>
      <c r="D9" s="221"/>
      <c r="E9" s="9"/>
      <c r="F9" s="121"/>
      <c r="G9" s="9"/>
      <c r="H9" s="160"/>
      <c r="I9" s="249">
        <v>1355.85</v>
      </c>
      <c r="J9" s="15">
        <v>42486</v>
      </c>
      <c r="K9" s="15">
        <v>42551</v>
      </c>
      <c r="L9" s="224">
        <v>1355.85</v>
      </c>
      <c r="M9" s="224"/>
      <c r="N9" s="249">
        <f>I9+E9</f>
        <v>1355.85</v>
      </c>
      <c r="O9" s="224">
        <f>680+400</f>
        <v>1080</v>
      </c>
      <c r="P9" s="237">
        <f>N9-O9</f>
        <v>275.84999999999991</v>
      </c>
      <c r="Q9" s="238">
        <f>P9/N9</f>
        <v>0.20345170925987383</v>
      </c>
      <c r="S9" s="222"/>
      <c r="T9" s="222"/>
      <c r="U9" s="222"/>
    </row>
    <row r="10" spans="2:33">
      <c r="B10" s="16" t="s">
        <v>105</v>
      </c>
      <c r="C10" s="256"/>
      <c r="D10" s="221"/>
      <c r="E10" s="9"/>
      <c r="F10" s="121"/>
      <c r="G10" s="9"/>
      <c r="H10" s="160"/>
      <c r="I10" s="251">
        <v>3053.6</v>
      </c>
      <c r="J10" s="223"/>
      <c r="K10" s="223"/>
      <c r="L10" s="224"/>
      <c r="M10" s="224"/>
      <c r="N10" s="251">
        <f>I10+E10</f>
        <v>3053.6</v>
      </c>
      <c r="O10" s="224">
        <v>1334.25055</v>
      </c>
      <c r="P10" s="237">
        <f>N10-O10</f>
        <v>1719.3494499999999</v>
      </c>
      <c r="Q10" s="238">
        <f>P10/N10</f>
        <v>0.56305653982184967</v>
      </c>
      <c r="S10" s="222"/>
      <c r="T10" s="222"/>
      <c r="U10" s="222"/>
    </row>
    <row r="11" spans="2:33">
      <c r="B11" s="16"/>
      <c r="C11" s="256"/>
      <c r="D11" s="221"/>
      <c r="E11" s="9"/>
      <c r="F11" s="121"/>
      <c r="G11" s="9"/>
      <c r="H11" s="160"/>
      <c r="I11" s="251"/>
      <c r="J11" s="223"/>
      <c r="K11" s="223"/>
      <c r="L11" s="224"/>
      <c r="M11" s="224"/>
      <c r="N11" s="249"/>
      <c r="O11" s="224"/>
      <c r="P11" s="237"/>
      <c r="Q11" s="238"/>
      <c r="S11" s="222"/>
      <c r="T11" s="222"/>
      <c r="U11" s="222"/>
    </row>
    <row r="12" spans="2:33">
      <c r="B12" s="245"/>
      <c r="C12" s="234">
        <f>SUM(C3:C11)</f>
        <v>694676.22750000004</v>
      </c>
      <c r="D12" s="221"/>
      <c r="E12" s="235">
        <f>SUM(E3:E11)</f>
        <v>154852.35749999998</v>
      </c>
      <c r="F12" s="121"/>
      <c r="G12" s="159"/>
      <c r="H12" s="160"/>
      <c r="I12" s="255">
        <f>SUM(I3:I10)</f>
        <v>552296.21</v>
      </c>
      <c r="J12" s="241"/>
      <c r="K12" s="241"/>
      <c r="L12" s="241"/>
      <c r="M12" s="241"/>
      <c r="N12" s="240"/>
      <c r="O12" s="242"/>
      <c r="P12" s="243"/>
      <c r="Q12" s="244"/>
      <c r="S12" s="222"/>
      <c r="T12" s="222"/>
      <c r="U12" s="222"/>
    </row>
    <row r="13" spans="2:33" ht="14.7" customHeight="1">
      <c r="B13" s="241"/>
      <c r="C13" s="220"/>
      <c r="D13" s="220" t="s">
        <v>133</v>
      </c>
      <c r="E13" s="159"/>
      <c r="F13" s="121"/>
      <c r="G13" s="159"/>
      <c r="H13" s="160"/>
      <c r="I13" s="270"/>
      <c r="J13" s="159"/>
      <c r="K13" s="159"/>
      <c r="L13" s="159"/>
      <c r="M13" s="159"/>
      <c r="N13" s="240"/>
      <c r="O13" s="242"/>
      <c r="P13" s="243"/>
      <c r="Q13" s="244"/>
      <c r="S13" s="242" t="s">
        <v>139</v>
      </c>
      <c r="T13" s="222"/>
      <c r="U13" s="222"/>
    </row>
    <row r="14" spans="2:33">
      <c r="B14" s="16" t="s">
        <v>9</v>
      </c>
      <c r="C14" s="258">
        <v>14297.84</v>
      </c>
      <c r="D14" s="259">
        <f>C14/$C$29</f>
        <v>0.11932853454440326</v>
      </c>
      <c r="E14" s="257">
        <f>C14*0.25</f>
        <v>3574.46</v>
      </c>
      <c r="F14" s="122"/>
      <c r="G14" s="9">
        <v>65</v>
      </c>
      <c r="H14" s="122"/>
      <c r="I14" s="224">
        <v>24988.48</v>
      </c>
      <c r="J14" s="281">
        <v>42460</v>
      </c>
      <c r="K14" s="286" t="s">
        <v>162</v>
      </c>
      <c r="L14" s="224">
        <v>24988.48</v>
      </c>
      <c r="M14" s="250">
        <f t="shared" ref="M14:M24" si="1">I14/G14</f>
        <v>384.43815384615385</v>
      </c>
      <c r="N14" s="249">
        <f>I14+E14</f>
        <v>28562.94</v>
      </c>
      <c r="O14" s="239">
        <v>9580</v>
      </c>
      <c r="P14" s="237">
        <v>18982.939999999999</v>
      </c>
      <c r="Q14" s="238">
        <f t="shared" ref="Q14:Q24" si="2">P14/N14</f>
        <v>0.66460035276480645</v>
      </c>
      <c r="S14" s="45">
        <f>N14/G14</f>
        <v>439.42984615384614</v>
      </c>
      <c r="T14" s="45"/>
      <c r="U14" s="45"/>
      <c r="V14" s="44"/>
      <c r="W14" s="44"/>
      <c r="X14" s="44"/>
      <c r="Y14" s="44"/>
    </row>
    <row r="15" spans="2:33">
      <c r="B15" s="16" t="s">
        <v>8</v>
      </c>
      <c r="C15" s="258">
        <v>1504.84</v>
      </c>
      <c r="D15" s="259">
        <f t="shared" ref="D15:D24" si="3">C15/$C$29</f>
        <v>1.2559264331101746E-2</v>
      </c>
      <c r="E15" s="257">
        <f t="shared" ref="E15:E24" si="4">C15*0.25</f>
        <v>376.21</v>
      </c>
      <c r="F15" s="122"/>
      <c r="G15" s="9">
        <v>85</v>
      </c>
      <c r="H15" s="122"/>
      <c r="I15" s="224">
        <v>40810.65</v>
      </c>
      <c r="J15" s="281">
        <v>42460</v>
      </c>
      <c r="K15" s="286" t="s">
        <v>162</v>
      </c>
      <c r="L15" s="224">
        <v>40810.65</v>
      </c>
      <c r="M15" s="250">
        <f t="shared" si="1"/>
        <v>480.12529411764706</v>
      </c>
      <c r="N15" s="249">
        <f t="shared" ref="N15:N24" si="5">I15+E15</f>
        <v>41186.86</v>
      </c>
      <c r="O15" s="239">
        <v>22105.5</v>
      </c>
      <c r="P15" s="237">
        <v>19081.36</v>
      </c>
      <c r="Q15" s="238">
        <f t="shared" si="2"/>
        <v>0.46328756307230023</v>
      </c>
      <c r="S15" s="45">
        <f t="shared" ref="S15:S24" si="6">N15/G15</f>
        <v>484.55129411764705</v>
      </c>
      <c r="T15" s="45"/>
      <c r="U15" s="45"/>
      <c r="V15" s="44"/>
      <c r="W15" s="44"/>
      <c r="X15" s="44"/>
      <c r="Y15" s="44"/>
    </row>
    <row r="16" spans="2:33">
      <c r="B16" s="16" t="s">
        <v>7</v>
      </c>
      <c r="C16" s="258">
        <v>15886.52</v>
      </c>
      <c r="D16" s="259">
        <f t="shared" si="3"/>
        <v>0.13258752025553183</v>
      </c>
      <c r="E16" s="257">
        <f t="shared" si="4"/>
        <v>3971.63</v>
      </c>
      <c r="F16" s="122"/>
      <c r="G16" s="9">
        <v>70</v>
      </c>
      <c r="H16" s="122"/>
      <c r="I16" s="224">
        <v>22323.39</v>
      </c>
      <c r="J16" s="281">
        <v>42460</v>
      </c>
      <c r="K16" s="286" t="s">
        <v>162</v>
      </c>
      <c r="L16" s="224">
        <v>22323.39</v>
      </c>
      <c r="M16" s="250">
        <f t="shared" si="1"/>
        <v>318.90557142857142</v>
      </c>
      <c r="N16" s="249">
        <f t="shared" si="5"/>
        <v>26295.02</v>
      </c>
      <c r="O16" s="239">
        <v>10750</v>
      </c>
      <c r="P16" s="237">
        <v>15545.02</v>
      </c>
      <c r="Q16" s="238">
        <f t="shared" si="2"/>
        <v>0.5911773408044565</v>
      </c>
      <c r="S16" s="45">
        <f t="shared" si="6"/>
        <v>375.64314285714289</v>
      </c>
      <c r="T16" s="45"/>
      <c r="U16" s="45"/>
      <c r="V16" s="44"/>
      <c r="W16" s="44"/>
      <c r="X16" s="44"/>
      <c r="Y16" s="44"/>
    </row>
    <row r="17" spans="2:21">
      <c r="B17" s="16" t="s">
        <v>12</v>
      </c>
      <c r="C17" s="258">
        <v>5210.8</v>
      </c>
      <c r="D17" s="259">
        <f t="shared" si="3"/>
        <v>4.3488885580197881E-2</v>
      </c>
      <c r="E17" s="257">
        <f t="shared" si="4"/>
        <v>1302.7</v>
      </c>
      <c r="F17" s="122"/>
      <c r="G17" s="9">
        <v>23</v>
      </c>
      <c r="H17" s="122"/>
      <c r="I17" s="224">
        <v>20018.14</v>
      </c>
      <c r="J17" s="281">
        <v>42460</v>
      </c>
      <c r="K17" s="286" t="s">
        <v>162</v>
      </c>
      <c r="L17" s="224">
        <v>20018.14</v>
      </c>
      <c r="M17" s="250">
        <f t="shared" si="1"/>
        <v>870.3539130434782</v>
      </c>
      <c r="N17" s="249">
        <f t="shared" si="5"/>
        <v>21320.84</v>
      </c>
      <c r="O17" s="239">
        <v>7979.74</v>
      </c>
      <c r="P17" s="237">
        <v>13341.1</v>
      </c>
      <c r="Q17" s="238">
        <f t="shared" si="2"/>
        <v>0.62573050592753388</v>
      </c>
      <c r="S17" s="45">
        <f t="shared" si="6"/>
        <v>926.99304347826092</v>
      </c>
      <c r="T17" s="45"/>
      <c r="U17" s="45"/>
    </row>
    <row r="18" spans="2:21">
      <c r="B18" s="16" t="s">
        <v>13</v>
      </c>
      <c r="C18" s="258">
        <v>17557.48</v>
      </c>
      <c r="D18" s="259">
        <f t="shared" si="3"/>
        <v>0.14653320772177261</v>
      </c>
      <c r="E18" s="257">
        <f t="shared" si="4"/>
        <v>4389.37</v>
      </c>
      <c r="F18" s="122"/>
      <c r="G18" s="9">
        <v>79</v>
      </c>
      <c r="H18" s="122"/>
      <c r="I18" s="224">
        <v>36311.279999999999</v>
      </c>
      <c r="J18" s="281">
        <v>42466</v>
      </c>
      <c r="K18" s="286" t="s">
        <v>161</v>
      </c>
      <c r="L18" s="285">
        <f>I18</f>
        <v>36311.279999999999</v>
      </c>
      <c r="M18" s="250">
        <f t="shared" si="1"/>
        <v>459.63645569620252</v>
      </c>
      <c r="N18" s="249">
        <f t="shared" si="5"/>
        <v>40700.65</v>
      </c>
      <c r="O18" s="239">
        <v>19850.14</v>
      </c>
      <c r="P18" s="237">
        <v>20850.510000000002</v>
      </c>
      <c r="Q18" s="238">
        <f t="shared" si="2"/>
        <v>0.51228936147211412</v>
      </c>
      <c r="S18" s="45">
        <f t="shared" si="6"/>
        <v>515.19810126582286</v>
      </c>
      <c r="T18" s="45"/>
      <c r="U18" s="45"/>
    </row>
    <row r="19" spans="2:21">
      <c r="B19" s="16" t="s">
        <v>10</v>
      </c>
      <c r="C19" s="258">
        <v>4085.12</v>
      </c>
      <c r="D19" s="259">
        <f t="shared" si="3"/>
        <v>3.4094057776421653E-2</v>
      </c>
      <c r="E19" s="257">
        <f t="shared" si="4"/>
        <v>1021.28</v>
      </c>
      <c r="F19" s="122"/>
      <c r="G19" s="9">
        <v>18</v>
      </c>
      <c r="H19" s="122"/>
      <c r="I19" s="224">
        <v>7680.2</v>
      </c>
      <c r="J19" s="281">
        <v>42460</v>
      </c>
      <c r="K19" s="286" t="s">
        <v>162</v>
      </c>
      <c r="L19" s="224">
        <v>7680.2</v>
      </c>
      <c r="M19" s="250">
        <f t="shared" si="1"/>
        <v>426.67777777777775</v>
      </c>
      <c r="N19" s="249">
        <f t="shared" si="5"/>
        <v>8701.48</v>
      </c>
      <c r="O19" s="239">
        <v>3300</v>
      </c>
      <c r="P19" s="237">
        <v>5401.48</v>
      </c>
      <c r="Q19" s="238">
        <f t="shared" si="2"/>
        <v>0.62075417055489412</v>
      </c>
      <c r="S19" s="45">
        <f t="shared" si="6"/>
        <v>483.41555555555556</v>
      </c>
      <c r="T19" s="45"/>
      <c r="U19" s="45"/>
    </row>
    <row r="20" spans="2:21">
      <c r="B20" s="16" t="s">
        <v>14</v>
      </c>
      <c r="C20" s="258">
        <v>12709.2</v>
      </c>
      <c r="D20" s="259">
        <f t="shared" si="3"/>
        <v>0.10606988266981096</v>
      </c>
      <c r="E20" s="257">
        <f t="shared" si="4"/>
        <v>3177.3</v>
      </c>
      <c r="F20" s="122"/>
      <c r="G20" s="9">
        <v>57</v>
      </c>
      <c r="H20" s="122"/>
      <c r="I20" s="224">
        <v>26765.599999999999</v>
      </c>
      <c r="J20" s="281">
        <v>42466</v>
      </c>
      <c r="K20" s="286" t="s">
        <v>161</v>
      </c>
      <c r="L20" s="285">
        <f>I20</f>
        <v>26765.599999999999</v>
      </c>
      <c r="M20" s="250">
        <f t="shared" si="1"/>
        <v>469.57192982456138</v>
      </c>
      <c r="N20" s="249">
        <f t="shared" si="5"/>
        <v>29942.899999999998</v>
      </c>
      <c r="O20" s="239">
        <v>19555.400000000001</v>
      </c>
      <c r="P20" s="237">
        <v>10387.499999999996</v>
      </c>
      <c r="Q20" s="238">
        <f t="shared" si="2"/>
        <v>0.34691028591085021</v>
      </c>
      <c r="S20" s="45">
        <f t="shared" si="6"/>
        <v>525.31403508771928</v>
      </c>
      <c r="T20" s="45"/>
      <c r="U20" s="45"/>
    </row>
    <row r="21" spans="2:21">
      <c r="B21" s="16" t="s">
        <v>11</v>
      </c>
      <c r="C21" s="258">
        <v>9078</v>
      </c>
      <c r="D21" s="259">
        <f t="shared" si="3"/>
        <v>7.5764201907007819E-2</v>
      </c>
      <c r="E21" s="257">
        <f t="shared" si="4"/>
        <v>2269.5</v>
      </c>
      <c r="F21" s="122"/>
      <c r="G21" s="9">
        <v>40</v>
      </c>
      <c r="H21" s="122"/>
      <c r="I21" s="224">
        <v>13830.78</v>
      </c>
      <c r="J21" s="281">
        <v>42458</v>
      </c>
      <c r="K21" s="286" t="s">
        <v>162</v>
      </c>
      <c r="L21" s="224">
        <v>13830.78</v>
      </c>
      <c r="M21" s="250">
        <f t="shared" si="1"/>
        <v>345.76949999999999</v>
      </c>
      <c r="N21" s="249">
        <f t="shared" si="5"/>
        <v>16100.28</v>
      </c>
      <c r="O21" s="239">
        <v>9390</v>
      </c>
      <c r="P21" s="237">
        <v>6710.2800000000007</v>
      </c>
      <c r="Q21" s="238">
        <f t="shared" si="2"/>
        <v>0.41678032928619879</v>
      </c>
      <c r="S21" s="45">
        <f t="shared" si="6"/>
        <v>402.50700000000001</v>
      </c>
      <c r="T21" s="45"/>
      <c r="U21" s="45"/>
    </row>
    <row r="22" spans="2:21">
      <c r="B22" s="16" t="s">
        <v>94</v>
      </c>
      <c r="C22" s="258">
        <v>22921.96</v>
      </c>
      <c r="D22" s="259">
        <f t="shared" si="3"/>
        <v>0.19130469327432881</v>
      </c>
      <c r="E22" s="257">
        <f t="shared" si="4"/>
        <v>5730.49</v>
      </c>
      <c r="F22" s="122"/>
      <c r="G22" s="9">
        <v>102</v>
      </c>
      <c r="H22" s="122"/>
      <c r="I22" s="224">
        <v>43104.18</v>
      </c>
      <c r="J22" s="281">
        <v>42460</v>
      </c>
      <c r="K22" s="286" t="s">
        <v>162</v>
      </c>
      <c r="L22" s="224">
        <v>43104.18</v>
      </c>
      <c r="M22" s="250">
        <f t="shared" si="1"/>
        <v>422.59</v>
      </c>
      <c r="N22" s="249">
        <f t="shared" si="5"/>
        <v>48834.67</v>
      </c>
      <c r="O22" s="239">
        <v>26065.02</v>
      </c>
      <c r="P22" s="237">
        <v>22769.649999999998</v>
      </c>
      <c r="Q22" s="238">
        <f t="shared" si="2"/>
        <v>0.46625993377246122</v>
      </c>
      <c r="S22" s="45">
        <f t="shared" si="6"/>
        <v>478.7712745098039</v>
      </c>
      <c r="T22" s="45"/>
      <c r="U22" s="45"/>
    </row>
    <row r="23" spans="2:21">
      <c r="B23" s="16" t="s">
        <v>122</v>
      </c>
      <c r="C23" s="258">
        <v>12255.32</v>
      </c>
      <c r="D23" s="259">
        <f t="shared" si="3"/>
        <v>0.10228183949272869</v>
      </c>
      <c r="E23" s="257">
        <f t="shared" si="4"/>
        <v>3063.83</v>
      </c>
      <c r="F23" s="122"/>
      <c r="G23" s="9">
        <v>56</v>
      </c>
      <c r="H23" s="122"/>
      <c r="I23" s="224">
        <v>18514.689999999999</v>
      </c>
      <c r="J23" s="281">
        <v>42458</v>
      </c>
      <c r="K23" s="286" t="s">
        <v>162</v>
      </c>
      <c r="L23" s="224">
        <v>18514.689999999999</v>
      </c>
      <c r="M23" s="250">
        <f t="shared" si="1"/>
        <v>330.61946428571429</v>
      </c>
      <c r="N23" s="249">
        <f t="shared" si="5"/>
        <v>21578.519999999997</v>
      </c>
      <c r="O23" s="239">
        <v>12346</v>
      </c>
      <c r="P23" s="237">
        <v>9232.5199999999968</v>
      </c>
      <c r="Q23" s="238">
        <f t="shared" si="2"/>
        <v>0.42785696145982199</v>
      </c>
      <c r="S23" s="45">
        <f t="shared" si="6"/>
        <v>385.33071428571424</v>
      </c>
      <c r="T23" s="45"/>
      <c r="U23" s="45"/>
    </row>
    <row r="24" spans="2:21">
      <c r="B24" s="16" t="s">
        <v>123</v>
      </c>
      <c r="C24" s="258">
        <v>4312.04</v>
      </c>
      <c r="D24" s="259">
        <f t="shared" si="3"/>
        <v>3.598791244669465E-2</v>
      </c>
      <c r="E24" s="257">
        <f t="shared" si="4"/>
        <v>1078.01</v>
      </c>
      <c r="F24" s="122"/>
      <c r="G24" s="9">
        <v>19</v>
      </c>
      <c r="H24" s="122"/>
      <c r="I24" s="224">
        <v>4359.46</v>
      </c>
      <c r="J24" s="281">
        <v>42458</v>
      </c>
      <c r="K24" s="286" t="s">
        <v>162</v>
      </c>
      <c r="L24" s="224">
        <v>4359.46</v>
      </c>
      <c r="M24" s="250">
        <f t="shared" si="1"/>
        <v>229.44526315789474</v>
      </c>
      <c r="N24" s="249">
        <f t="shared" si="5"/>
        <v>5437.47</v>
      </c>
      <c r="O24" s="239">
        <v>1160</v>
      </c>
      <c r="P24" s="237">
        <v>4277.47</v>
      </c>
      <c r="Q24" s="238">
        <f t="shared" si="2"/>
        <v>0.78666548964867855</v>
      </c>
      <c r="S24" s="45">
        <f t="shared" si="6"/>
        <v>286.18263157894739</v>
      </c>
      <c r="T24" s="45"/>
      <c r="U24" s="45"/>
    </row>
    <row r="25" spans="2:21">
      <c r="B25" s="223" t="s">
        <v>126</v>
      </c>
      <c r="C25" s="249"/>
      <c r="D25" s="221"/>
      <c r="E25" s="9"/>
      <c r="F25" s="121"/>
      <c r="G25" s="9"/>
      <c r="H25" s="160"/>
      <c r="I25" s="249">
        <v>6272.55</v>
      </c>
      <c r="J25" s="223"/>
      <c r="K25" s="223"/>
      <c r="L25" s="224"/>
      <c r="M25" s="224"/>
      <c r="N25" s="249"/>
      <c r="O25" s="224"/>
      <c r="P25" s="237"/>
      <c r="Q25" s="238"/>
      <c r="S25" s="222"/>
      <c r="T25" s="222"/>
      <c r="U25" s="222"/>
    </row>
    <row r="26" spans="2:21">
      <c r="B26" s="223" t="s">
        <v>130</v>
      </c>
      <c r="C26" s="252"/>
      <c r="D26" s="221"/>
      <c r="E26" s="9"/>
      <c r="F26" s="121"/>
      <c r="G26" s="9"/>
      <c r="H26" s="160"/>
      <c r="I26" s="252">
        <v>6280.73</v>
      </c>
      <c r="J26" s="223"/>
      <c r="K26" s="223"/>
      <c r="L26" s="224"/>
      <c r="M26" s="224"/>
      <c r="N26" s="251"/>
      <c r="O26" s="264"/>
      <c r="P26" s="265"/>
      <c r="Q26" s="266"/>
      <c r="S26" s="222"/>
      <c r="T26" s="222"/>
      <c r="U26" s="222"/>
    </row>
    <row r="27" spans="2:21">
      <c r="B27" s="223" t="s">
        <v>132</v>
      </c>
      <c r="C27" s="252"/>
      <c r="D27" s="221"/>
      <c r="E27" s="9"/>
      <c r="F27" s="121"/>
      <c r="G27" s="9"/>
      <c r="H27" s="160"/>
      <c r="I27" s="252">
        <v>4586.3599999999997</v>
      </c>
      <c r="J27" s="223"/>
      <c r="K27" s="223"/>
      <c r="L27" s="224"/>
      <c r="M27" s="224"/>
      <c r="N27" s="251"/>
      <c r="O27" s="264"/>
      <c r="P27" s="265"/>
      <c r="Q27" s="266"/>
      <c r="S27" s="222"/>
      <c r="T27" s="222"/>
      <c r="U27" s="222"/>
    </row>
    <row r="28" spans="2:21">
      <c r="B28" s="223" t="s">
        <v>131</v>
      </c>
      <c r="C28" s="252"/>
      <c r="D28" s="221"/>
      <c r="E28" s="9"/>
      <c r="F28" s="121"/>
      <c r="G28" s="9"/>
      <c r="H28" s="160"/>
      <c r="I28" s="252">
        <v>7141.38</v>
      </c>
      <c r="J28" s="223"/>
      <c r="K28" s="223"/>
      <c r="L28" s="224"/>
      <c r="M28" s="224"/>
      <c r="N28" s="249"/>
      <c r="O28" s="224"/>
      <c r="P28" s="237"/>
      <c r="Q28" s="238"/>
      <c r="S28" s="222"/>
      <c r="T28" s="222"/>
      <c r="U28" s="222"/>
    </row>
    <row r="29" spans="2:21">
      <c r="C29" s="167">
        <f>SUM(C14:C28)</f>
        <v>119819.12000000001</v>
      </c>
      <c r="D29" s="47">
        <f>SUM(D14:D24)</f>
        <v>1</v>
      </c>
      <c r="E29" s="166">
        <f>SUM(E14:E24)</f>
        <v>29954.780000000002</v>
      </c>
      <c r="I29" s="167">
        <f>SUM(I14:I28,I12)</f>
        <v>835284.08</v>
      </c>
      <c r="L29" s="166">
        <f>SUM(L3:L24)</f>
        <v>807949.44</v>
      </c>
      <c r="M29" s="31"/>
      <c r="N29" s="166">
        <f>SUM(N3:N24)</f>
        <v>995810.17749999999</v>
      </c>
      <c r="O29" s="166">
        <f>SUM(O3:O24)</f>
        <v>662656.68055000005</v>
      </c>
      <c r="P29" s="167">
        <f>N29-O29</f>
        <v>333153.49694999994</v>
      </c>
      <c r="Q29" s="236">
        <f>P29/N29</f>
        <v>0.3345552239548184</v>
      </c>
      <c r="S29" s="113"/>
      <c r="T29" s="113"/>
      <c r="U29" s="161"/>
    </row>
    <row r="30" spans="2:21">
      <c r="I30" s="248" t="s">
        <v>128</v>
      </c>
      <c r="J30" s="4"/>
      <c r="N30" s="6"/>
    </row>
    <row r="31" spans="2:21">
      <c r="B31" s="69"/>
      <c r="C31" s="58"/>
      <c r="D31" s="58"/>
      <c r="E31" s="69"/>
      <c r="F31" s="69"/>
      <c r="G31" s="69"/>
      <c r="H31" s="69"/>
      <c r="I31" s="229"/>
      <c r="J31" s="226"/>
      <c r="L31" s="166">
        <f>L29+C29</f>
        <v>927768.55999999994</v>
      </c>
      <c r="N31" s="262" t="s">
        <v>152</v>
      </c>
    </row>
    <row r="32" spans="2:21">
      <c r="B32" s="261" t="s">
        <v>134</v>
      </c>
      <c r="C32" s="246">
        <f>SUM(C29,C12)</f>
        <v>814495.34750000003</v>
      </c>
      <c r="D32" s="58"/>
      <c r="E32" s="231"/>
      <c r="F32" s="69"/>
      <c r="G32" s="69"/>
      <c r="H32" s="69"/>
      <c r="I32" s="247"/>
      <c r="J32" s="226"/>
      <c r="L32" s="166">
        <f>L31-O29</f>
        <v>265111.87944999989</v>
      </c>
      <c r="N32" s="262" t="s">
        <v>153</v>
      </c>
      <c r="P32" s="31"/>
      <c r="Q32" s="123"/>
    </row>
    <row r="33" spans="2:21">
      <c r="B33" s="58"/>
      <c r="C33" s="230"/>
      <c r="D33" s="232"/>
      <c r="E33" s="231"/>
      <c r="F33" s="69"/>
      <c r="G33" s="69"/>
      <c r="H33" s="69"/>
      <c r="I33" s="229"/>
      <c r="J33" s="226"/>
      <c r="L33" s="236">
        <f>L32/L31</f>
        <v>0.28575217018563326</v>
      </c>
      <c r="N33" s="262" t="s">
        <v>154</v>
      </c>
      <c r="P33" s="44"/>
      <c r="Q33" s="44"/>
    </row>
    <row r="34" spans="2:21">
      <c r="B34" s="308" t="s">
        <v>165</v>
      </c>
      <c r="C34" s="316" t="s">
        <v>370</v>
      </c>
      <c r="D34" s="317"/>
      <c r="E34" s="231">
        <v>117500.25</v>
      </c>
      <c r="F34" s="69"/>
      <c r="G34" s="69"/>
      <c r="H34" s="69"/>
      <c r="I34" s="229"/>
      <c r="J34" s="226"/>
      <c r="L34" s="166">
        <f>N29</f>
        <v>995810.17749999999</v>
      </c>
      <c r="N34" s="262" t="s">
        <v>135</v>
      </c>
      <c r="O34" s="44"/>
      <c r="P34" s="161"/>
      <c r="Q34" s="44"/>
      <c r="U34" s="183"/>
    </row>
    <row r="35" spans="2:21">
      <c r="B35" s="308" t="s">
        <v>167</v>
      </c>
      <c r="C35" s="316" t="s">
        <v>174</v>
      </c>
      <c r="D35" s="317"/>
      <c r="E35" s="231">
        <v>384283.83</v>
      </c>
      <c r="F35" s="69"/>
      <c r="G35" s="69"/>
      <c r="H35" s="69"/>
      <c r="I35" s="229"/>
      <c r="J35" s="226"/>
      <c r="L35" s="254">
        <f>Q29</f>
        <v>0.3345552239548184</v>
      </c>
      <c r="N35" s="262" t="s">
        <v>39</v>
      </c>
      <c r="O35" s="44"/>
    </row>
    <row r="36" spans="2:21">
      <c r="B36" s="308" t="s">
        <v>166</v>
      </c>
      <c r="C36" s="316" t="s">
        <v>88</v>
      </c>
      <c r="D36" s="317"/>
      <c r="E36" s="231">
        <v>11355.4</v>
      </c>
      <c r="F36" s="69"/>
      <c r="G36" s="69"/>
      <c r="H36" s="69"/>
      <c r="I36" s="229"/>
      <c r="J36" s="226"/>
      <c r="L36" s="166">
        <f>O29</f>
        <v>662656.68055000005</v>
      </c>
      <c r="N36" s="262" t="s">
        <v>148</v>
      </c>
    </row>
    <row r="37" spans="2:21">
      <c r="B37" s="308" t="s">
        <v>168</v>
      </c>
      <c r="C37" s="316" t="s">
        <v>175</v>
      </c>
      <c r="D37" s="317"/>
      <c r="E37" s="231">
        <v>25062.26</v>
      </c>
      <c r="F37" s="69"/>
      <c r="G37" s="69"/>
      <c r="H37" s="69"/>
      <c r="I37" s="229"/>
      <c r="J37" s="226"/>
      <c r="N37" s="229"/>
      <c r="P37" s="22"/>
      <c r="U37" s="113"/>
    </row>
    <row r="38" spans="2:21">
      <c r="B38" s="308" t="s">
        <v>169</v>
      </c>
      <c r="C38" s="316" t="s">
        <v>164</v>
      </c>
      <c r="D38" s="317"/>
      <c r="E38" s="231">
        <v>1355.85</v>
      </c>
      <c r="F38" s="69"/>
      <c r="G38" s="69"/>
      <c r="H38" s="69"/>
      <c r="I38" s="233"/>
      <c r="J38" s="226"/>
      <c r="N38" s="229"/>
    </row>
    <row r="39" spans="2:21">
      <c r="B39" s="308" t="s">
        <v>170</v>
      </c>
      <c r="C39" s="217" t="s">
        <v>173</v>
      </c>
      <c r="D39" s="317"/>
      <c r="E39" s="231">
        <v>3196.8</v>
      </c>
      <c r="F39" s="69"/>
      <c r="G39" s="69"/>
      <c r="H39" s="69"/>
      <c r="I39" s="229"/>
      <c r="J39" s="226"/>
      <c r="N39" s="229"/>
    </row>
    <row r="40" spans="2:21">
      <c r="B40" s="308" t="s">
        <v>172</v>
      </c>
      <c r="C40" s="316" t="s">
        <v>171</v>
      </c>
      <c r="D40" s="317"/>
      <c r="E40" s="231">
        <v>6488.23</v>
      </c>
      <c r="F40" s="69"/>
      <c r="G40" s="69"/>
      <c r="H40" s="69"/>
      <c r="I40" s="229"/>
      <c r="J40" s="226"/>
      <c r="N40" s="233"/>
    </row>
    <row r="41" spans="2:21">
      <c r="B41" s="308" t="s">
        <v>368</v>
      </c>
      <c r="C41" s="318" t="s">
        <v>369</v>
      </c>
      <c r="D41" s="317"/>
      <c r="E41" s="231"/>
      <c r="F41" s="69"/>
      <c r="G41" s="69"/>
      <c r="H41" s="69"/>
      <c r="I41" s="229"/>
      <c r="J41" s="226"/>
      <c r="N41" s="229"/>
    </row>
    <row r="42" spans="2:21">
      <c r="B42" s="308"/>
      <c r="C42" s="318"/>
      <c r="D42" s="317"/>
      <c r="E42" s="231"/>
      <c r="F42" s="69"/>
      <c r="G42" s="69"/>
      <c r="H42" s="69"/>
      <c r="I42" s="229"/>
      <c r="J42" s="226"/>
      <c r="N42" s="229"/>
    </row>
    <row r="43" spans="2:21">
      <c r="B43" s="319"/>
      <c r="C43" s="318"/>
      <c r="D43" s="317"/>
      <c r="E43" s="315"/>
      <c r="F43" s="69"/>
      <c r="G43" s="69"/>
      <c r="H43" s="69"/>
      <c r="I43" s="229"/>
      <c r="J43" s="226"/>
      <c r="N43" s="229"/>
    </row>
    <row r="44" spans="2:21">
      <c r="B44" s="320"/>
      <c r="C44" s="321"/>
      <c r="D44" s="321"/>
      <c r="E44" s="322">
        <f>SUM(E34:E43)</f>
        <v>549242.62</v>
      </c>
      <c r="F44" s="44"/>
      <c r="G44" s="44"/>
      <c r="H44" s="44"/>
      <c r="I44" s="51"/>
      <c r="J44" s="226"/>
      <c r="N44" s="229"/>
    </row>
    <row r="45" spans="2:21">
      <c r="B45" s="228"/>
      <c r="C45" s="227"/>
      <c r="D45" s="227"/>
      <c r="E45" s="44"/>
      <c r="F45" s="44"/>
      <c r="G45" s="44"/>
      <c r="H45" s="44"/>
      <c r="I45" s="51"/>
      <c r="J45" s="226"/>
      <c r="N45" s="229"/>
    </row>
    <row r="46" spans="2:21">
      <c r="B46" s="21"/>
      <c r="C46" s="176"/>
      <c r="D46" s="176"/>
      <c r="I46" s="6"/>
      <c r="J46" s="4"/>
      <c r="N46" s="51"/>
    </row>
    <row r="47" spans="2:21">
      <c r="B47" s="20"/>
      <c r="C47" s="176"/>
      <c r="D47" s="176"/>
      <c r="I47" s="6"/>
      <c r="J47" s="4"/>
      <c r="K47" s="4"/>
      <c r="N47" s="51"/>
    </row>
    <row r="48" spans="2:21">
      <c r="B48" s="20"/>
      <c r="C48" s="176"/>
      <c r="D48" s="176"/>
      <c r="I48" s="6"/>
      <c r="J48" s="4"/>
      <c r="K48" s="4"/>
      <c r="N48" s="6"/>
    </row>
    <row r="49" spans="2:14">
      <c r="B49" s="21"/>
      <c r="C49" s="176"/>
      <c r="D49" s="176"/>
      <c r="I49" s="6"/>
      <c r="J49" s="4"/>
      <c r="K49" s="4"/>
      <c r="N49" s="6"/>
    </row>
    <row r="50" spans="2:14">
      <c r="B50" s="20"/>
      <c r="C50" s="176"/>
      <c r="D50" s="176"/>
      <c r="I50" s="6"/>
      <c r="J50" s="4"/>
      <c r="K50" s="4"/>
      <c r="N50" s="6"/>
    </row>
    <row r="51" spans="2:14">
      <c r="B51" s="21"/>
      <c r="C51" s="176"/>
      <c r="D51" s="176"/>
      <c r="I51" s="6"/>
      <c r="J51" s="4"/>
      <c r="K51" s="4"/>
      <c r="N51" s="6"/>
    </row>
    <row r="52" spans="2:14">
      <c r="B52" s="20"/>
      <c r="C52" s="176"/>
      <c r="D52" s="176"/>
      <c r="I52" s="6"/>
      <c r="J52" s="4"/>
      <c r="K52" s="4"/>
      <c r="N52" s="6"/>
    </row>
    <row r="53" spans="2:14">
      <c r="B53" s="20"/>
      <c r="C53" s="176"/>
      <c r="D53" s="176"/>
      <c r="I53" s="6"/>
      <c r="J53" s="4"/>
      <c r="K53" s="4"/>
      <c r="N53" s="6"/>
    </row>
    <row r="54" spans="2:14">
      <c r="B54" s="21"/>
      <c r="C54" s="176"/>
      <c r="D54" s="176"/>
      <c r="I54" s="6"/>
      <c r="J54" s="4"/>
      <c r="K54" s="4"/>
      <c r="N54" s="6"/>
    </row>
    <row r="55" spans="2:14">
      <c r="B55" s="20"/>
      <c r="C55" s="176"/>
      <c r="D55" s="176"/>
      <c r="I55" s="6"/>
      <c r="J55" s="4"/>
      <c r="K55" s="4"/>
      <c r="N55" s="6"/>
    </row>
    <row r="56" spans="2:14">
      <c r="B56" s="6"/>
      <c r="C56" s="176"/>
      <c r="D56" s="176"/>
      <c r="I56" s="6"/>
      <c r="J56" s="4"/>
      <c r="K56" s="4"/>
      <c r="N56" s="6"/>
    </row>
    <row r="57" spans="2:14">
      <c r="B57" s="20"/>
      <c r="C57" s="176"/>
      <c r="D57" s="176"/>
      <c r="I57" s="6"/>
      <c r="J57" s="4"/>
      <c r="K57" s="4"/>
      <c r="N57" s="6"/>
    </row>
    <row r="58" spans="2:14">
      <c r="B58" s="6"/>
      <c r="C58" s="176"/>
      <c r="D58" s="176"/>
      <c r="I58" s="6"/>
      <c r="J58" s="4"/>
      <c r="K58" s="4"/>
      <c r="N58" s="6"/>
    </row>
    <row r="59" spans="2:14">
      <c r="I59" s="6"/>
      <c r="J59" s="4"/>
      <c r="K59" s="4"/>
      <c r="N59" s="6"/>
    </row>
    <row r="60" spans="2:14">
      <c r="I60" s="6"/>
      <c r="J60" s="4"/>
      <c r="K60" s="4"/>
      <c r="N60" s="6"/>
    </row>
    <row r="61" spans="2:14">
      <c r="I61" s="6"/>
      <c r="J61" s="4"/>
      <c r="K61" s="4"/>
      <c r="N61" s="6"/>
    </row>
    <row r="62" spans="2:14">
      <c r="I62" s="6"/>
      <c r="J62" s="4"/>
      <c r="K62" s="4"/>
      <c r="N62" s="6"/>
    </row>
    <row r="63" spans="2:14">
      <c r="B63" s="6"/>
      <c r="C63" s="176"/>
      <c r="D63" s="176"/>
      <c r="I63" s="6"/>
      <c r="J63" s="4"/>
      <c r="K63" s="4"/>
      <c r="N63" s="6"/>
    </row>
    <row r="64" spans="2:14">
      <c r="B64" s="6"/>
      <c r="C64" s="176"/>
      <c r="D64" s="176"/>
      <c r="I64" s="6"/>
      <c r="J64" s="4"/>
      <c r="K64" s="4"/>
      <c r="N64" s="6"/>
    </row>
    <row r="65" spans="2:14">
      <c r="B65" s="6"/>
      <c r="C65" s="176"/>
      <c r="D65" s="176"/>
      <c r="I65" s="6"/>
      <c r="J65" s="4"/>
      <c r="K65" s="4"/>
      <c r="N65" s="6"/>
    </row>
    <row r="66" spans="2:14">
      <c r="B66" s="6"/>
      <c r="C66" s="176"/>
      <c r="D66" s="176"/>
      <c r="I66" s="6"/>
      <c r="J66" s="4"/>
      <c r="K66" s="4"/>
      <c r="N66" s="6"/>
    </row>
    <row r="67" spans="2:14">
      <c r="B67" s="6"/>
      <c r="C67" s="176"/>
      <c r="D67" s="176"/>
      <c r="I67" s="6"/>
      <c r="J67" s="4"/>
      <c r="K67" s="4"/>
      <c r="N67" s="6"/>
    </row>
    <row r="68" spans="2:14">
      <c r="B68" s="6"/>
      <c r="C68" s="176"/>
      <c r="D68" s="176"/>
      <c r="I68" s="6"/>
      <c r="J68" s="4"/>
      <c r="K68" s="4"/>
      <c r="N68" s="6"/>
    </row>
    <row r="69" spans="2:14">
      <c r="B69" s="6"/>
      <c r="C69" s="176"/>
      <c r="D69" s="176"/>
      <c r="I69" s="6"/>
      <c r="J69" s="4"/>
      <c r="K69" s="4"/>
      <c r="N69" s="6"/>
    </row>
    <row r="70" spans="2:14">
      <c r="B70" s="6"/>
      <c r="C70" s="176"/>
      <c r="D70" s="176"/>
      <c r="I70" s="6"/>
      <c r="J70" s="4"/>
      <c r="K70" s="4"/>
      <c r="N70" s="6"/>
    </row>
    <row r="71" spans="2:14">
      <c r="B71" s="6"/>
      <c r="C71" s="176"/>
      <c r="D71" s="176"/>
      <c r="I71" s="6"/>
      <c r="J71" s="4"/>
      <c r="K71" s="4"/>
      <c r="N71" s="6"/>
    </row>
    <row r="72" spans="2:14">
      <c r="B72" s="6"/>
      <c r="C72" s="176"/>
      <c r="D72" s="176"/>
      <c r="I72" s="6"/>
      <c r="J72" s="4"/>
      <c r="K72" s="4"/>
      <c r="N72" s="6"/>
    </row>
    <row r="73" spans="2:14">
      <c r="B73" s="6"/>
      <c r="C73" s="176"/>
      <c r="D73" s="176"/>
      <c r="I73" s="6"/>
      <c r="J73" s="4"/>
      <c r="K73" s="4"/>
      <c r="N73" s="6"/>
    </row>
    <row r="74" spans="2:14">
      <c r="B74" s="6"/>
      <c r="C74" s="176"/>
      <c r="D74" s="176"/>
      <c r="I74" s="6"/>
      <c r="J74" s="4"/>
      <c r="K74" s="4"/>
      <c r="N74" s="6"/>
    </row>
    <row r="75" spans="2:14">
      <c r="B75" s="6"/>
      <c r="C75" s="176"/>
      <c r="D75" s="176"/>
      <c r="I75" s="6"/>
      <c r="J75" s="4"/>
      <c r="K75" s="4"/>
      <c r="N75" s="6"/>
    </row>
    <row r="76" spans="2:14">
      <c r="B76" s="6"/>
      <c r="C76" s="176"/>
      <c r="D76" s="176"/>
      <c r="I76" s="6"/>
      <c r="J76" s="4"/>
      <c r="K76" s="4"/>
      <c r="N76" s="6"/>
    </row>
    <row r="77" spans="2:14">
      <c r="I77" s="6"/>
      <c r="J77" s="4"/>
      <c r="K77" s="4"/>
      <c r="N77" s="6"/>
    </row>
    <row r="78" spans="2:14">
      <c r="I78" s="6"/>
      <c r="J78" s="4"/>
      <c r="K78" s="4"/>
      <c r="N78" s="6"/>
    </row>
    <row r="79" spans="2:14">
      <c r="I79" s="6"/>
      <c r="J79" s="4"/>
      <c r="K79" s="4"/>
      <c r="N79" s="6"/>
    </row>
    <row r="80" spans="2:14">
      <c r="I80" s="6"/>
      <c r="J80" s="4"/>
      <c r="K80" s="4"/>
      <c r="N80" s="6"/>
    </row>
    <row r="81" spans="2:14">
      <c r="B81" s="6"/>
      <c r="C81" s="176"/>
      <c r="D81" s="176"/>
      <c r="I81" s="6"/>
      <c r="J81" s="4"/>
      <c r="K81" s="4"/>
      <c r="N81" s="6"/>
    </row>
    <row r="82" spans="2:14">
      <c r="B82" s="21"/>
      <c r="C82" s="177"/>
      <c r="D82" s="177"/>
      <c r="I82" s="6"/>
      <c r="J82" s="4"/>
      <c r="K82" s="4"/>
      <c r="N82" s="6"/>
    </row>
    <row r="83" spans="2:14">
      <c r="B83" s="21"/>
      <c r="C83" s="177"/>
      <c r="D83" s="177"/>
      <c r="I83" s="6"/>
      <c r="J83" s="4"/>
      <c r="K83" s="4"/>
      <c r="N83" s="6"/>
    </row>
    <row r="84" spans="2:14">
      <c r="B84" s="21"/>
      <c r="C84" s="177"/>
      <c r="D84" s="177"/>
      <c r="I84" s="6"/>
      <c r="J84" s="4"/>
      <c r="K84" s="4"/>
      <c r="N84" s="6"/>
    </row>
    <row r="85" spans="2:14">
      <c r="B85" s="21"/>
      <c r="C85" s="177"/>
      <c r="D85" s="177"/>
      <c r="I85" s="6"/>
      <c r="J85" s="4"/>
      <c r="K85" s="4"/>
      <c r="N85" s="6"/>
    </row>
    <row r="86" spans="2:14">
      <c r="B86" s="21"/>
      <c r="C86" s="177"/>
      <c r="D86" s="177"/>
      <c r="I86" s="6"/>
      <c r="J86" s="4"/>
      <c r="K86" s="4"/>
      <c r="N86" s="6"/>
    </row>
    <row r="87" spans="2:14">
      <c r="B87" s="21"/>
      <c r="C87" s="177"/>
      <c r="D87" s="177"/>
      <c r="I87" s="6"/>
      <c r="J87" s="4"/>
      <c r="K87" s="4"/>
      <c r="N87" s="6"/>
    </row>
    <row r="88" spans="2:14">
      <c r="B88" s="21"/>
      <c r="C88" s="177"/>
      <c r="D88" s="177"/>
      <c r="I88" s="6"/>
      <c r="J88" s="4"/>
      <c r="K88" s="4"/>
      <c r="N88" s="6"/>
    </row>
    <row r="89" spans="2:14">
      <c r="B89" s="21"/>
      <c r="C89" s="176"/>
      <c r="D89" s="176"/>
      <c r="I89" s="6"/>
      <c r="J89" s="4"/>
      <c r="K89" s="4"/>
      <c r="N89" s="6"/>
    </row>
    <row r="90" spans="2:14">
      <c r="B90" s="6"/>
      <c r="C90" s="176"/>
      <c r="D90" s="176"/>
      <c r="I90" s="6"/>
      <c r="J90" s="4"/>
      <c r="K90" s="4"/>
      <c r="N90" s="6"/>
    </row>
    <row r="91" spans="2:14">
      <c r="I91" s="6"/>
      <c r="J91" s="4"/>
      <c r="K91" s="4"/>
      <c r="N91" s="6"/>
    </row>
    <row r="92" spans="2:14">
      <c r="I92" s="6"/>
      <c r="J92" s="4"/>
      <c r="K92" s="4"/>
      <c r="N92" s="6"/>
    </row>
    <row r="93" spans="2:14">
      <c r="I93" s="6"/>
      <c r="J93" s="4"/>
      <c r="K93" s="4"/>
      <c r="N93" s="6"/>
    </row>
    <row r="94" spans="2:14">
      <c r="I94" s="6"/>
      <c r="J94" s="4"/>
      <c r="K94" s="4"/>
      <c r="N94" s="6"/>
    </row>
    <row r="95" spans="2:14">
      <c r="I95" s="6"/>
      <c r="J95" s="4"/>
      <c r="K95" s="4"/>
      <c r="N95" s="6"/>
    </row>
    <row r="96" spans="2:14">
      <c r="I96" s="6"/>
      <c r="J96" s="4"/>
      <c r="K96" s="4"/>
      <c r="N96" s="6"/>
    </row>
    <row r="97" spans="9:14">
      <c r="I97" s="6"/>
      <c r="J97" s="4"/>
      <c r="K97" s="4"/>
      <c r="N97" s="6"/>
    </row>
    <row r="98" spans="9:14">
      <c r="I98" s="6"/>
      <c r="J98" s="4"/>
      <c r="K98" s="4"/>
      <c r="N98" s="6"/>
    </row>
    <row r="99" spans="9:14">
      <c r="I99" s="6"/>
      <c r="J99" s="4"/>
      <c r="K99" s="4"/>
      <c r="N99" s="6"/>
    </row>
    <row r="100" spans="9:14">
      <c r="I100" s="6"/>
      <c r="J100" s="4"/>
      <c r="K100" s="4"/>
      <c r="N100" s="6"/>
    </row>
    <row r="101" spans="9:14">
      <c r="I101" s="6"/>
      <c r="J101" s="4"/>
      <c r="K101" s="4"/>
      <c r="N101" s="6"/>
    </row>
    <row r="102" spans="9:14">
      <c r="I102" s="6"/>
      <c r="J102" s="4"/>
      <c r="K102" s="4"/>
      <c r="N102" s="6"/>
    </row>
    <row r="103" spans="9:14">
      <c r="I103" s="6"/>
      <c r="J103" s="4"/>
      <c r="K103" s="4"/>
      <c r="N103" s="6"/>
    </row>
    <row r="104" spans="9:14">
      <c r="I104" s="6"/>
      <c r="J104" s="4"/>
      <c r="K104" s="4"/>
      <c r="N104" s="6"/>
    </row>
    <row r="105" spans="9:14">
      <c r="I105" s="6"/>
      <c r="J105" s="4"/>
      <c r="K105" s="4"/>
      <c r="N105" s="6"/>
    </row>
    <row r="106" spans="9:14">
      <c r="I106" s="6"/>
      <c r="J106" s="4"/>
      <c r="K106" s="4"/>
      <c r="N106" s="6"/>
    </row>
    <row r="107" spans="9:14">
      <c r="I107" s="6"/>
      <c r="J107" s="4"/>
      <c r="K107" s="4"/>
      <c r="N107" s="6"/>
    </row>
    <row r="108" spans="9:14">
      <c r="I108" s="6"/>
      <c r="J108" s="4"/>
      <c r="K108" s="4"/>
      <c r="N108" s="6"/>
    </row>
    <row r="109" spans="9:14">
      <c r="I109" s="6"/>
      <c r="J109" s="4"/>
      <c r="K109" s="4"/>
      <c r="N109" s="6"/>
    </row>
    <row r="110" spans="9:14">
      <c r="I110" s="6"/>
      <c r="J110" s="4"/>
      <c r="K110" s="4"/>
      <c r="N110" s="6"/>
    </row>
    <row r="111" spans="9:14">
      <c r="I111" s="6"/>
      <c r="J111" s="4"/>
      <c r="K111" s="4"/>
      <c r="N111" s="6"/>
    </row>
    <row r="112" spans="9:14">
      <c r="I112" s="6"/>
      <c r="J112" s="4"/>
      <c r="K112" s="4"/>
      <c r="N112" s="6"/>
    </row>
    <row r="113" spans="9:14">
      <c r="I113" s="6"/>
      <c r="J113" s="4"/>
      <c r="K113" s="4"/>
      <c r="N113" s="6"/>
    </row>
    <row r="114" spans="9:14">
      <c r="I114" s="6"/>
      <c r="J114" s="4"/>
      <c r="K114" s="4"/>
      <c r="N114" s="6"/>
    </row>
    <row r="115" spans="9:14">
      <c r="I115" s="6"/>
      <c r="J115" s="4"/>
      <c r="K115" s="4"/>
      <c r="N115" s="6"/>
    </row>
    <row r="116" spans="9:14">
      <c r="I116" s="6"/>
      <c r="J116" s="4"/>
      <c r="K116" s="4"/>
      <c r="N116" s="6"/>
    </row>
    <row r="117" spans="9:14">
      <c r="I117" s="6"/>
      <c r="J117" s="4"/>
      <c r="K117" s="4"/>
      <c r="N117" s="6"/>
    </row>
    <row r="118" spans="9:14">
      <c r="I118" s="6"/>
      <c r="J118" s="4"/>
      <c r="K118" s="4"/>
      <c r="N118" s="6"/>
    </row>
    <row r="119" spans="9:14">
      <c r="I119" s="6"/>
      <c r="J119" s="4"/>
      <c r="K119" s="4"/>
      <c r="N119" s="6"/>
    </row>
    <row r="120" spans="9:14">
      <c r="I120" s="6"/>
      <c r="J120" s="4"/>
      <c r="K120" s="4"/>
      <c r="N120" s="6"/>
    </row>
    <row r="121" spans="9:14">
      <c r="I121" s="6"/>
      <c r="J121" s="4"/>
      <c r="K121" s="4"/>
      <c r="N121" s="6"/>
    </row>
    <row r="122" spans="9:14">
      <c r="I122" s="6"/>
      <c r="J122" s="4"/>
      <c r="K122" s="4"/>
      <c r="N122" s="6"/>
    </row>
    <row r="123" spans="9:14">
      <c r="I123" s="6"/>
      <c r="J123" s="4"/>
      <c r="K123" s="4"/>
      <c r="N123" s="6"/>
    </row>
    <row r="124" spans="9:14">
      <c r="I124" s="6"/>
      <c r="J124" s="4"/>
      <c r="K124" s="4"/>
      <c r="N124" s="6"/>
    </row>
    <row r="125" spans="9:14">
      <c r="I125" s="6"/>
      <c r="J125" s="4"/>
      <c r="K125" s="4"/>
      <c r="N125" s="6"/>
    </row>
    <row r="126" spans="9:14">
      <c r="I126" s="6"/>
      <c r="J126" s="4"/>
      <c r="K126" s="4"/>
      <c r="N126" s="6"/>
    </row>
    <row r="127" spans="9:14">
      <c r="I127" s="6"/>
      <c r="J127" s="4"/>
      <c r="K127" s="4"/>
      <c r="N127" s="6"/>
    </row>
    <row r="128" spans="9:14">
      <c r="I128" s="6"/>
      <c r="J128" s="4"/>
      <c r="K128" s="4"/>
      <c r="N128" s="6"/>
    </row>
    <row r="129" spans="1:14">
      <c r="I129" s="6"/>
      <c r="J129" s="4"/>
      <c r="K129" s="4"/>
      <c r="N129" s="6"/>
    </row>
    <row r="130" spans="1:14">
      <c r="I130" s="6"/>
      <c r="J130" s="4"/>
      <c r="K130" s="4"/>
      <c r="N130" s="6"/>
    </row>
    <row r="131" spans="1:14">
      <c r="A131" s="175" t="s">
        <v>86</v>
      </c>
      <c r="I131" s="6"/>
      <c r="J131" s="4"/>
      <c r="K131" s="4"/>
      <c r="N131" s="6"/>
    </row>
    <row r="132" spans="1:14">
      <c r="I132" s="6"/>
      <c r="J132" s="4"/>
      <c r="K132" s="4"/>
      <c r="N132" s="6"/>
    </row>
    <row r="133" spans="1:14">
      <c r="I133" s="6"/>
      <c r="J133" s="4"/>
      <c r="K133" s="4"/>
      <c r="N133" s="6"/>
    </row>
    <row r="134" spans="1:14">
      <c r="I134" s="6"/>
      <c r="J134" s="4"/>
      <c r="K134" s="4"/>
      <c r="N134" s="6"/>
    </row>
    <row r="135" spans="1:14">
      <c r="I135" s="6"/>
      <c r="J135" s="4"/>
      <c r="K135" s="4"/>
      <c r="N135" s="6"/>
    </row>
    <row r="136" spans="1:14">
      <c r="I136" s="6"/>
      <c r="J136" s="4"/>
      <c r="K136" s="4"/>
      <c r="N136" s="6"/>
    </row>
    <row r="137" spans="1:14">
      <c r="I137" s="6"/>
      <c r="J137" s="4"/>
      <c r="K137" s="4"/>
      <c r="N137" s="6"/>
    </row>
    <row r="138" spans="1:14">
      <c r="I138" s="6"/>
      <c r="J138" s="4"/>
      <c r="K138" s="4"/>
      <c r="N138" s="6"/>
    </row>
    <row r="139" spans="1:14">
      <c r="I139" s="6"/>
      <c r="J139" s="4"/>
      <c r="K139" s="4"/>
      <c r="N139" s="6"/>
    </row>
    <row r="140" spans="1:14">
      <c r="I140" s="6"/>
      <c r="J140" s="4"/>
      <c r="K140" s="4"/>
      <c r="N140" s="6"/>
    </row>
    <row r="141" spans="1:14">
      <c r="I141" s="6"/>
      <c r="J141" s="4"/>
      <c r="K141" s="4"/>
      <c r="N141" s="6"/>
    </row>
    <row r="142" spans="1:14">
      <c r="I142" s="6"/>
      <c r="J142" s="4"/>
      <c r="K142" s="4"/>
      <c r="N142" s="6"/>
    </row>
    <row r="143" spans="1:14">
      <c r="I143" s="6"/>
      <c r="J143" s="4"/>
      <c r="K143" s="4"/>
      <c r="N143" s="6"/>
    </row>
    <row r="144" spans="1:14">
      <c r="I144" s="6"/>
      <c r="J144" s="4"/>
      <c r="K144" s="4"/>
      <c r="N144" s="6"/>
    </row>
    <row r="145" spans="9:14">
      <c r="I145" s="6"/>
      <c r="J145" s="4"/>
      <c r="K145" s="4"/>
      <c r="N145" s="6"/>
    </row>
    <row r="146" spans="9:14">
      <c r="I146" s="6"/>
      <c r="J146" s="4"/>
      <c r="K146" s="4"/>
      <c r="N146" s="6"/>
    </row>
    <row r="147" spans="9:14">
      <c r="I147" s="6"/>
      <c r="J147" s="4"/>
      <c r="K147" s="4"/>
      <c r="N147" s="6"/>
    </row>
    <row r="148" spans="9:14">
      <c r="I148" s="6"/>
      <c r="J148" s="4"/>
      <c r="K148" s="4"/>
      <c r="N148" s="6"/>
    </row>
    <row r="149" spans="9:14">
      <c r="I149" s="6"/>
      <c r="J149" s="4"/>
      <c r="K149" s="4"/>
      <c r="N149" s="6"/>
    </row>
    <row r="150" spans="9:14">
      <c r="I150" s="6"/>
      <c r="J150" s="4"/>
      <c r="K150" s="4"/>
      <c r="N150" s="6"/>
    </row>
    <row r="151" spans="9:14">
      <c r="I151" s="6"/>
      <c r="J151" s="4"/>
      <c r="K151" s="4"/>
      <c r="N151" s="6"/>
    </row>
    <row r="152" spans="9:14">
      <c r="I152" s="6"/>
      <c r="J152" s="4"/>
      <c r="K152" s="4"/>
      <c r="N152" s="6"/>
    </row>
    <row r="153" spans="9:14">
      <c r="I153" s="6"/>
      <c r="J153" s="4"/>
      <c r="N153" s="6"/>
    </row>
    <row r="154" spans="9:14">
      <c r="I154" s="6"/>
      <c r="J154" s="4"/>
      <c r="N154" s="6"/>
    </row>
    <row r="155" spans="9:14">
      <c r="I155" s="6"/>
      <c r="J155" s="4"/>
      <c r="N155" s="6"/>
    </row>
    <row r="156" spans="9:14">
      <c r="I156" s="6"/>
      <c r="J156" s="4"/>
      <c r="N156" s="6"/>
    </row>
    <row r="157" spans="9:14">
      <c r="I157" s="6"/>
      <c r="J157" s="4"/>
      <c r="N157" s="6"/>
    </row>
    <row r="158" spans="9:14">
      <c r="I158" s="6"/>
      <c r="J158" s="4"/>
      <c r="N158" s="6"/>
    </row>
    <row r="159" spans="9:14">
      <c r="I159" s="6"/>
      <c r="J159" s="4"/>
      <c r="N159" s="6"/>
    </row>
    <row r="160" spans="9:14">
      <c r="I160" s="6"/>
      <c r="J160" s="4"/>
      <c r="N160" s="6"/>
    </row>
    <row r="161" spans="9:14">
      <c r="I161" s="6"/>
      <c r="J161" s="4"/>
      <c r="N161" s="6"/>
    </row>
    <row r="162" spans="9:14">
      <c r="I162" s="6"/>
      <c r="J162" s="4"/>
      <c r="N162" s="6"/>
    </row>
    <row r="163" spans="9:14">
      <c r="I163" s="6"/>
      <c r="J163" s="4"/>
      <c r="N163" s="6"/>
    </row>
    <row r="164" spans="9:14">
      <c r="I164" s="6"/>
      <c r="J164" s="4"/>
      <c r="N164" s="6"/>
    </row>
    <row r="165" spans="9:14">
      <c r="I165" s="6"/>
      <c r="J165" s="4"/>
      <c r="N165" s="6"/>
    </row>
    <row r="166" spans="9:14">
      <c r="I166" s="6"/>
      <c r="J166" s="4"/>
      <c r="N166" s="6"/>
    </row>
    <row r="167" spans="9:14">
      <c r="I167" s="6"/>
      <c r="J167" s="4"/>
      <c r="N167" s="6"/>
    </row>
    <row r="168" spans="9:14">
      <c r="I168" s="6"/>
      <c r="J168" s="4"/>
      <c r="N168" s="6"/>
    </row>
    <row r="169" spans="9:14">
      <c r="I169" s="6"/>
      <c r="J169" s="4"/>
      <c r="N169" s="6"/>
    </row>
    <row r="170" spans="9:14">
      <c r="I170" s="6"/>
      <c r="J170" s="4"/>
      <c r="N170" s="6"/>
    </row>
    <row r="171" spans="9:14">
      <c r="I171" s="6"/>
      <c r="J171" s="4"/>
      <c r="N171" s="6"/>
    </row>
    <row r="172" spans="9:14">
      <c r="I172" s="6"/>
      <c r="J172" s="4"/>
      <c r="N172" s="6"/>
    </row>
    <row r="173" spans="9:14">
      <c r="I173" s="6"/>
      <c r="J173" s="4"/>
      <c r="N173" s="6"/>
    </row>
    <row r="174" spans="9:14">
      <c r="I174" s="6"/>
      <c r="J174" s="4"/>
      <c r="N174" s="6"/>
    </row>
    <row r="175" spans="9:14">
      <c r="I175" s="6"/>
      <c r="J175" s="4"/>
      <c r="N175" s="6"/>
    </row>
    <row r="176" spans="9:14">
      <c r="I176" s="6"/>
      <c r="J176" s="4"/>
      <c r="N176" s="6"/>
    </row>
    <row r="177" spans="9:14">
      <c r="I177" s="6"/>
      <c r="J177" s="4"/>
      <c r="N177" s="6"/>
    </row>
    <row r="178" spans="9:14">
      <c r="I178" s="6"/>
      <c r="J178" s="4"/>
      <c r="N178" s="6"/>
    </row>
    <row r="179" spans="9:14">
      <c r="I179" s="6"/>
      <c r="J179" s="4"/>
      <c r="N179" s="6"/>
    </row>
    <row r="180" spans="9:14">
      <c r="I180" s="6"/>
      <c r="J180" s="4"/>
      <c r="N180" s="6"/>
    </row>
    <row r="181" spans="9:14">
      <c r="I181" s="6"/>
      <c r="J181" s="4"/>
      <c r="N181" s="6"/>
    </row>
    <row r="182" spans="9:14">
      <c r="I182" s="6"/>
      <c r="J182" s="4"/>
      <c r="N182" s="6"/>
    </row>
    <row r="183" spans="9:14">
      <c r="I183" s="6"/>
      <c r="J183" s="4"/>
      <c r="N183" s="6"/>
    </row>
    <row r="184" spans="9:14">
      <c r="I184" s="6"/>
      <c r="J184" s="4"/>
      <c r="N184" s="6"/>
    </row>
    <row r="185" spans="9:14">
      <c r="I185" s="6"/>
      <c r="J185" s="4"/>
      <c r="N185" s="6"/>
    </row>
    <row r="186" spans="9:14">
      <c r="I186" s="6"/>
      <c r="J186" s="4"/>
      <c r="N186" s="6"/>
    </row>
    <row r="187" spans="9:14">
      <c r="I187" s="6"/>
      <c r="J187" s="4"/>
      <c r="N187" s="6"/>
    </row>
    <row r="188" spans="9:14">
      <c r="I188" s="6"/>
      <c r="J188" s="4"/>
      <c r="N188" s="6"/>
    </row>
    <row r="189" spans="9:14">
      <c r="I189" s="6"/>
      <c r="J189" s="4"/>
      <c r="N189" s="6"/>
    </row>
    <row r="190" spans="9:14">
      <c r="I190" s="6"/>
      <c r="J190" s="4"/>
      <c r="N190" s="6"/>
    </row>
    <row r="191" spans="9:14">
      <c r="I191" s="6"/>
      <c r="J191" s="4"/>
      <c r="N191" s="6"/>
    </row>
    <row r="192" spans="9:14">
      <c r="I192" s="6"/>
      <c r="J192" s="4"/>
      <c r="N192" s="6"/>
    </row>
    <row r="193" spans="9:14">
      <c r="I193" s="6"/>
      <c r="J193" s="4"/>
      <c r="N193" s="6"/>
    </row>
    <row r="194" spans="9:14">
      <c r="I194" s="6"/>
      <c r="J194" s="4"/>
      <c r="N194" s="6"/>
    </row>
    <row r="195" spans="9:14">
      <c r="I195" s="6"/>
      <c r="J195" s="4"/>
      <c r="N195" s="6"/>
    </row>
    <row r="196" spans="9:14">
      <c r="I196" s="6"/>
      <c r="J196" s="4"/>
      <c r="N196" s="6"/>
    </row>
    <row r="197" spans="9:14">
      <c r="I197" s="6"/>
      <c r="J197" s="4"/>
      <c r="N197" s="6"/>
    </row>
    <row r="198" spans="9:14">
      <c r="I198" s="6"/>
      <c r="J198" s="4"/>
      <c r="N198" s="6"/>
    </row>
    <row r="199" spans="9:14">
      <c r="I199" s="6"/>
      <c r="J199" s="4"/>
      <c r="N199" s="6"/>
    </row>
    <row r="200" spans="9:14">
      <c r="I200" s="6"/>
      <c r="J200" s="4"/>
      <c r="N200" s="6"/>
    </row>
    <row r="201" spans="9:14">
      <c r="I201" s="6"/>
      <c r="J201" s="4"/>
      <c r="N201" s="6"/>
    </row>
    <row r="202" spans="9:14">
      <c r="I202" s="6"/>
      <c r="J202" s="4"/>
      <c r="N202" s="6"/>
    </row>
    <row r="203" spans="9:14">
      <c r="I203" s="6"/>
      <c r="J203" s="4"/>
      <c r="N203" s="6"/>
    </row>
    <row r="204" spans="9:14">
      <c r="I204" s="6"/>
      <c r="J204" s="4"/>
      <c r="N204" s="6"/>
    </row>
    <row r="205" spans="9:14">
      <c r="I205" s="6"/>
      <c r="J205" s="4"/>
      <c r="N205" s="6"/>
    </row>
    <row r="206" spans="9:14">
      <c r="I206" s="6"/>
      <c r="J206" s="4"/>
      <c r="N206" s="6"/>
    </row>
    <row r="207" spans="9:14">
      <c r="I207" s="6"/>
      <c r="J207" s="4"/>
      <c r="N207" s="6"/>
    </row>
    <row r="208" spans="9:14">
      <c r="I208" s="6"/>
      <c r="J208" s="4"/>
      <c r="N208" s="6"/>
    </row>
    <row r="209" spans="9:14">
      <c r="I209" s="6"/>
      <c r="J209" s="4"/>
      <c r="N209" s="6"/>
    </row>
    <row r="210" spans="9:14">
      <c r="I210" s="6"/>
      <c r="J210" s="4"/>
      <c r="N210" s="6"/>
    </row>
    <row r="211" spans="9:14">
      <c r="I211" s="6"/>
      <c r="J211" s="4"/>
      <c r="N211" s="6"/>
    </row>
    <row r="212" spans="9:14">
      <c r="I212" s="6"/>
      <c r="J212" s="4"/>
      <c r="N212" s="6"/>
    </row>
    <row r="213" spans="9:14">
      <c r="I213" s="6"/>
      <c r="J213" s="4"/>
      <c r="N213" s="6"/>
    </row>
    <row r="214" spans="9:14">
      <c r="I214" s="6"/>
      <c r="J214" s="4"/>
      <c r="N214" s="6"/>
    </row>
    <row r="215" spans="9:14">
      <c r="I215" s="6"/>
      <c r="J215" s="4"/>
      <c r="N215" s="6"/>
    </row>
    <row r="216" spans="9:14">
      <c r="I216" s="6"/>
      <c r="J216" s="4"/>
      <c r="N216" s="6"/>
    </row>
    <row r="217" spans="9:14">
      <c r="I217" s="6"/>
      <c r="J217" s="4"/>
      <c r="N217" s="6"/>
    </row>
    <row r="218" spans="9:14">
      <c r="I218" s="6"/>
      <c r="J218" s="4"/>
      <c r="N218" s="6"/>
    </row>
    <row r="219" spans="9:14">
      <c r="I219" s="6"/>
      <c r="J219" s="4"/>
      <c r="N219" s="6"/>
    </row>
    <row r="220" spans="9:14">
      <c r="I220" s="6"/>
      <c r="J220" s="4"/>
      <c r="N220" s="6"/>
    </row>
    <row r="221" spans="9:14">
      <c r="I221" s="6"/>
      <c r="J221" s="4"/>
      <c r="N221" s="6"/>
    </row>
    <row r="222" spans="9:14">
      <c r="I222" s="6"/>
      <c r="J222" s="4"/>
      <c r="N222" s="6"/>
    </row>
    <row r="223" spans="9:14">
      <c r="I223" s="6"/>
      <c r="J223" s="4"/>
      <c r="N223" s="6"/>
    </row>
    <row r="224" spans="9:14">
      <c r="I224" s="6"/>
      <c r="J224" s="4"/>
      <c r="N224" s="6"/>
    </row>
    <row r="225" spans="9:14">
      <c r="I225" s="6"/>
      <c r="J225" s="4"/>
      <c r="N225" s="6"/>
    </row>
    <row r="226" spans="9:14">
      <c r="I226" s="6"/>
      <c r="J226" s="4"/>
      <c r="N226" s="6"/>
    </row>
    <row r="227" spans="9:14">
      <c r="I227" s="6"/>
      <c r="J227" s="4"/>
      <c r="N227" s="6"/>
    </row>
    <row r="228" spans="9:14">
      <c r="I228" s="6"/>
      <c r="J228" s="4"/>
      <c r="N228" s="6"/>
    </row>
    <row r="229" spans="9:14">
      <c r="I229" s="6"/>
      <c r="J229" s="4"/>
      <c r="N229" s="6"/>
    </row>
    <row r="230" spans="9:14">
      <c r="I230" s="6"/>
      <c r="J230" s="4"/>
      <c r="N230" s="6"/>
    </row>
    <row r="231" spans="9:14">
      <c r="I231" s="6"/>
      <c r="J231" s="4"/>
      <c r="N231" s="6"/>
    </row>
    <row r="232" spans="9:14">
      <c r="I232" s="6"/>
      <c r="J232" s="4"/>
      <c r="N232" s="6"/>
    </row>
    <row r="233" spans="9:14">
      <c r="I233" s="6"/>
      <c r="J233" s="4"/>
      <c r="N233" s="6"/>
    </row>
    <row r="234" spans="9:14">
      <c r="I234" s="6"/>
      <c r="J234" s="4"/>
      <c r="N234" s="6"/>
    </row>
    <row r="235" spans="9:14">
      <c r="I235" s="6"/>
      <c r="J235" s="4"/>
      <c r="N235" s="6"/>
    </row>
    <row r="236" spans="9:14">
      <c r="I236" s="6"/>
      <c r="J236" s="4"/>
      <c r="N236" s="6"/>
    </row>
    <row r="237" spans="9:14">
      <c r="I237" s="6"/>
      <c r="J237" s="4"/>
      <c r="N237" s="6"/>
    </row>
    <row r="238" spans="9:14">
      <c r="I238" s="6"/>
      <c r="J238" s="4"/>
      <c r="N238" s="6"/>
    </row>
    <row r="239" spans="9:14">
      <c r="I239" s="6"/>
      <c r="J239" s="4"/>
      <c r="N239" s="6"/>
    </row>
    <row r="240" spans="9:14">
      <c r="I240" s="6"/>
      <c r="J240" s="4"/>
      <c r="N240" s="6"/>
    </row>
    <row r="241" spans="9:14">
      <c r="I241" s="6"/>
      <c r="J241" s="4"/>
      <c r="N241" s="6"/>
    </row>
    <row r="242" spans="9:14">
      <c r="I242" s="6"/>
      <c r="J242" s="4"/>
      <c r="N242" s="6"/>
    </row>
    <row r="243" spans="9:14">
      <c r="I243" s="6"/>
      <c r="J243" s="4"/>
      <c r="N243" s="6"/>
    </row>
    <row r="244" spans="9:14">
      <c r="I244" s="6"/>
      <c r="J244" s="4"/>
      <c r="N244" s="6"/>
    </row>
    <row r="245" spans="9:14">
      <c r="I245" s="6"/>
      <c r="J245" s="4"/>
      <c r="N245" s="6"/>
    </row>
    <row r="246" spans="9:14">
      <c r="I246" s="6"/>
      <c r="J246" s="4"/>
      <c r="N246" s="6"/>
    </row>
    <row r="247" spans="9:14">
      <c r="I247" s="6"/>
      <c r="J247" s="4"/>
      <c r="N247" s="6"/>
    </row>
    <row r="248" spans="9:14">
      <c r="I248" s="6"/>
      <c r="J248" s="4"/>
      <c r="N248" s="6"/>
    </row>
    <row r="249" spans="9:14">
      <c r="I249" s="6"/>
      <c r="J249" s="4"/>
      <c r="N249" s="6"/>
    </row>
    <row r="250" spans="9:14">
      <c r="I250" s="6"/>
      <c r="J250" s="4"/>
      <c r="N250" s="6"/>
    </row>
    <row r="251" spans="9:14">
      <c r="I251" s="6"/>
      <c r="J251" s="4"/>
      <c r="N251" s="6"/>
    </row>
    <row r="252" spans="9:14">
      <c r="I252" s="6"/>
      <c r="J252" s="4"/>
      <c r="N252" s="6"/>
    </row>
    <row r="253" spans="9:14">
      <c r="I253" s="6"/>
      <c r="J253" s="4"/>
      <c r="N253" s="6"/>
    </row>
    <row r="254" spans="9:14">
      <c r="I254" s="6"/>
      <c r="J254" s="4"/>
      <c r="N254" s="6"/>
    </row>
    <row r="255" spans="9:14">
      <c r="I255" s="6"/>
      <c r="J255" s="4"/>
      <c r="N255" s="6"/>
    </row>
    <row r="256" spans="9:14">
      <c r="I256" s="6"/>
      <c r="J256" s="4"/>
      <c r="N256" s="6"/>
    </row>
    <row r="257" spans="9:14">
      <c r="I257" s="6"/>
      <c r="J257" s="4"/>
      <c r="N257" s="6"/>
    </row>
    <row r="258" spans="9:14">
      <c r="I258" s="6"/>
      <c r="J258" s="4"/>
      <c r="N258" s="6"/>
    </row>
    <row r="259" spans="9:14">
      <c r="I259" s="6"/>
      <c r="J259" s="4"/>
      <c r="N259" s="6"/>
    </row>
    <row r="260" spans="9:14">
      <c r="I260" s="6"/>
      <c r="J260" s="4"/>
      <c r="N260" s="6"/>
    </row>
    <row r="261" spans="9:14">
      <c r="I261" s="6"/>
      <c r="J261" s="4"/>
      <c r="N261" s="6"/>
    </row>
    <row r="262" spans="9:14">
      <c r="I262" s="6"/>
      <c r="J262" s="4"/>
      <c r="N262" s="6"/>
    </row>
    <row r="263" spans="9:14">
      <c r="I263" s="6"/>
      <c r="J263" s="4"/>
      <c r="N263" s="6"/>
    </row>
    <row r="264" spans="9:14">
      <c r="I264" s="6"/>
      <c r="J264" s="4"/>
      <c r="N264" s="6"/>
    </row>
    <row r="265" spans="9:14">
      <c r="N265" s="6"/>
    </row>
    <row r="266" spans="9:14">
      <c r="N266" s="6"/>
    </row>
  </sheetData>
  <autoFilter ref="A2:M271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0"/>
  <sheetViews>
    <sheetView zoomScale="80" zoomScaleNormal="80" workbookViewId="0">
      <pane ySplit="1" topLeftCell="A2" activePane="bottomLeft" state="frozen"/>
      <selection pane="bottomLeft" activeCell="J27" sqref="J27"/>
    </sheetView>
  </sheetViews>
  <sheetFormatPr defaultColWidth="9" defaultRowHeight="14.35"/>
  <cols>
    <col min="1" max="1" width="24.5859375" style="13" customWidth="1"/>
    <col min="2" max="2" width="18" style="331" customWidth="1"/>
    <col min="3" max="3" width="18" style="561" customWidth="1"/>
    <col min="4" max="4" width="16.87890625" style="331" customWidth="1"/>
    <col min="5" max="5" width="61.9375" style="6" customWidth="1"/>
    <col min="6" max="6" width="7.41015625" style="6" customWidth="1"/>
    <col min="7" max="7" width="12.41015625" style="13" customWidth="1"/>
    <col min="8" max="8" width="10.87890625" style="13" customWidth="1"/>
    <col min="9" max="9" width="14.8203125" style="13" customWidth="1"/>
    <col min="10" max="10" width="10.703125" style="13" bestFit="1" customWidth="1"/>
    <col min="11" max="11" width="13.8203125" style="331" customWidth="1"/>
    <col min="12" max="12" width="47.5859375" style="13" customWidth="1"/>
    <col min="13" max="13" width="13.41015625" style="331" bestFit="1" customWidth="1"/>
    <col min="14" max="14" width="9.703125" style="331" customWidth="1"/>
    <col min="15" max="15" width="13.41015625" style="331" customWidth="1"/>
    <col min="16" max="16" width="13.41015625" style="331" bestFit="1" customWidth="1"/>
    <col min="17" max="17" width="10" style="331" customWidth="1"/>
    <col min="18" max="18" width="13.41015625" style="331" customWidth="1"/>
    <col min="19" max="19" width="8.703125" style="331" customWidth="1"/>
    <col min="20" max="20" width="13.41015625" style="331" customWidth="1"/>
    <col min="21" max="21" width="8.703125" style="331" customWidth="1"/>
    <col min="22" max="22" width="10" style="331" customWidth="1"/>
    <col min="23" max="28" width="13.41015625" style="331" customWidth="1"/>
    <col min="29" max="29" width="13.41015625" style="331" bestFit="1" customWidth="1"/>
    <col min="30" max="32" width="13.41015625" style="331" customWidth="1"/>
    <col min="33" max="33" width="13.87890625" style="331" customWidth="1"/>
    <col min="34" max="34" width="13.41015625" style="331" bestFit="1" customWidth="1"/>
    <col min="35" max="39" width="13.41015625" style="331" customWidth="1"/>
    <col min="40" max="40" width="8.703125" style="331" customWidth="1"/>
    <col min="41" max="41" width="13.87890625" style="331" customWidth="1"/>
    <col min="42" max="42" width="18" style="331" bestFit="1" customWidth="1"/>
    <col min="43" max="43" width="12" style="331" customWidth="1"/>
    <col min="44" max="46" width="13.41015625" style="331" customWidth="1"/>
    <col min="47" max="47" width="8.703125" style="331" customWidth="1"/>
    <col min="48" max="48" width="14.234375" style="331" bestFit="1" customWidth="1"/>
    <col min="49" max="49" width="14.234375" style="331" customWidth="1"/>
    <col min="50" max="50" width="14.234375" style="331" bestFit="1" customWidth="1"/>
    <col min="51" max="51" width="13.41015625" style="331" customWidth="1"/>
    <col min="52" max="52" width="20.41015625" style="331" bestFit="1" customWidth="1"/>
    <col min="53" max="57" width="13.41015625" style="331" customWidth="1"/>
    <col min="58" max="58" width="13.41015625" style="331" bestFit="1" customWidth="1"/>
    <col min="59" max="59" width="14.41015625" style="331" bestFit="1" customWidth="1"/>
    <col min="60" max="60" width="12" style="331" customWidth="1"/>
    <col min="61" max="61" width="10" style="331" customWidth="1"/>
    <col min="62" max="69" width="13.41015625" style="331" customWidth="1"/>
    <col min="70" max="71" width="13.87890625" style="331" customWidth="1"/>
    <col min="72" max="72" width="13.87890625" style="331" bestFit="1" customWidth="1"/>
    <col min="73" max="74" width="18.1171875" style="331" customWidth="1"/>
    <col min="75" max="75" width="13.87890625" style="331" bestFit="1" customWidth="1"/>
    <col min="76" max="76" width="8.703125" style="331" customWidth="1"/>
    <col min="77" max="79" width="14.703125" style="331" customWidth="1"/>
    <col min="80" max="80" width="14.703125" style="331" bestFit="1" customWidth="1"/>
    <col min="81" max="81" width="14.703125" style="331" customWidth="1"/>
    <col min="82" max="82" width="12.703125" style="331" customWidth="1"/>
    <col min="83" max="92" width="13" style="331" customWidth="1"/>
    <col min="93" max="93" width="13" style="331" bestFit="1" customWidth="1"/>
    <col min="94" max="108" width="13" style="331" customWidth="1"/>
    <col min="109" max="109" width="12" style="331" customWidth="1"/>
    <col min="110" max="112" width="13.41015625" style="331" customWidth="1"/>
    <col min="113" max="113" width="13" style="331" customWidth="1"/>
    <col min="114" max="114" width="13.41015625" style="331" customWidth="1"/>
    <col min="115" max="115" width="13.41015625" style="331" bestFit="1" customWidth="1"/>
    <col min="116" max="120" width="13.41015625" style="331" customWidth="1"/>
    <col min="121" max="121" width="13" style="331" customWidth="1"/>
    <col min="122" max="126" width="13.41015625" style="331" customWidth="1"/>
    <col min="127" max="127" width="13.41015625" style="331" bestFit="1" customWidth="1"/>
    <col min="128" max="134" width="13.41015625" style="331" customWidth="1"/>
    <col min="135" max="135" width="13.41015625" style="331" bestFit="1" customWidth="1"/>
    <col min="136" max="152" width="13.41015625" style="331" customWidth="1"/>
    <col min="153" max="153" width="13.41015625" style="331" bestFit="1" customWidth="1"/>
    <col min="154" max="154" width="13.41015625" style="331" customWidth="1"/>
    <col min="155" max="155" width="13.41015625" style="331" bestFit="1" customWidth="1"/>
    <col min="156" max="159" width="13.41015625" style="331" customWidth="1"/>
    <col min="160" max="161" width="13.41015625" style="331" bestFit="1" customWidth="1"/>
    <col min="162" max="163" width="13.41015625" style="331" customWidth="1"/>
    <col min="164" max="164" width="13" style="331" customWidth="1"/>
    <col min="165" max="165" width="13.41015625" style="331" bestFit="1" customWidth="1"/>
    <col min="166" max="168" width="13.41015625" style="331" customWidth="1"/>
    <col min="169" max="169" width="11.703125" style="331" customWidth="1"/>
    <col min="170" max="170" width="13" style="331" bestFit="1" customWidth="1"/>
    <col min="171" max="172" width="13" style="331" customWidth="1"/>
    <col min="173" max="173" width="13.87890625" style="331" customWidth="1"/>
    <col min="174" max="174" width="13" style="331" customWidth="1"/>
    <col min="175" max="176" width="13" style="331" bestFit="1" customWidth="1"/>
    <col min="177" max="177" width="9.41015625" style="331" customWidth="1"/>
    <col min="178" max="185" width="13" style="331" customWidth="1"/>
    <col min="186" max="186" width="13.234375" style="331" customWidth="1"/>
    <col min="187" max="197" width="13" style="331" customWidth="1"/>
    <col min="198" max="198" width="13" style="331" bestFit="1" customWidth="1"/>
    <col min="199" max="201" width="13" style="331" customWidth="1"/>
    <col min="202" max="202" width="13" style="331" bestFit="1" customWidth="1"/>
    <col min="203" max="208" width="13" style="331" customWidth="1"/>
    <col min="209" max="209" width="13.41015625" style="331" customWidth="1"/>
    <col min="210" max="210" width="13" style="331" customWidth="1"/>
    <col min="211" max="211" width="13" style="331" bestFit="1" customWidth="1"/>
    <col min="212" max="213" width="13" style="331" customWidth="1"/>
    <col min="214" max="214" width="13" style="331" bestFit="1" customWidth="1"/>
    <col min="215" max="233" width="13" style="331" customWidth="1"/>
    <col min="234" max="234" width="13.234375" style="331" customWidth="1"/>
    <col min="235" max="235" width="13" style="331" customWidth="1"/>
    <col min="236" max="236" width="13.234375" style="331" customWidth="1"/>
    <col min="237" max="237" width="13" style="331" customWidth="1"/>
    <col min="238" max="238" width="13" style="331" bestFit="1" customWidth="1"/>
    <col min="239" max="239" width="13.234375" style="331" bestFit="1" customWidth="1"/>
    <col min="240" max="241" width="13" style="331" customWidth="1"/>
    <col min="242" max="242" width="13.234375" style="331" customWidth="1"/>
    <col min="243" max="243" width="13" style="331" bestFit="1" customWidth="1"/>
    <col min="244" max="244" width="13.234375" style="331" customWidth="1"/>
    <col min="245" max="245" width="13" style="331" customWidth="1"/>
    <col min="246" max="246" width="13.234375" style="331" bestFit="1" customWidth="1"/>
    <col min="247" max="252" width="13" style="331" customWidth="1"/>
    <col min="253" max="253" width="13.234375" style="331" customWidth="1"/>
    <col min="254" max="254" width="8.703125" style="331" customWidth="1"/>
    <col min="255" max="255" width="21.87890625" style="331" bestFit="1" customWidth="1"/>
    <col min="256" max="256" width="11.5859375" style="331" customWidth="1"/>
    <col min="257" max="257" width="13" style="331" customWidth="1"/>
    <col min="258" max="259" width="13" style="331" bestFit="1" customWidth="1"/>
    <col min="260" max="261" width="13" style="331" customWidth="1"/>
    <col min="262" max="263" width="13" style="331" bestFit="1" customWidth="1"/>
    <col min="264" max="267" width="13" style="331" customWidth="1"/>
    <col min="268" max="268" width="13" style="331" bestFit="1" customWidth="1"/>
    <col min="269" max="271" width="13" style="331" customWidth="1"/>
    <col min="272" max="272" width="13.234375" style="331" customWidth="1"/>
    <col min="273" max="287" width="13" style="331" customWidth="1"/>
    <col min="288" max="288" width="13" style="331" bestFit="1" customWidth="1"/>
    <col min="289" max="289" width="13" style="331" customWidth="1"/>
    <col min="290" max="290" width="13.234375" style="331" customWidth="1"/>
    <col min="291" max="298" width="13" style="331" customWidth="1"/>
    <col min="299" max="299" width="13" style="331" bestFit="1" customWidth="1"/>
    <col min="300" max="302" width="13" style="331" customWidth="1"/>
    <col min="303" max="303" width="13" style="331" bestFit="1" customWidth="1"/>
    <col min="304" max="307" width="13" style="331" customWidth="1"/>
    <col min="308" max="308" width="13.234375" style="331" customWidth="1"/>
    <col min="309" max="309" width="13" style="331" bestFit="1" customWidth="1"/>
    <col min="310" max="315" width="13.5859375" style="331" customWidth="1"/>
    <col min="316" max="316" width="8" style="331" customWidth="1"/>
    <col min="317" max="317" width="14" style="331" customWidth="1"/>
    <col min="318" max="318" width="13.5859375" style="331" customWidth="1"/>
    <col min="319" max="319" width="13.5859375" style="331" bestFit="1" customWidth="1"/>
    <col min="320" max="320" width="14" style="331" bestFit="1" customWidth="1"/>
    <col min="321" max="323" width="13.5859375" style="331" customWidth="1"/>
    <col min="324" max="324" width="14" style="331" bestFit="1" customWidth="1"/>
    <col min="325" max="328" width="13.5859375" style="331" customWidth="1"/>
    <col min="329" max="329" width="14" style="331" customWidth="1"/>
    <col min="330" max="330" width="13.5859375" style="331" bestFit="1" customWidth="1"/>
    <col min="331" max="331" width="14" style="331" bestFit="1" customWidth="1"/>
    <col min="332" max="332" width="13.5859375" style="331" customWidth="1"/>
    <col min="333" max="333" width="13.5859375" style="331" bestFit="1" customWidth="1"/>
    <col min="334" max="334" width="13.5859375" style="331" customWidth="1"/>
    <col min="335" max="335" width="13.5859375" style="331" bestFit="1" customWidth="1"/>
    <col min="336" max="337" width="13.5859375" style="331" customWidth="1"/>
    <col min="338" max="338" width="14" style="331" customWidth="1"/>
    <col min="339" max="339" width="13.5859375" style="331" bestFit="1" customWidth="1"/>
    <col min="340" max="340" width="13.5859375" style="331" customWidth="1"/>
    <col min="341" max="341" width="13.5859375" style="331" bestFit="1" customWidth="1"/>
    <col min="342" max="342" width="18.41015625" style="331" bestFit="1" customWidth="1"/>
    <col min="343" max="343" width="13.5859375" style="331" customWidth="1"/>
    <col min="344" max="345" width="13.5859375" style="331" bestFit="1" customWidth="1"/>
    <col min="346" max="347" width="13.5859375" style="331" customWidth="1"/>
    <col min="348" max="350" width="13.703125" style="331" customWidth="1"/>
    <col min="351" max="353" width="13.703125" style="331" bestFit="1" customWidth="1"/>
    <col min="354" max="358" width="13.703125" style="331" customWidth="1"/>
    <col min="359" max="359" width="13.1171875" style="331" customWidth="1"/>
    <col min="360" max="360" width="10.234375" style="331" customWidth="1"/>
    <col min="361" max="361" width="8.703125" style="331" customWidth="1"/>
    <col min="362" max="362" width="16.234375" style="331" customWidth="1"/>
    <col min="363" max="363" width="13.703125" style="331" customWidth="1"/>
    <col min="364" max="364" width="10.41015625" style="331" customWidth="1"/>
    <col min="365" max="365" width="9.703125" style="331" customWidth="1"/>
    <col min="366" max="366" width="13.703125" style="331" customWidth="1"/>
    <col min="367" max="367" width="13.703125" style="331" bestFit="1" customWidth="1"/>
    <col min="368" max="370" width="13.703125" style="331" customWidth="1"/>
    <col min="371" max="371" width="23.41015625" style="331" bestFit="1" customWidth="1"/>
    <col min="372" max="372" width="8.703125" style="331" customWidth="1"/>
    <col min="373" max="373" width="9.703125" style="331" customWidth="1"/>
    <col min="374" max="374" width="13.234375" style="331" customWidth="1"/>
    <col min="375" max="375" width="11.234375" style="331" customWidth="1"/>
    <col min="376" max="378" width="9.41015625" style="331" customWidth="1"/>
    <col min="379" max="379" width="14" style="331" customWidth="1"/>
    <col min="380" max="380" width="14" style="331" bestFit="1" customWidth="1"/>
    <col min="381" max="381" width="13" style="331" bestFit="1" customWidth="1"/>
    <col min="382" max="382" width="13.703125" style="331" customWidth="1"/>
    <col min="383" max="386" width="13" style="331" customWidth="1"/>
    <col min="387" max="387" width="7.234375" style="331" customWidth="1"/>
    <col min="388" max="388" width="9.703125" style="331" customWidth="1"/>
    <col min="389" max="389" width="13.234375" style="331" customWidth="1"/>
    <col min="390" max="391" width="13.1171875" style="331" customWidth="1"/>
    <col min="392" max="392" width="14" style="331" customWidth="1"/>
    <col min="393" max="393" width="13.703125" style="331" bestFit="1" customWidth="1"/>
    <col min="394" max="394" width="13" style="331" bestFit="1" customWidth="1"/>
    <col min="395" max="398" width="13" style="331" customWidth="1"/>
    <col min="399" max="399" width="12.5859375" style="331" customWidth="1"/>
    <col min="400" max="400" width="13" style="331" bestFit="1" customWidth="1"/>
    <col min="401" max="402" width="13.703125" style="331" customWidth="1"/>
    <col min="403" max="403" width="12.5859375" style="331" customWidth="1"/>
    <col min="404" max="404" width="9.703125" style="331" customWidth="1"/>
    <col min="405" max="408" width="14.234375" style="331" customWidth="1"/>
    <col min="409" max="409" width="13.703125" style="331" bestFit="1" customWidth="1"/>
    <col min="410" max="410" width="14.234375" style="331" customWidth="1"/>
    <col min="411" max="411" width="14.234375" style="331" bestFit="1" customWidth="1"/>
    <col min="412" max="412" width="14.234375" style="331" customWidth="1"/>
    <col min="413" max="413" width="24" style="331" customWidth="1"/>
    <col min="414" max="414" width="14.5859375" style="331" bestFit="1" customWidth="1"/>
    <col min="415" max="416" width="14" style="331" customWidth="1"/>
    <col min="417" max="417" width="14" style="331" bestFit="1" customWidth="1"/>
    <col min="418" max="419" width="14" style="331" customWidth="1"/>
    <col min="420" max="420" width="14.234375" style="331" customWidth="1"/>
    <col min="421" max="421" width="10.87890625" style="331" customWidth="1"/>
    <col min="422" max="422" width="18.5859375" style="331" customWidth="1"/>
    <col min="423" max="423" width="10.5859375" style="331" customWidth="1"/>
    <col min="424" max="426" width="10.41015625" style="331" customWidth="1"/>
    <col min="427" max="427" width="10.87890625" style="331" customWidth="1"/>
    <col min="428" max="436" width="10.41015625" style="331" customWidth="1"/>
    <col min="437" max="437" width="14" style="331" bestFit="1" customWidth="1"/>
    <col min="438" max="438" width="14" style="331" customWidth="1"/>
    <col min="439" max="439" width="14.5859375" style="331" customWidth="1"/>
    <col min="440" max="442" width="14" style="331" customWidth="1"/>
    <col min="443" max="443" width="14.5859375" style="331" customWidth="1"/>
    <col min="444" max="444" width="14" style="331" bestFit="1" customWidth="1"/>
    <col min="445" max="445" width="14" style="331" customWidth="1"/>
    <col min="446" max="446" width="14.703125" style="331" customWidth="1"/>
    <col min="447" max="447" width="14" style="331" customWidth="1"/>
    <col min="448" max="448" width="14.703125" style="331" customWidth="1"/>
    <col min="449" max="449" width="14" style="331" customWidth="1"/>
    <col min="450" max="450" width="14.703125" style="331" bestFit="1" customWidth="1"/>
    <col min="451" max="451" width="14" style="331" bestFit="1" customWidth="1"/>
    <col min="452" max="452" width="14.703125" style="331" customWidth="1"/>
    <col min="453" max="453" width="14" style="331" customWidth="1"/>
    <col min="454" max="454" width="14.703125" style="331" customWidth="1"/>
    <col min="455" max="455" width="13.703125" style="331" customWidth="1"/>
    <col min="456" max="456" width="10.41015625" style="331" customWidth="1"/>
    <col min="457" max="458" width="14" style="331" customWidth="1"/>
    <col min="459" max="460" width="14.234375" style="331" customWidth="1"/>
    <col min="461" max="461" width="10.87890625" style="331" customWidth="1"/>
    <col min="462" max="465" width="10.41015625" style="331" customWidth="1"/>
    <col min="466" max="466" width="14" style="331" customWidth="1"/>
    <col min="467" max="467" width="13.703125" style="331" customWidth="1"/>
    <col min="468" max="469" width="14" style="331" customWidth="1"/>
    <col min="470" max="470" width="14" style="331" bestFit="1" customWidth="1"/>
    <col min="471" max="474" width="14" style="331" customWidth="1"/>
    <col min="475" max="475" width="14.5859375" style="331" customWidth="1"/>
    <col min="476" max="476" width="14" style="331" bestFit="1" customWidth="1"/>
    <col min="477" max="477" width="9.87890625" style="331" customWidth="1"/>
    <col min="478" max="478" width="6.41015625" style="331" customWidth="1"/>
    <col min="479" max="479" width="12.234375" style="331" customWidth="1"/>
    <col min="480" max="480" width="28" style="331" bestFit="1" customWidth="1"/>
    <col min="481" max="481" width="28.5859375" style="331" bestFit="1" customWidth="1"/>
    <col min="482" max="482" width="14.87890625" style="331" bestFit="1" customWidth="1"/>
    <col min="483" max="485" width="12.1171875" style="331" bestFit="1" customWidth="1"/>
    <col min="486" max="486" width="24.703125" style="331" bestFit="1" customWidth="1"/>
    <col min="487" max="487" width="55.703125" style="331" bestFit="1" customWidth="1"/>
    <col min="488" max="488" width="9.41015625" style="331" bestFit="1" customWidth="1"/>
    <col min="489" max="489" width="30.234375" style="331" bestFit="1" customWidth="1"/>
    <col min="490" max="490" width="15.703125" style="331" bestFit="1" customWidth="1"/>
    <col min="491" max="491" width="15.5859375" style="331" bestFit="1" customWidth="1"/>
    <col min="492" max="492" width="38.703125" style="331" bestFit="1" customWidth="1"/>
    <col min="493" max="493" width="29.5859375" style="331" bestFit="1" customWidth="1"/>
    <col min="494" max="494" width="16.41015625" style="331" bestFit="1" customWidth="1"/>
    <col min="495" max="495" width="66.41015625" style="331" bestFit="1" customWidth="1"/>
    <col min="496" max="496" width="10.234375" style="331" bestFit="1" customWidth="1"/>
    <col min="497" max="497" width="7.234375" style="331" customWidth="1"/>
    <col min="498" max="498" width="13.5859375" style="331" bestFit="1" customWidth="1"/>
    <col min="499" max="499" width="11.234375" style="331" bestFit="1" customWidth="1"/>
    <col min="500" max="500" width="12.1171875" style="331" bestFit="1" customWidth="1"/>
    <col min="501" max="501" width="24.5859375" style="331" bestFit="1" customWidth="1"/>
    <col min="502" max="502" width="23.41015625" style="331" bestFit="1" customWidth="1"/>
    <col min="503" max="503" width="39.234375" style="331" bestFit="1" customWidth="1"/>
    <col min="504" max="504" width="37.41015625" style="331" bestFit="1" customWidth="1"/>
    <col min="505" max="505" width="30" style="331" bestFit="1" customWidth="1"/>
    <col min="506" max="507" width="18.703125" style="331" bestFit="1" customWidth="1"/>
    <col min="508" max="508" width="8.41015625" style="331" customWidth="1"/>
    <col min="509" max="509" width="28.87890625" style="331" bestFit="1" customWidth="1"/>
    <col min="510" max="510" width="40.703125" style="331" bestFit="1" customWidth="1"/>
    <col min="511" max="511" width="22" style="331" bestFit="1" customWidth="1"/>
    <col min="512" max="512" width="39.1171875" style="331" bestFit="1" customWidth="1"/>
    <col min="513" max="513" width="35.87890625" style="331" bestFit="1" customWidth="1"/>
    <col min="514" max="514" width="20.703125" style="331" bestFit="1" customWidth="1"/>
    <col min="515" max="515" width="34.41015625" style="331" bestFit="1" customWidth="1"/>
    <col min="516" max="516" width="23.41015625" style="331" bestFit="1" customWidth="1"/>
    <col min="517" max="517" width="20.87890625" style="331" bestFit="1" customWidth="1"/>
    <col min="518" max="518" width="25" style="331" bestFit="1" customWidth="1"/>
    <col min="519" max="519" width="25.703125" style="331" bestFit="1" customWidth="1"/>
    <col min="520" max="520" width="18.87890625" style="331" bestFit="1" customWidth="1"/>
    <col min="521" max="521" width="36.41015625" style="331" bestFit="1" customWidth="1"/>
    <col min="522" max="522" width="18.234375" style="331" bestFit="1" customWidth="1"/>
    <col min="523" max="523" width="8.703125" style="331" customWidth="1"/>
    <col min="524" max="524" width="12.234375" style="331" bestFit="1" customWidth="1"/>
    <col min="525" max="16384" width="9" style="331"/>
  </cols>
  <sheetData>
    <row r="1" spans="1:12" s="205" customFormat="1" ht="28.7">
      <c r="A1" s="205" t="s">
        <v>111</v>
      </c>
      <c r="B1" s="205" t="s">
        <v>109</v>
      </c>
      <c r="C1" s="205" t="s">
        <v>775</v>
      </c>
      <c r="D1" s="205" t="s">
        <v>486</v>
      </c>
      <c r="E1" s="340" t="s">
        <v>107</v>
      </c>
      <c r="F1" s="340" t="s">
        <v>539</v>
      </c>
      <c r="G1" s="205" t="s">
        <v>493</v>
      </c>
      <c r="H1" s="205" t="s">
        <v>573</v>
      </c>
      <c r="I1" s="205" t="s">
        <v>494</v>
      </c>
      <c r="J1" s="205" t="s">
        <v>563</v>
      </c>
      <c r="K1" s="205" t="s">
        <v>484</v>
      </c>
      <c r="L1" s="205" t="s">
        <v>79</v>
      </c>
    </row>
    <row r="2" spans="1:12">
      <c r="A2" s="13" t="s">
        <v>581</v>
      </c>
      <c r="B2" s="331" t="s">
        <v>489</v>
      </c>
      <c r="C2" s="13" t="s">
        <v>1366</v>
      </c>
      <c r="D2" s="13" t="s">
        <v>487</v>
      </c>
      <c r="E2" s="51" t="s">
        <v>490</v>
      </c>
      <c r="F2" s="13" t="s">
        <v>540</v>
      </c>
      <c r="I2" s="93">
        <v>5867.23</v>
      </c>
      <c r="J2" s="335">
        <f>I2</f>
        <v>5867.23</v>
      </c>
      <c r="K2" s="42" t="s">
        <v>485</v>
      </c>
      <c r="L2" s="13" t="s">
        <v>1367</v>
      </c>
    </row>
    <row r="3" spans="1:12">
      <c r="A3" s="13" t="s">
        <v>581</v>
      </c>
      <c r="B3" s="162" t="s">
        <v>637</v>
      </c>
      <c r="C3" s="162" t="s">
        <v>777</v>
      </c>
      <c r="D3" s="13" t="s">
        <v>328</v>
      </c>
      <c r="E3" s="341" t="s">
        <v>791</v>
      </c>
      <c r="F3" s="13" t="s">
        <v>540</v>
      </c>
      <c r="H3" s="93"/>
      <c r="I3" s="93">
        <v>1505.23</v>
      </c>
      <c r="J3" s="335">
        <f>I3</f>
        <v>1505.23</v>
      </c>
      <c r="K3" s="42" t="s">
        <v>485</v>
      </c>
      <c r="L3" s="13" t="s">
        <v>1367</v>
      </c>
    </row>
    <row r="4" spans="1:12">
      <c r="A4" s="13" t="s">
        <v>581</v>
      </c>
      <c r="B4" s="162" t="s">
        <v>468</v>
      </c>
      <c r="C4" s="162" t="s">
        <v>790</v>
      </c>
      <c r="D4" s="13" t="s">
        <v>328</v>
      </c>
      <c r="E4" s="566" t="s">
        <v>697</v>
      </c>
      <c r="F4" s="13" t="s">
        <v>540</v>
      </c>
      <c r="H4" s="93"/>
      <c r="I4" s="93">
        <v>8027.19</v>
      </c>
      <c r="J4" s="335">
        <f>I4</f>
        <v>8027.19</v>
      </c>
      <c r="K4" s="334" t="s">
        <v>485</v>
      </c>
      <c r="L4" s="13" t="s">
        <v>1367</v>
      </c>
    </row>
    <row r="5" spans="1:12" s="597" customFormat="1">
      <c r="A5" s="171" t="s">
        <v>538</v>
      </c>
      <c r="B5" s="595" t="s">
        <v>731</v>
      </c>
      <c r="C5" s="595" t="s">
        <v>776</v>
      </c>
      <c r="D5" s="171" t="s">
        <v>732</v>
      </c>
      <c r="E5" s="599" t="s">
        <v>794</v>
      </c>
      <c r="F5" s="171" t="s">
        <v>540</v>
      </c>
      <c r="G5" s="171"/>
      <c r="H5" s="598"/>
      <c r="I5" s="598">
        <v>12264.47</v>
      </c>
      <c r="J5" s="335">
        <f>I5</f>
        <v>12264.47</v>
      </c>
      <c r="K5" s="596" t="s">
        <v>485</v>
      </c>
      <c r="L5" s="13" t="s">
        <v>1367</v>
      </c>
    </row>
    <row r="6" spans="1:12" s="561" customFormat="1">
      <c r="A6" s="13" t="s">
        <v>692</v>
      </c>
      <c r="B6" s="162" t="s">
        <v>187</v>
      </c>
      <c r="C6" s="13" t="s">
        <v>787</v>
      </c>
      <c r="D6" s="13" t="s">
        <v>328</v>
      </c>
      <c r="E6" s="561" t="s">
        <v>788</v>
      </c>
      <c r="F6" s="13" t="s">
        <v>540</v>
      </c>
      <c r="G6" s="93"/>
      <c r="H6" s="93"/>
      <c r="I6" s="93">
        <v>1829.49</v>
      </c>
      <c r="J6" s="335">
        <f t="shared" ref="J6:J14" si="0">I6</f>
        <v>1829.49</v>
      </c>
      <c r="K6" s="596" t="s">
        <v>485</v>
      </c>
      <c r="L6" s="13" t="s">
        <v>1367</v>
      </c>
    </row>
    <row r="7" spans="1:12" s="561" customFormat="1">
      <c r="A7" s="13" t="s">
        <v>692</v>
      </c>
      <c r="B7" s="162" t="s">
        <v>789</v>
      </c>
      <c r="C7" s="13" t="s">
        <v>785</v>
      </c>
      <c r="D7" s="13" t="s">
        <v>328</v>
      </c>
      <c r="E7" s="561" t="s">
        <v>786</v>
      </c>
      <c r="F7" s="13" t="s">
        <v>540</v>
      </c>
      <c r="G7" s="93"/>
      <c r="H7" s="93"/>
      <c r="I7" s="93">
        <v>1829.49</v>
      </c>
      <c r="J7" s="335">
        <f t="shared" si="0"/>
        <v>1829.49</v>
      </c>
      <c r="K7" s="596" t="s">
        <v>485</v>
      </c>
      <c r="L7" s="13" t="s">
        <v>1367</v>
      </c>
    </row>
    <row r="8" spans="1:12" s="561" customFormat="1">
      <c r="A8" s="13" t="s">
        <v>692</v>
      </c>
      <c r="B8" s="162" t="s">
        <v>808</v>
      </c>
      <c r="C8" s="162" t="s">
        <v>807</v>
      </c>
      <c r="D8" s="13" t="s">
        <v>328</v>
      </c>
      <c r="E8" s="561" t="s">
        <v>806</v>
      </c>
      <c r="F8" s="13" t="s">
        <v>540</v>
      </c>
      <c r="G8" s="93"/>
      <c r="H8" s="93"/>
      <c r="I8" s="93">
        <v>1829.49</v>
      </c>
      <c r="J8" s="335">
        <f t="shared" si="0"/>
        <v>1829.49</v>
      </c>
      <c r="K8" s="596" t="s">
        <v>485</v>
      </c>
      <c r="L8" s="13" t="s">
        <v>1367</v>
      </c>
    </row>
    <row r="9" spans="1:12" s="600" customFormat="1">
      <c r="A9" s="13" t="s">
        <v>581</v>
      </c>
      <c r="B9" s="162" t="s">
        <v>826</v>
      </c>
      <c r="C9" s="162" t="s">
        <v>802</v>
      </c>
      <c r="D9" s="13" t="s">
        <v>328</v>
      </c>
      <c r="E9" s="342" t="s">
        <v>801</v>
      </c>
      <c r="F9" s="13" t="s">
        <v>540</v>
      </c>
      <c r="H9" s="93"/>
      <c r="I9" s="93">
        <v>10612</v>
      </c>
      <c r="J9" s="335">
        <f t="shared" si="0"/>
        <v>10612</v>
      </c>
      <c r="K9" s="596" t="s">
        <v>485</v>
      </c>
      <c r="L9" s="13" t="s">
        <v>1367</v>
      </c>
    </row>
    <row r="10" spans="1:12" s="600" customFormat="1">
      <c r="A10" s="13" t="s">
        <v>581</v>
      </c>
      <c r="B10" s="162" t="s">
        <v>799</v>
      </c>
      <c r="C10" s="162" t="s">
        <v>800</v>
      </c>
      <c r="D10" s="13" t="s">
        <v>328</v>
      </c>
      <c r="E10" s="342" t="s">
        <v>827</v>
      </c>
      <c r="F10" s="13" t="s">
        <v>540</v>
      </c>
      <c r="H10" s="93"/>
      <c r="I10" s="93">
        <v>6272.99</v>
      </c>
      <c r="J10" s="335">
        <f t="shared" si="0"/>
        <v>6272.99</v>
      </c>
      <c r="K10" s="596" t="s">
        <v>485</v>
      </c>
      <c r="L10" s="13" t="s">
        <v>1367</v>
      </c>
    </row>
    <row r="11" spans="1:12" s="600" customFormat="1">
      <c r="A11" s="600" t="s">
        <v>1247</v>
      </c>
      <c r="B11" s="162" t="s">
        <v>1248</v>
      </c>
      <c r="C11" s="162" t="s">
        <v>1249</v>
      </c>
      <c r="D11" s="13" t="s">
        <v>328</v>
      </c>
      <c r="E11" s="600" t="s">
        <v>1250</v>
      </c>
      <c r="F11" s="13" t="s">
        <v>540</v>
      </c>
      <c r="I11" s="93">
        <v>1281.43</v>
      </c>
      <c r="J11" s="335">
        <f t="shared" si="0"/>
        <v>1281.43</v>
      </c>
      <c r="K11" s="596" t="s">
        <v>485</v>
      </c>
      <c r="L11" s="43" t="s">
        <v>1251</v>
      </c>
    </row>
    <row r="12" spans="1:12" s="600" customFormat="1">
      <c r="A12" s="13" t="s">
        <v>1321</v>
      </c>
      <c r="B12" s="162" t="s">
        <v>1322</v>
      </c>
      <c r="C12" s="162" t="s">
        <v>1323</v>
      </c>
      <c r="D12" s="171" t="s">
        <v>732</v>
      </c>
      <c r="E12" s="342" t="s">
        <v>1324</v>
      </c>
      <c r="F12" s="13" t="s">
        <v>540</v>
      </c>
      <c r="G12" s="93"/>
      <c r="H12" s="93"/>
      <c r="I12" s="93">
        <v>21901.64</v>
      </c>
      <c r="J12" s="335">
        <f t="shared" si="0"/>
        <v>21901.64</v>
      </c>
      <c r="K12" s="596" t="s">
        <v>485</v>
      </c>
      <c r="L12" s="42" t="s">
        <v>2343</v>
      </c>
    </row>
    <row r="13" spans="1:12" s="600" customFormat="1">
      <c r="A13" s="13" t="s">
        <v>2179</v>
      </c>
      <c r="B13" s="162" t="s">
        <v>2180</v>
      </c>
      <c r="C13" s="162" t="s">
        <v>3314</v>
      </c>
      <c r="D13" s="171" t="s">
        <v>487</v>
      </c>
      <c r="E13" s="342" t="s">
        <v>2177</v>
      </c>
      <c r="F13" s="13" t="s">
        <v>540</v>
      </c>
      <c r="G13" s="93"/>
      <c r="H13" s="93"/>
      <c r="I13" s="93">
        <v>15585.13</v>
      </c>
      <c r="J13" s="335">
        <f t="shared" si="0"/>
        <v>15585.13</v>
      </c>
      <c r="K13" s="596" t="s">
        <v>485</v>
      </c>
      <c r="L13" s="42" t="s">
        <v>2342</v>
      </c>
    </row>
    <row r="14" spans="1:12" s="600" customFormat="1">
      <c r="A14" s="13" t="s">
        <v>2179</v>
      </c>
      <c r="B14" s="162" t="s">
        <v>2180</v>
      </c>
      <c r="C14" s="162" t="s">
        <v>3315</v>
      </c>
      <c r="D14" s="171" t="s">
        <v>487</v>
      </c>
      <c r="E14" s="342" t="s">
        <v>3316</v>
      </c>
      <c r="F14" s="13" t="s">
        <v>540</v>
      </c>
      <c r="G14" s="93"/>
      <c r="H14" s="93"/>
      <c r="I14" s="93">
        <v>36173.660000000003</v>
      </c>
      <c r="J14" s="335">
        <f t="shared" si="0"/>
        <v>36173.660000000003</v>
      </c>
      <c r="K14" s="596" t="s">
        <v>485</v>
      </c>
      <c r="L14" s="42" t="s">
        <v>2342</v>
      </c>
    </row>
    <row r="15" spans="1:12" s="600" customFormat="1">
      <c r="A15" s="13"/>
      <c r="B15" s="162"/>
      <c r="C15" s="162"/>
      <c r="D15" s="171"/>
      <c r="E15" s="342"/>
      <c r="F15" s="13"/>
      <c r="G15" s="93"/>
      <c r="H15" s="93"/>
      <c r="I15" s="93"/>
      <c r="J15" s="93"/>
      <c r="L15" s="42"/>
    </row>
    <row r="16" spans="1:12" s="600" customFormat="1">
      <c r="A16" s="13"/>
      <c r="B16" s="162"/>
      <c r="C16" s="162"/>
      <c r="D16" s="171"/>
      <c r="E16" s="342"/>
      <c r="F16" s="13"/>
      <c r="G16" s="93"/>
      <c r="H16" s="93"/>
      <c r="I16" s="93"/>
      <c r="J16" s="93"/>
      <c r="L16" s="42"/>
    </row>
    <row r="17" spans="1:12" s="600" customFormat="1">
      <c r="A17" s="13"/>
      <c r="B17" s="162"/>
      <c r="C17" s="162"/>
      <c r="D17" s="13"/>
      <c r="E17" s="342"/>
      <c r="F17" s="13"/>
      <c r="G17" s="93"/>
      <c r="H17" s="93"/>
      <c r="I17" s="93"/>
      <c r="J17" s="93"/>
      <c r="L17" s="42"/>
    </row>
    <row r="18" spans="1:12" s="561" customFormat="1">
      <c r="A18" s="13"/>
      <c r="B18" s="162"/>
      <c r="C18" s="162"/>
      <c r="D18" s="13"/>
      <c r="E18" s="342"/>
      <c r="F18" s="13"/>
      <c r="G18" s="93"/>
      <c r="H18" s="93"/>
      <c r="I18" s="93"/>
      <c r="J18" s="93"/>
      <c r="L18" s="42"/>
    </row>
    <row r="19" spans="1:12" ht="14.7" thickBot="1">
      <c r="E19" s="341"/>
      <c r="F19" s="341"/>
      <c r="G19" s="491">
        <f>SUM(G2:G18)</f>
        <v>0</v>
      </c>
      <c r="H19" s="491">
        <f>SUM(H2:H18)</f>
        <v>0</v>
      </c>
      <c r="I19" s="491">
        <f>SUM(I2:I18)</f>
        <v>124979.44</v>
      </c>
      <c r="J19" s="491">
        <f>SUM(J2:J18)</f>
        <v>124979.44</v>
      </c>
      <c r="K19"/>
      <c r="L19" s="42"/>
    </row>
    <row r="20" spans="1:12" ht="14.7" thickTop="1">
      <c r="A20" s="13" t="s">
        <v>16</v>
      </c>
      <c r="E20" s="342"/>
      <c r="F20" s="342"/>
      <c r="G20" s="93"/>
      <c r="H20" s="93"/>
      <c r="I20" s="93"/>
      <c r="J20" s="93"/>
      <c r="K20" s="13"/>
      <c r="L20" s="42"/>
    </row>
    <row r="21" spans="1:12">
      <c r="E21" s="85"/>
      <c r="F21" s="341"/>
      <c r="G21" s="93"/>
      <c r="H21" s="93"/>
      <c r="I21" s="93"/>
      <c r="J21" s="93"/>
      <c r="K21" s="13"/>
      <c r="L21" s="42"/>
    </row>
    <row r="22" spans="1:12">
      <c r="E22" s="342"/>
      <c r="F22" s="342"/>
      <c r="G22" s="93"/>
      <c r="H22" s="93"/>
      <c r="I22" s="93"/>
      <c r="J22" s="93"/>
    </row>
    <row r="23" spans="1:12">
      <c r="G23" s="93"/>
      <c r="H23" s="93"/>
      <c r="I23" s="93"/>
      <c r="J23" s="93"/>
    </row>
    <row r="24" spans="1:12">
      <c r="B24" s="95"/>
      <c r="C24" s="95"/>
      <c r="D24" s="95"/>
      <c r="E24" s="60"/>
      <c r="F24" s="60"/>
      <c r="G24" s="93"/>
      <c r="H24" s="93"/>
      <c r="I24" s="93"/>
      <c r="J24" s="93"/>
    </row>
    <row r="25" spans="1:12">
      <c r="B25" s="131"/>
      <c r="C25" s="131"/>
      <c r="D25" s="131"/>
      <c r="E25" s="60"/>
      <c r="F25" s="60"/>
      <c r="G25" s="93"/>
      <c r="H25" s="93"/>
      <c r="I25" s="93"/>
      <c r="J25" s="93"/>
    </row>
    <row r="26" spans="1:12">
      <c r="B26" s="95"/>
      <c r="C26" s="95"/>
      <c r="D26" s="95"/>
      <c r="E26" s="60"/>
      <c r="F26" s="60"/>
      <c r="G26" s="93"/>
      <c r="H26" s="93"/>
      <c r="I26" s="93"/>
      <c r="J26" s="93"/>
    </row>
    <row r="27" spans="1:12">
      <c r="B27" s="95"/>
      <c r="C27" s="95"/>
      <c r="D27" s="95"/>
      <c r="E27" s="51"/>
      <c r="F27" s="51"/>
      <c r="G27" s="93"/>
      <c r="H27" s="93"/>
      <c r="I27" s="93"/>
      <c r="J27" s="93"/>
    </row>
    <row r="28" spans="1:12">
      <c r="B28" s="95"/>
      <c r="C28" s="95"/>
      <c r="D28" s="95"/>
      <c r="E28" s="51"/>
      <c r="F28" s="51"/>
      <c r="G28" s="93"/>
      <c r="H28" s="93"/>
      <c r="I28" s="93"/>
      <c r="J28" s="93"/>
    </row>
    <row r="29" spans="1:12">
      <c r="B29" s="95"/>
      <c r="C29" s="95"/>
      <c r="D29" s="95"/>
      <c r="E29" s="60"/>
      <c r="F29" s="60"/>
      <c r="G29" s="93"/>
      <c r="H29" s="93"/>
      <c r="I29" s="93"/>
      <c r="J29" s="93"/>
    </row>
    <row r="30" spans="1:12">
      <c r="B30" s="95"/>
      <c r="C30" s="95"/>
      <c r="D30" s="95"/>
      <c r="E30" s="60"/>
      <c r="F30" s="60"/>
      <c r="G30" s="93"/>
      <c r="H30" s="93"/>
      <c r="I30" s="93"/>
      <c r="J30" s="93"/>
    </row>
    <row r="31" spans="1:12">
      <c r="B31" s="95"/>
      <c r="C31" s="95"/>
      <c r="D31" s="95"/>
      <c r="E31" s="51"/>
      <c r="F31" s="51"/>
      <c r="G31" s="93"/>
      <c r="H31" s="93"/>
      <c r="I31" s="93"/>
      <c r="J31" s="93"/>
    </row>
    <row r="32" spans="1:12">
      <c r="B32" s="95"/>
      <c r="C32" s="95"/>
      <c r="D32" s="95"/>
      <c r="E32" s="60"/>
      <c r="F32" s="60"/>
      <c r="G32" s="93"/>
      <c r="H32" s="93"/>
      <c r="I32" s="93"/>
      <c r="J32" s="93"/>
    </row>
    <row r="33" spans="1:10">
      <c r="B33" s="127"/>
      <c r="C33" s="127"/>
      <c r="D33" s="127"/>
      <c r="E33" s="343"/>
      <c r="F33" s="343"/>
      <c r="G33" s="93"/>
      <c r="H33" s="93"/>
      <c r="I33" s="93"/>
      <c r="J33" s="93"/>
    </row>
    <row r="34" spans="1:10">
      <c r="B34" s="95"/>
      <c r="C34" s="95"/>
      <c r="D34" s="95"/>
      <c r="G34" s="93"/>
      <c r="H34" s="93"/>
      <c r="I34" s="93"/>
      <c r="J34" s="93"/>
    </row>
    <row r="35" spans="1:10">
      <c r="B35" s="95"/>
      <c r="C35" s="95"/>
      <c r="D35" s="95"/>
      <c r="G35" s="93"/>
      <c r="H35" s="93"/>
      <c r="I35" s="93"/>
      <c r="J35" s="93"/>
    </row>
    <row r="36" spans="1:10">
      <c r="B36" s="95"/>
      <c r="C36" s="95"/>
      <c r="D36" s="95"/>
      <c r="G36" s="93"/>
      <c r="H36" s="93"/>
      <c r="I36" s="93"/>
      <c r="J36" s="93"/>
    </row>
    <row r="37" spans="1:10">
      <c r="B37" s="95"/>
      <c r="C37" s="95"/>
      <c r="D37" s="95"/>
      <c r="G37" s="93"/>
      <c r="H37" s="93"/>
      <c r="I37" s="93"/>
      <c r="J37" s="93"/>
    </row>
    <row r="38" spans="1:10">
      <c r="B38" s="95"/>
      <c r="C38" s="95"/>
      <c r="D38" s="95"/>
      <c r="G38" s="93"/>
      <c r="H38" s="93"/>
      <c r="I38" s="93"/>
      <c r="J38" s="93"/>
    </row>
    <row r="39" spans="1:10">
      <c r="B39" s="95"/>
      <c r="C39" s="95"/>
      <c r="D39" s="95"/>
      <c r="G39" s="93"/>
      <c r="H39" s="93"/>
      <c r="I39" s="93"/>
      <c r="J39" s="93"/>
    </row>
    <row r="40" spans="1:10">
      <c r="B40" s="95"/>
      <c r="C40" s="95"/>
      <c r="D40" s="95"/>
      <c r="G40" s="93"/>
      <c r="H40" s="93"/>
      <c r="I40" s="93"/>
      <c r="J40" s="93"/>
    </row>
    <row r="41" spans="1:10">
      <c r="B41" s="95"/>
      <c r="C41" s="95"/>
      <c r="D41" s="95"/>
      <c r="G41" s="93"/>
      <c r="H41" s="93"/>
      <c r="I41" s="93"/>
      <c r="J41" s="93"/>
    </row>
    <row r="42" spans="1:10">
      <c r="B42" s="95"/>
      <c r="C42" s="95"/>
      <c r="D42" s="95"/>
      <c r="G42" s="93"/>
      <c r="H42" s="93"/>
      <c r="I42" s="93"/>
      <c r="J42" s="93"/>
    </row>
    <row r="43" spans="1:10">
      <c r="B43" s="95"/>
      <c r="C43" s="95"/>
      <c r="D43" s="95"/>
      <c r="E43" s="60"/>
      <c r="F43" s="60"/>
      <c r="G43" s="93"/>
      <c r="H43" s="93"/>
      <c r="I43" s="93"/>
      <c r="J43" s="93"/>
    </row>
    <row r="44" spans="1:10">
      <c r="B44" s="127"/>
      <c r="C44" s="127"/>
      <c r="D44" s="127"/>
      <c r="E44" s="343"/>
      <c r="F44" s="343"/>
      <c r="G44" s="93"/>
      <c r="H44" s="93"/>
      <c r="I44" s="93"/>
      <c r="J44" s="93"/>
    </row>
    <row r="45" spans="1:10">
      <c r="B45" s="95"/>
      <c r="C45" s="95"/>
      <c r="D45" s="95"/>
      <c r="E45" s="60"/>
      <c r="F45" s="60"/>
      <c r="G45" s="93"/>
      <c r="H45" s="93"/>
      <c r="I45" s="93"/>
      <c r="J45" s="93"/>
    </row>
    <row r="46" spans="1:10">
      <c r="B46" s="95"/>
      <c r="C46" s="95"/>
      <c r="D46" s="95"/>
      <c r="E46" s="60"/>
      <c r="F46" s="60"/>
      <c r="G46" s="93"/>
      <c r="H46" s="93"/>
      <c r="I46" s="93"/>
      <c r="J46" s="93"/>
    </row>
    <row r="47" spans="1:10">
      <c r="B47" s="95"/>
      <c r="C47" s="95"/>
      <c r="D47" s="95"/>
      <c r="E47" s="60"/>
      <c r="F47" s="60"/>
      <c r="G47" s="93"/>
      <c r="H47" s="93"/>
      <c r="I47" s="93"/>
      <c r="J47" s="93"/>
    </row>
    <row r="48" spans="1:10">
      <c r="A48" s="59"/>
      <c r="B48" s="95"/>
      <c r="C48" s="95"/>
      <c r="D48" s="95"/>
      <c r="E48" s="60"/>
      <c r="F48" s="60"/>
      <c r="G48" s="93"/>
      <c r="H48" s="93"/>
      <c r="I48" s="93"/>
      <c r="J48" s="93"/>
    </row>
    <row r="49" spans="1:12">
      <c r="A49" s="42"/>
      <c r="B49" s="95"/>
      <c r="C49" s="95"/>
      <c r="D49" s="95"/>
      <c r="E49" s="60"/>
      <c r="F49" s="60"/>
      <c r="G49" s="93"/>
      <c r="H49" s="93"/>
      <c r="I49" s="93"/>
      <c r="J49" s="93"/>
    </row>
    <row r="50" spans="1:12">
      <c r="A50" s="42"/>
      <c r="B50" s="95"/>
      <c r="C50" s="95"/>
      <c r="D50" s="95"/>
      <c r="E50" s="60"/>
      <c r="F50" s="60"/>
      <c r="G50" s="93"/>
      <c r="H50" s="93"/>
      <c r="I50" s="93"/>
      <c r="J50" s="93"/>
    </row>
    <row r="51" spans="1:12">
      <c r="A51" s="42"/>
      <c r="B51" s="95"/>
      <c r="C51" s="95"/>
      <c r="D51" s="95"/>
      <c r="E51" s="60"/>
      <c r="F51" s="60"/>
      <c r="G51" s="93"/>
      <c r="H51" s="93"/>
      <c r="I51" s="93"/>
      <c r="J51" s="93"/>
    </row>
    <row r="52" spans="1:12">
      <c r="A52" s="42"/>
      <c r="B52" s="95"/>
      <c r="C52" s="95"/>
      <c r="D52" s="95"/>
      <c r="E52" s="60"/>
      <c r="F52" s="60"/>
      <c r="G52" s="93"/>
      <c r="H52" s="93"/>
      <c r="I52" s="93"/>
      <c r="J52" s="93"/>
    </row>
    <row r="53" spans="1:12">
      <c r="B53" s="95"/>
      <c r="C53" s="95"/>
      <c r="D53" s="95"/>
      <c r="E53" s="60"/>
      <c r="F53" s="60"/>
      <c r="G53" s="93"/>
      <c r="H53" s="93"/>
      <c r="I53" s="93"/>
      <c r="J53" s="93"/>
    </row>
    <row r="54" spans="1:12">
      <c r="B54" s="95"/>
      <c r="C54" s="95"/>
      <c r="D54" s="95"/>
      <c r="E54" s="60"/>
      <c r="F54" s="60"/>
      <c r="G54" s="93"/>
      <c r="H54" s="93"/>
      <c r="I54" s="93"/>
      <c r="J54" s="93"/>
    </row>
    <row r="55" spans="1:12">
      <c r="B55" s="132"/>
      <c r="C55" s="132"/>
      <c r="D55" s="132"/>
      <c r="E55" s="343"/>
      <c r="F55" s="343"/>
      <c r="G55" s="93"/>
      <c r="H55" s="93"/>
      <c r="I55" s="93"/>
      <c r="J55" s="93"/>
    </row>
    <row r="56" spans="1:12">
      <c r="B56" s="95"/>
      <c r="C56" s="95"/>
      <c r="D56" s="95"/>
      <c r="E56" s="51"/>
      <c r="F56" s="51"/>
      <c r="G56" s="93"/>
      <c r="H56" s="93"/>
      <c r="I56" s="93"/>
      <c r="J56" s="93"/>
    </row>
    <row r="57" spans="1:12" s="95" customFormat="1">
      <c r="A57" s="332"/>
      <c r="B57" s="133"/>
      <c r="C57" s="133"/>
      <c r="D57" s="133"/>
      <c r="E57" s="344"/>
      <c r="F57" s="344"/>
      <c r="G57" s="93"/>
      <c r="H57" s="93"/>
      <c r="I57" s="93"/>
      <c r="J57" s="93"/>
      <c r="L57" s="59"/>
    </row>
    <row r="58" spans="1:12">
      <c r="B58" s="95"/>
      <c r="C58" s="95"/>
      <c r="D58" s="95"/>
      <c r="E58" s="60"/>
      <c r="F58" s="60"/>
      <c r="G58" s="93"/>
      <c r="H58" s="93"/>
      <c r="I58" s="93"/>
      <c r="J58" s="93"/>
    </row>
    <row r="59" spans="1:12">
      <c r="B59" s="95"/>
      <c r="C59" s="95"/>
      <c r="D59" s="95"/>
      <c r="E59" s="51"/>
      <c r="F59" s="51"/>
      <c r="G59" s="93"/>
      <c r="H59" s="93"/>
      <c r="I59" s="93"/>
      <c r="J59" s="93"/>
    </row>
    <row r="60" spans="1:12">
      <c r="A60" s="59"/>
      <c r="B60" s="95"/>
      <c r="C60" s="95"/>
      <c r="D60" s="95"/>
      <c r="E60" s="60"/>
      <c r="F60" s="60"/>
      <c r="G60" s="93"/>
      <c r="H60" s="93"/>
      <c r="I60" s="93"/>
      <c r="J60" s="93"/>
    </row>
    <row r="61" spans="1:12" s="95" customFormat="1">
      <c r="A61" s="13"/>
      <c r="B61" s="132"/>
      <c r="C61" s="132"/>
      <c r="D61" s="132"/>
      <c r="E61" s="343"/>
      <c r="F61" s="343"/>
      <c r="G61" s="93"/>
      <c r="H61" s="93"/>
      <c r="I61" s="93"/>
      <c r="J61" s="93"/>
      <c r="L61" s="59"/>
    </row>
    <row r="62" spans="1:12" s="95" customFormat="1">
      <c r="A62" s="13"/>
      <c r="E62" s="60"/>
      <c r="F62" s="60"/>
      <c r="G62" s="93"/>
      <c r="H62" s="93"/>
      <c r="I62" s="93"/>
      <c r="J62" s="93"/>
      <c r="L62" s="59"/>
    </row>
    <row r="63" spans="1:12" s="95" customFormat="1">
      <c r="A63" s="162"/>
      <c r="E63" s="60"/>
      <c r="F63" s="60"/>
      <c r="G63" s="93"/>
      <c r="H63" s="93"/>
      <c r="I63" s="93"/>
      <c r="J63" s="93"/>
      <c r="L63" s="59"/>
    </row>
    <row r="64" spans="1:12" s="95" customFormat="1">
      <c r="A64" s="162"/>
      <c r="E64" s="60"/>
      <c r="F64" s="60"/>
      <c r="G64" s="93"/>
      <c r="H64" s="93"/>
      <c r="I64" s="93"/>
      <c r="J64" s="93"/>
      <c r="L64" s="59"/>
    </row>
    <row r="65" spans="1:12" s="95" customFormat="1">
      <c r="A65" s="13"/>
      <c r="B65" s="127"/>
      <c r="C65" s="127"/>
      <c r="D65" s="127"/>
      <c r="E65" s="343"/>
      <c r="F65" s="343"/>
      <c r="G65" s="93"/>
      <c r="H65" s="93"/>
      <c r="I65" s="93"/>
      <c r="J65" s="93"/>
      <c r="L65" s="59"/>
    </row>
    <row r="66" spans="1:12" s="95" customFormat="1">
      <c r="A66" s="13"/>
      <c r="B66" s="127"/>
      <c r="C66" s="127"/>
      <c r="D66" s="127"/>
      <c r="E66" s="343"/>
      <c r="F66" s="343"/>
      <c r="G66" s="93"/>
      <c r="H66" s="93"/>
      <c r="I66" s="93"/>
      <c r="J66" s="93"/>
      <c r="L66" s="59"/>
    </row>
    <row r="67" spans="1:12" s="95" customFormat="1">
      <c r="A67" s="59"/>
      <c r="E67" s="60"/>
      <c r="F67" s="60"/>
      <c r="G67" s="93"/>
      <c r="H67" s="93"/>
      <c r="I67" s="93"/>
      <c r="J67" s="93"/>
      <c r="L67" s="59"/>
    </row>
    <row r="68" spans="1:12" s="95" customFormat="1">
      <c r="A68" s="13"/>
      <c r="B68" s="127"/>
      <c r="C68" s="127"/>
      <c r="D68" s="127"/>
      <c r="E68" s="343"/>
      <c r="F68" s="343"/>
      <c r="G68" s="93"/>
      <c r="H68" s="93"/>
      <c r="I68" s="93"/>
      <c r="J68" s="93"/>
      <c r="L68" s="59"/>
    </row>
    <row r="69" spans="1:12" s="95" customFormat="1">
      <c r="A69" s="162"/>
      <c r="E69" s="60"/>
      <c r="F69" s="60"/>
      <c r="G69" s="93"/>
      <c r="H69" s="93"/>
      <c r="I69" s="93"/>
      <c r="J69" s="93"/>
      <c r="L69" s="59"/>
    </row>
    <row r="70" spans="1:12" s="95" customFormat="1">
      <c r="A70" s="13"/>
      <c r="B70" s="127"/>
      <c r="C70" s="127"/>
      <c r="D70" s="127"/>
      <c r="E70" s="343"/>
      <c r="F70" s="343"/>
      <c r="G70" s="93"/>
      <c r="H70" s="93"/>
      <c r="I70" s="93"/>
      <c r="J70" s="93"/>
      <c r="L70" s="59"/>
    </row>
    <row r="71" spans="1:12" s="95" customFormat="1">
      <c r="A71" s="59"/>
      <c r="E71" s="60"/>
      <c r="F71" s="60"/>
      <c r="G71" s="93"/>
      <c r="H71" s="93"/>
      <c r="I71" s="93"/>
      <c r="J71" s="93"/>
      <c r="L71" s="59"/>
    </row>
    <row r="72" spans="1:12" s="95" customFormat="1">
      <c r="A72" s="13"/>
      <c r="B72" s="127"/>
      <c r="C72" s="127"/>
      <c r="D72" s="127"/>
      <c r="E72" s="343"/>
      <c r="F72" s="343"/>
      <c r="G72" s="93"/>
      <c r="H72" s="93"/>
      <c r="I72" s="93"/>
      <c r="J72" s="93"/>
      <c r="L72" s="59"/>
    </row>
    <row r="73" spans="1:12" s="95" customFormat="1">
      <c r="A73" s="13"/>
      <c r="B73" s="127"/>
      <c r="C73" s="127"/>
      <c r="D73" s="127"/>
      <c r="E73" s="343"/>
      <c r="F73" s="343"/>
      <c r="G73" s="93"/>
      <c r="H73" s="93"/>
      <c r="I73" s="93"/>
      <c r="J73" s="93"/>
      <c r="L73" s="59"/>
    </row>
    <row r="74" spans="1:12" s="95" customFormat="1">
      <c r="A74" s="162"/>
      <c r="E74" s="60"/>
      <c r="F74" s="60"/>
      <c r="G74" s="93"/>
      <c r="H74" s="93"/>
      <c r="I74" s="93"/>
      <c r="J74" s="93"/>
      <c r="L74" s="59"/>
    </row>
    <row r="75" spans="1:12" s="95" customFormat="1">
      <c r="A75" s="59"/>
      <c r="E75" s="60"/>
      <c r="F75" s="60"/>
      <c r="G75" s="93"/>
      <c r="H75" s="93"/>
      <c r="I75" s="93"/>
      <c r="J75" s="93"/>
      <c r="L75" s="59"/>
    </row>
    <row r="76" spans="1:12" s="95" customFormat="1">
      <c r="A76" s="13"/>
      <c r="B76" s="127"/>
      <c r="C76" s="127"/>
      <c r="D76" s="127"/>
      <c r="E76" s="343"/>
      <c r="F76" s="343"/>
      <c r="G76" s="93"/>
      <c r="H76" s="93"/>
      <c r="I76" s="93"/>
      <c r="J76" s="93"/>
      <c r="L76" s="59"/>
    </row>
    <row r="77" spans="1:12" s="95" customFormat="1">
      <c r="A77" s="59"/>
      <c r="E77" s="60"/>
      <c r="F77" s="60"/>
      <c r="G77" s="93"/>
      <c r="H77" s="93"/>
      <c r="I77" s="93"/>
      <c r="J77" s="93"/>
      <c r="L77" s="59"/>
    </row>
    <row r="78" spans="1:12" s="95" customFormat="1">
      <c r="A78" s="59"/>
      <c r="E78" s="60"/>
      <c r="F78" s="60"/>
      <c r="G78" s="93"/>
      <c r="H78" s="93"/>
      <c r="I78" s="93"/>
      <c r="J78" s="93"/>
      <c r="L78" s="59"/>
    </row>
    <row r="79" spans="1:12" s="95" customFormat="1">
      <c r="A79" s="162"/>
      <c r="E79" s="60"/>
      <c r="F79" s="60"/>
      <c r="G79" s="93"/>
      <c r="H79" s="93"/>
      <c r="I79" s="93"/>
      <c r="J79" s="93"/>
      <c r="L79" s="59"/>
    </row>
    <row r="80" spans="1:12" s="95" customFormat="1">
      <c r="A80" s="162"/>
      <c r="E80" s="60"/>
      <c r="F80" s="60"/>
      <c r="G80" s="93"/>
      <c r="H80" s="93"/>
      <c r="I80" s="93"/>
      <c r="J80" s="93"/>
      <c r="L80" s="59"/>
    </row>
    <row r="81" spans="1:12" s="95" customFormat="1">
      <c r="A81" s="13"/>
      <c r="B81" s="127"/>
      <c r="C81" s="127"/>
      <c r="D81" s="127"/>
      <c r="E81" s="343"/>
      <c r="F81" s="343"/>
      <c r="G81" s="93"/>
      <c r="H81" s="93"/>
      <c r="I81" s="93"/>
      <c r="J81" s="93"/>
      <c r="L81" s="59"/>
    </row>
    <row r="82" spans="1:12" s="95" customFormat="1">
      <c r="A82" s="59"/>
      <c r="E82" s="60"/>
      <c r="F82" s="60"/>
      <c r="G82" s="93"/>
      <c r="H82" s="93"/>
      <c r="I82" s="93"/>
      <c r="J82" s="93"/>
      <c r="L82" s="59"/>
    </row>
    <row r="83" spans="1:12" s="95" customFormat="1">
      <c r="A83" s="59"/>
      <c r="E83" s="60"/>
      <c r="F83" s="60"/>
      <c r="G83" s="93"/>
      <c r="H83" s="93"/>
      <c r="I83" s="93"/>
      <c r="J83" s="93"/>
      <c r="L83" s="59"/>
    </row>
    <row r="84" spans="1:12" s="95" customFormat="1">
      <c r="A84" s="13"/>
      <c r="B84" s="127"/>
      <c r="C84" s="127"/>
      <c r="D84" s="127"/>
      <c r="E84" s="343"/>
      <c r="F84" s="343"/>
      <c r="G84" s="93"/>
      <c r="H84" s="93"/>
      <c r="I84" s="93"/>
      <c r="J84" s="93"/>
      <c r="L84" s="59"/>
    </row>
    <row r="85" spans="1:12">
      <c r="A85" s="162"/>
      <c r="B85" s="95"/>
      <c r="C85" s="95"/>
      <c r="D85" s="95"/>
      <c r="E85" s="60"/>
      <c r="F85" s="60"/>
      <c r="G85" s="93"/>
      <c r="H85" s="93"/>
      <c r="I85" s="93"/>
      <c r="J85" s="93"/>
    </row>
    <row r="86" spans="1:12">
      <c r="A86" s="162"/>
      <c r="B86" s="95"/>
      <c r="C86" s="95"/>
      <c r="D86" s="95"/>
      <c r="E86" s="60"/>
      <c r="F86" s="60"/>
      <c r="G86" s="93"/>
      <c r="H86" s="93"/>
      <c r="I86" s="93"/>
      <c r="J86" s="93"/>
    </row>
    <row r="87" spans="1:12">
      <c r="A87" s="162"/>
      <c r="B87" s="95"/>
      <c r="C87" s="95"/>
      <c r="D87" s="95"/>
      <c r="E87" s="60"/>
      <c r="F87" s="60"/>
      <c r="G87" s="93"/>
      <c r="H87" s="93"/>
      <c r="I87" s="93"/>
      <c r="J87" s="93"/>
    </row>
    <row r="88" spans="1:12">
      <c r="A88" s="162"/>
      <c r="B88" s="95"/>
      <c r="C88" s="95"/>
      <c r="D88" s="95"/>
      <c r="E88" s="60"/>
      <c r="F88" s="60"/>
      <c r="G88" s="93"/>
      <c r="H88" s="93"/>
      <c r="I88" s="93"/>
      <c r="J88" s="93"/>
    </row>
    <row r="89" spans="1:12">
      <c r="A89" s="162"/>
      <c r="B89" s="127"/>
      <c r="C89" s="127"/>
      <c r="D89" s="127"/>
      <c r="E89" s="60"/>
      <c r="F89" s="60"/>
      <c r="G89" s="93"/>
      <c r="H89" s="93"/>
      <c r="I89" s="93"/>
      <c r="J89" s="93"/>
    </row>
    <row r="90" spans="1:12">
      <c r="A90" s="162"/>
      <c r="B90" s="95"/>
      <c r="C90" s="95"/>
      <c r="D90" s="95"/>
      <c r="E90" s="60"/>
      <c r="F90" s="60"/>
      <c r="G90" s="93"/>
      <c r="H90" s="93"/>
      <c r="I90" s="93"/>
      <c r="J90" s="93"/>
    </row>
    <row r="91" spans="1:12">
      <c r="A91" s="162"/>
      <c r="B91" s="95"/>
      <c r="C91" s="95"/>
      <c r="D91" s="95"/>
      <c r="G91" s="93"/>
      <c r="H91" s="93"/>
      <c r="I91" s="93"/>
      <c r="J91" s="93"/>
    </row>
    <row r="92" spans="1:12">
      <c r="A92" s="162"/>
      <c r="B92" s="95"/>
      <c r="C92" s="95"/>
      <c r="D92" s="95"/>
      <c r="E92" s="60"/>
      <c r="F92" s="60"/>
      <c r="G92" s="93"/>
      <c r="H92" s="93"/>
      <c r="I92" s="93"/>
      <c r="J92" s="93"/>
    </row>
    <row r="93" spans="1:12">
      <c r="A93" s="162"/>
      <c r="B93" s="95"/>
      <c r="C93" s="95"/>
      <c r="D93" s="95"/>
      <c r="E93" s="60"/>
      <c r="F93" s="60"/>
      <c r="G93" s="93"/>
      <c r="H93" s="93"/>
      <c r="I93" s="93"/>
      <c r="J93" s="93"/>
    </row>
    <row r="94" spans="1:12">
      <c r="B94" s="95"/>
      <c r="C94" s="95"/>
      <c r="D94" s="95"/>
      <c r="E94" s="60"/>
      <c r="F94" s="60"/>
      <c r="G94" s="93"/>
      <c r="H94" s="93"/>
      <c r="I94" s="93"/>
      <c r="J94" s="93"/>
    </row>
    <row r="95" spans="1:12">
      <c r="A95" s="162"/>
      <c r="B95" s="127"/>
      <c r="C95" s="127"/>
      <c r="D95" s="127"/>
      <c r="E95" s="343"/>
      <c r="F95" s="343"/>
      <c r="G95" s="93"/>
      <c r="H95" s="93"/>
      <c r="I95" s="93"/>
      <c r="J95" s="93"/>
    </row>
    <row r="96" spans="1:12">
      <c r="A96" s="162"/>
      <c r="B96" s="95"/>
      <c r="C96" s="95"/>
      <c r="D96" s="95"/>
      <c r="E96" s="60"/>
      <c r="F96" s="60"/>
      <c r="G96" s="93"/>
      <c r="H96" s="93"/>
      <c r="I96" s="93"/>
      <c r="J96" s="93"/>
    </row>
    <row r="97" spans="1:12">
      <c r="A97" s="162"/>
      <c r="B97" s="95"/>
      <c r="C97" s="95"/>
      <c r="D97" s="95"/>
      <c r="E97" s="60"/>
      <c r="F97" s="60"/>
      <c r="G97" s="93"/>
      <c r="H97" s="93"/>
      <c r="I97" s="93"/>
      <c r="J97" s="93"/>
    </row>
    <row r="98" spans="1:12">
      <c r="A98" s="330"/>
      <c r="B98" s="133"/>
      <c r="C98" s="133"/>
      <c r="D98" s="133"/>
      <c r="E98" s="344"/>
      <c r="F98" s="344"/>
      <c r="G98" s="93"/>
      <c r="H98" s="93"/>
      <c r="I98" s="93"/>
      <c r="J98" s="93"/>
    </row>
    <row r="99" spans="1:12" s="95" customFormat="1">
      <c r="A99" s="162"/>
      <c r="B99" s="127"/>
      <c r="C99" s="127"/>
      <c r="D99" s="127"/>
      <c r="E99" s="343"/>
      <c r="F99" s="343"/>
      <c r="G99" s="93"/>
      <c r="H99" s="93"/>
      <c r="I99" s="93"/>
      <c r="J99" s="93"/>
      <c r="L99" s="59"/>
    </row>
    <row r="100" spans="1:12">
      <c r="A100" s="59"/>
      <c r="B100" s="95"/>
      <c r="C100" s="95"/>
      <c r="D100" s="95"/>
      <c r="E100" s="60"/>
      <c r="F100" s="60"/>
      <c r="G100" s="93"/>
      <c r="H100" s="93"/>
      <c r="I100" s="93"/>
      <c r="J100" s="93"/>
    </row>
    <row r="101" spans="1:12">
      <c r="A101" s="330"/>
      <c r="B101" s="133"/>
      <c r="C101" s="133"/>
      <c r="D101" s="133"/>
      <c r="E101" s="344"/>
      <c r="F101" s="344"/>
      <c r="G101" s="93"/>
      <c r="H101" s="93"/>
      <c r="I101" s="93"/>
      <c r="J101" s="93"/>
    </row>
    <row r="102" spans="1:12">
      <c r="A102" s="162"/>
      <c r="B102" s="95"/>
      <c r="C102" s="95"/>
      <c r="D102" s="95"/>
      <c r="E102" s="60"/>
      <c r="F102" s="60"/>
      <c r="G102" s="93"/>
      <c r="H102" s="93"/>
      <c r="I102" s="93"/>
      <c r="J102" s="93"/>
    </row>
    <row r="103" spans="1:12">
      <c r="B103" s="95"/>
      <c r="C103" s="95"/>
      <c r="D103" s="95"/>
      <c r="E103" s="60"/>
      <c r="F103" s="60"/>
      <c r="G103" s="93"/>
      <c r="H103" s="93"/>
      <c r="I103" s="93"/>
      <c r="J103" s="93"/>
    </row>
    <row r="104" spans="1:12">
      <c r="B104" s="95"/>
      <c r="C104" s="95"/>
      <c r="D104" s="95"/>
      <c r="E104" s="60"/>
      <c r="F104" s="60"/>
      <c r="G104" s="93"/>
      <c r="H104" s="93"/>
      <c r="I104" s="93"/>
      <c r="J104" s="93"/>
    </row>
    <row r="105" spans="1:12">
      <c r="A105" s="59"/>
      <c r="B105" s="95"/>
      <c r="C105" s="95"/>
      <c r="D105" s="95"/>
      <c r="E105" s="60"/>
      <c r="F105" s="60"/>
      <c r="G105" s="93"/>
      <c r="H105" s="93"/>
      <c r="I105" s="93"/>
      <c r="J105" s="93"/>
    </row>
    <row r="106" spans="1:12">
      <c r="B106" s="95"/>
      <c r="C106" s="95"/>
      <c r="D106" s="95"/>
      <c r="E106" s="60"/>
      <c r="F106" s="60"/>
      <c r="G106" s="93"/>
      <c r="H106" s="93"/>
      <c r="I106" s="93"/>
      <c r="J106" s="93"/>
    </row>
    <row r="107" spans="1:12">
      <c r="B107" s="95"/>
      <c r="C107" s="95"/>
      <c r="D107" s="95"/>
      <c r="E107" s="60"/>
      <c r="F107" s="60"/>
      <c r="G107" s="93"/>
      <c r="H107" s="93"/>
      <c r="I107" s="93"/>
      <c r="J107" s="93"/>
    </row>
    <row r="108" spans="1:12">
      <c r="B108" s="95"/>
      <c r="C108" s="95"/>
      <c r="D108" s="95"/>
      <c r="E108" s="60"/>
      <c r="F108" s="60"/>
      <c r="G108" s="93"/>
      <c r="H108" s="93"/>
      <c r="I108" s="93"/>
      <c r="J108" s="93"/>
    </row>
    <row r="109" spans="1:12">
      <c r="B109" s="95"/>
      <c r="C109" s="95"/>
      <c r="D109" s="95"/>
      <c r="E109" s="345"/>
      <c r="F109" s="345"/>
      <c r="G109" s="93"/>
      <c r="H109" s="93"/>
      <c r="I109" s="93"/>
      <c r="J109" s="93"/>
    </row>
    <row r="110" spans="1:12">
      <c r="A110" s="59"/>
      <c r="B110" s="95"/>
      <c r="C110" s="95"/>
      <c r="D110" s="95"/>
      <c r="E110" s="345"/>
      <c r="F110" s="345"/>
      <c r="G110" s="93"/>
      <c r="H110" s="93"/>
      <c r="I110" s="93"/>
      <c r="J110" s="93"/>
    </row>
    <row r="111" spans="1:12">
      <c r="A111" s="59"/>
      <c r="B111" s="95"/>
      <c r="C111" s="95"/>
      <c r="D111" s="95"/>
      <c r="E111" s="345"/>
      <c r="F111" s="345"/>
      <c r="G111" s="93"/>
      <c r="H111" s="93"/>
      <c r="I111" s="93"/>
      <c r="J111" s="93"/>
    </row>
    <row r="112" spans="1:12">
      <c r="A112" s="59"/>
      <c r="B112" s="95"/>
      <c r="C112" s="95"/>
      <c r="D112" s="95"/>
      <c r="E112" s="345"/>
      <c r="F112" s="345"/>
      <c r="G112" s="93"/>
      <c r="H112" s="93"/>
      <c r="I112" s="93"/>
      <c r="J112" s="93"/>
    </row>
    <row r="113" spans="1:10">
      <c r="A113" s="59"/>
      <c r="B113" s="95"/>
      <c r="C113" s="95"/>
      <c r="D113" s="95"/>
      <c r="E113" s="345"/>
      <c r="F113" s="345"/>
      <c r="G113" s="93"/>
      <c r="H113" s="93"/>
      <c r="I113" s="93"/>
      <c r="J113" s="93"/>
    </row>
    <row r="114" spans="1:10">
      <c r="A114" s="59"/>
      <c r="B114" s="95"/>
      <c r="C114" s="95"/>
      <c r="D114" s="95"/>
      <c r="E114" s="345"/>
      <c r="F114" s="345"/>
      <c r="G114" s="93"/>
      <c r="H114" s="93"/>
      <c r="I114" s="93"/>
      <c r="J114" s="93"/>
    </row>
    <row r="115" spans="1:10">
      <c r="A115" s="59"/>
      <c r="B115" s="95"/>
      <c r="C115" s="95"/>
      <c r="D115" s="95"/>
      <c r="E115" s="60"/>
      <c r="F115" s="60"/>
      <c r="G115" s="93"/>
      <c r="H115" s="93"/>
      <c r="I115" s="93"/>
      <c r="J115" s="93"/>
    </row>
    <row r="116" spans="1:10">
      <c r="A116" s="59"/>
      <c r="B116" s="95"/>
      <c r="C116" s="95"/>
      <c r="D116" s="95"/>
      <c r="E116" s="60"/>
      <c r="F116" s="60"/>
      <c r="G116" s="93"/>
      <c r="H116" s="93"/>
      <c r="I116" s="93"/>
      <c r="J116" s="93"/>
    </row>
    <row r="117" spans="1:10">
      <c r="A117" s="59"/>
      <c r="B117" s="95"/>
      <c r="C117" s="95"/>
      <c r="D117" s="95"/>
      <c r="E117" s="345"/>
      <c r="F117" s="345"/>
      <c r="G117" s="93"/>
      <c r="H117" s="93"/>
      <c r="I117" s="93"/>
      <c r="J117" s="93"/>
    </row>
    <row r="118" spans="1:10">
      <c r="A118" s="59"/>
      <c r="B118" s="95"/>
      <c r="C118" s="95"/>
      <c r="D118" s="95"/>
      <c r="E118" s="60"/>
      <c r="F118" s="60"/>
      <c r="G118" s="93"/>
      <c r="H118" s="93"/>
      <c r="I118" s="93"/>
      <c r="J118" s="93"/>
    </row>
    <row r="119" spans="1:10">
      <c r="A119" s="59"/>
      <c r="B119" s="95"/>
      <c r="C119" s="95"/>
      <c r="D119" s="95"/>
      <c r="E119" s="60"/>
      <c r="F119" s="60"/>
      <c r="G119" s="93"/>
      <c r="H119" s="93"/>
      <c r="I119" s="93"/>
      <c r="J119" s="93"/>
    </row>
    <row r="120" spans="1:10">
      <c r="A120" s="59"/>
      <c r="B120" s="95"/>
      <c r="C120" s="95"/>
      <c r="D120" s="95"/>
      <c r="E120" s="346"/>
      <c r="F120" s="346"/>
      <c r="G120" s="93"/>
      <c r="H120" s="93"/>
      <c r="I120" s="93"/>
      <c r="J120" s="93"/>
    </row>
    <row r="121" spans="1:10">
      <c r="A121" s="59"/>
      <c r="B121" s="95"/>
      <c r="C121" s="95"/>
      <c r="D121" s="95"/>
      <c r="E121" s="60"/>
      <c r="F121" s="60"/>
      <c r="G121" s="93"/>
      <c r="H121" s="93"/>
      <c r="I121" s="93"/>
      <c r="J121" s="93"/>
    </row>
    <row r="122" spans="1:10">
      <c r="A122" s="59"/>
      <c r="B122" s="95"/>
      <c r="C122" s="95"/>
      <c r="D122" s="95"/>
      <c r="E122" s="345"/>
      <c r="F122" s="345"/>
      <c r="G122" s="93"/>
      <c r="H122" s="93"/>
      <c r="I122" s="93"/>
      <c r="J122" s="93"/>
    </row>
    <row r="123" spans="1:10">
      <c r="A123" s="59"/>
      <c r="B123" s="95"/>
      <c r="C123" s="95"/>
      <c r="D123" s="95"/>
      <c r="E123" s="346"/>
      <c r="F123" s="346"/>
      <c r="G123" s="93"/>
      <c r="H123" s="93"/>
      <c r="I123" s="93"/>
      <c r="J123" s="93"/>
    </row>
    <row r="124" spans="1:10">
      <c r="A124" s="59"/>
      <c r="B124" s="95"/>
      <c r="C124" s="95"/>
      <c r="D124" s="95"/>
      <c r="E124" s="60"/>
      <c r="F124" s="60"/>
      <c r="G124" s="93"/>
      <c r="H124" s="93"/>
      <c r="I124" s="93"/>
      <c r="J124" s="93"/>
    </row>
    <row r="125" spans="1:10">
      <c r="A125" s="59"/>
      <c r="B125" s="95"/>
      <c r="C125" s="95"/>
      <c r="D125" s="95"/>
      <c r="E125" s="60"/>
      <c r="F125" s="60"/>
      <c r="G125" s="93"/>
      <c r="H125" s="93"/>
      <c r="I125" s="93"/>
      <c r="J125" s="93"/>
    </row>
    <row r="126" spans="1:10">
      <c r="A126" s="59"/>
      <c r="B126" s="95"/>
      <c r="C126" s="95"/>
      <c r="D126" s="95"/>
      <c r="E126" s="345"/>
      <c r="F126" s="345"/>
      <c r="G126" s="93"/>
      <c r="H126" s="93"/>
      <c r="I126" s="93"/>
      <c r="J126" s="93"/>
    </row>
    <row r="127" spans="1:10">
      <c r="A127" s="59"/>
      <c r="B127" s="95"/>
      <c r="C127" s="95"/>
      <c r="D127" s="95"/>
      <c r="E127" s="60"/>
      <c r="F127" s="60"/>
      <c r="G127" s="93"/>
      <c r="H127" s="93"/>
      <c r="I127" s="93"/>
      <c r="J127" s="93"/>
    </row>
    <row r="128" spans="1:10">
      <c r="A128" s="59"/>
      <c r="B128" s="95"/>
      <c r="C128" s="95"/>
      <c r="D128" s="95"/>
      <c r="E128" s="345"/>
      <c r="F128" s="345"/>
      <c r="G128" s="93"/>
      <c r="H128" s="93"/>
      <c r="I128" s="93"/>
      <c r="J128" s="93"/>
    </row>
    <row r="129" spans="1:10">
      <c r="A129" s="59"/>
      <c r="B129" s="95"/>
      <c r="C129" s="95"/>
      <c r="D129" s="95"/>
      <c r="E129" s="60"/>
      <c r="F129" s="60"/>
      <c r="G129" s="93"/>
      <c r="H129" s="93"/>
      <c r="I129" s="93"/>
      <c r="J129" s="93"/>
    </row>
    <row r="130" spans="1:10">
      <c r="A130" s="59"/>
      <c r="B130" s="95"/>
      <c r="C130" s="95"/>
      <c r="D130" s="95"/>
      <c r="E130" s="60"/>
      <c r="F130" s="60"/>
      <c r="G130" s="93"/>
      <c r="H130" s="93"/>
      <c r="I130" s="93"/>
      <c r="J130" s="93"/>
    </row>
    <row r="131" spans="1:10">
      <c r="A131" s="59"/>
      <c r="B131" s="95"/>
      <c r="C131" s="95"/>
      <c r="D131" s="95"/>
      <c r="E131" s="345"/>
      <c r="F131" s="345"/>
      <c r="G131" s="93"/>
      <c r="H131" s="93"/>
      <c r="I131" s="93"/>
      <c r="J131" s="93"/>
    </row>
    <row r="132" spans="1:10">
      <c r="A132" s="59"/>
      <c r="B132" s="95"/>
      <c r="C132" s="95"/>
      <c r="D132" s="95"/>
      <c r="E132" s="60"/>
      <c r="F132" s="60"/>
      <c r="G132" s="93"/>
      <c r="H132" s="93"/>
      <c r="I132" s="93"/>
      <c r="J132" s="93"/>
    </row>
    <row r="133" spans="1:10">
      <c r="A133" s="59"/>
      <c r="B133" s="95"/>
      <c r="C133" s="95"/>
      <c r="D133" s="95"/>
      <c r="E133" s="60"/>
      <c r="F133" s="60"/>
      <c r="G133" s="93"/>
      <c r="H133" s="93"/>
      <c r="I133" s="93"/>
      <c r="J133" s="93"/>
    </row>
    <row r="134" spans="1:10">
      <c r="A134" s="59"/>
      <c r="B134" s="95"/>
      <c r="C134" s="95"/>
      <c r="D134" s="95"/>
      <c r="E134" s="60"/>
      <c r="F134" s="60"/>
      <c r="G134" s="93"/>
      <c r="H134" s="93"/>
      <c r="I134" s="93"/>
      <c r="J134" s="93"/>
    </row>
    <row r="135" spans="1:10">
      <c r="A135" s="162"/>
      <c r="B135" s="95"/>
      <c r="C135" s="95"/>
      <c r="D135" s="95"/>
      <c r="E135" s="60"/>
      <c r="F135" s="60"/>
      <c r="G135" s="93"/>
      <c r="H135" s="93"/>
      <c r="I135" s="93"/>
      <c r="J135" s="93"/>
    </row>
    <row r="136" spans="1:10">
      <c r="A136" s="59"/>
      <c r="B136" s="95"/>
      <c r="C136" s="95"/>
      <c r="D136" s="95"/>
      <c r="E136" s="60"/>
      <c r="F136" s="60"/>
      <c r="G136" s="93"/>
      <c r="H136" s="93"/>
      <c r="I136" s="93"/>
      <c r="J136" s="93"/>
    </row>
    <row r="137" spans="1:10">
      <c r="A137" s="162"/>
      <c r="B137" s="95"/>
      <c r="C137" s="95"/>
      <c r="D137" s="95"/>
      <c r="E137" s="60"/>
      <c r="F137" s="60"/>
      <c r="G137" s="93"/>
      <c r="H137" s="93"/>
      <c r="I137" s="93"/>
      <c r="J137" s="93"/>
    </row>
    <row r="138" spans="1:10">
      <c r="A138" s="59"/>
      <c r="B138" s="95"/>
      <c r="C138" s="95"/>
      <c r="D138" s="95"/>
      <c r="E138" s="60"/>
      <c r="F138" s="60"/>
      <c r="G138" s="93"/>
      <c r="H138" s="93"/>
      <c r="I138" s="93"/>
      <c r="J138" s="93"/>
    </row>
    <row r="139" spans="1:10">
      <c r="A139" s="59"/>
      <c r="B139" s="95"/>
      <c r="C139" s="95"/>
      <c r="D139" s="95"/>
      <c r="E139" s="60"/>
      <c r="F139" s="60"/>
      <c r="G139" s="93"/>
      <c r="H139" s="93"/>
      <c r="I139" s="93"/>
      <c r="J139" s="93"/>
    </row>
    <row r="140" spans="1:10">
      <c r="A140" s="59"/>
      <c r="B140" s="95"/>
      <c r="C140" s="95"/>
      <c r="D140" s="95"/>
      <c r="E140" s="51"/>
      <c r="F140" s="51"/>
      <c r="G140" s="93"/>
      <c r="H140" s="93"/>
      <c r="I140" s="93"/>
      <c r="J140" s="93"/>
    </row>
    <row r="141" spans="1:10">
      <c r="A141" s="59"/>
      <c r="B141" s="95"/>
      <c r="C141" s="95"/>
      <c r="D141" s="95"/>
      <c r="E141" s="60"/>
      <c r="F141" s="60"/>
      <c r="G141" s="93"/>
      <c r="H141" s="93"/>
      <c r="I141" s="93"/>
      <c r="J141" s="93"/>
    </row>
    <row r="142" spans="1:10">
      <c r="A142" s="59"/>
      <c r="B142" s="95"/>
      <c r="C142" s="95"/>
      <c r="D142" s="95"/>
      <c r="E142" s="60"/>
      <c r="F142" s="60"/>
      <c r="G142" s="93"/>
      <c r="H142" s="93"/>
      <c r="I142" s="93"/>
      <c r="J142" s="93"/>
    </row>
    <row r="143" spans="1:10">
      <c r="A143" s="330"/>
      <c r="B143" s="95"/>
      <c r="C143" s="95"/>
      <c r="D143" s="95"/>
      <c r="E143" s="60"/>
      <c r="F143" s="60"/>
      <c r="G143" s="93"/>
      <c r="H143" s="93"/>
      <c r="I143" s="93"/>
      <c r="J143" s="93"/>
    </row>
    <row r="144" spans="1:10">
      <c r="A144" s="59"/>
      <c r="B144" s="95"/>
      <c r="C144" s="95"/>
      <c r="D144" s="95"/>
      <c r="E144" s="60"/>
      <c r="F144" s="60"/>
      <c r="G144" s="93"/>
      <c r="H144" s="93"/>
      <c r="I144" s="93"/>
      <c r="J144" s="93"/>
    </row>
    <row r="145" spans="1:10">
      <c r="A145" s="330"/>
      <c r="B145" s="133"/>
      <c r="C145" s="133"/>
      <c r="D145" s="133"/>
      <c r="E145" s="344"/>
      <c r="F145" s="344"/>
      <c r="G145" s="93"/>
      <c r="H145" s="93"/>
      <c r="I145" s="93"/>
      <c r="J145" s="93"/>
    </row>
    <row r="146" spans="1:10">
      <c r="A146" s="162"/>
      <c r="B146" s="95"/>
      <c r="C146" s="95"/>
      <c r="D146" s="95"/>
      <c r="E146" s="343"/>
      <c r="F146" s="343"/>
      <c r="G146" s="93"/>
      <c r="H146" s="93"/>
      <c r="I146" s="93"/>
      <c r="J146" s="93"/>
    </row>
    <row r="147" spans="1:10">
      <c r="A147" s="59"/>
      <c r="B147" s="95"/>
      <c r="C147" s="95"/>
      <c r="D147" s="95"/>
      <c r="E147" s="60"/>
      <c r="F147" s="60"/>
      <c r="G147" s="93"/>
      <c r="H147" s="93"/>
      <c r="I147" s="93"/>
      <c r="J147" s="93"/>
    </row>
    <row r="148" spans="1:10">
      <c r="A148" s="59"/>
      <c r="B148" s="95"/>
      <c r="C148" s="95"/>
      <c r="D148" s="95"/>
      <c r="E148" s="60"/>
      <c r="F148" s="60"/>
      <c r="G148" s="93"/>
      <c r="H148" s="93"/>
      <c r="I148" s="93"/>
      <c r="J148" s="93"/>
    </row>
    <row r="149" spans="1:10">
      <c r="A149" s="59"/>
      <c r="B149" s="95"/>
      <c r="C149" s="95"/>
      <c r="D149" s="95"/>
      <c r="E149" s="60"/>
      <c r="F149" s="60"/>
      <c r="G149" s="93"/>
      <c r="H149" s="93"/>
      <c r="I149" s="93"/>
      <c r="J149" s="93"/>
    </row>
    <row r="150" spans="1:10">
      <c r="A150" s="59"/>
      <c r="B150" s="95"/>
      <c r="C150" s="95"/>
      <c r="D150" s="95"/>
      <c r="E150" s="60"/>
      <c r="F150" s="60"/>
      <c r="G150" s="93"/>
      <c r="H150" s="93"/>
      <c r="I150" s="93"/>
      <c r="J150" s="93"/>
    </row>
    <row r="151" spans="1:10">
      <c r="A151" s="59"/>
      <c r="B151" s="95"/>
      <c r="C151" s="95"/>
      <c r="D151" s="95"/>
      <c r="E151" s="60"/>
      <c r="F151" s="60"/>
      <c r="G151" s="93"/>
      <c r="H151" s="93"/>
      <c r="I151" s="93"/>
      <c r="J151" s="93"/>
    </row>
    <row r="152" spans="1:10">
      <c r="A152" s="59"/>
      <c r="B152" s="95"/>
      <c r="C152" s="95"/>
      <c r="D152" s="95"/>
      <c r="E152" s="60"/>
      <c r="F152" s="60"/>
      <c r="G152" s="93"/>
      <c r="H152" s="93"/>
      <c r="I152" s="93"/>
      <c r="J152" s="93"/>
    </row>
    <row r="153" spans="1:10">
      <c r="A153" s="59"/>
      <c r="B153" s="95"/>
      <c r="C153" s="95"/>
      <c r="D153" s="95"/>
      <c r="E153" s="60"/>
      <c r="F153" s="60"/>
      <c r="G153" s="93"/>
      <c r="H153" s="93"/>
      <c r="I153" s="93"/>
      <c r="J153" s="93"/>
    </row>
    <row r="154" spans="1:10">
      <c r="A154" s="59"/>
      <c r="B154" s="95"/>
      <c r="C154" s="95"/>
      <c r="D154" s="95"/>
      <c r="E154" s="60"/>
      <c r="F154" s="60"/>
      <c r="G154" s="93"/>
      <c r="H154" s="93"/>
      <c r="I154" s="93"/>
      <c r="J154" s="93"/>
    </row>
    <row r="155" spans="1:10">
      <c r="A155" s="59"/>
      <c r="B155" s="95"/>
      <c r="C155" s="95"/>
      <c r="D155" s="95"/>
      <c r="E155" s="60"/>
      <c r="F155" s="60"/>
      <c r="G155" s="93"/>
      <c r="H155" s="93"/>
      <c r="I155" s="93"/>
      <c r="J155" s="93"/>
    </row>
    <row r="156" spans="1:10">
      <c r="A156" s="59"/>
      <c r="B156" s="95"/>
      <c r="C156" s="95"/>
      <c r="D156" s="95"/>
      <c r="E156" s="60"/>
      <c r="F156" s="60"/>
      <c r="G156" s="93"/>
      <c r="H156" s="93"/>
      <c r="I156" s="93"/>
      <c r="J156" s="93"/>
    </row>
    <row r="157" spans="1:10">
      <c r="A157" s="59"/>
      <c r="B157" s="95"/>
      <c r="C157" s="95"/>
      <c r="D157" s="95"/>
      <c r="E157" s="60"/>
      <c r="F157" s="60"/>
      <c r="G157" s="93"/>
      <c r="H157" s="93"/>
      <c r="I157" s="93"/>
      <c r="J157" s="93"/>
    </row>
    <row r="158" spans="1:10">
      <c r="A158" s="59"/>
      <c r="B158" s="95"/>
      <c r="C158" s="95"/>
      <c r="D158" s="95"/>
      <c r="E158" s="60"/>
      <c r="F158" s="60"/>
      <c r="G158" s="93"/>
      <c r="H158" s="93"/>
      <c r="I158" s="93"/>
      <c r="J158" s="93"/>
    </row>
    <row r="159" spans="1:10">
      <c r="A159" s="59"/>
      <c r="B159" s="95"/>
      <c r="C159" s="95"/>
      <c r="D159" s="95"/>
      <c r="E159" s="60"/>
      <c r="F159" s="60"/>
      <c r="G159" s="93"/>
      <c r="H159" s="93"/>
      <c r="I159" s="93"/>
      <c r="J159" s="93"/>
    </row>
    <row r="160" spans="1:10">
      <c r="A160" s="59"/>
      <c r="B160" s="95"/>
      <c r="C160" s="95"/>
      <c r="D160" s="95"/>
      <c r="E160" s="60"/>
      <c r="F160" s="60"/>
      <c r="G160" s="93"/>
      <c r="H160" s="93"/>
      <c r="I160" s="93"/>
      <c r="J160" s="93"/>
    </row>
    <row r="161" spans="1:10">
      <c r="A161" s="59"/>
      <c r="B161" s="95"/>
      <c r="C161" s="95"/>
      <c r="D161" s="95"/>
      <c r="E161" s="60"/>
      <c r="F161" s="60"/>
      <c r="G161" s="93"/>
      <c r="H161" s="93"/>
      <c r="I161" s="93"/>
      <c r="J161" s="93"/>
    </row>
    <row r="162" spans="1:10">
      <c r="A162" s="59"/>
      <c r="B162" s="95"/>
      <c r="C162" s="95"/>
      <c r="D162" s="95"/>
      <c r="E162" s="60"/>
      <c r="F162" s="60"/>
      <c r="G162" s="93"/>
      <c r="H162" s="93"/>
      <c r="I162" s="93"/>
      <c r="J162" s="93"/>
    </row>
    <row r="163" spans="1:10">
      <c r="A163" s="59"/>
      <c r="B163" s="95"/>
      <c r="C163" s="95"/>
      <c r="D163" s="95"/>
      <c r="E163" s="60"/>
      <c r="F163" s="60"/>
      <c r="G163" s="93"/>
      <c r="H163" s="93"/>
      <c r="I163" s="93"/>
      <c r="J163" s="93"/>
    </row>
    <row r="164" spans="1:10">
      <c r="A164" s="59"/>
      <c r="B164" s="95"/>
      <c r="C164" s="95"/>
      <c r="D164" s="95"/>
      <c r="E164" s="60"/>
      <c r="F164" s="60"/>
      <c r="G164" s="93"/>
      <c r="H164" s="93"/>
      <c r="I164" s="93"/>
      <c r="J164" s="93"/>
    </row>
    <row r="165" spans="1:10">
      <c r="A165" s="59"/>
      <c r="B165" s="95"/>
      <c r="C165" s="95"/>
      <c r="D165" s="95"/>
      <c r="E165" s="60"/>
      <c r="F165" s="60"/>
      <c r="G165" s="93"/>
      <c r="H165" s="93"/>
      <c r="I165" s="93"/>
      <c r="J165" s="93"/>
    </row>
    <row r="166" spans="1:10">
      <c r="A166" s="59"/>
      <c r="B166" s="95"/>
      <c r="C166" s="95"/>
      <c r="D166" s="95"/>
      <c r="E166" s="60"/>
      <c r="F166" s="60"/>
      <c r="G166" s="93"/>
      <c r="H166" s="93"/>
      <c r="I166" s="93"/>
      <c r="J166" s="93"/>
    </row>
    <row r="167" spans="1:10">
      <c r="A167" s="59"/>
      <c r="B167" s="95"/>
      <c r="C167" s="95"/>
      <c r="D167" s="95"/>
      <c r="E167" s="60"/>
      <c r="F167" s="60"/>
      <c r="G167" s="93"/>
      <c r="H167" s="93"/>
      <c r="I167" s="93"/>
      <c r="J167" s="93"/>
    </row>
    <row r="168" spans="1:10">
      <c r="A168" s="59"/>
      <c r="B168" s="95"/>
      <c r="C168" s="95"/>
      <c r="D168" s="95"/>
      <c r="E168" s="60"/>
      <c r="F168" s="60"/>
      <c r="G168" s="93"/>
      <c r="H168" s="93"/>
      <c r="I168" s="93"/>
      <c r="J168" s="93"/>
    </row>
    <row r="169" spans="1:10">
      <c r="A169" s="59"/>
      <c r="B169" s="95"/>
      <c r="C169" s="95"/>
      <c r="D169" s="95"/>
      <c r="E169" s="60"/>
      <c r="F169" s="60"/>
      <c r="G169" s="93"/>
      <c r="H169" s="93"/>
      <c r="I169" s="93"/>
      <c r="J169" s="93"/>
    </row>
    <row r="170" spans="1:10">
      <c r="A170" s="59"/>
      <c r="B170" s="95"/>
      <c r="C170" s="95"/>
      <c r="D170" s="95"/>
      <c r="E170" s="60"/>
      <c r="F170" s="60"/>
      <c r="G170" s="93"/>
      <c r="H170" s="93"/>
      <c r="I170" s="93"/>
      <c r="J170" s="93"/>
    </row>
    <row r="171" spans="1:10">
      <c r="A171" s="59"/>
      <c r="B171" s="95"/>
      <c r="C171" s="95"/>
      <c r="D171" s="95"/>
      <c r="E171" s="60"/>
      <c r="F171" s="60"/>
      <c r="G171" s="93"/>
      <c r="H171" s="93"/>
      <c r="I171" s="93"/>
      <c r="J171" s="93"/>
    </row>
    <row r="172" spans="1:10">
      <c r="A172" s="59"/>
      <c r="B172" s="95"/>
      <c r="C172" s="95"/>
      <c r="D172" s="95"/>
      <c r="E172" s="60"/>
      <c r="F172" s="60"/>
      <c r="G172" s="93"/>
      <c r="H172" s="93"/>
      <c r="I172" s="93"/>
      <c r="J172" s="93"/>
    </row>
    <row r="173" spans="1:10">
      <c r="A173" s="59"/>
      <c r="B173" s="95"/>
      <c r="C173" s="95"/>
      <c r="D173" s="95"/>
      <c r="E173" s="60"/>
      <c r="F173" s="60"/>
      <c r="G173" s="93"/>
      <c r="H173" s="93"/>
      <c r="I173" s="93"/>
      <c r="J173" s="93"/>
    </row>
    <row r="174" spans="1:10">
      <c r="A174" s="59"/>
      <c r="B174" s="95"/>
      <c r="C174" s="95"/>
      <c r="D174" s="95"/>
      <c r="E174" s="60"/>
      <c r="F174" s="60"/>
      <c r="G174" s="93"/>
      <c r="H174" s="93"/>
      <c r="I174" s="93"/>
      <c r="J174" s="93"/>
    </row>
    <row r="175" spans="1:10">
      <c r="A175" s="59"/>
      <c r="B175" s="95"/>
      <c r="C175" s="95"/>
      <c r="D175" s="95"/>
      <c r="E175" s="60"/>
      <c r="F175" s="60"/>
      <c r="G175" s="93"/>
      <c r="H175" s="93"/>
      <c r="I175" s="93"/>
      <c r="J175" s="93"/>
    </row>
    <row r="176" spans="1:10">
      <c r="A176" s="59"/>
      <c r="B176" s="95"/>
      <c r="C176" s="95"/>
      <c r="D176" s="95"/>
      <c r="E176" s="60"/>
      <c r="F176" s="60"/>
      <c r="G176" s="93"/>
      <c r="H176" s="93"/>
      <c r="I176" s="93"/>
      <c r="J176" s="93"/>
    </row>
    <row r="177" spans="1:10">
      <c r="A177" s="59"/>
      <c r="B177" s="95"/>
      <c r="C177" s="95"/>
      <c r="D177" s="95"/>
      <c r="E177" s="60"/>
      <c r="F177" s="60"/>
      <c r="G177" s="93"/>
      <c r="H177" s="93"/>
      <c r="I177" s="93"/>
      <c r="J177" s="93"/>
    </row>
    <row r="178" spans="1:10">
      <c r="A178" s="59"/>
      <c r="B178" s="95"/>
      <c r="C178" s="95"/>
      <c r="D178" s="95"/>
      <c r="E178" s="60"/>
      <c r="F178" s="60"/>
      <c r="G178" s="93"/>
      <c r="H178" s="93"/>
      <c r="I178" s="93"/>
      <c r="J178" s="93"/>
    </row>
    <row r="179" spans="1:10">
      <c r="A179" s="59"/>
      <c r="B179" s="95"/>
      <c r="C179" s="95"/>
      <c r="D179" s="95"/>
      <c r="E179" s="60"/>
      <c r="F179" s="60"/>
      <c r="G179" s="93"/>
      <c r="H179" s="93"/>
      <c r="I179" s="93"/>
      <c r="J179" s="93"/>
    </row>
    <row r="180" spans="1:10">
      <c r="A180" s="59"/>
      <c r="B180" s="95"/>
      <c r="C180" s="95"/>
      <c r="D180" s="95"/>
      <c r="E180" s="60"/>
      <c r="F180" s="60"/>
      <c r="G180" s="93"/>
      <c r="H180" s="93"/>
      <c r="I180" s="93"/>
      <c r="J180" s="93"/>
    </row>
    <row r="181" spans="1:10">
      <c r="A181" s="59"/>
      <c r="B181" s="95"/>
      <c r="C181" s="95"/>
      <c r="D181" s="95"/>
      <c r="E181" s="60"/>
      <c r="F181" s="60"/>
      <c r="G181" s="93"/>
      <c r="H181" s="93"/>
      <c r="I181" s="93"/>
      <c r="J181" s="93"/>
    </row>
    <row r="182" spans="1:10">
      <c r="A182" s="59"/>
      <c r="B182" s="95"/>
      <c r="C182" s="95"/>
      <c r="D182" s="95"/>
      <c r="E182" s="60"/>
      <c r="F182" s="60"/>
      <c r="G182" s="93"/>
      <c r="H182" s="93"/>
      <c r="I182" s="93"/>
      <c r="J182" s="93"/>
    </row>
    <row r="183" spans="1:10">
      <c r="A183" s="59"/>
      <c r="B183" s="95"/>
      <c r="C183" s="95"/>
      <c r="D183" s="95"/>
      <c r="E183" s="60"/>
      <c r="F183" s="60"/>
      <c r="G183" s="93"/>
      <c r="H183" s="93"/>
      <c r="I183" s="93"/>
      <c r="J183" s="93"/>
    </row>
    <row r="184" spans="1:10">
      <c r="A184" s="59"/>
      <c r="B184" s="95"/>
      <c r="C184" s="95"/>
      <c r="D184" s="95"/>
      <c r="E184" s="60"/>
      <c r="F184" s="60"/>
      <c r="G184" s="93"/>
      <c r="H184" s="93"/>
      <c r="I184" s="93"/>
      <c r="J184" s="93"/>
    </row>
    <row r="185" spans="1:10">
      <c r="A185" s="59"/>
      <c r="B185" s="95"/>
      <c r="C185" s="95"/>
      <c r="D185" s="95"/>
      <c r="E185" s="60"/>
      <c r="F185" s="60"/>
      <c r="G185" s="93"/>
      <c r="H185" s="93"/>
      <c r="I185" s="93"/>
      <c r="J185" s="93"/>
    </row>
    <row r="186" spans="1:10">
      <c r="A186" s="59"/>
      <c r="B186" s="95"/>
      <c r="C186" s="95"/>
      <c r="D186" s="95"/>
      <c r="E186" s="60"/>
      <c r="F186" s="60"/>
      <c r="G186" s="93"/>
      <c r="H186" s="93"/>
      <c r="I186" s="93"/>
      <c r="J186" s="93"/>
    </row>
    <row r="187" spans="1:10">
      <c r="A187" s="59"/>
      <c r="B187" s="95"/>
      <c r="C187" s="95"/>
      <c r="D187" s="95"/>
      <c r="E187" s="60"/>
      <c r="F187" s="60"/>
      <c r="G187" s="93"/>
      <c r="H187" s="93"/>
      <c r="I187" s="93"/>
      <c r="J187" s="93"/>
    </row>
    <row r="188" spans="1:10">
      <c r="A188" s="59"/>
      <c r="B188" s="95"/>
      <c r="C188" s="95"/>
      <c r="D188" s="95"/>
      <c r="E188" s="60"/>
      <c r="F188" s="60"/>
      <c r="G188" s="93"/>
      <c r="H188" s="93"/>
      <c r="I188" s="93"/>
      <c r="J188" s="93"/>
    </row>
    <row r="189" spans="1:10">
      <c r="A189" s="59"/>
      <c r="B189" s="95"/>
      <c r="C189" s="95"/>
      <c r="D189" s="95"/>
      <c r="E189" s="60"/>
      <c r="F189" s="60"/>
      <c r="G189" s="93"/>
      <c r="H189" s="93"/>
      <c r="I189" s="93"/>
      <c r="J189" s="93"/>
    </row>
    <row r="190" spans="1:10">
      <c r="A190" s="59"/>
      <c r="B190" s="95"/>
      <c r="C190" s="95"/>
      <c r="D190" s="95"/>
      <c r="E190" s="60"/>
      <c r="F190" s="60"/>
      <c r="G190" s="93"/>
      <c r="H190" s="93"/>
      <c r="I190" s="93"/>
      <c r="J190" s="93"/>
    </row>
    <row r="191" spans="1:10">
      <c r="A191" s="59"/>
      <c r="B191" s="95"/>
      <c r="C191" s="95"/>
      <c r="D191" s="95"/>
      <c r="E191" s="60"/>
      <c r="F191" s="60"/>
      <c r="G191" s="93"/>
      <c r="H191" s="93"/>
      <c r="I191" s="93"/>
      <c r="J191" s="93"/>
    </row>
    <row r="192" spans="1:10">
      <c r="A192" s="59"/>
      <c r="B192" s="95"/>
      <c r="C192" s="95"/>
      <c r="D192" s="95"/>
      <c r="E192" s="60"/>
      <c r="F192" s="60"/>
      <c r="G192" s="93"/>
      <c r="H192" s="93"/>
      <c r="I192" s="93"/>
      <c r="J192" s="93"/>
    </row>
    <row r="193" spans="1:10">
      <c r="A193" s="59"/>
      <c r="B193" s="95"/>
      <c r="C193" s="95"/>
      <c r="D193" s="95"/>
      <c r="E193" s="60"/>
      <c r="F193" s="60"/>
      <c r="G193" s="93"/>
      <c r="H193" s="93"/>
      <c r="I193" s="93"/>
      <c r="J193" s="93"/>
    </row>
    <row r="194" spans="1:10">
      <c r="A194" s="59"/>
      <c r="B194" s="95"/>
      <c r="C194" s="95"/>
      <c r="D194" s="95"/>
      <c r="E194" s="60"/>
      <c r="F194" s="60"/>
      <c r="G194" s="93"/>
      <c r="H194" s="93"/>
      <c r="I194" s="93"/>
      <c r="J194" s="93"/>
    </row>
    <row r="195" spans="1:10">
      <c r="A195" s="59"/>
      <c r="B195" s="95"/>
      <c r="C195" s="95"/>
      <c r="D195" s="95"/>
      <c r="E195" s="60"/>
      <c r="F195" s="60"/>
      <c r="G195" s="93"/>
      <c r="H195" s="93"/>
      <c r="I195" s="93"/>
      <c r="J195" s="93"/>
    </row>
    <row r="196" spans="1:10">
      <c r="A196" s="59"/>
      <c r="B196" s="95"/>
      <c r="C196" s="95"/>
      <c r="D196" s="95"/>
      <c r="E196" s="60"/>
      <c r="F196" s="60"/>
      <c r="G196" s="93"/>
      <c r="H196" s="93"/>
      <c r="I196" s="93"/>
      <c r="J196" s="93"/>
    </row>
    <row r="197" spans="1:10">
      <c r="A197" s="59"/>
      <c r="B197" s="95"/>
      <c r="C197" s="95"/>
      <c r="D197" s="95"/>
      <c r="E197" s="60"/>
      <c r="F197" s="60"/>
      <c r="G197" s="93"/>
      <c r="H197" s="93"/>
      <c r="I197" s="93"/>
      <c r="J197" s="93"/>
    </row>
    <row r="198" spans="1:10">
      <c r="A198" s="59"/>
      <c r="B198" s="95"/>
      <c r="C198" s="95"/>
      <c r="D198" s="95"/>
      <c r="E198" s="60"/>
      <c r="F198" s="60"/>
      <c r="G198" s="93"/>
      <c r="H198" s="93"/>
      <c r="I198" s="93"/>
      <c r="J198" s="93"/>
    </row>
    <row r="199" spans="1:10">
      <c r="A199" s="59"/>
      <c r="B199" s="95"/>
      <c r="C199" s="95"/>
      <c r="D199" s="95"/>
      <c r="E199" s="60"/>
      <c r="F199" s="60"/>
      <c r="G199" s="93"/>
      <c r="H199" s="93"/>
      <c r="I199" s="93"/>
      <c r="J199" s="93"/>
    </row>
    <row r="200" spans="1:10">
      <c r="A200" s="59"/>
      <c r="B200" s="95"/>
      <c r="C200" s="95"/>
      <c r="D200" s="95"/>
      <c r="E200" s="60"/>
      <c r="F200" s="60"/>
      <c r="G200" s="93"/>
      <c r="H200" s="93"/>
      <c r="I200" s="93"/>
      <c r="J200" s="93"/>
    </row>
    <row r="201" spans="1:10">
      <c r="A201" s="162"/>
      <c r="B201" s="95"/>
      <c r="C201" s="95"/>
      <c r="D201" s="95"/>
      <c r="E201" s="60"/>
      <c r="F201" s="60"/>
      <c r="G201" s="93"/>
      <c r="H201" s="93"/>
      <c r="I201" s="93"/>
      <c r="J201" s="93"/>
    </row>
    <row r="202" spans="1:10">
      <c r="A202" s="59"/>
      <c r="B202" s="95"/>
      <c r="C202" s="95"/>
      <c r="D202" s="95"/>
      <c r="E202" s="60"/>
      <c r="F202" s="60"/>
      <c r="G202" s="93"/>
      <c r="H202" s="93"/>
      <c r="I202" s="93"/>
      <c r="J202" s="93"/>
    </row>
    <row r="203" spans="1:10">
      <c r="A203" s="59"/>
      <c r="B203" s="95"/>
      <c r="C203" s="95"/>
      <c r="D203" s="95"/>
      <c r="E203" s="60"/>
      <c r="F203" s="60"/>
      <c r="G203" s="93"/>
      <c r="H203" s="93"/>
      <c r="I203" s="93"/>
      <c r="J203" s="93"/>
    </row>
    <row r="204" spans="1:10">
      <c r="A204" s="59"/>
      <c r="B204" s="95"/>
      <c r="C204" s="95"/>
      <c r="D204" s="95"/>
      <c r="E204" s="60"/>
      <c r="F204" s="60"/>
      <c r="G204" s="93"/>
      <c r="H204" s="93"/>
      <c r="I204" s="93"/>
      <c r="J204" s="93"/>
    </row>
    <row r="205" spans="1:10">
      <c r="A205" s="59"/>
      <c r="B205" s="95"/>
      <c r="C205" s="95"/>
      <c r="D205" s="95"/>
      <c r="E205" s="60"/>
      <c r="F205" s="60"/>
      <c r="G205" s="93"/>
      <c r="H205" s="93"/>
      <c r="I205" s="93"/>
      <c r="J205" s="93"/>
    </row>
    <row r="206" spans="1:10">
      <c r="A206" s="59"/>
      <c r="B206" s="95"/>
      <c r="C206" s="95"/>
      <c r="D206" s="95"/>
      <c r="E206" s="60"/>
      <c r="F206" s="60"/>
      <c r="G206" s="93"/>
      <c r="H206" s="93"/>
      <c r="I206" s="93"/>
      <c r="J206" s="93"/>
    </row>
    <row r="207" spans="1:10">
      <c r="A207" s="162"/>
      <c r="B207" s="95"/>
      <c r="C207" s="95"/>
      <c r="D207" s="95"/>
      <c r="E207" s="60"/>
      <c r="F207" s="60"/>
      <c r="G207" s="93"/>
      <c r="H207" s="93"/>
      <c r="I207" s="93"/>
      <c r="J207" s="93"/>
    </row>
    <row r="208" spans="1:10">
      <c r="A208" s="59"/>
      <c r="B208" s="95"/>
      <c r="C208" s="95"/>
      <c r="D208" s="95"/>
      <c r="E208" s="60"/>
      <c r="F208" s="60"/>
      <c r="G208" s="93"/>
      <c r="H208" s="93"/>
      <c r="I208" s="93"/>
      <c r="J208" s="93"/>
    </row>
    <row r="209" spans="1:10">
      <c r="A209" s="162"/>
      <c r="B209" s="127"/>
      <c r="C209" s="127"/>
      <c r="D209" s="127"/>
      <c r="E209" s="343"/>
      <c r="F209" s="343"/>
      <c r="G209" s="93"/>
      <c r="H209" s="93"/>
      <c r="I209" s="93"/>
      <c r="J209" s="93"/>
    </row>
    <row r="210" spans="1:10">
      <c r="A210" s="162"/>
      <c r="B210" s="95"/>
      <c r="C210" s="95"/>
      <c r="D210" s="95"/>
      <c r="E210" s="60"/>
      <c r="F210" s="60"/>
      <c r="G210" s="93"/>
      <c r="H210" s="93"/>
      <c r="I210" s="93"/>
      <c r="J210" s="93"/>
    </row>
    <row r="211" spans="1:10">
      <c r="A211" s="59"/>
      <c r="B211" s="95"/>
      <c r="C211" s="95"/>
      <c r="D211" s="95"/>
      <c r="E211" s="60"/>
      <c r="F211" s="60"/>
      <c r="G211" s="93"/>
      <c r="H211" s="93"/>
      <c r="I211" s="93"/>
      <c r="J211" s="93"/>
    </row>
    <row r="212" spans="1:10">
      <c r="A212" s="162"/>
      <c r="B212" s="127"/>
      <c r="C212" s="127"/>
      <c r="D212" s="127"/>
      <c r="E212" s="343"/>
      <c r="F212" s="343"/>
      <c r="G212" s="93"/>
      <c r="H212" s="93"/>
      <c r="I212" s="93"/>
      <c r="J212" s="93"/>
    </row>
    <row r="213" spans="1:10">
      <c r="A213" s="162"/>
      <c r="B213" s="127"/>
      <c r="C213" s="127"/>
      <c r="D213" s="127"/>
      <c r="E213" s="343"/>
      <c r="F213" s="343"/>
      <c r="G213" s="93"/>
      <c r="H213" s="93"/>
      <c r="I213" s="93"/>
      <c r="J213" s="93"/>
    </row>
    <row r="214" spans="1:10">
      <c r="A214" s="162"/>
      <c r="B214" s="95"/>
      <c r="C214" s="95"/>
      <c r="D214" s="95"/>
      <c r="E214" s="60"/>
      <c r="F214" s="60"/>
      <c r="G214" s="93"/>
      <c r="H214" s="93"/>
      <c r="I214" s="93"/>
      <c r="J214" s="93"/>
    </row>
    <row r="215" spans="1:10">
      <c r="A215" s="59"/>
      <c r="B215" s="95"/>
      <c r="C215" s="95"/>
      <c r="D215" s="95"/>
      <c r="E215" s="60"/>
      <c r="F215" s="60"/>
      <c r="G215" s="93"/>
      <c r="H215" s="93"/>
      <c r="I215" s="93"/>
      <c r="J215" s="93"/>
    </row>
    <row r="216" spans="1:10">
      <c r="A216" s="59"/>
      <c r="B216" s="95"/>
      <c r="C216" s="95"/>
      <c r="D216" s="95"/>
      <c r="E216" s="60"/>
      <c r="F216" s="60"/>
      <c r="G216" s="93"/>
      <c r="H216" s="93"/>
      <c r="I216" s="93"/>
      <c r="J216" s="93"/>
    </row>
    <row r="217" spans="1:10">
      <c r="A217" s="162"/>
      <c r="B217" s="133"/>
      <c r="C217" s="133"/>
      <c r="D217" s="133"/>
      <c r="E217" s="344"/>
      <c r="F217" s="344"/>
      <c r="G217" s="93"/>
      <c r="H217" s="93"/>
      <c r="I217" s="93"/>
      <c r="J217" s="93"/>
    </row>
    <row r="218" spans="1:10">
      <c r="A218" s="162"/>
      <c r="B218" s="95"/>
      <c r="C218" s="95"/>
      <c r="D218" s="95"/>
      <c r="E218" s="60"/>
      <c r="F218" s="60"/>
      <c r="G218" s="93"/>
      <c r="H218" s="93"/>
      <c r="I218" s="93"/>
      <c r="J218" s="93"/>
    </row>
    <row r="219" spans="1:10">
      <c r="A219" s="162"/>
      <c r="B219" s="95"/>
      <c r="C219" s="95"/>
      <c r="D219" s="95"/>
      <c r="E219" s="60"/>
      <c r="F219" s="60"/>
      <c r="G219" s="93"/>
      <c r="H219" s="93"/>
      <c r="I219" s="93"/>
      <c r="J219" s="93"/>
    </row>
    <row r="220" spans="1:10">
      <c r="A220" s="59"/>
      <c r="B220" s="95"/>
      <c r="C220" s="95"/>
      <c r="D220" s="95"/>
      <c r="E220" s="60"/>
      <c r="F220" s="60"/>
      <c r="G220" s="93"/>
      <c r="H220" s="93"/>
      <c r="I220" s="93"/>
      <c r="J220" s="93"/>
    </row>
    <row r="221" spans="1:10">
      <c r="A221" s="162"/>
      <c r="B221" s="95"/>
      <c r="C221" s="95"/>
      <c r="D221" s="95"/>
      <c r="E221" s="60"/>
      <c r="F221" s="60"/>
      <c r="G221" s="93"/>
      <c r="H221" s="93"/>
      <c r="I221" s="93"/>
      <c r="J221" s="93"/>
    </row>
    <row r="222" spans="1:10">
      <c r="A222" s="162"/>
      <c r="B222" s="95"/>
      <c r="C222" s="95"/>
      <c r="D222" s="95"/>
      <c r="E222" s="60"/>
      <c r="F222" s="60"/>
      <c r="G222" s="93"/>
      <c r="H222" s="93"/>
      <c r="I222" s="93"/>
      <c r="J222" s="93"/>
    </row>
    <row r="223" spans="1:10">
      <c r="A223" s="59"/>
      <c r="B223" s="95"/>
      <c r="C223" s="95"/>
      <c r="D223" s="95"/>
      <c r="E223" s="347"/>
      <c r="F223" s="347"/>
      <c r="G223" s="93"/>
      <c r="H223" s="93"/>
      <c r="I223" s="93"/>
      <c r="J223" s="93"/>
    </row>
    <row r="224" spans="1:10">
      <c r="A224" s="59"/>
      <c r="B224" s="95"/>
      <c r="C224" s="95"/>
      <c r="D224" s="95"/>
      <c r="E224" s="60"/>
      <c r="F224" s="60"/>
      <c r="G224" s="93"/>
      <c r="H224" s="93"/>
      <c r="I224" s="93"/>
      <c r="J224" s="93"/>
    </row>
    <row r="225" spans="1:12">
      <c r="A225" s="59"/>
      <c r="B225" s="95"/>
      <c r="C225" s="95"/>
      <c r="D225" s="95"/>
      <c r="E225" s="348"/>
      <c r="F225" s="348"/>
      <c r="G225" s="93"/>
      <c r="H225" s="93"/>
      <c r="I225" s="93"/>
      <c r="J225" s="93"/>
    </row>
    <row r="226" spans="1:12">
      <c r="A226" s="162"/>
      <c r="B226" s="95"/>
      <c r="C226" s="95"/>
      <c r="D226" s="95"/>
      <c r="E226" s="60"/>
      <c r="F226" s="60"/>
      <c r="G226" s="93"/>
      <c r="H226" s="93"/>
      <c r="I226" s="93"/>
      <c r="J226" s="93"/>
    </row>
    <row r="227" spans="1:12">
      <c r="A227" s="162"/>
      <c r="B227" s="95"/>
      <c r="C227" s="95"/>
      <c r="D227" s="95"/>
      <c r="E227" s="60"/>
      <c r="F227" s="60"/>
      <c r="G227" s="93"/>
      <c r="H227" s="93"/>
      <c r="I227" s="93"/>
      <c r="J227" s="93"/>
    </row>
    <row r="228" spans="1:12" s="95" customFormat="1">
      <c r="A228" s="162"/>
      <c r="B228" s="127"/>
      <c r="C228" s="127"/>
      <c r="D228" s="127"/>
      <c r="E228" s="343"/>
      <c r="F228" s="343"/>
      <c r="G228" s="93"/>
      <c r="H228" s="93"/>
      <c r="I228" s="93"/>
      <c r="J228" s="93"/>
      <c r="L228" s="59"/>
    </row>
    <row r="229" spans="1:12">
      <c r="A229" s="162"/>
      <c r="B229" s="127"/>
      <c r="C229" s="127"/>
      <c r="D229" s="127"/>
      <c r="E229" s="343"/>
      <c r="F229" s="343"/>
      <c r="G229" s="93"/>
      <c r="H229" s="93"/>
      <c r="I229" s="93"/>
      <c r="J229" s="93"/>
    </row>
    <row r="230" spans="1:12">
      <c r="A230" s="59"/>
      <c r="B230" s="95"/>
      <c r="C230" s="95"/>
      <c r="D230" s="95"/>
      <c r="E230" s="60"/>
      <c r="F230" s="60"/>
      <c r="G230" s="93"/>
      <c r="H230" s="93"/>
      <c r="I230" s="93"/>
      <c r="J230" s="93"/>
    </row>
    <row r="231" spans="1:12">
      <c r="A231" s="330"/>
      <c r="B231" s="133"/>
      <c r="C231" s="133"/>
      <c r="D231" s="133"/>
      <c r="E231" s="344"/>
      <c r="F231" s="344"/>
      <c r="G231" s="93"/>
      <c r="H231" s="93"/>
      <c r="I231" s="93"/>
      <c r="J231" s="93"/>
    </row>
    <row r="232" spans="1:12">
      <c r="A232" s="59"/>
      <c r="B232" s="95"/>
      <c r="C232" s="95"/>
      <c r="D232" s="95"/>
      <c r="E232" s="60"/>
      <c r="F232" s="60"/>
      <c r="G232" s="93"/>
      <c r="H232" s="93"/>
      <c r="I232" s="93"/>
      <c r="J232" s="93"/>
    </row>
    <row r="233" spans="1:12">
      <c r="A233" s="59"/>
      <c r="B233" s="95"/>
      <c r="C233" s="95"/>
      <c r="D233" s="95"/>
      <c r="E233" s="60"/>
      <c r="F233" s="60"/>
      <c r="G233" s="93"/>
      <c r="H233" s="93"/>
      <c r="I233" s="93"/>
      <c r="J233" s="93"/>
    </row>
    <row r="234" spans="1:12">
      <c r="A234" s="59"/>
      <c r="B234" s="95"/>
      <c r="C234" s="95"/>
      <c r="D234" s="95"/>
      <c r="E234" s="60"/>
      <c r="F234" s="60"/>
      <c r="G234" s="93"/>
      <c r="H234" s="93"/>
      <c r="I234" s="93"/>
      <c r="J234" s="93"/>
    </row>
    <row r="235" spans="1:12">
      <c r="A235" s="59"/>
      <c r="B235" s="95"/>
      <c r="C235" s="95"/>
      <c r="D235" s="95"/>
      <c r="E235" s="60"/>
      <c r="F235" s="60"/>
      <c r="G235" s="93"/>
      <c r="H235" s="93"/>
      <c r="I235" s="93"/>
      <c r="J235" s="93"/>
    </row>
    <row r="236" spans="1:12">
      <c r="A236" s="59"/>
      <c r="B236" s="95"/>
      <c r="C236" s="95"/>
      <c r="D236" s="95"/>
      <c r="E236" s="60"/>
      <c r="F236" s="60"/>
      <c r="G236" s="93"/>
      <c r="H236" s="93"/>
      <c r="I236" s="93"/>
      <c r="J236" s="93"/>
    </row>
    <row r="237" spans="1:12">
      <c r="A237" s="162"/>
      <c r="B237" s="95"/>
      <c r="C237" s="95"/>
      <c r="D237" s="95"/>
      <c r="E237" s="60"/>
      <c r="F237" s="60"/>
      <c r="G237" s="93"/>
      <c r="H237" s="93"/>
      <c r="I237" s="93"/>
      <c r="J237" s="93"/>
    </row>
    <row r="238" spans="1:12">
      <c r="A238" s="59"/>
      <c r="B238" s="95"/>
      <c r="C238" s="95"/>
      <c r="D238" s="95"/>
      <c r="E238" s="60"/>
      <c r="F238" s="60"/>
      <c r="G238" s="93"/>
      <c r="H238" s="93"/>
      <c r="I238" s="93"/>
      <c r="J238" s="93"/>
    </row>
    <row r="239" spans="1:12">
      <c r="A239" s="59"/>
      <c r="B239" s="95"/>
      <c r="C239" s="95"/>
      <c r="D239" s="95"/>
      <c r="E239" s="60"/>
      <c r="F239" s="60"/>
      <c r="G239" s="93"/>
      <c r="H239" s="93"/>
      <c r="I239" s="93"/>
      <c r="J239" s="93"/>
    </row>
    <row r="240" spans="1:12">
      <c r="A240" s="59"/>
      <c r="B240" s="95"/>
      <c r="C240" s="95"/>
      <c r="D240" s="95"/>
      <c r="E240" s="60"/>
      <c r="F240" s="60"/>
      <c r="G240" s="93"/>
      <c r="H240" s="93"/>
      <c r="I240" s="93"/>
      <c r="J240" s="93"/>
    </row>
    <row r="241" spans="1:12">
      <c r="A241" s="162"/>
      <c r="B241" s="95"/>
      <c r="C241" s="95"/>
      <c r="D241" s="95"/>
      <c r="E241" s="348"/>
      <c r="F241" s="348"/>
      <c r="G241" s="93"/>
      <c r="H241" s="93"/>
      <c r="I241" s="93"/>
      <c r="J241" s="93"/>
    </row>
    <row r="242" spans="1:12">
      <c r="A242" s="59"/>
      <c r="B242" s="95"/>
      <c r="C242" s="95"/>
      <c r="D242" s="95"/>
      <c r="E242" s="60"/>
      <c r="F242" s="60"/>
      <c r="G242" s="93"/>
      <c r="H242" s="93"/>
      <c r="I242" s="93"/>
      <c r="J242" s="93"/>
    </row>
    <row r="243" spans="1:12">
      <c r="A243" s="59"/>
      <c r="B243" s="95"/>
      <c r="C243" s="95"/>
      <c r="D243" s="95"/>
      <c r="E243" s="347"/>
      <c r="F243" s="347"/>
      <c r="G243" s="93"/>
      <c r="H243" s="93"/>
      <c r="I243" s="93"/>
      <c r="J243" s="93"/>
    </row>
    <row r="244" spans="1:12">
      <c r="A244" s="162"/>
      <c r="B244" s="95"/>
      <c r="C244" s="95"/>
      <c r="D244" s="95"/>
      <c r="E244" s="60"/>
      <c r="F244" s="60"/>
      <c r="G244" s="93"/>
      <c r="H244" s="93"/>
      <c r="I244" s="93"/>
      <c r="J244" s="93"/>
    </row>
    <row r="245" spans="1:12">
      <c r="A245" s="59"/>
      <c r="B245" s="95"/>
      <c r="C245" s="95"/>
      <c r="D245" s="95"/>
      <c r="E245" s="60"/>
      <c r="F245" s="60"/>
      <c r="G245" s="93"/>
      <c r="H245" s="93"/>
      <c r="I245" s="93"/>
      <c r="J245" s="93"/>
    </row>
    <row r="246" spans="1:12">
      <c r="A246" s="59"/>
      <c r="B246" s="95"/>
      <c r="C246" s="95"/>
      <c r="D246" s="95"/>
      <c r="E246" s="60"/>
      <c r="F246" s="60"/>
      <c r="G246" s="93"/>
      <c r="H246" s="93"/>
      <c r="I246" s="93"/>
      <c r="J246" s="93"/>
    </row>
    <row r="247" spans="1:12">
      <c r="A247" s="59"/>
      <c r="B247" s="95"/>
      <c r="C247" s="95"/>
      <c r="D247" s="95"/>
      <c r="E247" s="60"/>
      <c r="F247" s="60"/>
      <c r="G247" s="93"/>
      <c r="H247" s="93"/>
      <c r="I247" s="93"/>
      <c r="J247" s="93"/>
    </row>
    <row r="248" spans="1:12">
      <c r="A248" s="59"/>
      <c r="B248" s="140"/>
      <c r="C248" s="140"/>
      <c r="D248" s="140"/>
      <c r="E248" s="347"/>
      <c r="F248" s="347"/>
      <c r="G248" s="93"/>
      <c r="H248" s="93"/>
      <c r="I248" s="93"/>
      <c r="J248" s="93"/>
    </row>
    <row r="249" spans="1:12">
      <c r="A249" s="59"/>
      <c r="B249" s="95"/>
      <c r="C249" s="95"/>
      <c r="D249" s="95"/>
      <c r="E249" s="60"/>
      <c r="F249" s="60"/>
      <c r="G249" s="93"/>
      <c r="H249" s="93"/>
      <c r="I249" s="93"/>
      <c r="J249" s="93"/>
    </row>
    <row r="250" spans="1:12">
      <c r="A250" s="162"/>
      <c r="B250" s="95"/>
      <c r="C250" s="95"/>
      <c r="D250" s="95"/>
      <c r="E250" s="60"/>
      <c r="F250" s="60"/>
      <c r="G250" s="93"/>
      <c r="H250" s="93"/>
      <c r="I250" s="93"/>
      <c r="J250" s="93"/>
    </row>
    <row r="251" spans="1:12">
      <c r="A251" s="59"/>
      <c r="B251" s="95"/>
      <c r="C251" s="95"/>
      <c r="D251" s="95"/>
      <c r="E251" s="60"/>
      <c r="F251" s="60"/>
      <c r="G251" s="93"/>
      <c r="H251" s="93"/>
      <c r="I251" s="93"/>
      <c r="J251" s="93"/>
    </row>
    <row r="252" spans="1:12">
      <c r="A252" s="162"/>
      <c r="B252" s="95"/>
      <c r="C252" s="95"/>
      <c r="D252" s="95"/>
      <c r="E252" s="60"/>
      <c r="F252" s="60"/>
      <c r="G252" s="93"/>
      <c r="H252" s="93"/>
      <c r="I252" s="93"/>
      <c r="J252" s="93"/>
    </row>
    <row r="253" spans="1:12">
      <c r="A253" s="162"/>
      <c r="B253" s="95"/>
      <c r="C253" s="95"/>
      <c r="D253" s="95"/>
      <c r="E253" s="343"/>
      <c r="F253" s="343"/>
      <c r="G253" s="93"/>
      <c r="H253" s="93"/>
      <c r="I253" s="93"/>
      <c r="J253" s="93"/>
    </row>
    <row r="254" spans="1:12" s="127" customFormat="1">
      <c r="A254" s="330"/>
      <c r="B254" s="133"/>
      <c r="C254" s="133"/>
      <c r="D254" s="133"/>
      <c r="E254" s="344"/>
      <c r="F254" s="344"/>
      <c r="G254" s="93"/>
      <c r="H254" s="93"/>
      <c r="I254" s="93"/>
      <c r="J254" s="93"/>
      <c r="L254" s="162"/>
    </row>
    <row r="255" spans="1:12" s="127" customFormat="1">
      <c r="A255" s="59"/>
      <c r="B255" s="95"/>
      <c r="C255" s="95"/>
      <c r="D255" s="95"/>
      <c r="E255" s="343"/>
      <c r="F255" s="343"/>
      <c r="G255" s="93"/>
      <c r="H255" s="93"/>
      <c r="I255" s="93"/>
      <c r="J255" s="93"/>
      <c r="L255" s="162"/>
    </row>
    <row r="256" spans="1:12">
      <c r="G256" s="93"/>
      <c r="H256" s="93"/>
      <c r="I256" s="93"/>
      <c r="J256" s="93"/>
    </row>
    <row r="257" spans="1:12">
      <c r="A257" s="59"/>
      <c r="B257" s="95"/>
      <c r="C257" s="95"/>
      <c r="D257" s="95"/>
      <c r="E257" s="60"/>
      <c r="F257" s="60"/>
      <c r="G257" s="93"/>
      <c r="H257" s="93"/>
      <c r="I257" s="93"/>
      <c r="J257" s="93"/>
    </row>
    <row r="258" spans="1:12">
      <c r="A258" s="333"/>
      <c r="B258" s="95"/>
      <c r="C258" s="95"/>
      <c r="D258" s="95"/>
      <c r="E258" s="343"/>
      <c r="F258" s="343"/>
      <c r="G258" s="93"/>
      <c r="H258" s="93"/>
      <c r="I258" s="93"/>
      <c r="J258" s="93"/>
    </row>
    <row r="259" spans="1:12">
      <c r="A259" s="330"/>
      <c r="B259" s="133"/>
      <c r="C259" s="133"/>
      <c r="D259" s="133"/>
      <c r="E259" s="344"/>
      <c r="F259" s="344"/>
      <c r="G259" s="93"/>
      <c r="H259" s="93"/>
      <c r="I259" s="93"/>
      <c r="J259" s="93"/>
    </row>
    <row r="260" spans="1:12">
      <c r="A260" s="162"/>
      <c r="B260" s="95"/>
      <c r="C260" s="95"/>
      <c r="D260" s="95"/>
      <c r="E260" s="343"/>
      <c r="F260" s="343"/>
      <c r="G260" s="93"/>
      <c r="H260" s="93"/>
      <c r="I260" s="93"/>
      <c r="J260" s="93"/>
    </row>
    <row r="261" spans="1:12">
      <c r="A261" s="162"/>
      <c r="B261" s="95"/>
      <c r="C261" s="95"/>
      <c r="D261" s="95"/>
      <c r="E261" s="343"/>
      <c r="F261" s="343"/>
      <c r="G261" s="93"/>
      <c r="H261" s="93"/>
      <c r="I261" s="93"/>
      <c r="J261" s="93"/>
    </row>
    <row r="262" spans="1:12">
      <c r="A262" s="162"/>
      <c r="B262" s="127"/>
      <c r="C262" s="127"/>
      <c r="D262" s="127"/>
      <c r="E262" s="343"/>
      <c r="F262" s="343"/>
      <c r="G262" s="93"/>
      <c r="H262" s="93"/>
      <c r="I262" s="93"/>
      <c r="J262" s="93"/>
    </row>
    <row r="263" spans="1:12">
      <c r="A263" s="162"/>
      <c r="G263" s="93"/>
      <c r="H263" s="93"/>
      <c r="I263" s="93"/>
      <c r="J263" s="93"/>
    </row>
    <row r="264" spans="1:12">
      <c r="A264" s="162"/>
      <c r="B264" s="95"/>
      <c r="C264" s="95"/>
      <c r="D264" s="95"/>
      <c r="E264" s="343"/>
      <c r="F264" s="343"/>
      <c r="G264" s="93"/>
      <c r="H264" s="93"/>
      <c r="I264" s="93"/>
      <c r="J264" s="93"/>
    </row>
    <row r="265" spans="1:12">
      <c r="A265" s="162"/>
      <c r="B265" s="95"/>
      <c r="C265" s="95"/>
      <c r="D265" s="95"/>
      <c r="E265" s="343"/>
      <c r="F265" s="343"/>
      <c r="G265" s="93"/>
      <c r="H265" s="93"/>
      <c r="I265" s="93"/>
      <c r="J265" s="93"/>
    </row>
    <row r="266" spans="1:12">
      <c r="A266" s="59"/>
      <c r="B266" s="95"/>
      <c r="C266" s="95"/>
      <c r="D266" s="95"/>
      <c r="E266" s="60"/>
      <c r="F266" s="60"/>
      <c r="G266" s="93"/>
      <c r="H266" s="93"/>
      <c r="I266" s="93"/>
      <c r="J266" s="93"/>
    </row>
    <row r="267" spans="1:12">
      <c r="A267" s="162"/>
      <c r="B267" s="95"/>
      <c r="C267" s="95"/>
      <c r="D267" s="95"/>
      <c r="E267" s="343"/>
      <c r="F267" s="343"/>
      <c r="G267" s="93"/>
      <c r="H267" s="93"/>
      <c r="I267" s="93"/>
      <c r="J267" s="93"/>
    </row>
    <row r="268" spans="1:12" s="127" customFormat="1">
      <c r="A268" s="162"/>
      <c r="E268" s="343"/>
      <c r="F268" s="343"/>
      <c r="G268" s="93"/>
      <c r="H268" s="93"/>
      <c r="I268" s="93"/>
      <c r="J268" s="93"/>
      <c r="L268" s="162"/>
    </row>
    <row r="269" spans="1:12">
      <c r="A269" s="59"/>
      <c r="B269" s="95"/>
      <c r="C269" s="95"/>
      <c r="D269" s="95"/>
      <c r="E269" s="60"/>
      <c r="F269" s="60"/>
      <c r="G269" s="93"/>
      <c r="H269" s="93"/>
      <c r="I269" s="93"/>
      <c r="J269" s="93"/>
    </row>
    <row r="270" spans="1:12">
      <c r="A270" s="59"/>
      <c r="B270" s="95"/>
      <c r="C270" s="95"/>
      <c r="D270" s="95"/>
      <c r="E270" s="60"/>
      <c r="F270" s="60"/>
      <c r="G270" s="93"/>
      <c r="H270" s="93"/>
      <c r="I270" s="93"/>
      <c r="J270" s="93"/>
    </row>
    <row r="271" spans="1:12">
      <c r="A271" s="59"/>
      <c r="B271" s="95"/>
      <c r="C271" s="95"/>
      <c r="D271" s="95"/>
      <c r="E271" s="60"/>
      <c r="F271" s="60"/>
      <c r="G271" s="93"/>
      <c r="H271" s="93"/>
      <c r="I271" s="93"/>
      <c r="J271" s="93"/>
    </row>
    <row r="272" spans="1:12">
      <c r="A272" s="59"/>
      <c r="B272" s="95"/>
      <c r="C272" s="95"/>
      <c r="D272" s="95"/>
      <c r="E272" s="60"/>
      <c r="F272" s="60"/>
      <c r="G272" s="93"/>
      <c r="H272" s="93"/>
      <c r="I272" s="93"/>
      <c r="J272" s="93"/>
    </row>
    <row r="273" spans="1:10">
      <c r="A273" s="162"/>
      <c r="G273" s="93"/>
      <c r="H273" s="93"/>
      <c r="I273" s="93"/>
      <c r="J273" s="93"/>
    </row>
    <row r="274" spans="1:10">
      <c r="A274" s="162"/>
      <c r="G274" s="93"/>
      <c r="H274" s="93"/>
      <c r="I274" s="93"/>
      <c r="J274" s="93"/>
    </row>
    <row r="275" spans="1:10">
      <c r="A275" s="162"/>
      <c r="G275" s="93"/>
      <c r="H275" s="93"/>
      <c r="I275" s="93"/>
      <c r="J275" s="93"/>
    </row>
    <row r="276" spans="1:10">
      <c r="A276" s="162"/>
      <c r="G276" s="93"/>
      <c r="H276" s="93"/>
      <c r="I276" s="93"/>
      <c r="J276" s="93"/>
    </row>
    <row r="277" spans="1:10">
      <c r="A277" s="162"/>
      <c r="G277" s="93"/>
      <c r="H277" s="93"/>
      <c r="I277" s="93"/>
      <c r="J277" s="93"/>
    </row>
    <row r="278" spans="1:10">
      <c r="A278" s="332"/>
      <c r="B278" s="134"/>
      <c r="C278" s="134"/>
      <c r="D278" s="134"/>
      <c r="E278" s="349"/>
      <c r="F278" s="349"/>
      <c r="G278" s="93"/>
      <c r="H278" s="93"/>
      <c r="I278" s="93"/>
      <c r="J278" s="93"/>
    </row>
    <row r="279" spans="1:10">
      <c r="A279" s="162"/>
      <c r="B279" s="95"/>
      <c r="C279" s="95"/>
      <c r="D279" s="95"/>
      <c r="E279" s="343"/>
      <c r="F279" s="343"/>
      <c r="G279" s="93"/>
      <c r="H279" s="93"/>
      <c r="I279" s="93"/>
      <c r="J279" s="93"/>
    </row>
    <row r="280" spans="1:10">
      <c r="A280" s="162"/>
      <c r="B280" s="95"/>
      <c r="C280" s="95"/>
      <c r="D280" s="95"/>
      <c r="E280" s="343"/>
      <c r="F280" s="343"/>
      <c r="G280" s="93"/>
      <c r="H280" s="93"/>
      <c r="I280" s="93"/>
      <c r="J280" s="93"/>
    </row>
    <row r="281" spans="1:10">
      <c r="A281" s="162"/>
      <c r="B281" s="95"/>
      <c r="C281" s="95"/>
      <c r="D281" s="95"/>
      <c r="E281" s="343"/>
      <c r="F281" s="343"/>
      <c r="G281" s="93"/>
      <c r="H281" s="93"/>
      <c r="I281" s="93"/>
      <c r="J281" s="93"/>
    </row>
    <row r="282" spans="1:10">
      <c r="A282" s="332"/>
      <c r="B282" s="134"/>
      <c r="C282" s="134"/>
      <c r="D282" s="134"/>
      <c r="E282" s="349"/>
      <c r="F282" s="349"/>
      <c r="G282" s="93"/>
      <c r="H282" s="93"/>
      <c r="I282" s="93"/>
      <c r="J282" s="93"/>
    </row>
    <row r="283" spans="1:10">
      <c r="G283" s="93"/>
      <c r="H283" s="93"/>
      <c r="I283" s="93"/>
      <c r="J283" s="93"/>
    </row>
    <row r="284" spans="1:10">
      <c r="G284" s="93"/>
      <c r="H284" s="93"/>
      <c r="I284" s="93"/>
      <c r="J284" s="93"/>
    </row>
    <row r="285" spans="1:10">
      <c r="G285" s="93"/>
      <c r="H285" s="93"/>
      <c r="I285" s="93"/>
      <c r="J285" s="93"/>
    </row>
    <row r="286" spans="1:10">
      <c r="G286" s="93"/>
      <c r="H286" s="93"/>
      <c r="I286" s="93"/>
      <c r="J286" s="93"/>
    </row>
    <row r="287" spans="1:10">
      <c r="G287" s="93"/>
      <c r="H287" s="93"/>
      <c r="I287" s="93"/>
      <c r="J287" s="93"/>
    </row>
    <row r="288" spans="1:10">
      <c r="G288" s="93"/>
      <c r="H288" s="93"/>
      <c r="I288" s="93"/>
      <c r="J288" s="93"/>
    </row>
    <row r="289" spans="7:10">
      <c r="G289" s="93"/>
      <c r="H289" s="93"/>
      <c r="I289" s="93"/>
      <c r="J289" s="93"/>
    </row>
    <row r="290" spans="7:10">
      <c r="G290" s="93"/>
      <c r="H290" s="93"/>
      <c r="I290" s="93"/>
      <c r="J290" s="93"/>
    </row>
    <row r="291" spans="7:10">
      <c r="G291" s="93"/>
      <c r="H291" s="93"/>
      <c r="I291" s="93"/>
      <c r="J291" s="93"/>
    </row>
    <row r="292" spans="7:10">
      <c r="G292" s="93"/>
      <c r="H292" s="93"/>
      <c r="I292" s="93"/>
      <c r="J292" s="93"/>
    </row>
    <row r="293" spans="7:10">
      <c r="G293" s="93"/>
      <c r="H293" s="93"/>
      <c r="I293" s="93"/>
      <c r="J293" s="93"/>
    </row>
    <row r="294" spans="7:10">
      <c r="G294" s="93"/>
      <c r="H294" s="93"/>
      <c r="I294" s="93"/>
      <c r="J294" s="93"/>
    </row>
    <row r="295" spans="7:10">
      <c r="G295" s="93"/>
      <c r="H295" s="93"/>
      <c r="I295" s="93"/>
      <c r="J295" s="93"/>
    </row>
    <row r="296" spans="7:10">
      <c r="G296" s="93"/>
      <c r="H296" s="93"/>
      <c r="I296" s="93"/>
      <c r="J296" s="93"/>
    </row>
    <row r="297" spans="7:10">
      <c r="G297" s="93"/>
      <c r="H297" s="93"/>
      <c r="I297" s="93"/>
      <c r="J297" s="93"/>
    </row>
    <row r="298" spans="7:10">
      <c r="G298" s="93"/>
      <c r="H298" s="93"/>
      <c r="I298" s="93"/>
      <c r="J298" s="93"/>
    </row>
    <row r="299" spans="7:10">
      <c r="G299" s="93"/>
      <c r="H299" s="93"/>
      <c r="I299" s="93"/>
      <c r="J299" s="93"/>
    </row>
    <row r="300" spans="7:10">
      <c r="G300" s="93"/>
      <c r="H300" s="93"/>
      <c r="I300" s="93"/>
      <c r="J300" s="93"/>
    </row>
    <row r="301" spans="7:10">
      <c r="G301" s="93"/>
      <c r="H301" s="93"/>
      <c r="I301" s="93"/>
      <c r="J301" s="93"/>
    </row>
    <row r="302" spans="7:10">
      <c r="G302" s="93"/>
      <c r="H302" s="93"/>
      <c r="I302" s="93"/>
      <c r="J302" s="93"/>
    </row>
    <row r="303" spans="7:10">
      <c r="G303" s="93"/>
      <c r="H303" s="93"/>
      <c r="I303" s="93"/>
      <c r="J303" s="93"/>
    </row>
    <row r="304" spans="7:10">
      <c r="G304" s="93"/>
      <c r="H304" s="93"/>
      <c r="I304" s="93"/>
      <c r="J304" s="93"/>
    </row>
    <row r="305" spans="7:10">
      <c r="G305" s="93"/>
      <c r="H305" s="93"/>
      <c r="I305" s="93"/>
      <c r="J305" s="93"/>
    </row>
    <row r="306" spans="7:10">
      <c r="G306" s="93"/>
      <c r="H306" s="93"/>
      <c r="I306" s="93"/>
      <c r="J306" s="93"/>
    </row>
    <row r="307" spans="7:10">
      <c r="G307" s="93"/>
      <c r="H307" s="93"/>
      <c r="I307" s="93"/>
      <c r="J307" s="93"/>
    </row>
    <row r="308" spans="7:10">
      <c r="G308" s="93"/>
      <c r="H308" s="93"/>
      <c r="I308" s="93"/>
      <c r="J308" s="93"/>
    </row>
    <row r="309" spans="7:10">
      <c r="G309" s="93"/>
      <c r="H309" s="93"/>
      <c r="I309" s="93"/>
      <c r="J309" s="93"/>
    </row>
    <row r="310" spans="7:10">
      <c r="G310" s="93"/>
      <c r="H310" s="93"/>
      <c r="I310" s="93"/>
      <c r="J310" s="93"/>
    </row>
    <row r="311" spans="7:10">
      <c r="G311" s="93"/>
      <c r="H311" s="93"/>
      <c r="I311" s="93"/>
      <c r="J311" s="93"/>
    </row>
    <row r="312" spans="7:10">
      <c r="G312" s="93"/>
      <c r="H312" s="93"/>
      <c r="I312" s="93"/>
      <c r="J312" s="93"/>
    </row>
    <row r="313" spans="7:10">
      <c r="G313" s="93"/>
      <c r="H313" s="93"/>
      <c r="I313" s="93"/>
      <c r="J313" s="93"/>
    </row>
    <row r="314" spans="7:10">
      <c r="G314" s="93"/>
      <c r="H314" s="93"/>
      <c r="I314" s="93"/>
      <c r="J314" s="93"/>
    </row>
    <row r="315" spans="7:10">
      <c r="G315" s="93"/>
      <c r="H315" s="93"/>
      <c r="I315" s="93"/>
      <c r="J315" s="93"/>
    </row>
    <row r="316" spans="7:10">
      <c r="G316" s="93"/>
      <c r="H316" s="93"/>
      <c r="I316" s="93"/>
      <c r="J316" s="93"/>
    </row>
    <row r="317" spans="7:10">
      <c r="G317" s="93"/>
      <c r="H317" s="93"/>
      <c r="I317" s="93"/>
      <c r="J317" s="93"/>
    </row>
    <row r="318" spans="7:10">
      <c r="G318" s="93"/>
      <c r="H318" s="93"/>
      <c r="I318" s="93"/>
      <c r="J318" s="93"/>
    </row>
    <row r="319" spans="7:10">
      <c r="G319" s="93"/>
      <c r="H319" s="93"/>
      <c r="I319" s="93"/>
      <c r="J319" s="93"/>
    </row>
    <row r="320" spans="7:10">
      <c r="G320" s="93"/>
      <c r="H320" s="93"/>
      <c r="I320" s="93"/>
      <c r="J320" s="93"/>
    </row>
    <row r="321" spans="1:10">
      <c r="G321" s="93"/>
      <c r="H321" s="93"/>
      <c r="I321" s="93"/>
      <c r="J321" s="93"/>
    </row>
    <row r="322" spans="1:10">
      <c r="G322" s="93"/>
      <c r="H322" s="93"/>
      <c r="I322" s="93"/>
      <c r="J322" s="93"/>
    </row>
    <row r="323" spans="1:10">
      <c r="G323" s="93"/>
      <c r="H323" s="93"/>
      <c r="I323" s="93"/>
      <c r="J323" s="93"/>
    </row>
    <row r="324" spans="1:10">
      <c r="G324" s="93"/>
      <c r="H324" s="93"/>
      <c r="I324" s="93"/>
      <c r="J324" s="93"/>
    </row>
    <row r="325" spans="1:10">
      <c r="G325" s="93"/>
      <c r="H325" s="93"/>
      <c r="I325" s="93"/>
      <c r="J325" s="93"/>
    </row>
    <row r="326" spans="1:10">
      <c r="G326" s="93"/>
      <c r="H326" s="93"/>
      <c r="I326" s="93"/>
      <c r="J326" s="93"/>
    </row>
    <row r="327" spans="1:10">
      <c r="G327" s="93"/>
      <c r="H327" s="93"/>
      <c r="I327" s="93"/>
      <c r="J327" s="93"/>
    </row>
    <row r="328" spans="1:10">
      <c r="G328" s="93"/>
      <c r="H328" s="93"/>
      <c r="I328" s="93"/>
      <c r="J328" s="93"/>
    </row>
    <row r="329" spans="1:10">
      <c r="G329" s="93"/>
      <c r="H329" s="93"/>
      <c r="I329" s="93"/>
      <c r="J329" s="93"/>
    </row>
    <row r="330" spans="1:10">
      <c r="G330" s="93"/>
      <c r="H330" s="93"/>
      <c r="I330" s="93"/>
      <c r="J330" s="93"/>
    </row>
    <row r="331" spans="1:10">
      <c r="G331" s="93"/>
      <c r="H331" s="93"/>
      <c r="I331" s="93"/>
      <c r="J331" s="93"/>
    </row>
    <row r="332" spans="1:10">
      <c r="G332" s="93"/>
      <c r="H332" s="93"/>
      <c r="I332" s="93"/>
      <c r="J332" s="93"/>
    </row>
    <row r="333" spans="1:10">
      <c r="B333" s="95"/>
      <c r="C333" s="95"/>
      <c r="D333" s="95"/>
      <c r="E333" s="60"/>
      <c r="F333" s="60"/>
      <c r="G333" s="93"/>
      <c r="H333" s="93"/>
      <c r="I333" s="93"/>
      <c r="J333" s="93"/>
    </row>
    <row r="334" spans="1:10">
      <c r="A334" s="59"/>
      <c r="B334" s="95"/>
      <c r="C334" s="95"/>
      <c r="D334" s="95"/>
      <c r="E334" s="60"/>
      <c r="F334" s="60"/>
      <c r="G334" s="93"/>
      <c r="H334" s="93"/>
      <c r="I334" s="93"/>
      <c r="J334" s="93"/>
    </row>
    <row r="335" spans="1:10">
      <c r="A335" s="59"/>
      <c r="B335" s="95"/>
      <c r="C335" s="95"/>
      <c r="D335" s="95"/>
      <c r="E335" s="60"/>
      <c r="F335" s="60"/>
      <c r="G335" s="93"/>
      <c r="H335" s="93"/>
      <c r="I335" s="93"/>
      <c r="J335" s="93"/>
    </row>
    <row r="336" spans="1:10">
      <c r="A336" s="59"/>
      <c r="B336" s="95"/>
      <c r="C336" s="95"/>
      <c r="D336" s="95"/>
      <c r="E336" s="60"/>
      <c r="F336" s="60"/>
      <c r="G336" s="93"/>
      <c r="H336" s="93"/>
      <c r="I336" s="93"/>
      <c r="J336" s="93"/>
    </row>
    <row r="337" spans="1:12">
      <c r="A337" s="59"/>
      <c r="B337" s="95"/>
      <c r="C337" s="95"/>
      <c r="D337" s="95"/>
      <c r="E337" s="60"/>
      <c r="F337" s="60"/>
      <c r="G337" s="93"/>
      <c r="H337" s="93"/>
      <c r="I337" s="93"/>
      <c r="J337" s="93"/>
    </row>
    <row r="338" spans="1:12">
      <c r="A338" s="162"/>
      <c r="B338" s="127"/>
      <c r="C338" s="127"/>
      <c r="D338" s="127"/>
      <c r="E338" s="343"/>
      <c r="F338" s="343"/>
      <c r="G338" s="93"/>
      <c r="H338" s="93"/>
      <c r="I338" s="93"/>
      <c r="J338" s="93"/>
    </row>
    <row r="339" spans="1:12">
      <c r="A339" s="59"/>
      <c r="B339" s="95"/>
      <c r="C339" s="95"/>
      <c r="D339" s="95"/>
      <c r="E339" s="60"/>
      <c r="F339" s="60"/>
      <c r="G339" s="93"/>
      <c r="H339" s="93"/>
      <c r="I339" s="93"/>
      <c r="J339" s="93"/>
    </row>
    <row r="340" spans="1:12">
      <c r="A340" s="59"/>
      <c r="B340" s="95"/>
      <c r="C340" s="95"/>
      <c r="D340" s="95"/>
      <c r="E340" s="60"/>
      <c r="F340" s="60"/>
      <c r="G340" s="93"/>
      <c r="H340" s="93"/>
      <c r="I340" s="93"/>
      <c r="J340" s="93"/>
    </row>
    <row r="341" spans="1:12">
      <c r="A341" s="59"/>
      <c r="B341" s="95"/>
      <c r="C341" s="95"/>
      <c r="D341" s="95"/>
      <c r="E341" s="60"/>
      <c r="F341" s="60"/>
      <c r="G341" s="93"/>
      <c r="H341" s="93"/>
      <c r="I341" s="93"/>
      <c r="J341" s="93"/>
    </row>
    <row r="342" spans="1:12">
      <c r="A342" s="162"/>
      <c r="B342" s="127"/>
      <c r="C342" s="127"/>
      <c r="D342" s="127"/>
      <c r="E342" s="343"/>
      <c r="F342" s="343"/>
      <c r="G342" s="93"/>
      <c r="H342" s="93"/>
      <c r="I342" s="93"/>
      <c r="J342" s="93"/>
    </row>
    <row r="343" spans="1:12">
      <c r="A343" s="59"/>
      <c r="B343" s="95"/>
      <c r="C343" s="95"/>
      <c r="D343" s="95"/>
      <c r="E343" s="60"/>
      <c r="F343" s="60"/>
      <c r="G343" s="93"/>
      <c r="H343" s="93"/>
      <c r="I343" s="93"/>
      <c r="J343" s="93"/>
    </row>
    <row r="344" spans="1:12">
      <c r="A344" s="162"/>
      <c r="B344" s="127"/>
      <c r="C344" s="127"/>
      <c r="D344" s="127"/>
      <c r="E344" s="343"/>
      <c r="F344" s="343"/>
      <c r="G344" s="93"/>
      <c r="H344" s="93"/>
      <c r="I344" s="93"/>
      <c r="J344" s="93"/>
    </row>
    <row r="345" spans="1:12">
      <c r="A345" s="59"/>
      <c r="B345" s="95"/>
      <c r="C345" s="95"/>
      <c r="D345" s="95"/>
      <c r="E345" s="60"/>
      <c r="F345" s="60"/>
      <c r="G345" s="93"/>
      <c r="H345" s="93"/>
      <c r="I345" s="93"/>
      <c r="J345" s="93"/>
    </row>
    <row r="346" spans="1:12">
      <c r="A346" s="59"/>
      <c r="B346" s="95"/>
      <c r="C346" s="95"/>
      <c r="D346" s="95"/>
      <c r="E346" s="348"/>
      <c r="F346" s="348"/>
      <c r="G346" s="93"/>
      <c r="H346" s="93"/>
      <c r="I346" s="93"/>
      <c r="J346" s="93"/>
    </row>
    <row r="347" spans="1:12">
      <c r="A347" s="59"/>
      <c r="B347" s="95"/>
      <c r="C347" s="95"/>
      <c r="D347" s="95"/>
      <c r="E347" s="348"/>
      <c r="F347" s="348"/>
      <c r="G347" s="93"/>
      <c r="H347" s="93"/>
      <c r="I347" s="93"/>
      <c r="J347" s="93"/>
    </row>
    <row r="348" spans="1:12">
      <c r="A348" s="59"/>
      <c r="B348" s="95"/>
      <c r="C348" s="95"/>
      <c r="D348" s="95"/>
      <c r="E348" s="60"/>
      <c r="F348" s="60"/>
      <c r="G348" s="93"/>
      <c r="H348" s="93"/>
      <c r="I348" s="93"/>
      <c r="J348" s="93"/>
    </row>
    <row r="349" spans="1:12">
      <c r="A349" s="59"/>
      <c r="B349" s="140"/>
      <c r="C349" s="140"/>
      <c r="D349" s="140"/>
      <c r="E349" s="347"/>
      <c r="F349" s="347"/>
      <c r="G349" s="336"/>
      <c r="H349" s="336"/>
      <c r="I349" s="336"/>
      <c r="J349" s="336"/>
    </row>
    <row r="350" spans="1:12" s="95" customFormat="1">
      <c r="A350" s="162"/>
      <c r="B350" s="142"/>
      <c r="C350" s="142"/>
      <c r="D350" s="142"/>
      <c r="E350" s="60"/>
      <c r="F350" s="60"/>
      <c r="G350" s="337"/>
      <c r="H350" s="337"/>
      <c r="I350" s="337"/>
      <c r="J350" s="337"/>
      <c r="L350" s="59"/>
    </row>
    <row r="351" spans="1:12" s="95" customFormat="1">
      <c r="A351" s="162"/>
      <c r="B351" s="142"/>
      <c r="C351" s="142"/>
      <c r="D351" s="142"/>
      <c r="E351" s="348"/>
      <c r="F351" s="348"/>
      <c r="G351" s="337"/>
      <c r="H351" s="337"/>
      <c r="I351" s="337"/>
      <c r="J351" s="337"/>
      <c r="L351" s="59"/>
    </row>
    <row r="352" spans="1:12">
      <c r="A352" s="59"/>
      <c r="B352" s="95"/>
      <c r="C352" s="95"/>
      <c r="D352" s="95"/>
      <c r="E352" s="60"/>
      <c r="F352" s="60"/>
      <c r="G352" s="93"/>
      <c r="H352" s="93"/>
      <c r="I352" s="93"/>
      <c r="J352" s="93"/>
    </row>
    <row r="353" spans="1:12">
      <c r="A353" s="59"/>
      <c r="B353" s="95"/>
      <c r="C353" s="95"/>
      <c r="D353" s="95"/>
      <c r="E353" s="60"/>
      <c r="F353" s="60"/>
      <c r="G353" s="93"/>
      <c r="H353" s="93"/>
      <c r="I353" s="93"/>
      <c r="J353" s="93"/>
    </row>
    <row r="354" spans="1:12">
      <c r="A354" s="59"/>
      <c r="B354" s="95"/>
      <c r="C354" s="95"/>
      <c r="D354" s="95"/>
      <c r="E354" s="60"/>
      <c r="F354" s="60"/>
      <c r="G354" s="93"/>
      <c r="H354" s="93"/>
      <c r="I354" s="93"/>
      <c r="J354" s="93"/>
    </row>
    <row r="355" spans="1:12">
      <c r="A355" s="59"/>
      <c r="B355" s="95"/>
      <c r="C355" s="95"/>
      <c r="D355" s="95"/>
      <c r="E355" s="60"/>
      <c r="F355" s="60"/>
      <c r="G355" s="93"/>
      <c r="H355" s="93"/>
      <c r="I355" s="93"/>
      <c r="J355" s="93"/>
    </row>
    <row r="356" spans="1:12">
      <c r="A356" s="59"/>
      <c r="B356" s="95"/>
      <c r="C356" s="95"/>
      <c r="D356" s="95"/>
      <c r="E356" s="60"/>
      <c r="F356" s="60"/>
      <c r="G356" s="93"/>
      <c r="H356" s="93"/>
      <c r="I356" s="93"/>
      <c r="J356" s="93"/>
    </row>
    <row r="357" spans="1:12" s="135" customFormat="1">
      <c r="A357" s="59"/>
      <c r="B357" s="95"/>
      <c r="C357" s="95"/>
      <c r="D357" s="95"/>
      <c r="E357" s="60"/>
      <c r="F357" s="60"/>
      <c r="G357" s="93"/>
      <c r="H357" s="93"/>
      <c r="I357" s="93"/>
      <c r="J357" s="93"/>
      <c r="L357" s="164"/>
    </row>
    <row r="358" spans="1:12">
      <c r="A358" s="59"/>
      <c r="B358" s="95"/>
      <c r="C358" s="95"/>
      <c r="D358" s="95"/>
      <c r="E358" s="60"/>
      <c r="F358" s="60"/>
      <c r="G358" s="93"/>
      <c r="H358" s="93"/>
      <c r="I358" s="93"/>
      <c r="J358" s="93"/>
    </row>
    <row r="359" spans="1:12">
      <c r="A359" s="59"/>
      <c r="B359" s="95"/>
      <c r="C359" s="95"/>
      <c r="D359" s="95"/>
      <c r="E359" s="60"/>
      <c r="F359" s="60"/>
      <c r="G359" s="93"/>
      <c r="H359" s="93"/>
      <c r="I359" s="93"/>
      <c r="J359" s="93"/>
    </row>
    <row r="360" spans="1:12">
      <c r="A360" s="59"/>
      <c r="B360" s="95"/>
      <c r="C360" s="95"/>
      <c r="D360" s="95"/>
      <c r="E360" s="60"/>
      <c r="F360" s="60"/>
      <c r="G360" s="93"/>
      <c r="H360" s="93"/>
      <c r="I360" s="93"/>
      <c r="J360" s="93"/>
    </row>
    <row r="361" spans="1:12">
      <c r="A361" s="59"/>
      <c r="B361" s="95"/>
      <c r="C361" s="95"/>
      <c r="D361" s="95"/>
      <c r="E361" s="60"/>
      <c r="F361" s="60"/>
      <c r="G361" s="93"/>
      <c r="H361" s="93"/>
      <c r="I361" s="93"/>
      <c r="J361" s="93"/>
    </row>
    <row r="362" spans="1:12">
      <c r="A362" s="59"/>
      <c r="B362" s="95"/>
      <c r="C362" s="95"/>
      <c r="D362" s="95"/>
      <c r="E362" s="60"/>
      <c r="F362" s="60"/>
      <c r="G362" s="93"/>
      <c r="H362" s="93"/>
      <c r="I362" s="93"/>
      <c r="J362" s="93"/>
    </row>
    <row r="363" spans="1:12">
      <c r="A363" s="59"/>
      <c r="B363" s="95"/>
      <c r="C363" s="95"/>
      <c r="D363" s="95"/>
      <c r="E363" s="60"/>
      <c r="F363" s="60"/>
      <c r="G363" s="93"/>
      <c r="H363" s="93"/>
      <c r="I363" s="93"/>
      <c r="J363" s="93"/>
    </row>
    <row r="364" spans="1:12">
      <c r="A364" s="59"/>
      <c r="B364" s="95"/>
      <c r="C364" s="95"/>
      <c r="D364" s="95"/>
      <c r="E364" s="60"/>
      <c r="F364" s="60"/>
      <c r="G364" s="93"/>
      <c r="H364" s="93"/>
      <c r="I364" s="93"/>
      <c r="J364" s="93"/>
    </row>
    <row r="365" spans="1:12">
      <c r="A365" s="59"/>
      <c r="B365" s="95"/>
      <c r="C365" s="95"/>
      <c r="D365" s="95"/>
      <c r="E365" s="60"/>
      <c r="F365" s="60"/>
      <c r="G365" s="93"/>
      <c r="H365" s="93"/>
      <c r="I365" s="93"/>
      <c r="J365" s="93"/>
    </row>
    <row r="366" spans="1:12">
      <c r="A366" s="59"/>
      <c r="B366" s="95"/>
      <c r="C366" s="95"/>
      <c r="D366" s="95"/>
      <c r="E366" s="60"/>
      <c r="F366" s="60"/>
      <c r="G366" s="93"/>
      <c r="H366" s="93"/>
      <c r="I366" s="93"/>
      <c r="J366" s="93"/>
    </row>
    <row r="367" spans="1:12">
      <c r="A367" s="59"/>
      <c r="B367" s="95"/>
      <c r="C367" s="95"/>
      <c r="D367" s="95"/>
      <c r="E367" s="60"/>
      <c r="F367" s="60"/>
      <c r="G367" s="93"/>
      <c r="H367" s="93"/>
      <c r="I367" s="93"/>
      <c r="J367" s="93"/>
    </row>
    <row r="368" spans="1:12">
      <c r="A368" s="59"/>
      <c r="B368" s="95"/>
      <c r="C368" s="95"/>
      <c r="D368" s="95"/>
      <c r="E368" s="60"/>
      <c r="F368" s="60"/>
      <c r="G368" s="93"/>
      <c r="H368" s="93"/>
      <c r="I368" s="93"/>
      <c r="J368" s="93"/>
    </row>
    <row r="369" spans="1:12">
      <c r="A369" s="59"/>
      <c r="B369" s="95"/>
      <c r="C369" s="95"/>
      <c r="D369" s="95"/>
      <c r="E369" s="60"/>
      <c r="F369" s="60"/>
      <c r="G369" s="93"/>
      <c r="H369" s="93"/>
      <c r="I369" s="93"/>
      <c r="J369" s="93"/>
    </row>
    <row r="370" spans="1:12">
      <c r="A370" s="59"/>
      <c r="B370" s="95"/>
      <c r="C370" s="95"/>
      <c r="D370" s="95"/>
      <c r="E370" s="60"/>
      <c r="F370" s="60"/>
      <c r="G370" s="93"/>
      <c r="H370" s="93"/>
      <c r="I370" s="93"/>
      <c r="J370" s="93"/>
    </row>
    <row r="371" spans="1:12">
      <c r="A371" s="59"/>
      <c r="B371" s="95"/>
      <c r="C371" s="95"/>
      <c r="D371" s="95"/>
      <c r="E371" s="60"/>
      <c r="F371" s="60"/>
      <c r="G371" s="93"/>
      <c r="H371" s="93"/>
      <c r="I371" s="93"/>
      <c r="J371" s="93"/>
    </row>
    <row r="372" spans="1:12" s="44" customFormat="1">
      <c r="A372" s="59"/>
      <c r="B372" s="95"/>
      <c r="C372" s="95"/>
      <c r="D372" s="95"/>
      <c r="E372" s="60"/>
      <c r="F372" s="60"/>
      <c r="G372" s="93"/>
      <c r="H372" s="93"/>
      <c r="I372" s="93"/>
      <c r="J372" s="93"/>
      <c r="L372" s="42"/>
    </row>
    <row r="373" spans="1:12">
      <c r="A373" s="59"/>
      <c r="B373" s="95"/>
      <c r="C373" s="95"/>
      <c r="D373" s="95"/>
      <c r="E373" s="60"/>
      <c r="F373" s="60"/>
      <c r="G373" s="93"/>
      <c r="H373" s="93"/>
      <c r="I373" s="93"/>
      <c r="J373" s="93"/>
    </row>
    <row r="374" spans="1:12">
      <c r="A374" s="59"/>
      <c r="B374" s="95"/>
      <c r="C374" s="95"/>
      <c r="D374" s="95"/>
      <c r="E374" s="60"/>
      <c r="F374" s="60"/>
      <c r="G374" s="93"/>
      <c r="H374" s="93"/>
      <c r="I374" s="93"/>
      <c r="J374" s="93"/>
    </row>
    <row r="375" spans="1:12" s="135" customFormat="1">
      <c r="A375" s="59"/>
      <c r="B375" s="95"/>
      <c r="C375" s="95"/>
      <c r="D375" s="95"/>
      <c r="E375" s="60"/>
      <c r="F375" s="60"/>
      <c r="G375" s="93"/>
      <c r="H375" s="93"/>
      <c r="I375" s="93"/>
      <c r="J375" s="93"/>
      <c r="L375" s="164"/>
    </row>
    <row r="376" spans="1:12">
      <c r="A376" s="59"/>
      <c r="B376" s="95"/>
      <c r="C376" s="95"/>
      <c r="D376" s="95"/>
      <c r="E376" s="60"/>
      <c r="F376" s="60"/>
      <c r="G376" s="93"/>
      <c r="H376" s="93"/>
      <c r="I376" s="93"/>
      <c r="J376" s="93"/>
    </row>
    <row r="377" spans="1:12">
      <c r="A377" s="59"/>
      <c r="B377" s="95"/>
      <c r="C377" s="95"/>
      <c r="D377" s="95"/>
      <c r="E377" s="60"/>
      <c r="F377" s="60"/>
      <c r="G377" s="93"/>
      <c r="H377" s="93"/>
      <c r="I377" s="93"/>
      <c r="J377" s="93"/>
    </row>
    <row r="378" spans="1:12">
      <c r="A378" s="59"/>
      <c r="B378" s="95"/>
      <c r="C378" s="95"/>
      <c r="D378" s="95"/>
      <c r="E378" s="60"/>
      <c r="F378" s="60"/>
      <c r="G378" s="93"/>
      <c r="H378" s="93"/>
      <c r="I378" s="93"/>
      <c r="J378" s="93"/>
    </row>
    <row r="379" spans="1:12" ht="14.7" customHeight="1">
      <c r="A379" s="59"/>
      <c r="B379" s="95"/>
      <c r="C379" s="95"/>
      <c r="D379" s="95"/>
      <c r="E379" s="60"/>
      <c r="F379" s="60"/>
      <c r="G379" s="93"/>
      <c r="H379" s="93"/>
      <c r="I379" s="93"/>
      <c r="J379" s="93"/>
    </row>
    <row r="380" spans="1:12">
      <c r="A380" s="59"/>
      <c r="B380" s="95"/>
      <c r="C380" s="95"/>
      <c r="D380" s="95"/>
      <c r="E380" s="60"/>
      <c r="F380" s="60"/>
      <c r="G380" s="93"/>
      <c r="H380" s="93"/>
      <c r="I380" s="93"/>
      <c r="J380" s="93"/>
    </row>
    <row r="381" spans="1:12" s="95" customFormat="1">
      <c r="A381" s="59"/>
      <c r="E381" s="60"/>
      <c r="F381" s="60"/>
      <c r="G381" s="93"/>
      <c r="H381" s="93"/>
      <c r="I381" s="93"/>
      <c r="J381" s="93"/>
      <c r="L381" s="59"/>
    </row>
    <row r="382" spans="1:12" s="117" customFormat="1">
      <c r="A382" s="59"/>
      <c r="B382" s="95"/>
      <c r="C382" s="95"/>
      <c r="D382" s="95"/>
      <c r="E382" s="60"/>
      <c r="F382" s="60"/>
      <c r="G382" s="93"/>
      <c r="H382" s="93"/>
      <c r="I382" s="93"/>
      <c r="J382" s="93"/>
      <c r="L382" s="101"/>
    </row>
    <row r="383" spans="1:12" s="117" customFormat="1">
      <c r="A383" s="59"/>
      <c r="B383" s="95"/>
      <c r="C383" s="95"/>
      <c r="D383" s="95"/>
      <c r="E383" s="60"/>
      <c r="F383" s="60"/>
      <c r="G383" s="93"/>
      <c r="H383" s="93"/>
      <c r="I383" s="93"/>
      <c r="J383" s="93"/>
      <c r="L383" s="101"/>
    </row>
    <row r="384" spans="1:12" s="117" customFormat="1">
      <c r="A384" s="59"/>
      <c r="B384" s="95"/>
      <c r="C384" s="95"/>
      <c r="D384" s="95"/>
      <c r="E384" s="60"/>
      <c r="F384" s="60"/>
      <c r="G384" s="93"/>
      <c r="H384" s="93"/>
      <c r="I384" s="93"/>
      <c r="J384" s="93"/>
      <c r="L384" s="101"/>
    </row>
    <row r="385" spans="1:12">
      <c r="A385" s="59"/>
      <c r="B385" s="95"/>
      <c r="C385" s="95"/>
      <c r="D385" s="95"/>
      <c r="E385" s="60"/>
      <c r="F385" s="60"/>
      <c r="G385" s="93"/>
      <c r="H385" s="93"/>
      <c r="I385" s="93"/>
      <c r="J385" s="93"/>
    </row>
    <row r="386" spans="1:12">
      <c r="A386" s="59"/>
      <c r="B386" s="95"/>
      <c r="C386" s="95"/>
      <c r="D386" s="95"/>
      <c r="E386" s="60"/>
      <c r="F386" s="60"/>
      <c r="G386" s="93"/>
      <c r="H386" s="93"/>
      <c r="I386" s="93"/>
      <c r="J386" s="93"/>
    </row>
    <row r="387" spans="1:12">
      <c r="A387" s="59"/>
      <c r="B387" s="140"/>
      <c r="C387" s="140"/>
      <c r="D387" s="140"/>
      <c r="E387" s="347"/>
      <c r="F387" s="347"/>
      <c r="G387" s="93"/>
      <c r="H387" s="93"/>
      <c r="I387" s="93"/>
      <c r="J387" s="93"/>
    </row>
    <row r="388" spans="1:12" s="117" customFormat="1">
      <c r="A388" s="59"/>
      <c r="B388" s="95"/>
      <c r="C388" s="95"/>
      <c r="D388" s="95"/>
      <c r="E388" s="60"/>
      <c r="F388" s="60"/>
      <c r="G388" s="93"/>
      <c r="H388" s="93"/>
      <c r="I388" s="93"/>
      <c r="J388" s="93"/>
      <c r="L388" s="101"/>
    </row>
    <row r="389" spans="1:12" s="117" customFormat="1">
      <c r="A389" s="59"/>
      <c r="B389" s="95"/>
      <c r="C389" s="95"/>
      <c r="D389" s="95"/>
      <c r="E389" s="347"/>
      <c r="F389" s="347"/>
      <c r="G389" s="93"/>
      <c r="H389" s="93"/>
      <c r="I389" s="93"/>
      <c r="J389" s="93"/>
      <c r="L389" s="101"/>
    </row>
    <row r="390" spans="1:12" s="117" customFormat="1">
      <c r="A390" s="59"/>
      <c r="B390" s="95"/>
      <c r="C390" s="95"/>
      <c r="D390" s="95"/>
      <c r="E390" s="60"/>
      <c r="F390" s="60"/>
      <c r="G390" s="93"/>
      <c r="H390" s="93"/>
      <c r="I390" s="93"/>
      <c r="J390" s="93"/>
      <c r="L390" s="101"/>
    </row>
    <row r="391" spans="1:12" s="117" customFormat="1">
      <c r="A391" s="59"/>
      <c r="B391" s="95"/>
      <c r="C391" s="95"/>
      <c r="D391" s="95"/>
      <c r="E391" s="60"/>
      <c r="F391" s="60"/>
      <c r="G391" s="93"/>
      <c r="H391" s="93"/>
      <c r="I391" s="93"/>
      <c r="J391" s="93"/>
      <c r="L391" s="101"/>
    </row>
    <row r="392" spans="1:12" s="117" customFormat="1">
      <c r="A392" s="59"/>
      <c r="B392" s="95"/>
      <c r="C392" s="95"/>
      <c r="D392" s="95"/>
      <c r="E392" s="347"/>
      <c r="F392" s="347"/>
      <c r="G392" s="93"/>
      <c r="H392" s="93"/>
      <c r="I392" s="93"/>
      <c r="J392" s="93"/>
      <c r="L392" s="101"/>
    </row>
    <row r="393" spans="1:12" s="117" customFormat="1">
      <c r="A393" s="59"/>
      <c r="B393" s="127"/>
      <c r="C393" s="127"/>
      <c r="D393" s="127"/>
      <c r="E393" s="343"/>
      <c r="F393" s="343"/>
      <c r="G393" s="93"/>
      <c r="H393" s="93"/>
      <c r="I393" s="93"/>
      <c r="J393" s="93"/>
      <c r="L393" s="101"/>
    </row>
    <row r="394" spans="1:12" s="117" customFormat="1">
      <c r="A394" s="59"/>
      <c r="B394" s="95"/>
      <c r="C394" s="95"/>
      <c r="D394" s="95"/>
      <c r="E394" s="60"/>
      <c r="F394" s="60"/>
      <c r="G394" s="93"/>
      <c r="H394" s="93"/>
      <c r="I394" s="93"/>
      <c r="J394" s="93"/>
      <c r="L394" s="101"/>
    </row>
    <row r="395" spans="1:12" s="117" customFormat="1">
      <c r="A395" s="59"/>
      <c r="B395" s="95"/>
      <c r="C395" s="95"/>
      <c r="D395" s="95"/>
      <c r="E395" s="60"/>
      <c r="F395" s="60"/>
      <c r="G395" s="93"/>
      <c r="H395" s="93"/>
      <c r="I395" s="93"/>
      <c r="J395" s="93"/>
      <c r="L395" s="101"/>
    </row>
    <row r="396" spans="1:12" s="117" customFormat="1">
      <c r="A396" s="59"/>
      <c r="B396" s="95"/>
      <c r="C396" s="95"/>
      <c r="D396" s="95"/>
      <c r="E396" s="60"/>
      <c r="F396" s="60"/>
      <c r="G396" s="93"/>
      <c r="H396" s="93"/>
      <c r="I396" s="93"/>
      <c r="J396" s="93"/>
      <c r="L396" s="101"/>
    </row>
    <row r="397" spans="1:12" s="117" customFormat="1">
      <c r="A397" s="59"/>
      <c r="B397" s="95"/>
      <c r="C397" s="95"/>
      <c r="D397" s="95"/>
      <c r="E397" s="60"/>
      <c r="F397" s="60"/>
      <c r="G397" s="93"/>
      <c r="H397" s="93"/>
      <c r="I397" s="93"/>
      <c r="J397" s="93"/>
      <c r="L397" s="101"/>
    </row>
    <row r="398" spans="1:12" s="117" customFormat="1">
      <c r="A398" s="59"/>
      <c r="B398" s="95"/>
      <c r="C398" s="95"/>
      <c r="D398" s="95"/>
      <c r="E398" s="60"/>
      <c r="F398" s="60"/>
      <c r="G398" s="93"/>
      <c r="H398" s="93"/>
      <c r="I398" s="93"/>
      <c r="J398" s="93"/>
      <c r="L398" s="101"/>
    </row>
    <row r="399" spans="1:12" s="117" customFormat="1">
      <c r="A399" s="59"/>
      <c r="B399" s="95"/>
      <c r="C399" s="95"/>
      <c r="D399" s="95"/>
      <c r="E399" s="60"/>
      <c r="F399" s="60"/>
      <c r="G399" s="93"/>
      <c r="H399" s="93"/>
      <c r="I399" s="93"/>
      <c r="J399" s="93"/>
      <c r="L399" s="101"/>
    </row>
    <row r="400" spans="1:12" s="117" customFormat="1">
      <c r="A400" s="162"/>
      <c r="B400" s="127"/>
      <c r="C400" s="127"/>
      <c r="D400" s="127"/>
      <c r="E400" s="343"/>
      <c r="F400" s="343"/>
      <c r="G400" s="338"/>
      <c r="H400" s="338"/>
      <c r="I400" s="338"/>
      <c r="J400" s="338"/>
      <c r="L400" s="101"/>
    </row>
    <row r="401" spans="1:12" s="117" customFormat="1">
      <c r="A401" s="59"/>
      <c r="B401" s="95"/>
      <c r="C401" s="95"/>
      <c r="D401" s="95"/>
      <c r="E401" s="60"/>
      <c r="F401" s="60"/>
      <c r="G401" s="93"/>
      <c r="H401" s="93"/>
      <c r="I401" s="93"/>
      <c r="J401" s="93"/>
      <c r="L401" s="101"/>
    </row>
    <row r="402" spans="1:12" s="117" customFormat="1">
      <c r="A402" s="13"/>
      <c r="B402" s="142"/>
      <c r="C402" s="142"/>
      <c r="D402" s="142"/>
      <c r="E402" s="348"/>
      <c r="F402" s="348"/>
      <c r="G402" s="337"/>
      <c r="H402" s="337"/>
      <c r="I402" s="337"/>
      <c r="J402" s="337"/>
      <c r="L402" s="101"/>
    </row>
    <row r="403" spans="1:12" s="117" customFormat="1">
      <c r="A403" s="59"/>
      <c r="B403" s="140"/>
      <c r="C403" s="140"/>
      <c r="D403" s="140"/>
      <c r="E403" s="347"/>
      <c r="F403" s="347"/>
      <c r="G403" s="336"/>
      <c r="H403" s="336"/>
      <c r="I403" s="336"/>
      <c r="J403" s="336"/>
      <c r="L403" s="101"/>
    </row>
    <row r="404" spans="1:12" s="117" customFormat="1">
      <c r="A404" s="42"/>
      <c r="B404" s="140"/>
      <c r="C404" s="140"/>
      <c r="D404" s="140"/>
      <c r="E404" s="348"/>
      <c r="F404" s="348"/>
      <c r="G404" s="336"/>
      <c r="H404" s="336"/>
      <c r="I404" s="336"/>
      <c r="J404" s="336"/>
      <c r="L404" s="101"/>
    </row>
    <row r="405" spans="1:12" s="117" customFormat="1">
      <c r="A405" s="42"/>
      <c r="B405" s="140"/>
      <c r="C405" s="140"/>
      <c r="D405" s="140"/>
      <c r="E405" s="347"/>
      <c r="F405" s="347"/>
      <c r="G405" s="336"/>
      <c r="H405" s="336"/>
      <c r="I405" s="336"/>
      <c r="J405" s="336"/>
      <c r="L405" s="101"/>
    </row>
    <row r="406" spans="1:12" s="117" customFormat="1">
      <c r="A406" s="42"/>
      <c r="B406" s="140"/>
      <c r="C406" s="140"/>
      <c r="D406" s="140"/>
      <c r="E406" s="347"/>
      <c r="F406" s="347"/>
      <c r="G406" s="336"/>
      <c r="H406" s="336"/>
      <c r="I406" s="336"/>
      <c r="J406" s="336"/>
      <c r="L406" s="101"/>
    </row>
    <row r="407" spans="1:12" s="117" customFormat="1">
      <c r="A407" s="42"/>
      <c r="B407" s="140"/>
      <c r="C407" s="140"/>
      <c r="D407" s="140"/>
      <c r="E407" s="347"/>
      <c r="F407" s="347"/>
      <c r="G407" s="336"/>
      <c r="H407" s="336"/>
      <c r="I407" s="336"/>
      <c r="J407" s="336"/>
      <c r="L407" s="101"/>
    </row>
    <row r="408" spans="1:12" s="117" customFormat="1">
      <c r="A408" s="42"/>
      <c r="B408" s="140"/>
      <c r="C408" s="140"/>
      <c r="D408" s="140"/>
      <c r="E408" s="347"/>
      <c r="F408" s="347"/>
      <c r="G408" s="336"/>
      <c r="H408" s="336"/>
      <c r="I408" s="336"/>
      <c r="J408" s="336"/>
      <c r="L408" s="101"/>
    </row>
    <row r="409" spans="1:12" s="117" customFormat="1">
      <c r="A409" s="42"/>
      <c r="B409" s="140"/>
      <c r="C409" s="140"/>
      <c r="D409" s="140"/>
      <c r="E409" s="347"/>
      <c r="F409" s="347"/>
      <c r="G409" s="336"/>
      <c r="H409" s="336"/>
      <c r="I409" s="336"/>
      <c r="J409" s="336"/>
      <c r="L409" s="101"/>
    </row>
    <row r="410" spans="1:12" s="117" customFormat="1">
      <c r="A410" s="42"/>
      <c r="B410" s="140"/>
      <c r="C410" s="140"/>
      <c r="D410" s="140"/>
      <c r="E410" s="347"/>
      <c r="F410" s="347"/>
      <c r="G410" s="336"/>
      <c r="H410" s="336"/>
      <c r="I410" s="336"/>
      <c r="J410" s="336"/>
      <c r="L410" s="101"/>
    </row>
    <row r="411" spans="1:12" s="117" customFormat="1">
      <c r="A411" s="13"/>
      <c r="B411" s="142"/>
      <c r="C411" s="142"/>
      <c r="D411" s="142"/>
      <c r="E411" s="348"/>
      <c r="F411" s="348"/>
      <c r="G411" s="336"/>
      <c r="H411" s="336"/>
      <c r="I411" s="336"/>
      <c r="J411" s="336"/>
      <c r="L411" s="101"/>
    </row>
    <row r="412" spans="1:12" s="117" customFormat="1">
      <c r="A412" s="13"/>
      <c r="B412" s="142"/>
      <c r="C412" s="142"/>
      <c r="D412" s="142"/>
      <c r="E412" s="348"/>
      <c r="F412" s="348"/>
      <c r="G412" s="336"/>
      <c r="H412" s="336"/>
      <c r="I412" s="336"/>
      <c r="J412" s="336"/>
      <c r="L412" s="101"/>
    </row>
    <row r="413" spans="1:12" s="117" customFormat="1">
      <c r="A413" s="42"/>
      <c r="B413" s="142"/>
      <c r="C413" s="142"/>
      <c r="D413" s="142"/>
      <c r="E413" s="348"/>
      <c r="F413" s="348"/>
      <c r="G413" s="336"/>
      <c r="H413" s="336"/>
      <c r="I413" s="336"/>
      <c r="J413" s="336"/>
      <c r="L413" s="101"/>
    </row>
    <row r="414" spans="1:12" s="117" customFormat="1">
      <c r="A414" s="42"/>
      <c r="B414" s="140"/>
      <c r="C414" s="140"/>
      <c r="D414" s="140"/>
      <c r="E414" s="347"/>
      <c r="F414" s="347"/>
      <c r="G414" s="336"/>
      <c r="H414" s="336"/>
      <c r="I414" s="336"/>
      <c r="J414" s="336"/>
      <c r="L414" s="101"/>
    </row>
    <row r="415" spans="1:12" s="95" customFormat="1">
      <c r="A415" s="59"/>
      <c r="E415" s="60"/>
      <c r="F415" s="60"/>
      <c r="G415" s="335"/>
      <c r="H415" s="335"/>
      <c r="I415" s="335"/>
      <c r="J415" s="335"/>
      <c r="L415" s="59"/>
    </row>
    <row r="416" spans="1:12" s="95" customFormat="1">
      <c r="A416" s="59"/>
      <c r="E416" s="60"/>
      <c r="F416" s="60"/>
      <c r="G416" s="93"/>
      <c r="H416" s="93"/>
      <c r="I416" s="93"/>
      <c r="J416" s="93"/>
      <c r="L416" s="59"/>
    </row>
    <row r="417" spans="1:12" s="117" customFormat="1">
      <c r="A417" s="59"/>
      <c r="B417" s="95"/>
      <c r="C417" s="95"/>
      <c r="D417" s="95"/>
      <c r="E417" s="60"/>
      <c r="F417" s="60"/>
      <c r="G417" s="339"/>
      <c r="H417" s="339"/>
      <c r="I417" s="339"/>
      <c r="J417" s="339"/>
      <c r="L417" s="101"/>
    </row>
    <row r="418" spans="1:12" s="117" customFormat="1">
      <c r="A418" s="59"/>
      <c r="B418" s="95"/>
      <c r="C418" s="95"/>
      <c r="D418" s="95"/>
      <c r="E418" s="60"/>
      <c r="F418" s="60"/>
      <c r="G418" s="339"/>
      <c r="H418" s="339"/>
      <c r="I418" s="339"/>
      <c r="J418" s="339"/>
      <c r="L418" s="101"/>
    </row>
    <row r="419" spans="1:12" s="117" customFormat="1">
      <c r="A419" s="59"/>
      <c r="B419" s="95"/>
      <c r="C419" s="95"/>
      <c r="D419" s="95"/>
      <c r="E419" s="60"/>
      <c r="F419" s="60"/>
      <c r="G419" s="339"/>
      <c r="H419" s="339"/>
      <c r="I419" s="339"/>
      <c r="J419" s="339"/>
      <c r="L419" s="101"/>
    </row>
    <row r="420" spans="1:12" s="117" customFormat="1">
      <c r="A420" s="59"/>
      <c r="B420" s="95"/>
      <c r="C420" s="95"/>
      <c r="D420" s="95"/>
      <c r="E420" s="60"/>
      <c r="F420" s="60"/>
      <c r="G420" s="339"/>
      <c r="H420" s="339"/>
      <c r="I420" s="339"/>
      <c r="J420" s="339"/>
      <c r="L420" s="101"/>
    </row>
    <row r="421" spans="1:12" s="117" customFormat="1">
      <c r="A421" s="59"/>
      <c r="B421" s="95"/>
      <c r="C421" s="95"/>
      <c r="D421" s="95"/>
      <c r="E421" s="60"/>
      <c r="F421" s="60"/>
      <c r="G421" s="339"/>
      <c r="H421" s="339"/>
      <c r="I421" s="339"/>
      <c r="J421" s="339"/>
      <c r="L421" s="101"/>
    </row>
    <row r="422" spans="1:12" s="117" customFormat="1">
      <c r="A422" s="59"/>
      <c r="B422" s="95"/>
      <c r="C422" s="95"/>
      <c r="D422" s="95"/>
      <c r="E422" s="60"/>
      <c r="F422" s="60"/>
      <c r="G422" s="339"/>
      <c r="H422" s="339"/>
      <c r="I422" s="339"/>
      <c r="J422" s="339"/>
      <c r="L422" s="101"/>
    </row>
    <row r="423" spans="1:12" s="117" customFormat="1">
      <c r="A423" s="59"/>
      <c r="B423" s="95"/>
      <c r="C423" s="95"/>
      <c r="D423" s="95"/>
      <c r="E423" s="60"/>
      <c r="F423" s="60"/>
      <c r="G423" s="339"/>
      <c r="H423" s="339"/>
      <c r="I423" s="339"/>
      <c r="J423" s="339"/>
      <c r="L423" s="101"/>
    </row>
    <row r="424" spans="1:12" s="117" customFormat="1">
      <c r="A424" s="59"/>
      <c r="B424" s="95"/>
      <c r="C424" s="95"/>
      <c r="D424" s="95"/>
      <c r="E424" s="60"/>
      <c r="F424" s="60"/>
      <c r="G424" s="339"/>
      <c r="H424" s="339"/>
      <c r="I424" s="339"/>
      <c r="J424" s="339"/>
      <c r="L424" s="101"/>
    </row>
    <row r="425" spans="1:12" s="117" customFormat="1">
      <c r="A425" s="59"/>
      <c r="B425" s="95"/>
      <c r="C425" s="95"/>
      <c r="D425" s="95"/>
      <c r="E425" s="60"/>
      <c r="F425" s="60"/>
      <c r="G425" s="339"/>
      <c r="H425" s="339"/>
      <c r="I425" s="339"/>
      <c r="J425" s="339"/>
      <c r="L425" s="101"/>
    </row>
    <row r="426" spans="1:12" s="117" customFormat="1">
      <c r="A426" s="59"/>
      <c r="B426" s="95"/>
      <c r="C426" s="95"/>
      <c r="D426" s="95"/>
      <c r="E426" s="60"/>
      <c r="F426" s="60"/>
      <c r="G426" s="339"/>
      <c r="H426" s="339"/>
      <c r="I426" s="339"/>
      <c r="J426" s="339"/>
      <c r="L426" s="101"/>
    </row>
    <row r="427" spans="1:12" s="117" customFormat="1">
      <c r="A427" s="59"/>
      <c r="B427" s="95"/>
      <c r="C427" s="95"/>
      <c r="D427" s="95"/>
      <c r="E427" s="60"/>
      <c r="F427" s="60"/>
      <c r="G427" s="339"/>
      <c r="H427" s="339"/>
      <c r="I427" s="339"/>
      <c r="J427" s="339"/>
      <c r="L427" s="101"/>
    </row>
    <row r="428" spans="1:12" s="117" customFormat="1">
      <c r="A428" s="59"/>
      <c r="B428" s="95"/>
      <c r="C428" s="95"/>
      <c r="D428" s="95"/>
      <c r="E428" s="60"/>
      <c r="F428" s="60"/>
      <c r="G428" s="339"/>
      <c r="H428" s="339"/>
      <c r="I428" s="339"/>
      <c r="J428" s="339"/>
      <c r="L428" s="101"/>
    </row>
    <row r="429" spans="1:12" s="117" customFormat="1">
      <c r="A429" s="59"/>
      <c r="B429" s="95"/>
      <c r="C429" s="95"/>
      <c r="D429" s="95"/>
      <c r="E429" s="60"/>
      <c r="F429" s="60"/>
      <c r="G429" s="339"/>
      <c r="H429" s="339"/>
      <c r="I429" s="339"/>
      <c r="J429" s="339"/>
      <c r="L429" s="101"/>
    </row>
    <row r="430" spans="1:12" s="117" customFormat="1">
      <c r="A430" s="59"/>
      <c r="B430" s="95"/>
      <c r="C430" s="95"/>
      <c r="D430" s="95"/>
      <c r="E430" s="60"/>
      <c r="F430" s="60"/>
      <c r="G430" s="339"/>
      <c r="H430" s="339"/>
      <c r="I430" s="339"/>
      <c r="J430" s="339"/>
      <c r="L430" s="101"/>
    </row>
    <row r="431" spans="1:12" s="117" customFormat="1">
      <c r="A431" s="59"/>
      <c r="B431" s="95"/>
      <c r="C431" s="95"/>
      <c r="D431" s="95"/>
      <c r="E431" s="60"/>
      <c r="F431" s="60"/>
      <c r="G431" s="339"/>
      <c r="H431" s="339"/>
      <c r="I431" s="339"/>
      <c r="J431" s="339"/>
      <c r="L431" s="101"/>
    </row>
    <row r="432" spans="1:12">
      <c r="A432" s="59"/>
      <c r="B432" s="95"/>
      <c r="C432" s="95"/>
      <c r="D432" s="95"/>
      <c r="E432" s="60"/>
      <c r="F432" s="60"/>
      <c r="G432" s="339"/>
      <c r="H432" s="339"/>
      <c r="I432" s="339"/>
      <c r="J432" s="339"/>
    </row>
    <row r="433" spans="1:12">
      <c r="A433" s="59"/>
      <c r="B433" s="95"/>
      <c r="C433" s="95"/>
      <c r="D433" s="95"/>
      <c r="E433" s="60"/>
      <c r="F433" s="60"/>
      <c r="G433" s="339"/>
      <c r="H433" s="339"/>
      <c r="I433" s="339"/>
      <c r="J433" s="339"/>
    </row>
    <row r="434" spans="1:12">
      <c r="A434" s="59"/>
      <c r="B434" s="95"/>
      <c r="C434" s="95"/>
      <c r="D434" s="95"/>
      <c r="E434" s="60"/>
      <c r="F434" s="60"/>
      <c r="G434" s="339"/>
      <c r="H434" s="339"/>
      <c r="I434" s="339"/>
      <c r="J434" s="339"/>
    </row>
    <row r="435" spans="1:12">
      <c r="A435" s="59"/>
      <c r="B435" s="95"/>
      <c r="C435" s="95"/>
      <c r="D435" s="95"/>
      <c r="E435" s="60"/>
      <c r="F435" s="60"/>
      <c r="G435" s="339"/>
      <c r="H435" s="339"/>
      <c r="I435" s="339"/>
      <c r="J435" s="339"/>
    </row>
    <row r="436" spans="1:12">
      <c r="A436" s="59"/>
      <c r="B436" s="95"/>
      <c r="C436" s="95"/>
      <c r="D436" s="95"/>
      <c r="E436" s="60"/>
      <c r="F436" s="60"/>
      <c r="G436" s="339"/>
      <c r="H436" s="339"/>
      <c r="I436" s="339"/>
      <c r="J436" s="339"/>
    </row>
    <row r="437" spans="1:12">
      <c r="A437" s="59"/>
      <c r="B437" s="95"/>
      <c r="C437" s="95"/>
      <c r="D437" s="95"/>
      <c r="E437" s="60"/>
      <c r="F437" s="60"/>
      <c r="G437" s="339"/>
      <c r="H437" s="339"/>
      <c r="I437" s="339"/>
      <c r="J437" s="339"/>
    </row>
    <row r="438" spans="1:12">
      <c r="A438" s="59"/>
      <c r="B438" s="95"/>
      <c r="C438" s="95"/>
      <c r="D438" s="95"/>
      <c r="E438" s="60"/>
      <c r="F438" s="60"/>
      <c r="G438" s="339"/>
      <c r="H438" s="339"/>
      <c r="I438" s="339"/>
      <c r="J438" s="339"/>
    </row>
    <row r="439" spans="1:12">
      <c r="A439" s="59"/>
      <c r="B439" s="95"/>
      <c r="C439" s="95"/>
      <c r="D439" s="95"/>
      <c r="E439" s="60"/>
      <c r="F439" s="60"/>
      <c r="G439" s="339"/>
      <c r="H439" s="339"/>
      <c r="I439" s="339"/>
      <c r="J439" s="339"/>
    </row>
    <row r="440" spans="1:12">
      <c r="A440" s="59"/>
      <c r="B440" s="95"/>
      <c r="C440" s="95"/>
      <c r="D440" s="95"/>
      <c r="E440" s="60"/>
      <c r="F440" s="60"/>
      <c r="G440" s="339"/>
      <c r="H440" s="339"/>
      <c r="I440" s="339"/>
      <c r="J440" s="339"/>
    </row>
    <row r="441" spans="1:12">
      <c r="A441" s="59"/>
      <c r="B441" s="95"/>
      <c r="C441" s="95"/>
      <c r="D441" s="95"/>
      <c r="E441" s="60"/>
      <c r="F441" s="60"/>
      <c r="G441" s="339"/>
      <c r="H441" s="339"/>
      <c r="I441" s="339"/>
      <c r="J441" s="339"/>
    </row>
    <row r="442" spans="1:12" s="117" customFormat="1">
      <c r="A442" s="59"/>
      <c r="B442" s="44"/>
      <c r="C442" s="44"/>
      <c r="D442" s="44"/>
      <c r="E442" s="51"/>
      <c r="F442" s="51"/>
      <c r="G442" s="93"/>
      <c r="H442" s="93"/>
      <c r="I442" s="93"/>
      <c r="J442" s="93"/>
      <c r="L442" s="101"/>
    </row>
    <row r="443" spans="1:12" s="117" customFormat="1">
      <c r="A443" s="59"/>
      <c r="B443" s="95"/>
      <c r="C443" s="95"/>
      <c r="D443" s="95"/>
      <c r="E443" s="60"/>
      <c r="F443" s="60"/>
      <c r="G443" s="93"/>
      <c r="H443" s="93"/>
      <c r="I443" s="93"/>
      <c r="J443" s="93"/>
      <c r="L443" s="101"/>
    </row>
    <row r="444" spans="1:12" s="95" customFormat="1">
      <c r="A444" s="59"/>
      <c r="B444" s="44"/>
      <c r="C444" s="44"/>
      <c r="D444" s="44"/>
      <c r="E444" s="51"/>
      <c r="F444" s="51"/>
      <c r="G444" s="93"/>
      <c r="H444" s="93"/>
      <c r="I444" s="93"/>
      <c r="J444" s="93"/>
      <c r="L444" s="59"/>
    </row>
    <row r="445" spans="1:12" s="95" customFormat="1">
      <c r="A445" s="59"/>
      <c r="B445" s="44"/>
      <c r="C445" s="44"/>
      <c r="D445" s="44"/>
      <c r="E445" s="347"/>
      <c r="F445" s="347"/>
      <c r="G445" s="93"/>
      <c r="H445" s="93"/>
      <c r="I445" s="93"/>
      <c r="J445" s="93"/>
      <c r="L445" s="59"/>
    </row>
    <row r="446" spans="1:12" s="95" customFormat="1">
      <c r="A446" s="59"/>
      <c r="B446" s="44"/>
      <c r="C446" s="44"/>
      <c r="D446" s="44"/>
      <c r="E446" s="347"/>
      <c r="F446" s="347"/>
      <c r="G446" s="93"/>
      <c r="H446" s="93"/>
      <c r="I446" s="93"/>
      <c r="J446" s="93"/>
      <c r="L446" s="59"/>
    </row>
    <row r="447" spans="1:12">
      <c r="A447" s="59"/>
      <c r="B447" s="44"/>
      <c r="C447" s="44"/>
      <c r="D447" s="44"/>
      <c r="E447" s="347"/>
      <c r="F447" s="347"/>
      <c r="G447" s="93"/>
      <c r="H447" s="93"/>
      <c r="I447" s="93"/>
      <c r="J447" s="93"/>
    </row>
    <row r="448" spans="1:12">
      <c r="A448" s="59"/>
      <c r="B448" s="44"/>
      <c r="C448" s="44"/>
      <c r="D448" s="44"/>
      <c r="E448" s="347"/>
      <c r="F448" s="347"/>
      <c r="G448" s="93"/>
      <c r="H448" s="93"/>
      <c r="I448" s="93"/>
      <c r="J448" s="93"/>
    </row>
    <row r="449" spans="1:12">
      <c r="A449" s="59"/>
      <c r="B449" s="44"/>
      <c r="C449" s="44"/>
      <c r="D449" s="44"/>
      <c r="E449" s="347"/>
      <c r="F449" s="347"/>
      <c r="G449" s="93"/>
      <c r="H449" s="93"/>
      <c r="I449" s="93"/>
      <c r="J449" s="93"/>
    </row>
    <row r="450" spans="1:12" s="44" customFormat="1">
      <c r="A450" s="59"/>
      <c r="E450" s="347"/>
      <c r="F450" s="347"/>
      <c r="G450" s="93"/>
      <c r="H450" s="93"/>
      <c r="I450" s="93"/>
      <c r="J450" s="93"/>
      <c r="L450" s="42"/>
    </row>
    <row r="451" spans="1:12">
      <c r="A451" s="59"/>
      <c r="B451" s="95"/>
      <c r="C451" s="95"/>
      <c r="D451" s="95"/>
      <c r="E451" s="60"/>
      <c r="F451" s="60"/>
      <c r="G451" s="93"/>
      <c r="H451" s="93"/>
      <c r="I451" s="93"/>
      <c r="J451" s="93"/>
    </row>
    <row r="452" spans="1:12">
      <c r="A452" s="59"/>
      <c r="B452" s="44"/>
      <c r="C452" s="44"/>
      <c r="D452" s="44"/>
      <c r="E452" s="347"/>
      <c r="F452" s="347"/>
      <c r="G452" s="93"/>
      <c r="H452" s="93"/>
      <c r="I452" s="93"/>
      <c r="J452" s="93"/>
    </row>
    <row r="453" spans="1:12">
      <c r="A453" s="59"/>
      <c r="B453" s="44"/>
      <c r="C453" s="44"/>
      <c r="D453" s="44"/>
      <c r="E453" s="347"/>
      <c r="F453" s="347"/>
      <c r="G453" s="93"/>
      <c r="H453" s="93"/>
      <c r="I453" s="93"/>
      <c r="J453" s="93"/>
    </row>
    <row r="454" spans="1:12">
      <c r="A454" s="42"/>
      <c r="B454" s="44"/>
      <c r="C454" s="44"/>
      <c r="D454" s="44"/>
      <c r="E454" s="347"/>
      <c r="F454" s="347"/>
      <c r="G454" s="93"/>
      <c r="H454" s="93"/>
      <c r="I454" s="93"/>
      <c r="J454" s="93"/>
    </row>
    <row r="455" spans="1:12">
      <c r="A455" s="42"/>
      <c r="B455" s="44"/>
      <c r="C455" s="44"/>
      <c r="D455" s="44"/>
      <c r="E455" s="51"/>
      <c r="F455" s="51"/>
      <c r="G455" s="93"/>
      <c r="H455" s="93"/>
      <c r="I455" s="93"/>
      <c r="J455" s="93"/>
    </row>
    <row r="456" spans="1:12">
      <c r="A456" s="42"/>
      <c r="B456" s="44"/>
      <c r="C456" s="44"/>
      <c r="D456" s="44"/>
      <c r="E456" s="347"/>
      <c r="F456" s="347"/>
      <c r="G456" s="93"/>
      <c r="H456" s="93"/>
      <c r="I456" s="93"/>
      <c r="J456" s="93"/>
    </row>
    <row r="457" spans="1:12">
      <c r="A457" s="42"/>
      <c r="B457" s="44"/>
      <c r="C457" s="44"/>
      <c r="D457" s="44"/>
      <c r="E457" s="347"/>
      <c r="F457" s="347"/>
      <c r="G457" s="336"/>
      <c r="H457" s="336"/>
      <c r="I457" s="336"/>
      <c r="J457" s="336"/>
    </row>
    <row r="458" spans="1:12">
      <c r="A458" s="42"/>
      <c r="B458" s="44"/>
      <c r="C458" s="44"/>
      <c r="D458" s="44"/>
      <c r="E458" s="51"/>
      <c r="F458" s="51"/>
      <c r="G458" s="93"/>
      <c r="H458" s="93"/>
      <c r="I458" s="93"/>
      <c r="J458" s="93"/>
    </row>
    <row r="459" spans="1:12">
      <c r="A459" s="42"/>
      <c r="B459" s="44"/>
      <c r="C459" s="44"/>
      <c r="D459" s="44"/>
      <c r="E459" s="347"/>
      <c r="F459" s="347"/>
      <c r="G459" s="336"/>
      <c r="H459" s="336"/>
      <c r="I459" s="336"/>
      <c r="J459" s="336"/>
    </row>
    <row r="460" spans="1:12">
      <c r="B460" s="44"/>
      <c r="C460" s="44"/>
      <c r="D460" s="44"/>
      <c r="G460" s="85"/>
      <c r="H460" s="85"/>
      <c r="I460" s="85"/>
      <c r="J460" s="85"/>
    </row>
    <row r="461" spans="1:12" s="44" customFormat="1">
      <c r="A461" s="13"/>
      <c r="E461" s="6"/>
      <c r="F461" s="6"/>
      <c r="G461" s="85"/>
      <c r="H461" s="85"/>
      <c r="I461" s="85"/>
      <c r="J461" s="85"/>
      <c r="L461" s="42"/>
    </row>
    <row r="462" spans="1:12" s="44" customFormat="1">
      <c r="A462" s="13"/>
      <c r="E462" s="6"/>
      <c r="F462" s="6"/>
      <c r="G462" s="85"/>
      <c r="H462" s="85"/>
      <c r="I462" s="85"/>
      <c r="J462" s="85"/>
      <c r="L462" s="42"/>
    </row>
    <row r="463" spans="1:12" s="44" customFormat="1">
      <c r="A463" s="13"/>
      <c r="E463" s="6"/>
      <c r="F463" s="6"/>
      <c r="G463" s="85"/>
      <c r="H463" s="85"/>
      <c r="I463" s="85"/>
      <c r="J463" s="85"/>
      <c r="L463" s="42"/>
    </row>
    <row r="464" spans="1:12">
      <c r="A464" s="59"/>
      <c r="B464" s="44"/>
      <c r="C464" s="44"/>
      <c r="D464" s="44"/>
      <c r="E464" s="347"/>
      <c r="F464" s="347"/>
      <c r="G464" s="93"/>
      <c r="H464" s="93"/>
      <c r="I464" s="93"/>
      <c r="J464" s="93"/>
    </row>
    <row r="465" spans="1:10">
      <c r="A465" s="59"/>
      <c r="B465" s="44"/>
      <c r="C465" s="44"/>
      <c r="D465" s="44"/>
      <c r="E465" s="347"/>
      <c r="F465" s="347"/>
      <c r="G465" s="93"/>
      <c r="H465" s="93"/>
      <c r="I465" s="93"/>
      <c r="J465" s="93"/>
    </row>
    <row r="466" spans="1:10">
      <c r="A466" s="59"/>
      <c r="B466" s="44"/>
      <c r="C466" s="44"/>
      <c r="D466" s="44"/>
      <c r="E466" s="51"/>
      <c r="F466" s="51"/>
      <c r="G466" s="93"/>
      <c r="H466" s="93"/>
      <c r="I466" s="93"/>
      <c r="J466" s="93"/>
    </row>
    <row r="467" spans="1:10">
      <c r="A467" s="59"/>
      <c r="B467" s="44"/>
      <c r="C467" s="44"/>
      <c r="D467" s="44"/>
      <c r="E467" s="51"/>
      <c r="F467" s="51"/>
      <c r="G467" s="93"/>
      <c r="H467" s="93"/>
      <c r="I467" s="93"/>
      <c r="J467" s="93"/>
    </row>
    <row r="468" spans="1:10">
      <c r="A468" s="59"/>
      <c r="B468" s="44"/>
      <c r="C468" s="44"/>
      <c r="D468" s="44"/>
      <c r="E468" s="347"/>
      <c r="F468" s="347"/>
      <c r="G468" s="93"/>
      <c r="H468" s="93"/>
      <c r="I468" s="93"/>
      <c r="J468" s="93"/>
    </row>
    <row r="469" spans="1:10">
      <c r="A469" s="59"/>
      <c r="B469" s="44"/>
      <c r="C469" s="44"/>
      <c r="D469" s="44"/>
      <c r="E469" s="347"/>
      <c r="F469" s="347"/>
      <c r="G469" s="93"/>
      <c r="H469" s="93"/>
      <c r="I469" s="93"/>
      <c r="J469" s="93"/>
    </row>
    <row r="470" spans="1:10">
      <c r="A470" s="59"/>
      <c r="B470" s="44"/>
      <c r="C470" s="44"/>
      <c r="D470" s="44"/>
      <c r="E470" s="347"/>
      <c r="F470" s="347"/>
      <c r="G470" s="93"/>
      <c r="H470" s="93"/>
      <c r="I470" s="93"/>
      <c r="J470" s="93"/>
    </row>
    <row r="471" spans="1:10">
      <c r="A471" s="59"/>
      <c r="B471" s="44"/>
      <c r="C471" s="44"/>
      <c r="D471" s="44"/>
      <c r="E471" s="347"/>
      <c r="F471" s="347"/>
      <c r="G471" s="93"/>
      <c r="H471" s="93"/>
      <c r="I471" s="93"/>
      <c r="J471" s="93"/>
    </row>
    <row r="472" spans="1:10">
      <c r="A472" s="59"/>
      <c r="B472" s="44"/>
      <c r="C472" s="44"/>
      <c r="D472" s="44"/>
      <c r="E472" s="347"/>
      <c r="F472" s="347"/>
      <c r="G472" s="93"/>
      <c r="H472" s="93"/>
      <c r="I472" s="93"/>
      <c r="J472" s="93"/>
    </row>
    <row r="473" spans="1:10">
      <c r="A473" s="59"/>
      <c r="B473" s="44"/>
      <c r="C473" s="44"/>
      <c r="D473" s="44"/>
      <c r="E473" s="347"/>
      <c r="F473" s="347"/>
      <c r="G473" s="93"/>
      <c r="H473" s="93"/>
      <c r="I473" s="93"/>
      <c r="J473" s="93"/>
    </row>
    <row r="474" spans="1:10">
      <c r="A474" s="59"/>
      <c r="B474" s="44"/>
      <c r="C474" s="44"/>
      <c r="D474" s="44"/>
      <c r="E474" s="347"/>
      <c r="F474" s="347"/>
      <c r="G474" s="93"/>
      <c r="H474" s="93"/>
      <c r="I474" s="93"/>
      <c r="J474" s="93"/>
    </row>
    <row r="475" spans="1:10">
      <c r="A475" s="59"/>
      <c r="B475" s="44"/>
      <c r="C475" s="44"/>
      <c r="D475" s="44"/>
      <c r="E475" s="347"/>
      <c r="F475" s="347"/>
      <c r="G475" s="93"/>
      <c r="H475" s="93"/>
      <c r="I475" s="93"/>
      <c r="J475" s="93"/>
    </row>
    <row r="476" spans="1:10">
      <c r="A476" s="59"/>
      <c r="B476" s="44"/>
      <c r="C476" s="44"/>
      <c r="D476" s="44"/>
      <c r="E476" s="347"/>
      <c r="F476" s="347"/>
      <c r="G476" s="93"/>
      <c r="H476" s="93"/>
      <c r="I476" s="93"/>
      <c r="J476" s="93"/>
    </row>
    <row r="477" spans="1:10">
      <c r="A477" s="59"/>
      <c r="B477" s="44"/>
      <c r="C477" s="44"/>
      <c r="D477" s="44"/>
      <c r="E477" s="347"/>
      <c r="F477" s="347"/>
      <c r="G477" s="93"/>
      <c r="H477" s="93"/>
      <c r="I477" s="93"/>
      <c r="J477" s="93"/>
    </row>
    <row r="478" spans="1:10">
      <c r="A478" s="59"/>
      <c r="B478" s="44"/>
      <c r="C478" s="44"/>
      <c r="D478" s="44"/>
      <c r="E478" s="347"/>
      <c r="F478" s="347"/>
      <c r="G478" s="93"/>
      <c r="H478" s="93"/>
      <c r="I478" s="93"/>
      <c r="J478" s="93"/>
    </row>
    <row r="479" spans="1:10">
      <c r="A479" s="59"/>
      <c r="B479" s="44"/>
      <c r="C479" s="44"/>
      <c r="D479" s="44"/>
      <c r="E479" s="347"/>
      <c r="F479" s="347"/>
      <c r="G479" s="93"/>
      <c r="H479" s="93"/>
      <c r="I479" s="93"/>
      <c r="J479" s="93"/>
    </row>
    <row r="480" spans="1:10">
      <c r="A480" s="42"/>
      <c r="B480" s="44"/>
      <c r="C480" s="44"/>
      <c r="D480" s="44"/>
      <c r="E480" s="51"/>
      <c r="F480" s="51"/>
      <c r="G480" s="336"/>
      <c r="H480" s="336"/>
      <c r="I480" s="336"/>
      <c r="J480" s="336"/>
    </row>
    <row r="481" spans="1:10">
      <c r="A481" s="59"/>
      <c r="B481" s="44"/>
      <c r="C481" s="44"/>
      <c r="D481" s="44"/>
      <c r="E481" s="51"/>
      <c r="F481" s="51"/>
      <c r="G481" s="93"/>
      <c r="H481" s="93"/>
      <c r="I481" s="93"/>
      <c r="J481" s="93"/>
    </row>
    <row r="482" spans="1:10">
      <c r="A482" s="59"/>
      <c r="B482" s="44"/>
      <c r="C482" s="44"/>
      <c r="D482" s="44"/>
      <c r="E482" s="51"/>
      <c r="F482" s="51"/>
      <c r="G482" s="93"/>
      <c r="H482" s="93"/>
      <c r="I482" s="93"/>
      <c r="J482" s="93"/>
    </row>
    <row r="483" spans="1:10">
      <c r="A483" s="59"/>
      <c r="B483" s="44"/>
      <c r="C483" s="44"/>
      <c r="D483" s="44"/>
      <c r="E483" s="51"/>
      <c r="F483" s="51"/>
      <c r="G483" s="93"/>
      <c r="H483" s="93"/>
      <c r="I483" s="93"/>
      <c r="J483" s="93"/>
    </row>
    <row r="484" spans="1:10">
      <c r="A484" s="59"/>
      <c r="B484" s="95"/>
      <c r="C484" s="95"/>
      <c r="D484" s="95"/>
      <c r="E484" s="60"/>
      <c r="F484" s="60"/>
      <c r="G484" s="93"/>
      <c r="H484" s="93"/>
      <c r="I484" s="93"/>
      <c r="J484" s="93"/>
    </row>
    <row r="485" spans="1:10">
      <c r="A485" s="59"/>
      <c r="B485" s="95"/>
      <c r="C485" s="95"/>
      <c r="D485" s="95"/>
      <c r="E485" s="60"/>
      <c r="F485" s="60"/>
      <c r="G485" s="93"/>
      <c r="H485" s="93"/>
      <c r="I485" s="93"/>
      <c r="J485" s="93"/>
    </row>
    <row r="486" spans="1:10">
      <c r="A486" s="59"/>
      <c r="B486" s="44"/>
      <c r="C486" s="44"/>
      <c r="D486" s="44"/>
      <c r="E486" s="51"/>
      <c r="F486" s="51"/>
      <c r="G486" s="93"/>
      <c r="H486" s="93"/>
      <c r="I486" s="93"/>
      <c r="J486" s="93"/>
    </row>
    <row r="487" spans="1:10">
      <c r="A487" s="59"/>
      <c r="B487" s="44"/>
      <c r="C487" s="44"/>
      <c r="D487" s="44"/>
      <c r="E487" s="347"/>
      <c r="F487" s="347"/>
      <c r="G487" s="93"/>
      <c r="H487" s="93"/>
      <c r="I487" s="93"/>
      <c r="J487" s="93"/>
    </row>
    <row r="488" spans="1:10">
      <c r="A488" s="59"/>
      <c r="B488" s="44"/>
      <c r="C488" s="44"/>
      <c r="D488" s="44"/>
      <c r="E488" s="51"/>
      <c r="F488" s="51"/>
      <c r="G488" s="93"/>
      <c r="H488" s="93"/>
      <c r="I488" s="93"/>
      <c r="J488" s="93"/>
    </row>
    <row r="489" spans="1:10">
      <c r="A489" s="59"/>
      <c r="B489" s="95"/>
      <c r="C489" s="95"/>
      <c r="D489" s="95"/>
      <c r="E489" s="347"/>
      <c r="F489" s="347"/>
      <c r="G489" s="93"/>
      <c r="H489" s="93"/>
      <c r="I489" s="93"/>
      <c r="J489" s="93"/>
    </row>
    <row r="490" spans="1:10">
      <c r="A490" s="59"/>
      <c r="B490" s="44"/>
      <c r="C490" s="44"/>
      <c r="D490" s="44"/>
      <c r="E490" s="347"/>
      <c r="F490" s="347"/>
      <c r="G490" s="93"/>
      <c r="H490" s="93"/>
      <c r="I490" s="93"/>
      <c r="J490" s="93"/>
    </row>
    <row r="491" spans="1:10">
      <c r="A491" s="59"/>
      <c r="B491" s="44"/>
      <c r="C491" s="44"/>
      <c r="D491" s="44"/>
      <c r="E491" s="347"/>
      <c r="F491" s="347"/>
      <c r="G491" s="337"/>
      <c r="H491" s="337"/>
      <c r="I491" s="337"/>
      <c r="J491" s="337"/>
    </row>
    <row r="492" spans="1:10">
      <c r="A492" s="59"/>
      <c r="B492" s="142"/>
      <c r="C492" s="142"/>
      <c r="D492" s="142"/>
      <c r="E492" s="348"/>
      <c r="F492" s="348"/>
      <c r="G492" s="337"/>
      <c r="H492" s="337"/>
      <c r="I492" s="337"/>
      <c r="J492" s="337"/>
    </row>
    <row r="493" spans="1:10">
      <c r="A493" s="42"/>
      <c r="B493" s="140"/>
      <c r="C493" s="140"/>
      <c r="D493" s="140"/>
      <c r="E493" s="347"/>
      <c r="F493" s="347"/>
      <c r="G493" s="336"/>
      <c r="H493" s="336"/>
      <c r="I493" s="336"/>
      <c r="J493" s="336"/>
    </row>
    <row r="494" spans="1:10">
      <c r="A494" s="59"/>
      <c r="G494" s="68"/>
      <c r="H494" s="68"/>
      <c r="I494" s="68"/>
      <c r="J494" s="68"/>
    </row>
    <row r="495" spans="1:10">
      <c r="A495" s="59"/>
      <c r="G495" s="68"/>
      <c r="H495" s="68"/>
      <c r="I495" s="68"/>
      <c r="J495" s="68"/>
    </row>
    <row r="496" spans="1:10">
      <c r="A496" s="59"/>
      <c r="G496" s="68"/>
      <c r="H496" s="68"/>
      <c r="I496" s="68"/>
      <c r="J496" s="68"/>
    </row>
    <row r="497" spans="1:10">
      <c r="A497" s="59"/>
      <c r="G497" s="68"/>
      <c r="H497" s="68"/>
      <c r="I497" s="68"/>
      <c r="J497" s="68"/>
    </row>
    <row r="498" spans="1:10">
      <c r="A498" s="59"/>
      <c r="G498" s="68"/>
      <c r="H498" s="68"/>
      <c r="I498" s="68"/>
      <c r="J498" s="68"/>
    </row>
    <row r="499" spans="1:10">
      <c r="A499" s="59"/>
      <c r="G499" s="68"/>
      <c r="H499" s="68"/>
      <c r="I499" s="68"/>
      <c r="J499" s="68"/>
    </row>
    <row r="500" spans="1:10">
      <c r="A500" s="59"/>
      <c r="G500" s="68"/>
      <c r="H500" s="68"/>
      <c r="I500" s="68"/>
      <c r="J500" s="68"/>
    </row>
    <row r="501" spans="1:10">
      <c r="A501" s="59"/>
      <c r="G501" s="68"/>
      <c r="H501" s="68"/>
      <c r="I501" s="68"/>
      <c r="J501" s="68"/>
    </row>
    <row r="502" spans="1:10">
      <c r="A502" s="59"/>
      <c r="G502" s="68"/>
      <c r="H502" s="68"/>
      <c r="I502" s="68"/>
      <c r="J502" s="68"/>
    </row>
    <row r="503" spans="1:10">
      <c r="A503" s="59"/>
      <c r="G503" s="68"/>
      <c r="H503" s="68"/>
      <c r="I503" s="68"/>
      <c r="J503" s="68"/>
    </row>
    <row r="504" spans="1:10">
      <c r="A504" s="59"/>
      <c r="G504" s="68"/>
      <c r="H504" s="68"/>
      <c r="I504" s="68"/>
      <c r="J504" s="68"/>
    </row>
    <row r="505" spans="1:10">
      <c r="A505" s="59"/>
      <c r="G505" s="68"/>
      <c r="H505" s="68"/>
      <c r="I505" s="68"/>
      <c r="J505" s="68"/>
    </row>
    <row r="506" spans="1:10">
      <c r="A506" s="59"/>
      <c r="G506" s="68"/>
      <c r="H506" s="68"/>
      <c r="I506" s="68"/>
      <c r="J506" s="68"/>
    </row>
    <row r="507" spans="1:10">
      <c r="A507" s="59"/>
      <c r="G507" s="68"/>
      <c r="H507" s="68"/>
      <c r="I507" s="68"/>
      <c r="J507" s="68"/>
    </row>
    <row r="508" spans="1:10">
      <c r="A508" s="59"/>
      <c r="G508" s="68"/>
      <c r="H508" s="68"/>
      <c r="I508" s="68"/>
      <c r="J508" s="68"/>
    </row>
    <row r="509" spans="1:10">
      <c r="A509" s="59"/>
      <c r="G509" s="68"/>
      <c r="H509" s="68"/>
      <c r="I509" s="68"/>
      <c r="J509" s="68"/>
    </row>
    <row r="510" spans="1:10">
      <c r="A510" s="59"/>
      <c r="G510" s="68"/>
      <c r="H510" s="68"/>
      <c r="I510" s="68"/>
      <c r="J510" s="68"/>
    </row>
    <row r="511" spans="1:10">
      <c r="A511" s="59"/>
      <c r="G511" s="68"/>
      <c r="H511" s="68"/>
      <c r="I511" s="68"/>
      <c r="J511" s="68"/>
    </row>
    <row r="512" spans="1:10">
      <c r="A512" s="59"/>
      <c r="G512" s="68"/>
      <c r="H512" s="68"/>
      <c r="I512" s="68"/>
      <c r="J512" s="68"/>
    </row>
    <row r="513" spans="1:10">
      <c r="A513" s="59"/>
      <c r="G513" s="68"/>
      <c r="H513" s="68"/>
      <c r="I513" s="68"/>
      <c r="J513" s="68"/>
    </row>
    <row r="514" spans="1:10">
      <c r="A514" s="59"/>
      <c r="G514" s="68"/>
      <c r="H514" s="68"/>
      <c r="I514" s="68"/>
      <c r="J514" s="68"/>
    </row>
    <row r="515" spans="1:10">
      <c r="A515" s="59"/>
      <c r="G515" s="68"/>
      <c r="H515" s="68"/>
      <c r="I515" s="68"/>
      <c r="J515" s="68"/>
    </row>
    <row r="516" spans="1:10">
      <c r="A516" s="59"/>
      <c r="G516" s="68"/>
      <c r="H516" s="68"/>
      <c r="I516" s="68"/>
      <c r="J516" s="68"/>
    </row>
    <row r="517" spans="1:10">
      <c r="A517" s="59"/>
      <c r="G517" s="68"/>
      <c r="H517" s="68"/>
      <c r="I517" s="68"/>
      <c r="J517" s="68"/>
    </row>
    <row r="518" spans="1:10">
      <c r="A518" s="59"/>
      <c r="G518" s="68"/>
      <c r="H518" s="68"/>
      <c r="I518" s="68"/>
      <c r="J518" s="68"/>
    </row>
    <row r="519" spans="1:10">
      <c r="A519" s="59"/>
      <c r="G519" s="68"/>
      <c r="H519" s="68"/>
      <c r="I519" s="68"/>
      <c r="J519" s="68"/>
    </row>
    <row r="520" spans="1:10">
      <c r="A520" s="59"/>
      <c r="G520" s="68"/>
      <c r="H520" s="68"/>
      <c r="I520" s="68"/>
      <c r="J520" s="68"/>
    </row>
    <row r="521" spans="1:10">
      <c r="A521" s="59"/>
      <c r="G521" s="68"/>
      <c r="H521" s="68"/>
      <c r="I521" s="68"/>
      <c r="J521" s="68"/>
    </row>
    <row r="522" spans="1:10">
      <c r="A522" s="59"/>
      <c r="G522" s="68"/>
      <c r="H522" s="68"/>
      <c r="I522" s="68"/>
      <c r="J522" s="68"/>
    </row>
    <row r="523" spans="1:10">
      <c r="A523" s="59"/>
      <c r="G523" s="68"/>
      <c r="H523" s="68"/>
      <c r="I523" s="68"/>
      <c r="J523" s="68"/>
    </row>
    <row r="524" spans="1:10">
      <c r="A524" s="59"/>
      <c r="G524" s="68"/>
      <c r="H524" s="68"/>
      <c r="I524" s="68"/>
      <c r="J524" s="68"/>
    </row>
    <row r="525" spans="1:10">
      <c r="A525" s="59"/>
      <c r="G525" s="68"/>
      <c r="H525" s="68"/>
      <c r="I525" s="68"/>
      <c r="J525" s="68"/>
    </row>
    <row r="526" spans="1:10">
      <c r="A526" s="59"/>
      <c r="B526" s="44"/>
      <c r="C526" s="44"/>
      <c r="D526" s="44"/>
      <c r="E526" s="51"/>
      <c r="F526" s="51"/>
      <c r="G526" s="45"/>
      <c r="H526" s="45"/>
      <c r="I526" s="45"/>
      <c r="J526" s="45"/>
    </row>
    <row r="527" spans="1:10">
      <c r="A527" s="59"/>
      <c r="B527" s="44"/>
      <c r="C527" s="44"/>
      <c r="D527" s="44"/>
      <c r="E527" s="51"/>
      <c r="F527" s="51"/>
      <c r="G527" s="45"/>
      <c r="H527" s="45"/>
      <c r="I527" s="45"/>
      <c r="J527" s="45"/>
    </row>
    <row r="528" spans="1:10">
      <c r="A528" s="59"/>
      <c r="B528" s="69"/>
      <c r="C528" s="69"/>
      <c r="D528" s="69"/>
      <c r="E528" s="51"/>
      <c r="F528" s="51"/>
      <c r="G528" s="45"/>
      <c r="H528" s="45"/>
      <c r="I528" s="45"/>
      <c r="J528" s="45"/>
    </row>
    <row r="529" spans="1:12" s="44" customFormat="1">
      <c r="A529" s="42"/>
      <c r="B529" s="140"/>
      <c r="C529" s="140"/>
      <c r="D529" s="140"/>
      <c r="E529" s="347"/>
      <c r="F529" s="347"/>
      <c r="G529" s="45"/>
      <c r="H529" s="45"/>
      <c r="I529" s="45"/>
      <c r="J529" s="45"/>
      <c r="L529" s="42"/>
    </row>
    <row r="530" spans="1:12">
      <c r="A530" s="42"/>
      <c r="B530" s="142"/>
      <c r="C530" s="142"/>
      <c r="D530" s="142"/>
      <c r="E530" s="348"/>
      <c r="F530" s="348"/>
      <c r="G530" s="337"/>
      <c r="H530" s="337"/>
      <c r="I530" s="337"/>
      <c r="J530" s="337"/>
    </row>
    <row r="531" spans="1:12">
      <c r="A531" s="59"/>
      <c r="G531" s="45"/>
      <c r="H531" s="45"/>
      <c r="I531" s="45"/>
      <c r="J531" s="45"/>
    </row>
    <row r="532" spans="1:12">
      <c r="A532" s="59"/>
      <c r="B532" s="44"/>
      <c r="C532" s="44"/>
      <c r="D532" s="44"/>
      <c r="E532" s="51"/>
      <c r="F532" s="51"/>
      <c r="G532" s="45"/>
      <c r="H532" s="45"/>
      <c r="I532" s="45"/>
      <c r="J532" s="45"/>
    </row>
    <row r="533" spans="1:12">
      <c r="A533" s="42"/>
      <c r="B533" s="44"/>
      <c r="C533" s="44"/>
      <c r="D533" s="44"/>
      <c r="E533" s="51"/>
      <c r="F533" s="51"/>
      <c r="G533" s="45"/>
      <c r="H533" s="45"/>
      <c r="I533" s="45"/>
      <c r="J533" s="45"/>
    </row>
    <row r="534" spans="1:12">
      <c r="A534" s="42"/>
      <c r="B534" s="140"/>
      <c r="C534" s="140"/>
      <c r="D534" s="140"/>
      <c r="E534" s="347"/>
      <c r="F534" s="347"/>
      <c r="G534" s="336"/>
      <c r="H534" s="336"/>
      <c r="I534" s="336"/>
      <c r="J534" s="336"/>
    </row>
    <row r="535" spans="1:12">
      <c r="A535" s="42"/>
      <c r="B535" s="140"/>
      <c r="C535" s="140"/>
      <c r="D535" s="140"/>
      <c r="E535" s="347"/>
      <c r="F535" s="347"/>
      <c r="G535" s="336"/>
      <c r="H535" s="336"/>
      <c r="I535" s="336"/>
      <c r="J535" s="336"/>
    </row>
    <row r="536" spans="1:12">
      <c r="A536" s="42"/>
      <c r="B536" s="44"/>
      <c r="C536" s="44"/>
      <c r="D536" s="44"/>
      <c r="E536" s="347"/>
      <c r="F536" s="347"/>
      <c r="G536" s="336"/>
      <c r="H536" s="336"/>
      <c r="I536" s="336"/>
      <c r="J536" s="336"/>
    </row>
    <row r="537" spans="1:12">
      <c r="A537" s="59"/>
      <c r="B537" s="142"/>
      <c r="C537" s="142"/>
      <c r="D537" s="142"/>
      <c r="E537" s="348"/>
      <c r="F537" s="348"/>
      <c r="G537" s="337"/>
      <c r="H537" s="337"/>
      <c r="I537" s="337"/>
      <c r="J537" s="337"/>
    </row>
    <row r="538" spans="1:12">
      <c r="A538" s="42"/>
      <c r="B538" s="142"/>
      <c r="C538" s="142"/>
      <c r="D538" s="142"/>
      <c r="E538" s="348"/>
      <c r="F538" s="348"/>
      <c r="G538" s="337"/>
      <c r="H538" s="337"/>
      <c r="I538" s="337"/>
      <c r="J538" s="337"/>
    </row>
    <row r="539" spans="1:12">
      <c r="A539" s="59"/>
      <c r="B539" s="95"/>
      <c r="C539" s="95"/>
      <c r="D539" s="95"/>
      <c r="E539" s="60"/>
      <c r="F539" s="60"/>
      <c r="G539" s="93"/>
      <c r="H539" s="93"/>
      <c r="I539" s="93"/>
      <c r="J539" s="93"/>
    </row>
    <row r="540" spans="1:12">
      <c r="A540" s="59"/>
      <c r="B540" s="95"/>
      <c r="C540" s="95"/>
      <c r="D540" s="95"/>
      <c r="E540" s="60"/>
      <c r="F540" s="60"/>
      <c r="G540" s="93"/>
      <c r="H540" s="93"/>
      <c r="I540" s="93"/>
      <c r="J540" s="93"/>
    </row>
    <row r="541" spans="1:12">
      <c r="A541" s="59"/>
      <c r="B541" s="95"/>
      <c r="C541" s="95"/>
      <c r="D541" s="95"/>
      <c r="E541" s="60"/>
      <c r="F541" s="60"/>
      <c r="G541" s="93"/>
      <c r="H541" s="93"/>
      <c r="I541" s="93"/>
      <c r="J541" s="93"/>
    </row>
    <row r="542" spans="1:12">
      <c r="A542" s="59"/>
      <c r="B542" s="95"/>
      <c r="C542" s="95"/>
      <c r="D542" s="95"/>
      <c r="E542" s="60"/>
      <c r="F542" s="60"/>
      <c r="G542" s="93"/>
      <c r="H542" s="93"/>
      <c r="I542" s="93"/>
      <c r="J542" s="93"/>
    </row>
    <row r="543" spans="1:12">
      <c r="A543" s="59"/>
      <c r="B543" s="44"/>
      <c r="C543" s="44"/>
      <c r="D543" s="44"/>
      <c r="E543" s="51"/>
      <c r="F543" s="51"/>
      <c r="G543" s="93"/>
      <c r="H543" s="93"/>
      <c r="I543" s="93"/>
      <c r="J543" s="93"/>
    </row>
    <row r="544" spans="1:12">
      <c r="A544" s="59"/>
      <c r="B544" s="44"/>
      <c r="C544" s="44"/>
      <c r="D544" s="44"/>
      <c r="E544" s="51"/>
      <c r="F544" s="51"/>
      <c r="G544" s="93"/>
      <c r="H544" s="93"/>
      <c r="I544" s="93"/>
      <c r="J544" s="93"/>
    </row>
    <row r="545" spans="1:10">
      <c r="A545" s="59"/>
      <c r="B545" s="44"/>
      <c r="C545" s="44"/>
      <c r="D545" s="44"/>
      <c r="E545" s="51"/>
      <c r="F545" s="51"/>
      <c r="G545" s="93"/>
      <c r="H545" s="93"/>
      <c r="I545" s="93"/>
      <c r="J545" s="93"/>
    </row>
    <row r="546" spans="1:10">
      <c r="A546" s="59"/>
      <c r="B546" s="44"/>
      <c r="C546" s="44"/>
      <c r="D546" s="44"/>
      <c r="E546" s="51"/>
      <c r="F546" s="51"/>
      <c r="G546" s="93"/>
      <c r="H546" s="93"/>
      <c r="I546" s="93"/>
      <c r="J546" s="93"/>
    </row>
    <row r="547" spans="1:10">
      <c r="A547" s="59"/>
      <c r="B547" s="44"/>
      <c r="C547" s="44"/>
      <c r="D547" s="44"/>
      <c r="E547" s="51"/>
      <c r="F547" s="51"/>
      <c r="G547" s="93"/>
      <c r="H547" s="93"/>
      <c r="I547" s="93"/>
      <c r="J547" s="93"/>
    </row>
    <row r="548" spans="1:10">
      <c r="A548" s="59"/>
      <c r="B548" s="140"/>
      <c r="C548" s="140"/>
      <c r="D548" s="140"/>
      <c r="E548" s="51"/>
      <c r="F548" s="51"/>
      <c r="G548" s="93"/>
      <c r="H548" s="93"/>
      <c r="I548" s="93"/>
      <c r="J548" s="93"/>
    </row>
    <row r="549" spans="1:10">
      <c r="A549" s="59"/>
      <c r="E549" s="348"/>
      <c r="F549" s="348"/>
      <c r="G549" s="93"/>
      <c r="H549" s="93"/>
      <c r="I549" s="93"/>
      <c r="J549" s="93"/>
    </row>
    <row r="550" spans="1:10">
      <c r="A550" s="59"/>
      <c r="G550" s="93"/>
      <c r="H550" s="93"/>
      <c r="I550" s="93"/>
      <c r="J550" s="93"/>
    </row>
    <row r="551" spans="1:10">
      <c r="A551" s="59"/>
      <c r="G551" s="93"/>
      <c r="H551" s="93"/>
      <c r="I551" s="93"/>
      <c r="J551" s="93"/>
    </row>
    <row r="552" spans="1:10">
      <c r="A552" s="59"/>
      <c r="G552" s="93"/>
      <c r="H552" s="93"/>
      <c r="I552" s="93"/>
      <c r="J552" s="93"/>
    </row>
    <row r="553" spans="1:10">
      <c r="A553" s="59"/>
      <c r="G553" s="93"/>
      <c r="H553" s="93"/>
      <c r="I553" s="93"/>
      <c r="J553" s="93"/>
    </row>
    <row r="554" spans="1:10">
      <c r="A554" s="59"/>
      <c r="G554" s="93"/>
      <c r="H554" s="93"/>
      <c r="I554" s="93"/>
      <c r="J554" s="93"/>
    </row>
    <row r="555" spans="1:10">
      <c r="A555" s="59"/>
      <c r="G555" s="93"/>
      <c r="H555" s="93"/>
      <c r="I555" s="93"/>
      <c r="J555" s="93"/>
    </row>
    <row r="556" spans="1:10">
      <c r="A556" s="59"/>
      <c r="G556" s="93"/>
      <c r="H556" s="93"/>
      <c r="I556" s="93"/>
      <c r="J556" s="93"/>
    </row>
    <row r="557" spans="1:10">
      <c r="A557" s="59"/>
      <c r="G557" s="93"/>
      <c r="H557" s="93"/>
      <c r="I557" s="93"/>
      <c r="J557" s="93"/>
    </row>
    <row r="558" spans="1:10">
      <c r="A558" s="59"/>
      <c r="G558" s="93"/>
      <c r="H558" s="93"/>
      <c r="I558" s="93"/>
      <c r="J558" s="93"/>
    </row>
    <row r="559" spans="1:10">
      <c r="A559" s="59"/>
      <c r="G559" s="93"/>
      <c r="H559" s="93"/>
      <c r="I559" s="93"/>
      <c r="J559" s="93"/>
    </row>
    <row r="560" spans="1:10">
      <c r="A560" s="59"/>
      <c r="G560" s="93"/>
      <c r="H560" s="93"/>
      <c r="I560" s="93"/>
      <c r="J560" s="93"/>
    </row>
    <row r="561" spans="1:10">
      <c r="E561" s="348"/>
      <c r="F561" s="348"/>
      <c r="G561" s="93"/>
      <c r="H561" s="93"/>
      <c r="I561" s="93"/>
      <c r="J561" s="93"/>
    </row>
    <row r="562" spans="1:10">
      <c r="A562" s="59"/>
      <c r="B562" s="127"/>
      <c r="C562" s="127"/>
      <c r="D562" s="127"/>
      <c r="E562" s="348"/>
      <c r="F562" s="348"/>
      <c r="G562" s="93"/>
      <c r="H562" s="93"/>
      <c r="I562" s="93"/>
      <c r="J562" s="93"/>
    </row>
    <row r="563" spans="1:10">
      <c r="A563" s="59"/>
      <c r="B563" s="127"/>
      <c r="C563" s="127"/>
      <c r="D563" s="127"/>
      <c r="E563" s="348"/>
      <c r="F563" s="348"/>
      <c r="G563" s="93"/>
      <c r="H563" s="93"/>
      <c r="I563" s="93"/>
      <c r="J563" s="93"/>
    </row>
    <row r="564" spans="1:10">
      <c r="G564" s="93"/>
      <c r="H564" s="93"/>
      <c r="I564" s="93"/>
      <c r="J564" s="93"/>
    </row>
    <row r="565" spans="1:10">
      <c r="G565" s="93"/>
      <c r="H565" s="93"/>
      <c r="I565" s="93"/>
      <c r="J565" s="93"/>
    </row>
    <row r="566" spans="1:10">
      <c r="G566" s="93"/>
      <c r="H566" s="93"/>
      <c r="I566" s="93"/>
      <c r="J566" s="93"/>
    </row>
    <row r="567" spans="1:10">
      <c r="G567" s="93"/>
      <c r="H567" s="93"/>
      <c r="I567" s="93"/>
      <c r="J567" s="93"/>
    </row>
    <row r="568" spans="1:10">
      <c r="G568" s="93"/>
      <c r="H568" s="93"/>
      <c r="I568" s="93"/>
      <c r="J568" s="93"/>
    </row>
    <row r="569" spans="1:10">
      <c r="G569" s="93"/>
      <c r="H569" s="93"/>
      <c r="I569" s="93"/>
      <c r="J569" s="93"/>
    </row>
    <row r="570" spans="1:10">
      <c r="E570" s="348"/>
      <c r="F570" s="348"/>
      <c r="G570" s="93"/>
      <c r="H570" s="93"/>
      <c r="I570" s="93"/>
      <c r="J570" s="93"/>
    </row>
    <row r="571" spans="1:10">
      <c r="E571" s="348"/>
      <c r="F571" s="348"/>
      <c r="G571" s="93"/>
      <c r="H571" s="93"/>
      <c r="I571" s="93"/>
      <c r="J571" s="93"/>
    </row>
    <row r="572" spans="1:10">
      <c r="G572" s="93"/>
      <c r="H572" s="93"/>
      <c r="I572" s="93"/>
      <c r="J572" s="93"/>
    </row>
    <row r="573" spans="1:10">
      <c r="G573" s="93"/>
      <c r="H573" s="93"/>
      <c r="I573" s="93"/>
      <c r="J573" s="93"/>
    </row>
    <row r="574" spans="1:10">
      <c r="G574" s="93"/>
      <c r="H574" s="93"/>
      <c r="I574" s="93"/>
      <c r="J574" s="93"/>
    </row>
    <row r="575" spans="1:10">
      <c r="G575" s="93"/>
      <c r="H575" s="93"/>
      <c r="I575" s="93"/>
      <c r="J575" s="93"/>
    </row>
    <row r="576" spans="1:10">
      <c r="G576" s="93"/>
      <c r="H576" s="93"/>
      <c r="I576" s="93"/>
      <c r="J576" s="93"/>
    </row>
    <row r="577" spans="1:10">
      <c r="G577" s="93"/>
      <c r="H577" s="93"/>
      <c r="I577" s="93"/>
      <c r="J577" s="93"/>
    </row>
    <row r="578" spans="1:10">
      <c r="G578" s="93"/>
      <c r="H578" s="93"/>
      <c r="I578" s="93"/>
      <c r="J578" s="93"/>
    </row>
    <row r="579" spans="1:10">
      <c r="G579" s="93"/>
      <c r="H579" s="93"/>
      <c r="I579" s="93"/>
      <c r="J579" s="93"/>
    </row>
    <row r="580" spans="1:10">
      <c r="G580" s="93"/>
      <c r="H580" s="93"/>
      <c r="I580" s="93"/>
      <c r="J580" s="93"/>
    </row>
    <row r="581" spans="1:10">
      <c r="G581" s="93"/>
      <c r="H581" s="93"/>
      <c r="I581" s="93"/>
      <c r="J581" s="93"/>
    </row>
    <row r="582" spans="1:10">
      <c r="G582" s="93"/>
      <c r="H582" s="93"/>
      <c r="I582" s="93"/>
      <c r="J582" s="93"/>
    </row>
    <row r="583" spans="1:10">
      <c r="G583" s="85"/>
      <c r="H583" s="85"/>
      <c r="I583" s="85"/>
      <c r="J583" s="85"/>
    </row>
    <row r="584" spans="1:10">
      <c r="G584" s="85"/>
      <c r="H584" s="85"/>
      <c r="I584" s="85"/>
      <c r="J584" s="85"/>
    </row>
    <row r="585" spans="1:10">
      <c r="G585" s="85"/>
      <c r="H585" s="85"/>
      <c r="I585" s="85"/>
      <c r="J585" s="85"/>
    </row>
    <row r="586" spans="1:10">
      <c r="G586" s="85"/>
      <c r="H586" s="85"/>
      <c r="I586" s="85"/>
      <c r="J586" s="85"/>
    </row>
    <row r="587" spans="1:10">
      <c r="G587" s="85"/>
      <c r="H587" s="85"/>
      <c r="I587" s="85"/>
      <c r="J587" s="85"/>
    </row>
    <row r="588" spans="1:10">
      <c r="G588" s="85"/>
      <c r="H588" s="85"/>
      <c r="I588" s="85"/>
      <c r="J588" s="85"/>
    </row>
    <row r="589" spans="1:10">
      <c r="G589" s="85"/>
      <c r="H589" s="85"/>
      <c r="I589" s="85"/>
      <c r="J589" s="85"/>
    </row>
    <row r="590" spans="1:10">
      <c r="G590" s="85"/>
      <c r="H590" s="85"/>
      <c r="I590" s="85"/>
      <c r="J590" s="85"/>
    </row>
    <row r="591" spans="1:10">
      <c r="G591" s="85"/>
      <c r="H591" s="85"/>
      <c r="I591" s="85"/>
      <c r="J591" s="85"/>
    </row>
    <row r="592" spans="1:10">
      <c r="A592" s="59"/>
      <c r="G592" s="85"/>
      <c r="H592" s="85"/>
      <c r="I592" s="85"/>
      <c r="J592" s="85"/>
    </row>
    <row r="593" spans="1:10">
      <c r="A593" s="59"/>
      <c r="B593" s="142"/>
      <c r="C593" s="142"/>
      <c r="D593" s="142"/>
      <c r="E593" s="348"/>
      <c r="F593" s="348"/>
      <c r="G593" s="85"/>
      <c r="H593" s="85"/>
      <c r="I593" s="85"/>
      <c r="J593" s="85"/>
    </row>
    <row r="594" spans="1:10">
      <c r="G594" s="85"/>
      <c r="H594" s="85"/>
      <c r="I594" s="85"/>
      <c r="J594" s="85"/>
    </row>
    <row r="595" spans="1:10">
      <c r="B595" s="142"/>
      <c r="C595" s="142"/>
      <c r="D595" s="142"/>
      <c r="E595" s="348"/>
      <c r="F595" s="348"/>
      <c r="G595" s="337"/>
      <c r="H595" s="337"/>
      <c r="I595" s="337"/>
      <c r="J595" s="337"/>
    </row>
    <row r="596" spans="1:10">
      <c r="A596" s="59"/>
      <c r="G596" s="85"/>
      <c r="H596" s="85"/>
      <c r="I596" s="85"/>
      <c r="J596" s="85"/>
    </row>
    <row r="597" spans="1:10">
      <c r="G597" s="85"/>
      <c r="H597" s="85"/>
      <c r="I597" s="85"/>
      <c r="J597" s="85"/>
    </row>
    <row r="598" spans="1:10">
      <c r="G598" s="85"/>
      <c r="H598" s="85"/>
      <c r="I598" s="85"/>
      <c r="J598" s="85"/>
    </row>
    <row r="599" spans="1:10">
      <c r="G599" s="85"/>
      <c r="H599" s="85"/>
      <c r="I599" s="85"/>
      <c r="J599" s="85"/>
    </row>
    <row r="600" spans="1:10">
      <c r="B600" s="263"/>
      <c r="C600" s="263"/>
      <c r="D600" s="263"/>
      <c r="E600" s="348"/>
      <c r="F600" s="348"/>
      <c r="G600" s="337"/>
      <c r="H600" s="337"/>
      <c r="I600" s="337"/>
      <c r="J600" s="337"/>
    </row>
    <row r="601" spans="1:10">
      <c r="A601" s="59"/>
      <c r="G601" s="337"/>
      <c r="H601" s="337"/>
      <c r="I601" s="337"/>
      <c r="J601" s="337"/>
    </row>
    <row r="602" spans="1:10">
      <c r="A602" s="59"/>
      <c r="G602" s="337"/>
      <c r="H602" s="337"/>
      <c r="I602" s="337"/>
      <c r="J602" s="337"/>
    </row>
    <row r="603" spans="1:10">
      <c r="A603" s="59"/>
      <c r="G603" s="337"/>
      <c r="H603" s="337"/>
      <c r="I603" s="337"/>
      <c r="J603" s="337"/>
    </row>
    <row r="604" spans="1:10">
      <c r="A604" s="59"/>
      <c r="G604" s="337"/>
      <c r="H604" s="337"/>
      <c r="I604" s="337"/>
      <c r="J604" s="337"/>
    </row>
    <row r="605" spans="1:10">
      <c r="A605" s="59"/>
      <c r="G605" s="337"/>
      <c r="H605" s="337"/>
      <c r="I605" s="337"/>
      <c r="J605" s="337"/>
    </row>
    <row r="606" spans="1:10">
      <c r="A606" s="59"/>
      <c r="G606" s="337"/>
      <c r="H606" s="337"/>
      <c r="I606" s="337"/>
      <c r="J606" s="337"/>
    </row>
    <row r="607" spans="1:10">
      <c r="A607" s="59"/>
      <c r="G607" s="337"/>
      <c r="H607" s="337"/>
      <c r="I607" s="337"/>
      <c r="J607" s="337"/>
    </row>
    <row r="608" spans="1:10">
      <c r="A608" s="59"/>
      <c r="G608" s="337"/>
      <c r="H608" s="337"/>
      <c r="I608" s="337"/>
      <c r="J608" s="337"/>
    </row>
    <row r="609" spans="1:10">
      <c r="A609" s="59"/>
      <c r="G609" s="337"/>
      <c r="H609" s="337"/>
      <c r="I609" s="337"/>
      <c r="J609" s="337"/>
    </row>
    <row r="610" spans="1:10">
      <c r="A610" s="59"/>
      <c r="G610" s="337"/>
      <c r="H610" s="337"/>
      <c r="I610" s="337"/>
      <c r="J610" s="337"/>
    </row>
    <row r="611" spans="1:10">
      <c r="A611" s="59"/>
      <c r="G611" s="337"/>
      <c r="H611" s="337"/>
      <c r="I611" s="337"/>
      <c r="J611" s="337"/>
    </row>
    <row r="612" spans="1:10">
      <c r="A612" s="59"/>
      <c r="G612" s="337"/>
      <c r="H612" s="337"/>
      <c r="I612" s="337"/>
      <c r="J612" s="337"/>
    </row>
    <row r="613" spans="1:10">
      <c r="A613" s="59"/>
      <c r="G613" s="337"/>
      <c r="H613" s="337"/>
      <c r="I613" s="337"/>
      <c r="J613" s="337"/>
    </row>
    <row r="614" spans="1:10">
      <c r="A614" s="59"/>
      <c r="G614" s="337"/>
      <c r="H614" s="337"/>
      <c r="I614" s="337"/>
      <c r="J614" s="337"/>
    </row>
    <row r="615" spans="1:10">
      <c r="B615" s="142"/>
      <c r="C615" s="142"/>
      <c r="D615" s="142"/>
      <c r="E615" s="348"/>
      <c r="F615" s="348"/>
      <c r="G615" s="337"/>
      <c r="H615" s="337"/>
      <c r="I615" s="337"/>
      <c r="J615" s="337"/>
    </row>
    <row r="616" spans="1:10">
      <c r="B616" s="142"/>
      <c r="C616" s="142"/>
      <c r="D616" s="142"/>
      <c r="E616" s="348"/>
      <c r="F616" s="348"/>
      <c r="G616" s="337"/>
      <c r="H616" s="337"/>
      <c r="I616" s="337"/>
      <c r="J616" s="337"/>
    </row>
    <row r="617" spans="1:10">
      <c r="B617" s="142"/>
      <c r="C617" s="142"/>
      <c r="D617" s="142"/>
      <c r="G617" s="337"/>
      <c r="H617" s="337"/>
      <c r="I617" s="337"/>
      <c r="J617" s="337"/>
    </row>
    <row r="618" spans="1:10">
      <c r="G618" s="337"/>
      <c r="H618" s="337"/>
      <c r="I618" s="337"/>
      <c r="J618" s="337"/>
    </row>
    <row r="619" spans="1:10">
      <c r="G619" s="85"/>
      <c r="H619" s="85"/>
      <c r="I619" s="85"/>
      <c r="J619" s="85"/>
    </row>
    <row r="620" spans="1:10">
      <c r="G620" s="85"/>
      <c r="H620" s="85"/>
      <c r="I620" s="85"/>
      <c r="J620" s="85"/>
    </row>
    <row r="621" spans="1:10">
      <c r="G621" s="85"/>
      <c r="H621" s="85"/>
      <c r="I621" s="85"/>
      <c r="J621" s="85"/>
    </row>
    <row r="622" spans="1:10">
      <c r="G622" s="85"/>
      <c r="H622" s="85"/>
      <c r="I622" s="85"/>
      <c r="J622" s="85"/>
    </row>
    <row r="623" spans="1:10">
      <c r="G623" s="85"/>
      <c r="H623" s="85"/>
      <c r="I623" s="85"/>
      <c r="J623" s="85"/>
    </row>
    <row r="624" spans="1:10">
      <c r="G624" s="85"/>
      <c r="H624" s="85"/>
      <c r="I624" s="85"/>
      <c r="J624" s="85"/>
    </row>
    <row r="625" spans="5:10">
      <c r="G625" s="85"/>
      <c r="H625" s="85"/>
      <c r="I625" s="85"/>
      <c r="J625" s="85"/>
    </row>
    <row r="626" spans="5:10">
      <c r="G626" s="85"/>
      <c r="H626" s="85"/>
      <c r="I626" s="85"/>
      <c r="J626" s="85"/>
    </row>
    <row r="627" spans="5:10">
      <c r="G627" s="85"/>
      <c r="H627" s="85"/>
      <c r="I627" s="85"/>
      <c r="J627" s="85"/>
    </row>
    <row r="628" spans="5:10">
      <c r="G628" s="85"/>
      <c r="H628" s="85"/>
      <c r="I628" s="85"/>
      <c r="J628" s="85"/>
    </row>
    <row r="629" spans="5:10">
      <c r="G629" s="85"/>
      <c r="H629" s="85"/>
      <c r="I629" s="85"/>
      <c r="J629" s="85"/>
    </row>
    <row r="630" spans="5:10">
      <c r="G630" s="85"/>
      <c r="H630" s="85"/>
      <c r="I630" s="85"/>
      <c r="J630" s="85"/>
    </row>
    <row r="631" spans="5:10">
      <c r="G631" s="85"/>
      <c r="H631" s="85"/>
      <c r="I631" s="85"/>
      <c r="J631" s="85"/>
    </row>
    <row r="632" spans="5:10">
      <c r="G632" s="85"/>
      <c r="H632" s="85"/>
      <c r="I632" s="85"/>
      <c r="J632" s="85"/>
    </row>
    <row r="633" spans="5:10">
      <c r="E633" s="348"/>
      <c r="F633" s="348"/>
      <c r="G633" s="85"/>
      <c r="H633" s="85"/>
      <c r="I633" s="85"/>
      <c r="J633" s="85"/>
    </row>
    <row r="634" spans="5:10">
      <c r="E634" s="350"/>
      <c r="F634" s="350"/>
      <c r="G634" s="85"/>
      <c r="H634" s="85"/>
      <c r="I634" s="85"/>
      <c r="J634" s="85"/>
    </row>
    <row r="635" spans="5:10">
      <c r="E635" s="350"/>
      <c r="F635" s="350"/>
      <c r="G635" s="85"/>
      <c r="H635" s="85"/>
      <c r="I635" s="85"/>
      <c r="J635" s="85"/>
    </row>
    <row r="636" spans="5:10">
      <c r="E636" s="350"/>
      <c r="F636" s="350"/>
      <c r="G636" s="85"/>
      <c r="H636" s="85"/>
      <c r="I636" s="85"/>
      <c r="J636" s="85"/>
    </row>
    <row r="637" spans="5:10">
      <c r="E637" s="350"/>
      <c r="F637" s="350"/>
      <c r="G637" s="85"/>
      <c r="H637" s="85"/>
      <c r="I637" s="85"/>
      <c r="J637" s="85"/>
    </row>
    <row r="638" spans="5:10">
      <c r="E638" s="350"/>
      <c r="F638" s="350"/>
      <c r="G638" s="85"/>
      <c r="H638" s="85"/>
      <c r="I638" s="85"/>
      <c r="J638" s="85"/>
    </row>
    <row r="639" spans="5:10">
      <c r="E639" s="350"/>
      <c r="F639" s="350"/>
      <c r="G639" s="85"/>
      <c r="H639" s="85"/>
      <c r="I639" s="85"/>
      <c r="J639" s="85"/>
    </row>
    <row r="640" spans="5:10">
      <c r="E640" s="350"/>
      <c r="F640" s="350"/>
      <c r="G640" s="85"/>
      <c r="H640" s="85"/>
      <c r="I640" s="85"/>
      <c r="J640" s="85"/>
    </row>
    <row r="641" spans="1:10">
      <c r="E641" s="350"/>
      <c r="F641" s="350"/>
      <c r="G641" s="85"/>
      <c r="H641" s="85"/>
      <c r="I641" s="85"/>
      <c r="J641" s="85"/>
    </row>
    <row r="642" spans="1:10">
      <c r="E642" s="350"/>
      <c r="F642" s="350"/>
      <c r="G642" s="85"/>
      <c r="H642" s="85"/>
      <c r="I642" s="85"/>
      <c r="J642" s="85"/>
    </row>
    <row r="643" spans="1:10">
      <c r="E643" s="350"/>
      <c r="F643" s="350"/>
      <c r="G643" s="85"/>
      <c r="H643" s="85"/>
      <c r="I643" s="85"/>
      <c r="J643" s="85"/>
    </row>
    <row r="644" spans="1:10">
      <c r="E644" s="350"/>
      <c r="F644" s="350"/>
      <c r="G644" s="85"/>
      <c r="H644" s="85"/>
      <c r="I644" s="85"/>
      <c r="J644" s="85"/>
    </row>
    <row r="645" spans="1:10">
      <c r="G645" s="85"/>
      <c r="H645" s="85"/>
      <c r="I645" s="85"/>
      <c r="J645" s="85"/>
    </row>
    <row r="646" spans="1:10">
      <c r="E646" s="350"/>
      <c r="F646" s="350"/>
      <c r="G646" s="85"/>
      <c r="H646" s="85"/>
      <c r="I646" s="85"/>
      <c r="J646" s="85"/>
    </row>
    <row r="647" spans="1:10">
      <c r="E647" s="350"/>
      <c r="F647" s="350"/>
      <c r="G647" s="85"/>
      <c r="H647" s="85"/>
      <c r="I647" s="85"/>
      <c r="J647" s="85"/>
    </row>
    <row r="648" spans="1:10">
      <c r="E648" s="350"/>
      <c r="F648" s="350"/>
      <c r="G648" s="85"/>
      <c r="H648" s="85"/>
      <c r="I648" s="85"/>
      <c r="J648" s="85"/>
    </row>
    <row r="649" spans="1:10">
      <c r="A649" s="59"/>
      <c r="E649" s="350"/>
      <c r="F649" s="350"/>
      <c r="G649" s="85"/>
      <c r="H649" s="85"/>
      <c r="I649" s="85"/>
      <c r="J649" s="85"/>
    </row>
    <row r="650" spans="1:10">
      <c r="A650" s="59"/>
      <c r="E650" s="350"/>
      <c r="F650" s="350"/>
      <c r="G650" s="85"/>
      <c r="H650" s="85"/>
      <c r="I650" s="85"/>
      <c r="J650" s="85"/>
    </row>
    <row r="651" spans="1:10">
      <c r="A651" s="59"/>
      <c r="E651" s="350"/>
      <c r="F651" s="350"/>
      <c r="G651" s="85"/>
      <c r="H651" s="85"/>
      <c r="I651" s="85"/>
      <c r="J651" s="85"/>
    </row>
    <row r="652" spans="1:10">
      <c r="A652" s="59"/>
      <c r="E652" s="350"/>
      <c r="F652" s="350"/>
      <c r="G652" s="85"/>
      <c r="H652" s="85"/>
      <c r="I652" s="85"/>
      <c r="J652" s="85"/>
    </row>
    <row r="653" spans="1:10">
      <c r="A653" s="59"/>
      <c r="E653" s="350"/>
      <c r="F653" s="350"/>
      <c r="G653" s="85"/>
      <c r="H653" s="85"/>
      <c r="I653" s="85"/>
      <c r="J653" s="85"/>
    </row>
    <row r="654" spans="1:10">
      <c r="A654" s="59"/>
      <c r="E654" s="350"/>
      <c r="F654" s="350"/>
      <c r="G654" s="85"/>
      <c r="H654" s="85"/>
      <c r="I654" s="85"/>
      <c r="J654" s="85"/>
    </row>
    <row r="655" spans="1:10">
      <c r="A655" s="59"/>
      <c r="E655" s="350"/>
      <c r="F655" s="350"/>
      <c r="G655" s="85"/>
      <c r="H655" s="85"/>
      <c r="I655" s="85"/>
      <c r="J655" s="85"/>
    </row>
    <row r="656" spans="1:10">
      <c r="A656" s="59"/>
      <c r="E656" s="350"/>
      <c r="F656" s="350"/>
      <c r="G656" s="85"/>
      <c r="H656" s="85"/>
      <c r="I656" s="85"/>
      <c r="J656" s="85"/>
    </row>
    <row r="657" spans="1:10">
      <c r="A657" s="59"/>
      <c r="E657" s="350"/>
      <c r="F657" s="350"/>
      <c r="G657" s="85"/>
      <c r="H657" s="85"/>
      <c r="I657" s="85"/>
      <c r="J657" s="85"/>
    </row>
    <row r="658" spans="1:10">
      <c r="A658" s="59"/>
      <c r="E658" s="350"/>
      <c r="F658" s="350"/>
      <c r="G658" s="85"/>
      <c r="H658" s="85"/>
      <c r="I658" s="85"/>
      <c r="J658" s="85"/>
    </row>
    <row r="659" spans="1:10">
      <c r="A659" s="59"/>
      <c r="E659" s="350"/>
      <c r="F659" s="350"/>
      <c r="G659" s="85"/>
      <c r="H659" s="85"/>
      <c r="I659" s="85"/>
      <c r="J659" s="85"/>
    </row>
    <row r="660" spans="1:10">
      <c r="A660" s="59"/>
      <c r="E660" s="350"/>
      <c r="F660" s="350"/>
      <c r="G660" s="85"/>
      <c r="H660" s="85"/>
      <c r="I660" s="85"/>
      <c r="J660" s="85"/>
    </row>
    <row r="661" spans="1:10">
      <c r="A661" s="59"/>
      <c r="E661" s="350"/>
      <c r="F661" s="350"/>
      <c r="G661" s="85"/>
      <c r="H661" s="85"/>
      <c r="I661" s="85"/>
      <c r="J661" s="85"/>
    </row>
    <row r="662" spans="1:10">
      <c r="E662" s="350"/>
      <c r="F662" s="350"/>
      <c r="G662" s="85"/>
      <c r="H662" s="85"/>
      <c r="I662" s="85"/>
      <c r="J662" s="85"/>
    </row>
    <row r="663" spans="1:10">
      <c r="E663" s="350"/>
      <c r="F663" s="350"/>
      <c r="G663" s="85"/>
      <c r="H663" s="85"/>
      <c r="I663" s="85"/>
      <c r="J663" s="85"/>
    </row>
    <row r="664" spans="1:10">
      <c r="E664" s="350"/>
      <c r="F664" s="350"/>
      <c r="G664" s="85"/>
      <c r="H664" s="85"/>
      <c r="I664" s="85"/>
      <c r="J664" s="85"/>
    </row>
    <row r="665" spans="1:10">
      <c r="B665" s="142"/>
      <c r="C665" s="142"/>
      <c r="D665" s="142"/>
      <c r="E665" s="348"/>
      <c r="F665" s="348"/>
      <c r="G665" s="85"/>
      <c r="H665" s="85"/>
      <c r="I665" s="85"/>
      <c r="J665" s="85"/>
    </row>
    <row r="666" spans="1:10">
      <c r="G666" s="85"/>
      <c r="H666" s="85"/>
      <c r="I666" s="85"/>
      <c r="J666" s="85"/>
    </row>
    <row r="667" spans="1:10">
      <c r="G667" s="85"/>
      <c r="H667" s="85"/>
      <c r="I667" s="85"/>
      <c r="J667" s="85"/>
    </row>
    <row r="668" spans="1:10">
      <c r="G668" s="85"/>
      <c r="H668" s="85"/>
      <c r="I668" s="85"/>
      <c r="J668" s="85"/>
    </row>
    <row r="669" spans="1:10">
      <c r="G669" s="85"/>
      <c r="H669" s="85"/>
      <c r="I669" s="85"/>
      <c r="J669" s="85"/>
    </row>
    <row r="670" spans="1:10">
      <c r="B670" s="142"/>
      <c r="C670" s="142"/>
      <c r="D670" s="142"/>
      <c r="E670" s="348"/>
      <c r="F670" s="348"/>
      <c r="G670" s="85"/>
      <c r="H670" s="85"/>
      <c r="I670" s="85"/>
      <c r="J670" s="85"/>
    </row>
    <row r="671" spans="1:10">
      <c r="G671" s="85"/>
      <c r="H671" s="85"/>
      <c r="I671" s="85"/>
      <c r="J671" s="85"/>
    </row>
    <row r="672" spans="1:10">
      <c r="A672" s="59"/>
      <c r="G672" s="85"/>
      <c r="H672" s="85"/>
      <c r="I672" s="85"/>
      <c r="J672" s="85"/>
    </row>
    <row r="673" spans="1:10">
      <c r="A673" s="59"/>
      <c r="B673" s="142"/>
      <c r="C673" s="142"/>
      <c r="D673" s="142"/>
      <c r="E673" s="348"/>
      <c r="F673" s="348"/>
      <c r="G673" s="85"/>
      <c r="H673" s="85"/>
      <c r="I673" s="85"/>
      <c r="J673" s="85"/>
    </row>
    <row r="674" spans="1:10">
      <c r="A674" s="59"/>
      <c r="B674" s="142"/>
      <c r="C674" s="142"/>
      <c r="D674" s="142"/>
      <c r="G674" s="85"/>
      <c r="H674" s="85"/>
      <c r="I674" s="85"/>
      <c r="J674" s="85"/>
    </row>
    <row r="675" spans="1:10">
      <c r="A675" s="59"/>
      <c r="B675" s="142"/>
      <c r="C675" s="142"/>
      <c r="D675" s="142"/>
      <c r="G675" s="85"/>
      <c r="H675" s="85"/>
      <c r="I675" s="85"/>
      <c r="J675" s="85"/>
    </row>
    <row r="676" spans="1:10">
      <c r="A676" s="59"/>
      <c r="B676" s="142"/>
      <c r="C676" s="142"/>
      <c r="D676" s="142"/>
      <c r="G676" s="85"/>
      <c r="H676" s="85"/>
      <c r="I676" s="85"/>
      <c r="J676" s="85"/>
    </row>
    <row r="677" spans="1:10">
      <c r="B677" s="142"/>
      <c r="C677" s="142"/>
      <c r="D677" s="142"/>
      <c r="G677" s="85"/>
      <c r="H677" s="85"/>
      <c r="I677" s="85"/>
      <c r="J677" s="85"/>
    </row>
    <row r="678" spans="1:10">
      <c r="A678" s="59"/>
      <c r="G678" s="85"/>
      <c r="H678" s="85"/>
      <c r="I678" s="85"/>
      <c r="J678" s="85"/>
    </row>
    <row r="679" spans="1:10">
      <c r="G679" s="85"/>
      <c r="H679" s="85"/>
      <c r="I679" s="85"/>
      <c r="J679" s="85"/>
    </row>
    <row r="680" spans="1:10">
      <c r="G680" s="85"/>
      <c r="H680" s="85"/>
      <c r="I680" s="85"/>
      <c r="J680" s="85"/>
    </row>
    <row r="681" spans="1:10">
      <c r="G681" s="85"/>
      <c r="H681" s="85"/>
      <c r="I681" s="85"/>
      <c r="J681" s="85"/>
    </row>
    <row r="682" spans="1:10">
      <c r="G682" s="85"/>
      <c r="H682" s="85"/>
      <c r="I682" s="85"/>
      <c r="J682" s="85"/>
    </row>
    <row r="683" spans="1:10">
      <c r="A683" s="59"/>
      <c r="E683" s="278"/>
      <c r="F683" s="278"/>
      <c r="G683" s="337"/>
      <c r="H683" s="337"/>
      <c r="I683" s="337"/>
      <c r="J683" s="337"/>
    </row>
    <row r="684" spans="1:10">
      <c r="G684" s="85"/>
      <c r="H684" s="85"/>
      <c r="I684" s="85"/>
      <c r="J684" s="85"/>
    </row>
    <row r="685" spans="1:10">
      <c r="G685" s="85"/>
      <c r="H685" s="85"/>
      <c r="I685" s="85"/>
      <c r="J685" s="85"/>
    </row>
    <row r="686" spans="1:10">
      <c r="G686" s="85"/>
      <c r="H686" s="85"/>
      <c r="I686" s="85"/>
      <c r="J686" s="85"/>
    </row>
    <row r="687" spans="1:10">
      <c r="G687" s="85"/>
      <c r="H687" s="85"/>
      <c r="I687" s="85"/>
      <c r="J687" s="85"/>
    </row>
    <row r="688" spans="1:10">
      <c r="G688" s="85"/>
      <c r="H688" s="85"/>
      <c r="I688" s="85"/>
      <c r="J688" s="85"/>
    </row>
    <row r="689" spans="1:10">
      <c r="B689" s="142"/>
      <c r="C689" s="142"/>
      <c r="D689" s="142"/>
      <c r="E689" s="348"/>
      <c r="F689" s="348"/>
      <c r="G689" s="337"/>
      <c r="H689" s="337"/>
      <c r="I689" s="337"/>
      <c r="J689" s="337"/>
    </row>
    <row r="690" spans="1:10">
      <c r="G690" s="85"/>
      <c r="H690" s="85"/>
      <c r="I690" s="85"/>
      <c r="J690" s="85"/>
    </row>
    <row r="691" spans="1:10">
      <c r="B691" s="142"/>
      <c r="C691" s="142"/>
      <c r="D691" s="142"/>
      <c r="E691" s="348"/>
      <c r="F691" s="348"/>
      <c r="G691" s="337"/>
      <c r="H691" s="337"/>
      <c r="I691" s="337"/>
      <c r="J691" s="337"/>
    </row>
    <row r="692" spans="1:10">
      <c r="B692" s="142"/>
      <c r="C692" s="142"/>
      <c r="D692" s="142"/>
      <c r="E692" s="348"/>
      <c r="F692" s="348"/>
      <c r="G692" s="85"/>
      <c r="H692" s="85"/>
      <c r="I692" s="85"/>
      <c r="J692" s="85"/>
    </row>
    <row r="693" spans="1:10">
      <c r="G693" s="85"/>
      <c r="H693" s="85"/>
      <c r="I693" s="85"/>
      <c r="J693" s="85"/>
    </row>
    <row r="694" spans="1:10">
      <c r="G694" s="85"/>
      <c r="H694" s="85"/>
      <c r="I694" s="85"/>
      <c r="J694" s="85"/>
    </row>
    <row r="695" spans="1:10">
      <c r="G695" s="85"/>
      <c r="H695" s="85"/>
      <c r="I695" s="85"/>
      <c r="J695" s="85"/>
    </row>
    <row r="696" spans="1:10">
      <c r="G696" s="85"/>
      <c r="H696" s="85"/>
      <c r="I696" s="85"/>
      <c r="J696" s="85"/>
    </row>
    <row r="697" spans="1:10">
      <c r="G697" s="85"/>
      <c r="H697" s="85"/>
      <c r="I697" s="85"/>
      <c r="J697" s="85"/>
    </row>
    <row r="698" spans="1:10">
      <c r="G698" s="85"/>
      <c r="H698" s="85"/>
      <c r="I698" s="85"/>
      <c r="J698" s="85"/>
    </row>
    <row r="699" spans="1:10">
      <c r="G699" s="85"/>
      <c r="H699" s="85"/>
      <c r="I699" s="85"/>
      <c r="J699" s="85"/>
    </row>
    <row r="700" spans="1:10">
      <c r="E700" s="348"/>
      <c r="F700" s="348"/>
      <c r="G700" s="85"/>
      <c r="H700" s="85"/>
      <c r="I700" s="85"/>
      <c r="J700" s="85"/>
    </row>
    <row r="701" spans="1:10">
      <c r="A701" s="59"/>
      <c r="G701" s="85"/>
      <c r="H701" s="85"/>
      <c r="I701" s="85"/>
      <c r="J701" s="85"/>
    </row>
    <row r="702" spans="1:10">
      <c r="A702" s="59"/>
      <c r="G702" s="85"/>
      <c r="H702" s="85"/>
      <c r="I702" s="85"/>
      <c r="J702" s="85"/>
    </row>
    <row r="703" spans="1:10">
      <c r="A703" s="59"/>
      <c r="G703" s="85"/>
      <c r="H703" s="85"/>
      <c r="I703" s="85"/>
      <c r="J703" s="85"/>
    </row>
    <row r="704" spans="1:10">
      <c r="A704" s="59"/>
      <c r="G704" s="85"/>
      <c r="H704" s="85"/>
      <c r="I704" s="85"/>
      <c r="J704" s="85"/>
    </row>
    <row r="705" spans="1:10">
      <c r="A705" s="59"/>
      <c r="G705" s="85"/>
      <c r="H705" s="85"/>
      <c r="I705" s="85"/>
      <c r="J705" s="85"/>
    </row>
    <row r="706" spans="1:10">
      <c r="A706" s="59"/>
      <c r="G706" s="85"/>
      <c r="H706" s="85"/>
      <c r="I706" s="85"/>
      <c r="J706" s="85"/>
    </row>
    <row r="707" spans="1:10">
      <c r="A707" s="59"/>
      <c r="G707" s="85"/>
      <c r="H707" s="85"/>
      <c r="I707" s="85"/>
      <c r="J707" s="85"/>
    </row>
    <row r="708" spans="1:10">
      <c r="A708" s="59"/>
      <c r="G708" s="85"/>
      <c r="H708" s="85"/>
      <c r="I708" s="85"/>
      <c r="J708" s="85"/>
    </row>
    <row r="709" spans="1:10">
      <c r="A709" s="59"/>
      <c r="G709" s="85"/>
      <c r="H709" s="85"/>
      <c r="I709" s="85"/>
      <c r="J709" s="85"/>
    </row>
    <row r="710" spans="1:10">
      <c r="A710" s="59"/>
      <c r="G710" s="85"/>
      <c r="H710" s="85"/>
      <c r="I710" s="85"/>
      <c r="J710" s="85"/>
    </row>
    <row r="711" spans="1:10">
      <c r="A711" s="59"/>
      <c r="G711" s="85"/>
      <c r="H711" s="85"/>
      <c r="I711" s="85"/>
      <c r="J711" s="85"/>
    </row>
    <row r="712" spans="1:10">
      <c r="A712" s="59"/>
      <c r="G712" s="85"/>
      <c r="H712" s="85"/>
      <c r="I712" s="85"/>
      <c r="J712" s="85"/>
    </row>
    <row r="713" spans="1:10">
      <c r="A713" s="59"/>
      <c r="G713" s="85"/>
      <c r="H713" s="85"/>
      <c r="I713" s="85"/>
      <c r="J713" s="85"/>
    </row>
    <row r="714" spans="1:10">
      <c r="A714" s="59"/>
      <c r="G714" s="85"/>
      <c r="H714" s="85"/>
      <c r="I714" s="85"/>
      <c r="J714" s="85"/>
    </row>
    <row r="715" spans="1:10">
      <c r="A715" s="59"/>
      <c r="G715" s="85"/>
      <c r="H715" s="85"/>
      <c r="I715" s="85"/>
      <c r="J715" s="85"/>
    </row>
    <row r="716" spans="1:10">
      <c r="G716" s="85"/>
      <c r="H716" s="85"/>
      <c r="I716" s="85"/>
      <c r="J716" s="85"/>
    </row>
    <row r="717" spans="1:10">
      <c r="G717" s="85"/>
      <c r="H717" s="85"/>
      <c r="I717" s="85"/>
      <c r="J717" s="85"/>
    </row>
    <row r="718" spans="1:10">
      <c r="G718" s="85"/>
      <c r="H718" s="85"/>
      <c r="I718" s="85"/>
      <c r="J718" s="85"/>
    </row>
    <row r="719" spans="1:10">
      <c r="G719" s="85"/>
      <c r="H719" s="85"/>
      <c r="I719" s="85"/>
      <c r="J719" s="85"/>
    </row>
    <row r="720" spans="1:10">
      <c r="G720" s="85"/>
      <c r="H720" s="85"/>
      <c r="I720" s="85"/>
      <c r="J720" s="85"/>
    </row>
  </sheetData>
  <autoFilter ref="A1:L11"/>
  <sortState ref="A1:TY759">
    <sortCondition ref="A1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T759"/>
  <sheetViews>
    <sheetView zoomScale="80" zoomScaleNormal="80" workbookViewId="0">
      <pane ySplit="1" topLeftCell="A2" activePane="bottomLeft" state="frozen"/>
      <selection pane="bottomLeft" activeCell="A2" sqref="A2:K38"/>
    </sheetView>
  </sheetViews>
  <sheetFormatPr defaultColWidth="9" defaultRowHeight="14.35"/>
  <cols>
    <col min="1" max="1" width="14.703125" style="175" customWidth="1"/>
    <col min="2" max="2" width="10.234375" style="175" customWidth="1"/>
    <col min="3" max="3" width="13" style="13" customWidth="1"/>
    <col min="4" max="4" width="10" style="13" customWidth="1"/>
    <col min="5" max="5" width="24" style="175" bestFit="1" customWidth="1"/>
    <col min="6" max="6" width="36.703125" style="175" customWidth="1"/>
    <col min="7" max="7" width="12.5859375" style="175" customWidth="1"/>
    <col min="8" max="8" width="13.703125" style="175" customWidth="1"/>
    <col min="9" max="9" width="12.87890625" style="13" customWidth="1"/>
    <col min="10" max="10" width="27" style="175" customWidth="1"/>
    <col min="11" max="11" width="23.234375" style="175" bestFit="1" customWidth="1"/>
    <col min="12" max="13" width="4" style="175" customWidth="1"/>
    <col min="14" max="14" width="15" style="175" customWidth="1"/>
    <col min="15" max="15" width="13.46875" style="175" customWidth="1"/>
    <col min="16" max="17" width="4.703125" style="175" customWidth="1"/>
    <col min="18" max="18" width="13.703125" style="175" customWidth="1"/>
    <col min="19" max="19" width="16" style="175" customWidth="1"/>
    <col min="20" max="24" width="13.41015625" style="175" customWidth="1"/>
    <col min="25" max="25" width="13.87890625" style="175" customWidth="1"/>
    <col min="26" max="28" width="13.41015625" style="175" customWidth="1"/>
    <col min="29" max="29" width="13.41015625" style="175" bestFit="1" customWidth="1"/>
    <col min="30" max="30" width="9.703125" style="175" customWidth="1"/>
    <col min="31" max="31" width="13.41015625" style="175" customWidth="1"/>
    <col min="32" max="32" width="13.41015625" style="175" bestFit="1" customWidth="1"/>
    <col min="33" max="33" width="10" style="175" customWidth="1"/>
    <col min="34" max="34" width="13.41015625" style="175" customWidth="1"/>
    <col min="35" max="35" width="8.703125" style="175" customWidth="1"/>
    <col min="36" max="36" width="13.41015625" style="175" customWidth="1"/>
    <col min="37" max="37" width="8.703125" style="175" customWidth="1"/>
    <col min="38" max="38" width="10" style="175" customWidth="1"/>
    <col min="39" max="44" width="13.41015625" style="175" customWidth="1"/>
    <col min="45" max="45" width="13.41015625" style="175" bestFit="1" customWidth="1"/>
    <col min="46" max="48" width="13.41015625" style="175" customWidth="1"/>
    <col min="49" max="49" width="13.87890625" style="175" customWidth="1"/>
    <col min="50" max="50" width="13.41015625" style="175" bestFit="1" customWidth="1"/>
    <col min="51" max="55" width="13.41015625" style="175" customWidth="1"/>
    <col min="56" max="56" width="8.703125" style="175" customWidth="1"/>
    <col min="57" max="57" width="13.87890625" style="175" customWidth="1"/>
    <col min="58" max="58" width="18" style="175" bestFit="1" customWidth="1"/>
    <col min="59" max="59" width="12" style="175" customWidth="1"/>
    <col min="60" max="62" width="13.41015625" style="175" customWidth="1"/>
    <col min="63" max="63" width="8.703125" style="175" customWidth="1"/>
    <col min="64" max="64" width="14.234375" style="175" bestFit="1" customWidth="1"/>
    <col min="65" max="65" width="14.234375" style="175" customWidth="1"/>
    <col min="66" max="66" width="14.234375" style="175" bestFit="1" customWidth="1"/>
    <col min="67" max="67" width="13.41015625" style="175" customWidth="1"/>
    <col min="68" max="68" width="20.41015625" style="175" bestFit="1" customWidth="1"/>
    <col min="69" max="73" width="13.41015625" style="175" customWidth="1"/>
    <col min="74" max="74" width="13.41015625" style="175" bestFit="1" customWidth="1"/>
    <col min="75" max="75" width="14.41015625" style="175" bestFit="1" customWidth="1"/>
    <col min="76" max="76" width="12" style="175" customWidth="1"/>
    <col min="77" max="77" width="10" style="175" customWidth="1"/>
    <col min="78" max="85" width="13.41015625" style="175" customWidth="1"/>
    <col min="86" max="87" width="13.87890625" style="175" customWidth="1"/>
    <col min="88" max="88" width="13.87890625" style="175" bestFit="1" customWidth="1"/>
    <col min="89" max="90" width="18.1171875" style="175" customWidth="1"/>
    <col min="91" max="91" width="13.87890625" style="175" bestFit="1" customWidth="1"/>
    <col min="92" max="92" width="8.703125" style="175" customWidth="1"/>
    <col min="93" max="95" width="14.703125" style="175" customWidth="1"/>
    <col min="96" max="96" width="14.703125" style="175" bestFit="1" customWidth="1"/>
    <col min="97" max="97" width="14.703125" style="175" customWidth="1"/>
    <col min="98" max="98" width="12.703125" style="175" customWidth="1"/>
    <col min="99" max="108" width="13" style="175" customWidth="1"/>
    <col min="109" max="109" width="13" style="175" bestFit="1" customWidth="1"/>
    <col min="110" max="124" width="13" style="175" customWidth="1"/>
    <col min="125" max="125" width="12" style="175" customWidth="1"/>
    <col min="126" max="128" width="13.41015625" style="175" customWidth="1"/>
    <col min="129" max="129" width="13" style="175" customWidth="1"/>
    <col min="130" max="130" width="13.41015625" style="175" customWidth="1"/>
    <col min="131" max="131" width="13.41015625" style="175" bestFit="1" customWidth="1"/>
    <col min="132" max="136" width="13.41015625" style="175" customWidth="1"/>
    <col min="137" max="137" width="13" style="175" customWidth="1"/>
    <col min="138" max="142" width="13.41015625" style="175" customWidth="1"/>
    <col min="143" max="143" width="13.41015625" style="175" bestFit="1" customWidth="1"/>
    <col min="144" max="150" width="13.41015625" style="175" customWidth="1"/>
    <col min="151" max="151" width="13.41015625" style="175" bestFit="1" customWidth="1"/>
    <col min="152" max="168" width="13.41015625" style="175" customWidth="1"/>
    <col min="169" max="169" width="13.41015625" style="175" bestFit="1" customWidth="1"/>
    <col min="170" max="170" width="13.41015625" style="175" customWidth="1"/>
    <col min="171" max="171" width="13.41015625" style="175" bestFit="1" customWidth="1"/>
    <col min="172" max="175" width="13.41015625" style="175" customWidth="1"/>
    <col min="176" max="177" width="13.41015625" style="175" bestFit="1" customWidth="1"/>
    <col min="178" max="179" width="13.41015625" style="175" customWidth="1"/>
    <col min="180" max="180" width="13" style="175" customWidth="1"/>
    <col min="181" max="181" width="13.41015625" style="175" bestFit="1" customWidth="1"/>
    <col min="182" max="184" width="13.41015625" style="175" customWidth="1"/>
    <col min="185" max="185" width="11.703125" style="175" customWidth="1"/>
    <col min="186" max="186" width="13" style="175" bestFit="1" customWidth="1"/>
    <col min="187" max="188" width="13" style="175" customWidth="1"/>
    <col min="189" max="189" width="13.87890625" style="175" customWidth="1"/>
    <col min="190" max="190" width="13" style="175" customWidth="1"/>
    <col min="191" max="192" width="13" style="175" bestFit="1" customWidth="1"/>
    <col min="193" max="193" width="9.41015625" style="175" customWidth="1"/>
    <col min="194" max="201" width="13" style="175" customWidth="1"/>
    <col min="202" max="202" width="13.234375" style="175" customWidth="1"/>
    <col min="203" max="213" width="13" style="175" customWidth="1"/>
    <col min="214" max="214" width="13" style="175" bestFit="1" customWidth="1"/>
    <col min="215" max="217" width="13" style="175" customWidth="1"/>
    <col min="218" max="218" width="13" style="175" bestFit="1" customWidth="1"/>
    <col min="219" max="224" width="13" style="175" customWidth="1"/>
    <col min="225" max="225" width="13.41015625" style="175" customWidth="1"/>
    <col min="226" max="226" width="13" style="175" customWidth="1"/>
    <col min="227" max="227" width="13" style="175" bestFit="1" customWidth="1"/>
    <col min="228" max="229" width="13" style="175" customWidth="1"/>
    <col min="230" max="230" width="13" style="175" bestFit="1" customWidth="1"/>
    <col min="231" max="249" width="13" style="175" customWidth="1"/>
    <col min="250" max="250" width="13.234375" style="175" customWidth="1"/>
    <col min="251" max="251" width="13" style="175" customWidth="1"/>
    <col min="252" max="252" width="13.234375" style="175" customWidth="1"/>
    <col min="253" max="253" width="13" style="175" customWidth="1"/>
    <col min="254" max="254" width="13" style="175" bestFit="1" customWidth="1"/>
    <col min="255" max="255" width="13.234375" style="175" bestFit="1" customWidth="1"/>
    <col min="256" max="257" width="13" style="175" customWidth="1"/>
    <col min="258" max="258" width="13.234375" style="175" customWidth="1"/>
    <col min="259" max="259" width="13" style="175" bestFit="1" customWidth="1"/>
    <col min="260" max="260" width="13.234375" style="175" customWidth="1"/>
    <col min="261" max="261" width="13" style="175" customWidth="1"/>
    <col min="262" max="262" width="13.234375" style="175" bestFit="1" customWidth="1"/>
    <col min="263" max="268" width="13" style="175" customWidth="1"/>
    <col min="269" max="269" width="13.234375" style="175" customWidth="1"/>
    <col min="270" max="270" width="8.703125" style="175" customWidth="1"/>
    <col min="271" max="271" width="21.87890625" style="175" bestFit="1" customWidth="1"/>
    <col min="272" max="272" width="11.5859375" style="175" customWidth="1"/>
    <col min="273" max="273" width="13" style="175" customWidth="1"/>
    <col min="274" max="275" width="13" style="175" bestFit="1" customWidth="1"/>
    <col min="276" max="277" width="13" style="175" customWidth="1"/>
    <col min="278" max="279" width="13" style="175" bestFit="1" customWidth="1"/>
    <col min="280" max="283" width="13" style="175" customWidth="1"/>
    <col min="284" max="284" width="13" style="175" bestFit="1" customWidth="1"/>
    <col min="285" max="287" width="13" style="175" customWidth="1"/>
    <col min="288" max="288" width="13.234375" style="175" customWidth="1"/>
    <col min="289" max="303" width="13" style="175" customWidth="1"/>
    <col min="304" max="304" width="13" style="175" bestFit="1" customWidth="1"/>
    <col min="305" max="305" width="13" style="175" customWidth="1"/>
    <col min="306" max="306" width="13.234375" style="175" customWidth="1"/>
    <col min="307" max="314" width="13" style="175" customWidth="1"/>
    <col min="315" max="315" width="13" style="175" bestFit="1" customWidth="1"/>
    <col min="316" max="318" width="13" style="175" customWidth="1"/>
    <col min="319" max="319" width="13" style="175" bestFit="1" customWidth="1"/>
    <col min="320" max="323" width="13" style="175" customWidth="1"/>
    <col min="324" max="324" width="13.234375" style="175" customWidth="1"/>
    <col min="325" max="325" width="13" style="175" bestFit="1" customWidth="1"/>
    <col min="326" max="331" width="13.5859375" style="175" customWidth="1"/>
    <col min="332" max="332" width="8" style="175" customWidth="1"/>
    <col min="333" max="333" width="14" style="175" customWidth="1"/>
    <col min="334" max="334" width="13.5859375" style="175" customWidth="1"/>
    <col min="335" max="335" width="13.5859375" style="175" bestFit="1" customWidth="1"/>
    <col min="336" max="336" width="14" style="175" bestFit="1" customWidth="1"/>
    <col min="337" max="339" width="13.5859375" style="175" customWidth="1"/>
    <col min="340" max="340" width="14" style="175" bestFit="1" customWidth="1"/>
    <col min="341" max="344" width="13.5859375" style="175" customWidth="1"/>
    <col min="345" max="345" width="14" style="175" customWidth="1"/>
    <col min="346" max="346" width="13.5859375" style="175" bestFit="1" customWidth="1"/>
    <col min="347" max="347" width="14" style="175" bestFit="1" customWidth="1"/>
    <col min="348" max="348" width="13.5859375" style="175" customWidth="1"/>
    <col min="349" max="349" width="13.5859375" style="175" bestFit="1" customWidth="1"/>
    <col min="350" max="350" width="13.5859375" style="175" customWidth="1"/>
    <col min="351" max="351" width="13.5859375" style="175" bestFit="1" customWidth="1"/>
    <col min="352" max="353" width="13.5859375" style="175" customWidth="1"/>
    <col min="354" max="354" width="14" style="175" customWidth="1"/>
    <col min="355" max="355" width="13.5859375" style="175" bestFit="1" customWidth="1"/>
    <col min="356" max="356" width="13.5859375" style="175" customWidth="1"/>
    <col min="357" max="357" width="13.5859375" style="175" bestFit="1" customWidth="1"/>
    <col min="358" max="358" width="18.41015625" style="175" bestFit="1" customWidth="1"/>
    <col min="359" max="359" width="13.5859375" style="175" customWidth="1"/>
    <col min="360" max="361" width="13.5859375" style="175" bestFit="1" customWidth="1"/>
    <col min="362" max="363" width="13.5859375" style="175" customWidth="1"/>
    <col min="364" max="366" width="13.703125" style="175" customWidth="1"/>
    <col min="367" max="369" width="13.703125" style="175" bestFit="1" customWidth="1"/>
    <col min="370" max="374" width="13.703125" style="175" customWidth="1"/>
    <col min="375" max="375" width="13.1171875" style="175" customWidth="1"/>
    <col min="376" max="376" width="10.234375" style="175" customWidth="1"/>
    <col min="377" max="377" width="8.703125" style="175" customWidth="1"/>
    <col min="378" max="378" width="16.234375" style="175" customWidth="1"/>
    <col min="379" max="379" width="13.703125" style="175" customWidth="1"/>
    <col min="380" max="380" width="10.41015625" style="175" customWidth="1"/>
    <col min="381" max="381" width="9.703125" style="175" customWidth="1"/>
    <col min="382" max="382" width="13.703125" style="175" customWidth="1"/>
    <col min="383" max="383" width="13.703125" style="175" bestFit="1" customWidth="1"/>
    <col min="384" max="386" width="13.703125" style="175" customWidth="1"/>
    <col min="387" max="387" width="23.41015625" style="175" bestFit="1" customWidth="1"/>
    <col min="388" max="388" width="8.703125" style="175" customWidth="1"/>
    <col min="389" max="389" width="9.703125" style="175" customWidth="1"/>
    <col min="390" max="390" width="13.234375" style="175" customWidth="1"/>
    <col min="391" max="391" width="11.234375" style="175" customWidth="1"/>
    <col min="392" max="394" width="9.41015625" style="175" customWidth="1"/>
    <col min="395" max="395" width="14" style="175" customWidth="1"/>
    <col min="396" max="396" width="14" style="175" bestFit="1" customWidth="1"/>
    <col min="397" max="397" width="13" style="175" bestFit="1" customWidth="1"/>
    <col min="398" max="398" width="13.703125" style="175" customWidth="1"/>
    <col min="399" max="402" width="13" style="175" customWidth="1"/>
    <col min="403" max="403" width="7.234375" style="175" customWidth="1"/>
    <col min="404" max="404" width="9.703125" style="175" customWidth="1"/>
    <col min="405" max="405" width="13.234375" style="175" customWidth="1"/>
    <col min="406" max="407" width="13.1171875" style="175" customWidth="1"/>
    <col min="408" max="408" width="14" style="175" customWidth="1"/>
    <col min="409" max="409" width="13.703125" style="175" bestFit="1" customWidth="1"/>
    <col min="410" max="410" width="13" style="175" bestFit="1" customWidth="1"/>
    <col min="411" max="414" width="13" style="175" customWidth="1"/>
    <col min="415" max="415" width="12.5859375" style="175" customWidth="1"/>
    <col min="416" max="416" width="13" style="175" bestFit="1" customWidth="1"/>
    <col min="417" max="418" width="13.703125" style="175" customWidth="1"/>
    <col min="419" max="419" width="12.5859375" style="175" customWidth="1"/>
    <col min="420" max="420" width="9.703125" style="175" customWidth="1"/>
    <col min="421" max="424" width="14.234375" style="175" customWidth="1"/>
    <col min="425" max="425" width="13.703125" style="175" bestFit="1" customWidth="1"/>
    <col min="426" max="426" width="14.234375" style="175" customWidth="1"/>
    <col min="427" max="427" width="14.234375" style="175" bestFit="1" customWidth="1"/>
    <col min="428" max="428" width="14.234375" style="175" customWidth="1"/>
    <col min="429" max="429" width="24" style="175" customWidth="1"/>
    <col min="430" max="430" width="14.5859375" style="175" bestFit="1" customWidth="1"/>
    <col min="431" max="432" width="14" style="175" customWidth="1"/>
    <col min="433" max="433" width="14" style="175" bestFit="1" customWidth="1"/>
    <col min="434" max="435" width="14" style="175" customWidth="1"/>
    <col min="436" max="436" width="14.234375" style="175" customWidth="1"/>
    <col min="437" max="437" width="10.87890625" style="175" customWidth="1"/>
    <col min="438" max="438" width="18.5859375" style="175" customWidth="1"/>
    <col min="439" max="439" width="10.5859375" style="175" customWidth="1"/>
    <col min="440" max="442" width="10.41015625" style="175" customWidth="1"/>
    <col min="443" max="443" width="10.87890625" style="175" customWidth="1"/>
    <col min="444" max="452" width="10.41015625" style="175" customWidth="1"/>
    <col min="453" max="453" width="14" style="175" bestFit="1" customWidth="1"/>
    <col min="454" max="454" width="14" style="175" customWidth="1"/>
    <col min="455" max="455" width="14.5859375" style="175" customWidth="1"/>
    <col min="456" max="458" width="14" style="175" customWidth="1"/>
    <col min="459" max="459" width="14.5859375" style="175" customWidth="1"/>
    <col min="460" max="460" width="14" style="175" bestFit="1" customWidth="1"/>
    <col min="461" max="461" width="14" style="175" customWidth="1"/>
    <col min="462" max="462" width="14.703125" style="175" customWidth="1"/>
    <col min="463" max="463" width="14" style="175" customWidth="1"/>
    <col min="464" max="464" width="14.703125" style="175" customWidth="1"/>
    <col min="465" max="465" width="14" style="175" customWidth="1"/>
    <col min="466" max="466" width="14.703125" style="175" bestFit="1" customWidth="1"/>
    <col min="467" max="467" width="14" style="175" bestFit="1" customWidth="1"/>
    <col min="468" max="468" width="14.703125" style="175" customWidth="1"/>
    <col min="469" max="469" width="14" style="175" customWidth="1"/>
    <col min="470" max="470" width="14.703125" style="175" customWidth="1"/>
    <col min="471" max="471" width="13.703125" style="175" customWidth="1"/>
    <col min="472" max="472" width="10.41015625" style="175" customWidth="1"/>
    <col min="473" max="474" width="14" style="175" customWidth="1"/>
    <col min="475" max="476" width="14.234375" style="175" customWidth="1"/>
    <col min="477" max="477" width="10.87890625" style="175" customWidth="1"/>
    <col min="478" max="481" width="10.41015625" style="175" customWidth="1"/>
    <col min="482" max="482" width="14" style="175" customWidth="1"/>
    <col min="483" max="483" width="13.703125" style="175" customWidth="1"/>
    <col min="484" max="485" width="14" style="175" customWidth="1"/>
    <col min="486" max="486" width="14" style="175" bestFit="1" customWidth="1"/>
    <col min="487" max="490" width="14" style="175" customWidth="1"/>
    <col min="491" max="491" width="14.5859375" style="175" customWidth="1"/>
    <col min="492" max="492" width="14" style="175" bestFit="1" customWidth="1"/>
    <col min="493" max="493" width="9.87890625" style="175" customWidth="1"/>
    <col min="494" max="494" width="6.41015625" style="175" customWidth="1"/>
    <col min="495" max="495" width="12.234375" style="175" customWidth="1"/>
    <col min="496" max="496" width="28" style="175" bestFit="1" customWidth="1"/>
    <col min="497" max="497" width="28.5859375" style="175" bestFit="1" customWidth="1"/>
    <col min="498" max="498" width="14.87890625" style="175" bestFit="1" customWidth="1"/>
    <col min="499" max="501" width="12.1171875" style="175" bestFit="1" customWidth="1"/>
    <col min="502" max="502" width="24.703125" style="175" bestFit="1" customWidth="1"/>
    <col min="503" max="503" width="55.703125" style="175" bestFit="1" customWidth="1"/>
    <col min="504" max="504" width="9.41015625" style="175" bestFit="1" customWidth="1"/>
    <col min="505" max="505" width="30.234375" style="175" bestFit="1" customWidth="1"/>
    <col min="506" max="506" width="15.703125" style="175" bestFit="1" customWidth="1"/>
    <col min="507" max="507" width="15.5859375" style="175" bestFit="1" customWidth="1"/>
    <col min="508" max="508" width="38.703125" style="175" bestFit="1" customWidth="1"/>
    <col min="509" max="509" width="29.5859375" style="175" bestFit="1" customWidth="1"/>
    <col min="510" max="510" width="16.41015625" style="175" bestFit="1" customWidth="1"/>
    <col min="511" max="511" width="66.41015625" style="175" bestFit="1" customWidth="1"/>
    <col min="512" max="512" width="10.234375" style="175" bestFit="1" customWidth="1"/>
    <col min="513" max="513" width="7.234375" style="175" customWidth="1"/>
    <col min="514" max="514" width="13.5859375" style="175" bestFit="1" customWidth="1"/>
    <col min="515" max="515" width="11.234375" style="175" bestFit="1" customWidth="1"/>
    <col min="516" max="516" width="12.1171875" style="175" bestFit="1" customWidth="1"/>
    <col min="517" max="517" width="24.5859375" style="175" bestFit="1" customWidth="1"/>
    <col min="518" max="518" width="23.41015625" style="175" bestFit="1" customWidth="1"/>
    <col min="519" max="519" width="39.234375" style="175" bestFit="1" customWidth="1"/>
    <col min="520" max="520" width="37.41015625" style="175" bestFit="1" customWidth="1"/>
    <col min="521" max="521" width="30" style="175" bestFit="1" customWidth="1"/>
    <col min="522" max="523" width="18.703125" style="175" bestFit="1" customWidth="1"/>
    <col min="524" max="524" width="8.41015625" style="175" customWidth="1"/>
    <col min="525" max="525" width="28.87890625" style="175" bestFit="1" customWidth="1"/>
    <col min="526" max="526" width="40.703125" style="175" bestFit="1" customWidth="1"/>
    <col min="527" max="527" width="22" style="175" bestFit="1" customWidth="1"/>
    <col min="528" max="528" width="39.1171875" style="175" bestFit="1" customWidth="1"/>
    <col min="529" max="529" width="35.87890625" style="175" bestFit="1" customWidth="1"/>
    <col min="530" max="530" width="20.703125" style="175" bestFit="1" customWidth="1"/>
    <col min="531" max="531" width="34.41015625" style="175" bestFit="1" customWidth="1"/>
    <col min="532" max="532" width="23.41015625" style="175" bestFit="1" customWidth="1"/>
    <col min="533" max="533" width="20.87890625" style="175" bestFit="1" customWidth="1"/>
    <col min="534" max="534" width="25" style="175" bestFit="1" customWidth="1"/>
    <col min="535" max="535" width="25.703125" style="175" bestFit="1" customWidth="1"/>
    <col min="536" max="536" width="18.87890625" style="175" bestFit="1" customWidth="1"/>
    <col min="537" max="537" width="36.41015625" style="175" bestFit="1" customWidth="1"/>
    <col min="538" max="538" width="18.234375" style="175" bestFit="1" customWidth="1"/>
    <col min="539" max="539" width="8.703125" style="175" customWidth="1"/>
    <col min="540" max="540" width="12.234375" style="175" bestFit="1" customWidth="1"/>
    <col min="541" max="16384" width="9" style="175"/>
  </cols>
  <sheetData>
    <row r="1" spans="1:540" s="205" customFormat="1" ht="28.7">
      <c r="A1" s="205" t="s">
        <v>107</v>
      </c>
      <c r="B1" s="205" t="s">
        <v>108</v>
      </c>
      <c r="C1" s="205" t="s">
        <v>65</v>
      </c>
      <c r="D1" s="205" t="s">
        <v>112</v>
      </c>
      <c r="E1" s="205" t="s">
        <v>109</v>
      </c>
      <c r="F1" s="205" t="s">
        <v>107</v>
      </c>
      <c r="G1" s="205" t="s">
        <v>6</v>
      </c>
      <c r="H1" s="205" t="s">
        <v>104</v>
      </c>
      <c r="I1" s="205" t="s">
        <v>110</v>
      </c>
      <c r="J1" s="205" t="s">
        <v>79</v>
      </c>
      <c r="K1" s="205" t="s">
        <v>111</v>
      </c>
    </row>
    <row r="2" spans="1:540">
      <c r="A2" s="175" t="s">
        <v>179</v>
      </c>
      <c r="B2" s="175" t="s">
        <v>185</v>
      </c>
      <c r="C2" s="86">
        <v>42558</v>
      </c>
      <c r="D2" s="86" t="str">
        <f t="shared" ref="D2:D7" si="0">TEXT(C2,"mmm-yy")</f>
        <v>Jul-16</v>
      </c>
      <c r="E2" s="175" t="s">
        <v>180</v>
      </c>
      <c r="F2" s="175" t="s">
        <v>181</v>
      </c>
      <c r="G2" s="100">
        <v>6496.7</v>
      </c>
      <c r="H2" s="42" t="s">
        <v>313</v>
      </c>
      <c r="I2" s="86">
        <f>C2+30</f>
        <v>42588</v>
      </c>
      <c r="J2" s="175" t="s">
        <v>184</v>
      </c>
      <c r="K2" s="175" t="s">
        <v>182</v>
      </c>
      <c r="N2" s="5" t="s">
        <v>29</v>
      </c>
      <c r="O2" t="s">
        <v>30</v>
      </c>
      <c r="P2"/>
      <c r="Q2"/>
      <c r="R2" s="5" t="s">
        <v>29</v>
      </c>
      <c r="S2" t="s">
        <v>116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</row>
    <row r="3" spans="1:540">
      <c r="A3" s="175" t="s">
        <v>190</v>
      </c>
      <c r="B3" s="175" t="s">
        <v>217</v>
      </c>
      <c r="C3" s="86">
        <v>42563</v>
      </c>
      <c r="D3" s="86" t="str">
        <f t="shared" si="0"/>
        <v>Jul-16</v>
      </c>
      <c r="E3" s="175" t="s">
        <v>192</v>
      </c>
      <c r="F3" s="175" t="s">
        <v>189</v>
      </c>
      <c r="G3" s="100">
        <v>638.82000000000005</v>
      </c>
      <c r="H3" s="42" t="s">
        <v>255</v>
      </c>
      <c r="I3" s="86">
        <f>C3+30</f>
        <v>42593</v>
      </c>
      <c r="J3" s="175" t="s">
        <v>184</v>
      </c>
      <c r="K3" s="175" t="s">
        <v>191</v>
      </c>
      <c r="N3" s="6" t="s">
        <v>27</v>
      </c>
      <c r="O3" s="31"/>
      <c r="P3"/>
      <c r="Q3"/>
      <c r="R3" s="6" t="s">
        <v>248</v>
      </c>
      <c r="S3" s="4">
        <v>1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</row>
    <row r="4" spans="1:540">
      <c r="A4" s="175" t="s">
        <v>179</v>
      </c>
      <c r="B4" s="175" t="s">
        <v>250</v>
      </c>
      <c r="C4" s="86">
        <v>42566</v>
      </c>
      <c r="D4" s="86" t="str">
        <f t="shared" si="0"/>
        <v>Jul-16</v>
      </c>
      <c r="E4" s="175" t="s">
        <v>243</v>
      </c>
      <c r="F4" s="175" t="s">
        <v>244</v>
      </c>
      <c r="G4" s="100">
        <v>386</v>
      </c>
      <c r="H4" s="42" t="s">
        <v>313</v>
      </c>
      <c r="I4" s="86">
        <f>C4+30</f>
        <v>42596</v>
      </c>
      <c r="J4" s="175" t="s">
        <v>184</v>
      </c>
      <c r="K4" s="175" t="s">
        <v>182</v>
      </c>
      <c r="N4" s="20" t="s">
        <v>27</v>
      </c>
      <c r="O4" s="31"/>
      <c r="P4"/>
      <c r="Q4"/>
      <c r="R4" s="6" t="s">
        <v>191</v>
      </c>
      <c r="S4" s="4">
        <v>2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</row>
    <row r="5" spans="1:540">
      <c r="A5" s="175" t="s">
        <v>190</v>
      </c>
      <c r="B5" s="175" t="s">
        <v>249</v>
      </c>
      <c r="C5" s="86">
        <v>42566</v>
      </c>
      <c r="D5" s="86" t="str">
        <f t="shared" si="0"/>
        <v>Jul-16</v>
      </c>
      <c r="E5" s="175" t="s">
        <v>247</v>
      </c>
      <c r="F5" s="175" t="s">
        <v>246</v>
      </c>
      <c r="G5" s="100">
        <v>384.42</v>
      </c>
      <c r="H5" s="42" t="s">
        <v>318</v>
      </c>
      <c r="I5" s="86">
        <f>C5+30</f>
        <v>42596</v>
      </c>
      <c r="J5" s="175" t="s">
        <v>184</v>
      </c>
      <c r="K5" s="175" t="s">
        <v>248</v>
      </c>
      <c r="N5" s="6" t="s">
        <v>183</v>
      </c>
      <c r="O5" s="31">
        <v>32560.870000000003</v>
      </c>
      <c r="P5"/>
      <c r="Q5"/>
      <c r="R5" s="6" t="s">
        <v>182</v>
      </c>
      <c r="S5" s="4">
        <v>3</v>
      </c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</row>
    <row r="6" spans="1:540">
      <c r="A6" s="175" t="s">
        <v>256</v>
      </c>
      <c r="B6" s="175" t="s">
        <v>260</v>
      </c>
      <c r="C6" s="86">
        <v>42573</v>
      </c>
      <c r="D6" s="86" t="str">
        <f t="shared" si="0"/>
        <v>Jul-16</v>
      </c>
      <c r="E6" s="175" t="s">
        <v>258</v>
      </c>
      <c r="F6" s="175" t="s">
        <v>257</v>
      </c>
      <c r="G6" s="100">
        <v>3049.68</v>
      </c>
      <c r="H6" s="42" t="s">
        <v>377</v>
      </c>
      <c r="I6" s="86">
        <f>C6+30</f>
        <v>42603</v>
      </c>
      <c r="J6" s="175" t="s">
        <v>184</v>
      </c>
      <c r="K6" s="175" t="s">
        <v>259</v>
      </c>
      <c r="N6" s="20" t="s">
        <v>256</v>
      </c>
      <c r="O6" s="31">
        <v>24654.93</v>
      </c>
      <c r="P6"/>
      <c r="Q6"/>
      <c r="R6" s="6" t="s">
        <v>27</v>
      </c>
      <c r="S6" s="4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</row>
    <row r="7" spans="1:540">
      <c r="A7" s="175" t="s">
        <v>256</v>
      </c>
      <c r="B7" s="175" t="s">
        <v>261</v>
      </c>
      <c r="C7" s="86">
        <v>42573</v>
      </c>
      <c r="D7" s="86" t="str">
        <f t="shared" si="0"/>
        <v>Jul-16</v>
      </c>
      <c r="E7" s="175" t="s">
        <v>262</v>
      </c>
      <c r="F7" s="175" t="s">
        <v>263</v>
      </c>
      <c r="G7" s="100">
        <v>18981.32</v>
      </c>
      <c r="H7" s="42" t="s">
        <v>318</v>
      </c>
      <c r="I7" s="86">
        <f t="shared" ref="I7:I20" si="1">C7+30</f>
        <v>42603</v>
      </c>
      <c r="J7" s="175" t="s">
        <v>184</v>
      </c>
      <c r="K7" s="175" t="s">
        <v>259</v>
      </c>
      <c r="N7" s="20" t="s">
        <v>190</v>
      </c>
      <c r="O7" s="31">
        <v>1023.24</v>
      </c>
      <c r="P7"/>
      <c r="Q7"/>
      <c r="R7" s="6" t="s">
        <v>259</v>
      </c>
      <c r="S7" s="4">
        <v>4</v>
      </c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</row>
    <row r="8" spans="1:540">
      <c r="A8" s="175" t="s">
        <v>256</v>
      </c>
      <c r="B8" s="175" t="s">
        <v>268</v>
      </c>
      <c r="C8" s="86">
        <v>42573</v>
      </c>
      <c r="D8" s="86" t="str">
        <f t="shared" ref="D8:D22" si="2">TEXT(C8,"mmm-yy")</f>
        <v>Jul-16</v>
      </c>
      <c r="E8" s="175" t="s">
        <v>265</v>
      </c>
      <c r="F8" s="175" t="s">
        <v>264</v>
      </c>
      <c r="G8" s="100">
        <v>908.65</v>
      </c>
      <c r="H8" s="42" t="s">
        <v>318</v>
      </c>
      <c r="I8" s="86">
        <f t="shared" si="1"/>
        <v>42603</v>
      </c>
      <c r="J8" s="175" t="s">
        <v>184</v>
      </c>
      <c r="K8" s="175" t="s">
        <v>259</v>
      </c>
      <c r="N8" s="20" t="s">
        <v>179</v>
      </c>
      <c r="O8" s="31">
        <v>6882.7</v>
      </c>
      <c r="P8"/>
      <c r="Q8"/>
      <c r="R8" s="6" t="s">
        <v>347</v>
      </c>
      <c r="S8" s="4">
        <v>5</v>
      </c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</row>
    <row r="9" spans="1:540">
      <c r="A9" s="175" t="s">
        <v>256</v>
      </c>
      <c r="B9" s="175" t="s">
        <v>269</v>
      </c>
      <c r="C9" s="86">
        <v>42573</v>
      </c>
      <c r="D9" s="86" t="str">
        <f t="shared" si="2"/>
        <v>Jul-16</v>
      </c>
      <c r="E9" s="175" t="s">
        <v>266</v>
      </c>
      <c r="F9" s="175" t="s">
        <v>267</v>
      </c>
      <c r="G9" s="100">
        <v>1715.28</v>
      </c>
      <c r="H9" s="42" t="s">
        <v>318</v>
      </c>
      <c r="I9" s="86">
        <f t="shared" si="1"/>
        <v>42603</v>
      </c>
      <c r="J9" s="175" t="s">
        <v>184</v>
      </c>
      <c r="K9" s="175" t="s">
        <v>259</v>
      </c>
      <c r="N9" s="6" t="s">
        <v>241</v>
      </c>
      <c r="O9" s="31">
        <v>36344.620000000003</v>
      </c>
      <c r="P9"/>
      <c r="Q9"/>
      <c r="R9" s="6" t="s">
        <v>311</v>
      </c>
      <c r="S9" s="4">
        <v>19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</row>
    <row r="10" spans="1:540">
      <c r="A10" s="175" t="s">
        <v>256</v>
      </c>
      <c r="B10" s="175" t="s">
        <v>301</v>
      </c>
      <c r="C10" s="86">
        <v>42586</v>
      </c>
      <c r="D10" s="86" t="str">
        <f t="shared" si="2"/>
        <v>Aug-16</v>
      </c>
      <c r="E10" s="175" t="s">
        <v>281</v>
      </c>
      <c r="F10" s="175" t="s">
        <v>282</v>
      </c>
      <c r="G10" s="203">
        <v>640.70000000000005</v>
      </c>
      <c r="H10" s="42" t="s">
        <v>366</v>
      </c>
      <c r="I10" s="86">
        <f t="shared" si="1"/>
        <v>42616</v>
      </c>
      <c r="J10" s="175" t="s">
        <v>184</v>
      </c>
      <c r="K10" s="175" t="s">
        <v>311</v>
      </c>
      <c r="N10" s="20" t="s">
        <v>256</v>
      </c>
      <c r="O10" s="31">
        <v>35247.230000000003</v>
      </c>
      <c r="P10"/>
      <c r="Q10"/>
      <c r="R10" s="6" t="s">
        <v>331</v>
      </c>
      <c r="S10" s="4">
        <v>3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</row>
    <row r="11" spans="1:540">
      <c r="A11" s="175" t="s">
        <v>256</v>
      </c>
      <c r="B11" s="175" t="s">
        <v>302</v>
      </c>
      <c r="C11" s="86">
        <v>42586</v>
      </c>
      <c r="D11" s="86" t="str">
        <f t="shared" si="2"/>
        <v>Aug-16</v>
      </c>
      <c r="E11" s="175" t="s">
        <v>283</v>
      </c>
      <c r="F11" s="175" t="s">
        <v>284</v>
      </c>
      <c r="G11" s="203">
        <v>3545.36</v>
      </c>
      <c r="H11" s="42" t="s">
        <v>366</v>
      </c>
      <c r="I11" s="86">
        <f t="shared" si="1"/>
        <v>42616</v>
      </c>
      <c r="J11" s="175" t="s">
        <v>184</v>
      </c>
      <c r="K11" s="175" t="s">
        <v>311</v>
      </c>
      <c r="N11" s="20" t="s">
        <v>190</v>
      </c>
      <c r="O11" s="31">
        <v>768.84</v>
      </c>
      <c r="P11"/>
      <c r="Q11"/>
      <c r="R11" s="6" t="s">
        <v>28</v>
      </c>
      <c r="S11" s="4">
        <v>37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</row>
    <row r="12" spans="1:540">
      <c r="A12" s="175" t="s">
        <v>256</v>
      </c>
      <c r="B12" s="175" t="s">
        <v>303</v>
      </c>
      <c r="C12" s="86">
        <v>42586</v>
      </c>
      <c r="D12" s="86" t="str">
        <f t="shared" si="2"/>
        <v>Aug-16</v>
      </c>
      <c r="E12" s="175" t="s">
        <v>285</v>
      </c>
      <c r="F12" s="175" t="s">
        <v>286</v>
      </c>
      <c r="G12" s="203">
        <v>875.7</v>
      </c>
      <c r="H12" s="42" t="s">
        <v>366</v>
      </c>
      <c r="I12" s="86">
        <f t="shared" si="1"/>
        <v>42616</v>
      </c>
      <c r="J12" s="175" t="s">
        <v>184</v>
      </c>
      <c r="K12" s="175" t="s">
        <v>311</v>
      </c>
      <c r="N12" s="20" t="s">
        <v>179</v>
      </c>
      <c r="O12" s="31">
        <v>328.55</v>
      </c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</row>
    <row r="13" spans="1:540">
      <c r="A13" s="175" t="s">
        <v>256</v>
      </c>
      <c r="B13" s="175" t="s">
        <v>304</v>
      </c>
      <c r="C13" s="86">
        <v>42586</v>
      </c>
      <c r="D13" s="86" t="str">
        <f t="shared" si="2"/>
        <v>Aug-16</v>
      </c>
      <c r="E13" s="175" t="s">
        <v>287</v>
      </c>
      <c r="F13" s="175" t="s">
        <v>288</v>
      </c>
      <c r="G13" s="203">
        <v>899.48</v>
      </c>
      <c r="H13" s="42" t="s">
        <v>366</v>
      </c>
      <c r="I13" s="86">
        <f t="shared" si="1"/>
        <v>42616</v>
      </c>
      <c r="J13" s="175" t="s">
        <v>184</v>
      </c>
      <c r="K13" s="175" t="s">
        <v>311</v>
      </c>
      <c r="N13" s="6" t="s">
        <v>356</v>
      </c>
      <c r="O13" s="31">
        <v>45886.789999999994</v>
      </c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</row>
    <row r="14" spans="1:540">
      <c r="A14" s="175" t="s">
        <v>256</v>
      </c>
      <c r="B14" s="175" t="s">
        <v>305</v>
      </c>
      <c r="C14" s="86">
        <v>42586</v>
      </c>
      <c r="D14" s="86" t="str">
        <f t="shared" si="2"/>
        <v>Aug-16</v>
      </c>
      <c r="E14" s="175" t="s">
        <v>289</v>
      </c>
      <c r="F14" s="175" t="s">
        <v>290</v>
      </c>
      <c r="G14" s="203">
        <v>3391.28</v>
      </c>
      <c r="H14" s="42" t="s">
        <v>366</v>
      </c>
      <c r="I14" s="86">
        <f t="shared" si="1"/>
        <v>42616</v>
      </c>
      <c r="J14" s="175" t="s">
        <v>184</v>
      </c>
      <c r="K14" s="175" t="s">
        <v>311</v>
      </c>
      <c r="N14" s="20" t="s">
        <v>256</v>
      </c>
      <c r="O14" s="31">
        <v>13054.810000000001</v>
      </c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</row>
    <row r="15" spans="1:540">
      <c r="A15" s="175" t="s">
        <v>256</v>
      </c>
      <c r="B15" s="175" t="s">
        <v>306</v>
      </c>
      <c r="C15" s="86">
        <v>42586</v>
      </c>
      <c r="D15" s="86" t="str">
        <f t="shared" si="2"/>
        <v>Aug-16</v>
      </c>
      <c r="E15" s="175" t="s">
        <v>291</v>
      </c>
      <c r="F15" s="175" t="s">
        <v>292</v>
      </c>
      <c r="G15" s="203">
        <v>16896.240000000002</v>
      </c>
      <c r="H15" s="42" t="s">
        <v>366</v>
      </c>
      <c r="I15" s="86">
        <f t="shared" si="1"/>
        <v>42616</v>
      </c>
      <c r="J15" s="175" t="s">
        <v>184</v>
      </c>
      <c r="K15" s="175" t="s">
        <v>311</v>
      </c>
      <c r="N15" s="20" t="s">
        <v>190</v>
      </c>
      <c r="O15" s="31">
        <v>26928.359999999997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</row>
    <row r="16" spans="1:540">
      <c r="A16" s="175" t="s">
        <v>256</v>
      </c>
      <c r="B16" s="175" t="s">
        <v>307</v>
      </c>
      <c r="C16" s="86">
        <v>42586</v>
      </c>
      <c r="D16" s="86" t="str">
        <f t="shared" si="2"/>
        <v>Aug-16</v>
      </c>
      <c r="E16" s="175" t="s">
        <v>293</v>
      </c>
      <c r="F16" s="175" t="s">
        <v>294</v>
      </c>
      <c r="G16" s="203">
        <v>3802.63</v>
      </c>
      <c r="H16" s="42" t="s">
        <v>366</v>
      </c>
      <c r="I16" s="86">
        <f t="shared" si="1"/>
        <v>42616</v>
      </c>
      <c r="J16" s="175" t="s">
        <v>184</v>
      </c>
      <c r="K16" s="175" t="s">
        <v>311</v>
      </c>
      <c r="N16" s="20" t="s">
        <v>179</v>
      </c>
      <c r="O16" s="31">
        <v>5903.619999999999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</row>
    <row r="17" spans="1:540">
      <c r="A17" s="175" t="s">
        <v>256</v>
      </c>
      <c r="B17" s="175" t="s">
        <v>308</v>
      </c>
      <c r="C17" s="86">
        <v>42586</v>
      </c>
      <c r="D17" s="86" t="str">
        <f t="shared" si="2"/>
        <v>Aug-16</v>
      </c>
      <c r="E17" s="175" t="s">
        <v>295</v>
      </c>
      <c r="F17" s="175" t="s">
        <v>296</v>
      </c>
      <c r="G17" s="203">
        <v>4683.28</v>
      </c>
      <c r="H17" s="42" t="s">
        <v>366</v>
      </c>
      <c r="I17" s="86">
        <f t="shared" si="1"/>
        <v>42616</v>
      </c>
      <c r="J17" s="175" t="s">
        <v>184</v>
      </c>
      <c r="K17" s="175" t="s">
        <v>311</v>
      </c>
      <c r="N17" s="6" t="s">
        <v>28</v>
      </c>
      <c r="O17" s="31">
        <v>114792.28</v>
      </c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</row>
    <row r="18" spans="1:540">
      <c r="A18" s="175" t="s">
        <v>256</v>
      </c>
      <c r="B18" s="175" t="s">
        <v>309</v>
      </c>
      <c r="C18" s="86">
        <v>42586</v>
      </c>
      <c r="D18" s="86" t="str">
        <f t="shared" si="2"/>
        <v>Aug-16</v>
      </c>
      <c r="E18" s="175" t="s">
        <v>297</v>
      </c>
      <c r="F18" s="175" t="s">
        <v>298</v>
      </c>
      <c r="G18" s="203">
        <v>256.27999999999997</v>
      </c>
      <c r="H18" s="42" t="s">
        <v>382</v>
      </c>
      <c r="I18" s="86">
        <f t="shared" si="1"/>
        <v>42616</v>
      </c>
      <c r="J18" s="175" t="s">
        <v>184</v>
      </c>
      <c r="K18" s="175" t="s">
        <v>311</v>
      </c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</row>
    <row r="19" spans="1:540">
      <c r="A19" s="175" t="s">
        <v>256</v>
      </c>
      <c r="B19" s="175" t="s">
        <v>310</v>
      </c>
      <c r="C19" s="86">
        <v>42586</v>
      </c>
      <c r="D19" s="86" t="str">
        <f t="shared" si="2"/>
        <v>Aug-16</v>
      </c>
      <c r="E19" s="175" t="s">
        <v>299</v>
      </c>
      <c r="F19" s="175" t="s">
        <v>300</v>
      </c>
      <c r="G19" s="203">
        <v>256.27999999999997</v>
      </c>
      <c r="H19" s="42" t="s">
        <v>409</v>
      </c>
      <c r="I19" s="86">
        <f t="shared" si="1"/>
        <v>42616</v>
      </c>
      <c r="J19" s="175" t="s">
        <v>184</v>
      </c>
      <c r="K19" s="175" t="s">
        <v>311</v>
      </c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</row>
    <row r="20" spans="1:540">
      <c r="A20" s="175" t="s">
        <v>179</v>
      </c>
      <c r="B20" s="175" t="s">
        <v>325</v>
      </c>
      <c r="C20" s="86">
        <v>42592</v>
      </c>
      <c r="D20" s="86" t="str">
        <f t="shared" si="2"/>
        <v>Aug-16</v>
      </c>
      <c r="E20" s="175" t="s">
        <v>326</v>
      </c>
      <c r="F20" s="175" t="s">
        <v>244</v>
      </c>
      <c r="G20" s="100">
        <v>328.55</v>
      </c>
      <c r="H20" s="42" t="s">
        <v>377</v>
      </c>
      <c r="I20" s="86">
        <f t="shared" si="1"/>
        <v>42622</v>
      </c>
      <c r="J20" s="175" t="s">
        <v>184</v>
      </c>
      <c r="K20" s="175" t="s">
        <v>182</v>
      </c>
      <c r="L20" s="175" t="s">
        <v>129</v>
      </c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</row>
    <row r="21" spans="1:540">
      <c r="A21" s="175" t="s">
        <v>190</v>
      </c>
      <c r="B21" s="175" t="s">
        <v>335</v>
      </c>
      <c r="C21" s="86">
        <v>42594</v>
      </c>
      <c r="D21" s="86" t="str">
        <f t="shared" si="2"/>
        <v>Aug-16</v>
      </c>
      <c r="E21" s="175" t="s">
        <v>330</v>
      </c>
      <c r="F21" s="175" t="s">
        <v>329</v>
      </c>
      <c r="G21" s="100">
        <v>768.84</v>
      </c>
      <c r="H21" s="42" t="s">
        <v>377</v>
      </c>
      <c r="I21" s="86">
        <f>C21+30</f>
        <v>42624</v>
      </c>
      <c r="J21" s="175" t="s">
        <v>184</v>
      </c>
      <c r="K21" s="175" t="s">
        <v>331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</row>
    <row r="22" spans="1:540">
      <c r="A22" s="175" t="s">
        <v>179</v>
      </c>
      <c r="B22" s="175" t="s">
        <v>410</v>
      </c>
      <c r="C22" s="86">
        <v>42614</v>
      </c>
      <c r="D22" s="86" t="str">
        <f t="shared" si="2"/>
        <v>Sep-16</v>
      </c>
      <c r="E22" s="175" t="s">
        <v>346</v>
      </c>
      <c r="F22" s="175" t="s">
        <v>345</v>
      </c>
      <c r="G22" s="100">
        <v>4497.58</v>
      </c>
      <c r="H22" s="42" t="s">
        <v>544</v>
      </c>
      <c r="I22" s="86">
        <f>C22+30</f>
        <v>42644</v>
      </c>
      <c r="J22" s="175" t="s">
        <v>184</v>
      </c>
      <c r="K22" s="175" t="s">
        <v>347</v>
      </c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</row>
    <row r="23" spans="1:540">
      <c r="A23" s="175" t="s">
        <v>190</v>
      </c>
      <c r="B23" s="175" t="s">
        <v>464</v>
      </c>
      <c r="C23" s="86">
        <v>42643</v>
      </c>
      <c r="D23" s="86" t="str">
        <f t="shared" ref="D23:D38" si="3">TEXT(C23,"mmm-yy")</f>
        <v>Sep-16</v>
      </c>
      <c r="E23" s="175" t="s">
        <v>375</v>
      </c>
      <c r="F23" s="175" t="s">
        <v>374</v>
      </c>
      <c r="G23" s="100">
        <v>5591.25</v>
      </c>
      <c r="H23" s="42" t="s">
        <v>595</v>
      </c>
      <c r="I23" s="86">
        <f t="shared" ref="I23:I29" si="4">C23+30</f>
        <v>42673</v>
      </c>
      <c r="J23" s="175" t="s">
        <v>184</v>
      </c>
      <c r="K23" s="175" t="s">
        <v>347</v>
      </c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</row>
    <row r="24" spans="1:540">
      <c r="A24" s="175" t="s">
        <v>256</v>
      </c>
      <c r="B24" s="175" t="s">
        <v>400</v>
      </c>
      <c r="C24" s="86">
        <v>42614</v>
      </c>
      <c r="D24" s="86" t="str">
        <f t="shared" si="3"/>
        <v>Sep-16</v>
      </c>
      <c r="E24" s="175" t="s">
        <v>387</v>
      </c>
      <c r="F24" s="175" t="s">
        <v>388</v>
      </c>
      <c r="G24" s="100">
        <v>1213.08</v>
      </c>
      <c r="H24" s="42" t="s">
        <v>596</v>
      </c>
      <c r="I24" s="86">
        <f t="shared" si="4"/>
        <v>42644</v>
      </c>
      <c r="J24" s="175" t="s">
        <v>184</v>
      </c>
      <c r="K24" s="175" t="s">
        <v>311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</row>
    <row r="25" spans="1:540">
      <c r="A25" s="175" t="s">
        <v>256</v>
      </c>
      <c r="B25" s="175" t="s">
        <v>398</v>
      </c>
      <c r="C25" s="86">
        <v>42614</v>
      </c>
      <c r="D25" s="86" t="str">
        <f t="shared" si="3"/>
        <v>Sep-16</v>
      </c>
      <c r="E25" s="175" t="s">
        <v>390</v>
      </c>
      <c r="F25" s="175" t="s">
        <v>389</v>
      </c>
      <c r="G25" s="100">
        <v>512.55999999999995</v>
      </c>
      <c r="H25" s="42" t="s">
        <v>409</v>
      </c>
      <c r="I25" s="86">
        <f t="shared" si="4"/>
        <v>42644</v>
      </c>
      <c r="J25" s="175" t="s">
        <v>184</v>
      </c>
      <c r="K25" s="175" t="s">
        <v>311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</row>
    <row r="26" spans="1:540">
      <c r="A26" s="175" t="s">
        <v>256</v>
      </c>
      <c r="B26" s="175" t="s">
        <v>401</v>
      </c>
      <c r="C26" s="86">
        <v>42614</v>
      </c>
      <c r="D26" s="86" t="str">
        <f t="shared" si="3"/>
        <v>Sep-16</v>
      </c>
      <c r="E26" s="175" t="s">
        <v>391</v>
      </c>
      <c r="F26" s="175" t="s">
        <v>442</v>
      </c>
      <c r="G26" s="100">
        <v>1077.28</v>
      </c>
      <c r="H26" s="43" t="s">
        <v>455</v>
      </c>
      <c r="I26" s="86">
        <f t="shared" si="4"/>
        <v>42644</v>
      </c>
      <c r="J26" s="175" t="s">
        <v>184</v>
      </c>
      <c r="K26" s="175" t="s">
        <v>311</v>
      </c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</row>
    <row r="27" spans="1:540">
      <c r="A27" s="175" t="s">
        <v>256</v>
      </c>
      <c r="B27" s="175" t="s">
        <v>399</v>
      </c>
      <c r="C27" s="86">
        <v>42614</v>
      </c>
      <c r="D27" s="86" t="str">
        <f t="shared" si="3"/>
        <v>Sep-16</v>
      </c>
      <c r="E27" s="175" t="s">
        <v>393</v>
      </c>
      <c r="F27" s="175" t="s">
        <v>392</v>
      </c>
      <c r="G27" s="100">
        <v>512.55999999999995</v>
      </c>
      <c r="H27" s="43" t="s">
        <v>455</v>
      </c>
      <c r="I27" s="86">
        <f t="shared" si="4"/>
        <v>42644</v>
      </c>
      <c r="J27" s="175" t="s">
        <v>184</v>
      </c>
      <c r="K27" s="175" t="s">
        <v>311</v>
      </c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</row>
    <row r="28" spans="1:540">
      <c r="A28" s="175" t="s">
        <v>256</v>
      </c>
      <c r="B28" s="175" t="s">
        <v>402</v>
      </c>
      <c r="C28" s="86">
        <v>42614</v>
      </c>
      <c r="D28" s="86" t="str">
        <f t="shared" si="3"/>
        <v>Sep-16</v>
      </c>
      <c r="E28" s="175" t="s">
        <v>395</v>
      </c>
      <c r="F28" s="175" t="s">
        <v>394</v>
      </c>
      <c r="G28" s="100">
        <v>512.55999999999995</v>
      </c>
      <c r="H28" s="43" t="s">
        <v>455</v>
      </c>
      <c r="I28" s="86">
        <f t="shared" si="4"/>
        <v>42644</v>
      </c>
      <c r="J28" s="175" t="s">
        <v>184</v>
      </c>
      <c r="K28" s="175" t="s">
        <v>311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</row>
    <row r="29" spans="1:540">
      <c r="A29" s="175" t="s">
        <v>256</v>
      </c>
      <c r="B29" s="175" t="s">
        <v>403</v>
      </c>
      <c r="C29" s="86">
        <v>42614</v>
      </c>
      <c r="D29" s="86" t="str">
        <f t="shared" si="3"/>
        <v>Sep-16</v>
      </c>
      <c r="E29" s="127" t="s">
        <v>397</v>
      </c>
      <c r="F29" s="128" t="s">
        <v>396</v>
      </c>
      <c r="G29" s="100">
        <v>512.55999999999995</v>
      </c>
      <c r="H29" s="42" t="s">
        <v>596</v>
      </c>
      <c r="I29" s="86">
        <f t="shared" si="4"/>
        <v>42644</v>
      </c>
      <c r="J29" s="175" t="s">
        <v>184</v>
      </c>
      <c r="K29" s="175" t="s">
        <v>311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</row>
    <row r="30" spans="1:540">
      <c r="A30" s="175" t="s">
        <v>179</v>
      </c>
      <c r="B30" s="130" t="s">
        <v>417</v>
      </c>
      <c r="C30" s="126">
        <v>42621</v>
      </c>
      <c r="D30" s="86" t="str">
        <f t="shared" si="3"/>
        <v>Sep-16</v>
      </c>
      <c r="E30" s="127" t="s">
        <v>415</v>
      </c>
      <c r="F30" s="329" t="s">
        <v>416</v>
      </c>
      <c r="G30" s="100">
        <v>512.55999999999995</v>
      </c>
      <c r="H30" s="42" t="s">
        <v>454</v>
      </c>
      <c r="I30" s="86">
        <f t="shared" ref="I30:I38" si="5">C30+30</f>
        <v>42651</v>
      </c>
      <c r="J30" s="175" t="s">
        <v>184</v>
      </c>
      <c r="K30" s="175" t="s">
        <v>347</v>
      </c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</row>
    <row r="31" spans="1:540">
      <c r="A31" s="175" t="s">
        <v>179</v>
      </c>
      <c r="B31" s="175" t="s">
        <v>453</v>
      </c>
      <c r="C31" s="86">
        <v>42627</v>
      </c>
      <c r="D31" s="86" t="str">
        <f t="shared" si="3"/>
        <v>Sep-16</v>
      </c>
      <c r="E31" s="175" t="s">
        <v>418</v>
      </c>
      <c r="F31" s="175" t="s">
        <v>419</v>
      </c>
      <c r="G31" s="100">
        <v>893.48</v>
      </c>
      <c r="H31" s="42" t="s">
        <v>470</v>
      </c>
      <c r="I31" s="86">
        <f t="shared" si="5"/>
        <v>42657</v>
      </c>
      <c r="J31" s="175" t="s">
        <v>184</v>
      </c>
      <c r="K31" s="175" t="s">
        <v>347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</row>
    <row r="32" spans="1:540">
      <c r="A32" s="175" t="s">
        <v>190</v>
      </c>
      <c r="B32" s="175" t="s">
        <v>471</v>
      </c>
      <c r="C32" s="86">
        <v>42643</v>
      </c>
      <c r="D32" s="86" t="str">
        <f t="shared" si="3"/>
        <v>Sep-16</v>
      </c>
      <c r="E32" s="175" t="s">
        <v>437</v>
      </c>
      <c r="F32" s="175" t="s">
        <v>443</v>
      </c>
      <c r="G32" s="100">
        <v>19832.03</v>
      </c>
      <c r="H32" s="42" t="s">
        <v>594</v>
      </c>
      <c r="I32" s="86">
        <f t="shared" si="5"/>
        <v>42673</v>
      </c>
      <c r="J32" s="175" t="s">
        <v>184</v>
      </c>
      <c r="K32" s="175" t="s">
        <v>191</v>
      </c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</row>
    <row r="33" spans="1:16">
      <c r="A33" s="175" t="s">
        <v>190</v>
      </c>
      <c r="B33" s="175" t="s">
        <v>451</v>
      </c>
      <c r="C33" s="86">
        <v>42643</v>
      </c>
      <c r="D33" s="86" t="str">
        <f t="shared" si="3"/>
        <v>Sep-16</v>
      </c>
      <c r="E33" t="s">
        <v>438</v>
      </c>
      <c r="F33" s="175" t="s">
        <v>440</v>
      </c>
      <c r="G33" s="100">
        <v>384.42</v>
      </c>
      <c r="H33" s="42" t="s">
        <v>467</v>
      </c>
      <c r="I33" s="86">
        <f t="shared" si="5"/>
        <v>42673</v>
      </c>
      <c r="J33" s="175" t="s">
        <v>184</v>
      </c>
      <c r="K33" s="175" t="s">
        <v>331</v>
      </c>
      <c r="N33"/>
      <c r="O33"/>
    </row>
    <row r="34" spans="1:16">
      <c r="A34" s="175" t="s">
        <v>190</v>
      </c>
      <c r="B34" s="175" t="s">
        <v>452</v>
      </c>
      <c r="C34" s="86">
        <v>42643</v>
      </c>
      <c r="D34" s="86" t="str">
        <f t="shared" si="3"/>
        <v>Sep-16</v>
      </c>
      <c r="E34" t="s">
        <v>439</v>
      </c>
      <c r="F34" s="175" t="s">
        <v>441</v>
      </c>
      <c r="G34" s="100">
        <v>512.55999999999995</v>
      </c>
      <c r="H34" s="42" t="s">
        <v>467</v>
      </c>
      <c r="I34" s="86">
        <f t="shared" si="5"/>
        <v>42673</v>
      </c>
      <c r="J34" s="175" t="s">
        <v>184</v>
      </c>
      <c r="K34" s="175" t="s">
        <v>331</v>
      </c>
      <c r="N34"/>
      <c r="O34"/>
    </row>
    <row r="35" spans="1:16">
      <c r="A35" s="175" t="s">
        <v>190</v>
      </c>
      <c r="B35" s="175" t="s">
        <v>463</v>
      </c>
      <c r="C35" s="86">
        <v>42643</v>
      </c>
      <c r="D35" s="86" t="str">
        <f t="shared" si="3"/>
        <v>Sep-16</v>
      </c>
      <c r="E35" s="175" t="s">
        <v>375</v>
      </c>
      <c r="F35" s="175" t="s">
        <v>456</v>
      </c>
      <c r="G35" s="100">
        <v>608.1</v>
      </c>
      <c r="H35" s="42" t="s">
        <v>595</v>
      </c>
      <c r="I35" s="86">
        <f t="shared" si="5"/>
        <v>42673</v>
      </c>
      <c r="J35" s="175" t="s">
        <v>184</v>
      </c>
      <c r="K35" s="175" t="s">
        <v>347</v>
      </c>
      <c r="N35"/>
      <c r="O35"/>
      <c r="P35"/>
    </row>
    <row r="36" spans="1:16">
      <c r="A36" s="175" t="s">
        <v>256</v>
      </c>
      <c r="B36" s="331" t="s">
        <v>479</v>
      </c>
      <c r="C36" s="86">
        <v>42643</v>
      </c>
      <c r="D36" s="86" t="str">
        <f t="shared" si="3"/>
        <v>Sep-16</v>
      </c>
      <c r="E36" s="142" t="s">
        <v>472</v>
      </c>
      <c r="F36" s="142" t="s">
        <v>473</v>
      </c>
      <c r="G36" s="143">
        <v>4012.19</v>
      </c>
      <c r="H36" s="42" t="s">
        <v>597</v>
      </c>
      <c r="I36" s="86">
        <f t="shared" si="5"/>
        <v>42673</v>
      </c>
      <c r="J36" s="331" t="s">
        <v>184</v>
      </c>
      <c r="K36" s="331" t="s">
        <v>311</v>
      </c>
      <c r="N36"/>
      <c r="O36"/>
      <c r="P36"/>
    </row>
    <row r="37" spans="1:16">
      <c r="A37" s="331" t="s">
        <v>256</v>
      </c>
      <c r="B37" s="331" t="s">
        <v>480</v>
      </c>
      <c r="C37" s="86">
        <v>42643</v>
      </c>
      <c r="D37" s="86" t="str">
        <f t="shared" si="3"/>
        <v>Sep-16</v>
      </c>
      <c r="E37" s="142" t="s">
        <v>474</v>
      </c>
      <c r="F37" s="142" t="s">
        <v>475</v>
      </c>
      <c r="G37" s="143">
        <v>1440.56</v>
      </c>
      <c r="H37" s="42" t="s">
        <v>597</v>
      </c>
      <c r="I37" s="86">
        <f t="shared" si="5"/>
        <v>42673</v>
      </c>
      <c r="J37" s="331" t="s">
        <v>184</v>
      </c>
      <c r="K37" s="331" t="s">
        <v>311</v>
      </c>
      <c r="N37"/>
      <c r="O37"/>
      <c r="P37"/>
    </row>
    <row r="38" spans="1:16">
      <c r="A38" s="331" t="s">
        <v>256</v>
      </c>
      <c r="B38" s="175" t="s">
        <v>478</v>
      </c>
      <c r="C38" s="86">
        <v>42643</v>
      </c>
      <c r="D38" s="86" t="str">
        <f t="shared" si="3"/>
        <v>Sep-16</v>
      </c>
      <c r="E38" s="142" t="s">
        <v>476</v>
      </c>
      <c r="F38" s="142" t="s">
        <v>477</v>
      </c>
      <c r="G38" s="143">
        <v>3261.46</v>
      </c>
      <c r="H38" s="42" t="s">
        <v>597</v>
      </c>
      <c r="I38" s="86">
        <f t="shared" si="5"/>
        <v>42673</v>
      </c>
      <c r="J38" s="331" t="s">
        <v>184</v>
      </c>
      <c r="K38" s="331" t="s">
        <v>311</v>
      </c>
      <c r="N38"/>
      <c r="O38"/>
      <c r="P38"/>
    </row>
    <row r="39" spans="1:16">
      <c r="C39" s="86"/>
      <c r="D39" s="86"/>
      <c r="G39" s="100"/>
      <c r="H39" s="42"/>
      <c r="I39" s="86"/>
      <c r="N39"/>
      <c r="O39"/>
      <c r="P39"/>
    </row>
    <row r="40" spans="1:16">
      <c r="C40" s="86"/>
      <c r="D40" s="86"/>
      <c r="G40" s="100"/>
      <c r="H40" s="42"/>
      <c r="I40" s="86"/>
      <c r="N40"/>
      <c r="O40"/>
      <c r="P40"/>
    </row>
    <row r="41" spans="1:16">
      <c r="C41" s="86"/>
      <c r="D41" s="86"/>
      <c r="G41" s="100"/>
      <c r="H41" s="42"/>
      <c r="I41" s="86"/>
      <c r="N41"/>
      <c r="O41"/>
      <c r="P41"/>
    </row>
    <row r="42" spans="1:16">
      <c r="C42" s="126"/>
      <c r="D42" s="86"/>
      <c r="E42" s="127"/>
      <c r="F42" s="127"/>
      <c r="G42" s="100"/>
      <c r="H42" s="42"/>
      <c r="I42" s="126"/>
      <c r="N42"/>
      <c r="O42"/>
      <c r="P42"/>
    </row>
    <row r="43" spans="1:16">
      <c r="C43" s="126"/>
      <c r="D43" s="86"/>
      <c r="E43" s="127"/>
      <c r="F43" s="127"/>
      <c r="G43" s="100"/>
      <c r="H43" s="42"/>
      <c r="I43" s="126"/>
      <c r="N43"/>
      <c r="O43"/>
      <c r="P43"/>
    </row>
    <row r="44" spans="1:16">
      <c r="C44" s="126"/>
      <c r="D44" s="86"/>
      <c r="E44" s="127"/>
      <c r="F44" s="127"/>
      <c r="G44" s="100"/>
      <c r="H44" s="42"/>
      <c r="I44" s="126"/>
      <c r="N44"/>
      <c r="O44"/>
      <c r="P44"/>
    </row>
    <row r="45" spans="1:16">
      <c r="C45" s="126"/>
      <c r="D45" s="86"/>
      <c r="E45" s="127"/>
      <c r="F45" s="127"/>
      <c r="G45" s="100"/>
      <c r="H45" s="42"/>
      <c r="I45" s="126"/>
      <c r="N45"/>
      <c r="O45"/>
      <c r="P45"/>
    </row>
    <row r="46" spans="1:16">
      <c r="C46" s="126"/>
      <c r="D46" s="86"/>
      <c r="E46" s="127"/>
      <c r="F46" s="127"/>
      <c r="G46" s="100"/>
      <c r="H46" s="42"/>
      <c r="I46" s="126"/>
      <c r="N46"/>
      <c r="O46"/>
      <c r="P46"/>
    </row>
    <row r="47" spans="1:16">
      <c r="C47" s="126"/>
      <c r="D47" s="86"/>
      <c r="E47" s="127"/>
      <c r="F47" s="127"/>
      <c r="G47" s="100"/>
      <c r="H47" s="42"/>
      <c r="I47" s="126"/>
      <c r="N47"/>
      <c r="O47"/>
      <c r="P47"/>
    </row>
    <row r="48" spans="1:16">
      <c r="C48" s="126"/>
      <c r="D48" s="86"/>
      <c r="E48" s="127"/>
      <c r="F48" s="127"/>
      <c r="G48" s="100"/>
      <c r="H48" s="42"/>
      <c r="I48" s="126"/>
      <c r="N48"/>
      <c r="O48"/>
      <c r="P48"/>
    </row>
    <row r="49" spans="3:16">
      <c r="C49" s="126"/>
      <c r="D49" s="86"/>
      <c r="E49" s="127"/>
      <c r="F49" s="127"/>
      <c r="G49" s="100"/>
      <c r="H49" s="42"/>
      <c r="I49" s="126"/>
      <c r="N49"/>
      <c r="O49"/>
      <c r="P49"/>
    </row>
    <row r="50" spans="3:16">
      <c r="C50" s="126"/>
      <c r="D50" s="86"/>
      <c r="E50" s="127"/>
      <c r="F50" s="127"/>
      <c r="G50" s="100"/>
      <c r="H50" s="42"/>
      <c r="I50" s="126"/>
      <c r="N50"/>
      <c r="O50"/>
      <c r="P50"/>
    </row>
    <row r="51" spans="3:16">
      <c r="C51" s="126"/>
      <c r="D51" s="86"/>
      <c r="E51" s="127"/>
      <c r="F51" s="127"/>
      <c r="G51" s="100"/>
      <c r="H51" s="42"/>
      <c r="I51" s="126"/>
      <c r="N51"/>
      <c r="O51"/>
      <c r="P51"/>
    </row>
    <row r="52" spans="3:16">
      <c r="C52" s="126"/>
      <c r="D52" s="86"/>
      <c r="E52" s="127"/>
      <c r="F52" s="127"/>
      <c r="G52" s="100"/>
      <c r="H52" s="42"/>
      <c r="I52" s="126"/>
      <c r="N52"/>
      <c r="O52"/>
      <c r="P52"/>
    </row>
    <row r="53" spans="3:16">
      <c r="C53" s="126"/>
      <c r="D53" s="86"/>
      <c r="E53" s="127"/>
      <c r="F53" s="127"/>
      <c r="G53" s="100"/>
      <c r="H53" s="42"/>
      <c r="I53" s="126"/>
      <c r="N53"/>
      <c r="O53"/>
    </row>
    <row r="54" spans="3:16">
      <c r="C54" s="126"/>
      <c r="D54" s="86"/>
      <c r="E54" s="127"/>
      <c r="F54" s="127"/>
      <c r="G54" s="100"/>
      <c r="H54" s="42"/>
      <c r="I54" s="126"/>
      <c r="N54"/>
      <c r="O54"/>
    </row>
    <row r="55" spans="3:16">
      <c r="C55" s="126"/>
      <c r="D55" s="86"/>
      <c r="E55" s="127"/>
      <c r="F55" s="127"/>
      <c r="G55" s="100"/>
      <c r="H55" s="42"/>
      <c r="I55" s="126"/>
      <c r="N55"/>
      <c r="O55"/>
    </row>
    <row r="56" spans="3:16">
      <c r="C56" s="126"/>
      <c r="D56" s="86"/>
      <c r="E56" s="127"/>
      <c r="F56" s="127"/>
      <c r="G56" s="100"/>
      <c r="H56" s="42"/>
      <c r="I56" s="126"/>
      <c r="N56"/>
      <c r="O56"/>
    </row>
    <row r="57" spans="3:16">
      <c r="C57" s="126"/>
      <c r="D57" s="86"/>
      <c r="E57" s="127"/>
      <c r="F57" s="127"/>
      <c r="G57" s="100"/>
      <c r="H57" s="42"/>
      <c r="I57" s="126"/>
      <c r="N57"/>
      <c r="O57"/>
    </row>
    <row r="58" spans="3:16">
      <c r="C58" s="126"/>
      <c r="D58" s="86"/>
      <c r="E58" s="127"/>
      <c r="F58" s="127"/>
      <c r="G58" s="100"/>
      <c r="H58" s="42"/>
      <c r="I58" s="126"/>
      <c r="N58"/>
      <c r="O58"/>
    </row>
    <row r="59" spans="3:16">
      <c r="C59" s="126"/>
      <c r="D59" s="86"/>
      <c r="E59" s="127"/>
      <c r="F59" s="127"/>
      <c r="G59" s="100"/>
      <c r="H59" s="42"/>
      <c r="I59" s="126"/>
      <c r="N59"/>
      <c r="O59"/>
    </row>
    <row r="60" spans="3:16">
      <c r="C60" s="126"/>
      <c r="D60" s="86"/>
      <c r="E60" s="127"/>
      <c r="F60" s="127"/>
      <c r="G60" s="100"/>
      <c r="H60" s="42"/>
      <c r="I60" s="126"/>
      <c r="N60"/>
      <c r="O60"/>
    </row>
    <row r="61" spans="3:16">
      <c r="C61" s="126"/>
      <c r="D61" s="86"/>
      <c r="E61" s="127"/>
      <c r="F61" s="127"/>
      <c r="G61" s="100"/>
      <c r="H61" s="42"/>
      <c r="I61" s="126"/>
      <c r="N61"/>
      <c r="O61"/>
    </row>
    <row r="62" spans="3:16">
      <c r="C62" s="94"/>
      <c r="D62" s="86"/>
      <c r="E62" s="95"/>
      <c r="F62" s="95"/>
      <c r="G62" s="100"/>
      <c r="H62" s="42"/>
      <c r="I62" s="94"/>
      <c r="J62" s="95"/>
      <c r="N62"/>
      <c r="O62"/>
    </row>
    <row r="63" spans="3:16">
      <c r="C63" s="86"/>
      <c r="D63" s="86"/>
      <c r="E63" s="95"/>
      <c r="F63" s="95"/>
      <c r="G63" s="100"/>
      <c r="H63" s="42"/>
      <c r="I63" s="126"/>
      <c r="N63"/>
      <c r="O63"/>
    </row>
    <row r="64" spans="3:16">
      <c r="C64" s="86"/>
      <c r="D64" s="86"/>
      <c r="E64" s="131"/>
      <c r="F64" s="95"/>
      <c r="G64" s="100"/>
      <c r="H64" s="42"/>
      <c r="I64" s="126"/>
      <c r="N64"/>
      <c r="O64"/>
    </row>
    <row r="65" spans="3:15">
      <c r="C65" s="86"/>
      <c r="D65" s="86"/>
      <c r="E65" s="95"/>
      <c r="F65" s="95"/>
      <c r="G65" s="100"/>
      <c r="H65" s="42"/>
      <c r="I65" s="126"/>
      <c r="N65"/>
      <c r="O65"/>
    </row>
    <row r="66" spans="3:15">
      <c r="C66" s="86"/>
      <c r="D66" s="86"/>
      <c r="E66" s="95"/>
      <c r="F66" s="44"/>
      <c r="G66" s="100"/>
      <c r="H66" s="42"/>
      <c r="I66" s="126"/>
      <c r="N66"/>
      <c r="O66"/>
    </row>
    <row r="67" spans="3:15">
      <c r="C67" s="86"/>
      <c r="D67" s="86"/>
      <c r="E67" s="95"/>
      <c r="F67" s="44"/>
      <c r="G67" s="100"/>
      <c r="H67" s="42"/>
      <c r="I67" s="126"/>
      <c r="N67"/>
      <c r="O67"/>
    </row>
    <row r="68" spans="3:15">
      <c r="C68" s="86"/>
      <c r="D68" s="86"/>
      <c r="E68" s="95"/>
      <c r="F68" s="95"/>
      <c r="G68" s="100"/>
      <c r="H68" s="42"/>
      <c r="I68" s="126"/>
      <c r="N68"/>
      <c r="O68"/>
    </row>
    <row r="69" spans="3:15">
      <c r="C69" s="94"/>
      <c r="D69" s="86"/>
      <c r="E69" s="95"/>
      <c r="F69" s="95"/>
      <c r="G69" s="100"/>
      <c r="H69" s="42"/>
      <c r="I69" s="126"/>
      <c r="N69"/>
      <c r="O69"/>
    </row>
    <row r="70" spans="3:15">
      <c r="C70" s="86"/>
      <c r="D70" s="86"/>
      <c r="E70" s="95"/>
      <c r="F70" s="44"/>
      <c r="G70" s="100"/>
      <c r="H70" s="42"/>
      <c r="I70" s="126"/>
      <c r="N70"/>
      <c r="O70"/>
    </row>
    <row r="71" spans="3:15">
      <c r="C71" s="86"/>
      <c r="D71" s="86"/>
      <c r="E71" s="95"/>
      <c r="F71" s="95"/>
      <c r="G71" s="100"/>
      <c r="H71" s="42"/>
      <c r="I71" s="126"/>
      <c r="N71"/>
      <c r="O71"/>
    </row>
    <row r="72" spans="3:15">
      <c r="C72" s="86"/>
      <c r="D72" s="86"/>
      <c r="E72" s="127"/>
      <c r="F72" s="127"/>
      <c r="G72" s="100"/>
      <c r="H72" s="42"/>
      <c r="I72" s="126"/>
      <c r="L72" s="30"/>
      <c r="N72"/>
      <c r="O72"/>
    </row>
    <row r="73" spans="3:15">
      <c r="C73" s="86"/>
      <c r="D73" s="86"/>
      <c r="E73" s="95"/>
      <c r="G73" s="100"/>
      <c r="H73" s="42"/>
      <c r="I73" s="126"/>
      <c r="N73"/>
      <c r="O73"/>
    </row>
    <row r="74" spans="3:15">
      <c r="C74" s="86"/>
      <c r="D74" s="86"/>
      <c r="E74" s="95"/>
      <c r="G74" s="100"/>
      <c r="H74" s="42"/>
      <c r="I74" s="126"/>
      <c r="N74"/>
      <c r="O74"/>
    </row>
    <row r="75" spans="3:15">
      <c r="C75" s="86"/>
      <c r="D75" s="86"/>
      <c r="E75" s="95"/>
      <c r="G75" s="100"/>
      <c r="H75" s="42"/>
      <c r="I75" s="126"/>
      <c r="N75"/>
      <c r="O75"/>
    </row>
    <row r="76" spans="3:15">
      <c r="C76" s="86"/>
      <c r="D76" s="86"/>
      <c r="E76" s="95"/>
      <c r="G76" s="100"/>
      <c r="H76" s="42"/>
      <c r="I76" s="126"/>
      <c r="N76"/>
      <c r="O76"/>
    </row>
    <row r="77" spans="3:15">
      <c r="C77" s="86"/>
      <c r="D77" s="86"/>
      <c r="E77" s="95"/>
      <c r="G77" s="100"/>
      <c r="H77" s="42"/>
      <c r="I77" s="126"/>
      <c r="N77"/>
      <c r="O77"/>
    </row>
    <row r="78" spans="3:15">
      <c r="C78" s="86"/>
      <c r="D78" s="86"/>
      <c r="E78" s="95"/>
      <c r="G78" s="100"/>
      <c r="H78" s="42"/>
      <c r="I78" s="126"/>
      <c r="N78"/>
      <c r="O78"/>
    </row>
    <row r="79" spans="3:15">
      <c r="C79" s="86"/>
      <c r="D79" s="86"/>
      <c r="E79" s="95"/>
      <c r="G79" s="100"/>
      <c r="H79" s="42"/>
      <c r="I79" s="126"/>
      <c r="N79"/>
      <c r="O79"/>
    </row>
    <row r="80" spans="3:15">
      <c r="C80" s="86"/>
      <c r="D80" s="86"/>
      <c r="E80" s="95"/>
      <c r="G80" s="100"/>
      <c r="H80" s="42"/>
      <c r="I80" s="126"/>
      <c r="N80"/>
      <c r="O80"/>
    </row>
    <row r="81" spans="1:15">
      <c r="C81" s="86"/>
      <c r="D81" s="86"/>
      <c r="E81" s="95"/>
      <c r="G81" s="100"/>
      <c r="H81" s="42"/>
      <c r="I81" s="126"/>
      <c r="N81"/>
      <c r="O81"/>
    </row>
    <row r="82" spans="1:15">
      <c r="C82" s="94"/>
      <c r="D82" s="86"/>
      <c r="E82" s="95"/>
      <c r="F82" s="95"/>
      <c r="G82" s="100"/>
      <c r="H82" s="42"/>
      <c r="I82" s="94"/>
      <c r="J82" s="95"/>
      <c r="N82"/>
      <c r="O82"/>
    </row>
    <row r="83" spans="1:15">
      <c r="C83" s="86"/>
      <c r="D83" s="86"/>
      <c r="E83" s="127"/>
      <c r="F83" s="127"/>
      <c r="G83" s="100"/>
      <c r="H83" s="42"/>
      <c r="I83" s="126"/>
      <c r="N83"/>
      <c r="O83"/>
    </row>
    <row r="84" spans="1:15">
      <c r="C84" s="126"/>
      <c r="D84" s="86"/>
      <c r="E84" s="95"/>
      <c r="F84" s="95"/>
      <c r="G84" s="100"/>
      <c r="H84" s="42"/>
      <c r="I84" s="126"/>
      <c r="N84"/>
      <c r="O84"/>
    </row>
    <row r="85" spans="1:15">
      <c r="C85" s="126"/>
      <c r="D85" s="86"/>
      <c r="E85" s="95"/>
      <c r="F85" s="95"/>
      <c r="G85" s="100"/>
      <c r="H85" s="42"/>
      <c r="I85" s="126"/>
      <c r="N85"/>
      <c r="O85"/>
    </row>
    <row r="86" spans="1:15">
      <c r="C86" s="126"/>
      <c r="D86" s="86"/>
      <c r="E86" s="95"/>
      <c r="F86" s="95"/>
      <c r="G86" s="100"/>
      <c r="H86" s="42"/>
      <c r="I86" s="126"/>
      <c r="N86"/>
      <c r="O86"/>
    </row>
    <row r="87" spans="1:15">
      <c r="B87" s="95"/>
      <c r="C87" s="94"/>
      <c r="D87" s="43"/>
      <c r="E87" s="95"/>
      <c r="F87" s="95"/>
      <c r="G87" s="100"/>
      <c r="H87" s="42"/>
      <c r="I87" s="94"/>
      <c r="J87" s="95"/>
      <c r="K87" s="95"/>
      <c r="N87"/>
      <c r="O87"/>
    </row>
    <row r="88" spans="1:15">
      <c r="B88" s="44"/>
      <c r="C88" s="94"/>
      <c r="D88" s="43"/>
      <c r="E88" s="95"/>
      <c r="F88" s="95"/>
      <c r="G88" s="100"/>
      <c r="H88" s="42"/>
      <c r="I88" s="94"/>
      <c r="J88" s="95"/>
      <c r="K88" s="44"/>
      <c r="N88"/>
      <c r="O88"/>
    </row>
    <row r="89" spans="1:15">
      <c r="B89" s="44"/>
      <c r="C89" s="94"/>
      <c r="D89" s="43"/>
      <c r="E89" s="95"/>
      <c r="F89" s="95"/>
      <c r="G89" s="100"/>
      <c r="H89" s="42"/>
      <c r="I89" s="94"/>
      <c r="J89" s="44"/>
      <c r="K89" s="44"/>
      <c r="N89"/>
      <c r="O89"/>
    </row>
    <row r="90" spans="1:15">
      <c r="B90" s="44"/>
      <c r="C90" s="43"/>
      <c r="D90" s="43"/>
      <c r="E90" s="95"/>
      <c r="F90" s="95"/>
      <c r="G90" s="100"/>
      <c r="H90" s="42"/>
      <c r="I90" s="94"/>
      <c r="J90" s="44"/>
      <c r="K90" s="44"/>
      <c r="N90"/>
      <c r="O90"/>
    </row>
    <row r="91" spans="1:15">
      <c r="B91" s="44"/>
      <c r="C91" s="94"/>
      <c r="D91" s="43"/>
      <c r="E91" s="95"/>
      <c r="F91" s="95"/>
      <c r="G91" s="100"/>
      <c r="H91" s="42"/>
      <c r="I91" s="94"/>
      <c r="J91" s="95"/>
      <c r="K91" s="44"/>
      <c r="N91"/>
      <c r="O91"/>
    </row>
    <row r="92" spans="1:15">
      <c r="C92" s="126"/>
      <c r="D92" s="86"/>
      <c r="E92" s="95"/>
      <c r="F92" s="95"/>
      <c r="G92" s="100"/>
      <c r="H92" s="42"/>
      <c r="I92" s="126"/>
      <c r="N92"/>
      <c r="O92"/>
    </row>
    <row r="93" spans="1:15">
      <c r="C93" s="126"/>
      <c r="D93" s="86"/>
      <c r="E93" s="95"/>
      <c r="F93" s="95"/>
      <c r="G93" s="100"/>
      <c r="H93" s="42"/>
      <c r="I93" s="126"/>
      <c r="J93" s="127"/>
      <c r="N93"/>
      <c r="O93"/>
    </row>
    <row r="94" spans="1:15">
      <c r="C94" s="126"/>
      <c r="D94" s="86"/>
      <c r="E94" s="132"/>
      <c r="F94" s="127"/>
      <c r="G94" s="100"/>
      <c r="H94" s="42"/>
      <c r="I94" s="126"/>
      <c r="J94" s="127"/>
      <c r="N94"/>
      <c r="O94"/>
    </row>
    <row r="95" spans="1:15">
      <c r="C95" s="126"/>
      <c r="D95" s="86"/>
      <c r="E95" s="95"/>
      <c r="F95" s="44"/>
      <c r="G95" s="100"/>
      <c r="H95" s="42"/>
      <c r="I95" s="126"/>
      <c r="N95"/>
      <c r="O95"/>
    </row>
    <row r="96" spans="1:15" s="95" customFormat="1">
      <c r="A96" s="175"/>
      <c r="B96" s="175"/>
      <c r="C96" s="126"/>
      <c r="D96" s="86"/>
      <c r="E96" s="133"/>
      <c r="F96" s="133"/>
      <c r="G96" s="100"/>
      <c r="H96" s="42"/>
      <c r="I96" s="137"/>
      <c r="J96" s="133"/>
      <c r="K96" s="134"/>
      <c r="N96"/>
      <c r="O96"/>
    </row>
    <row r="97" spans="1:15">
      <c r="C97" s="94"/>
      <c r="D97" s="86"/>
      <c r="E97" s="95"/>
      <c r="F97" s="95"/>
      <c r="G97" s="100"/>
      <c r="H97" s="42"/>
      <c r="I97" s="94"/>
      <c r="J97" s="95"/>
      <c r="N97"/>
      <c r="O97"/>
    </row>
    <row r="98" spans="1:15">
      <c r="C98" s="126"/>
      <c r="D98" s="86"/>
      <c r="E98" s="95"/>
      <c r="F98" s="44"/>
      <c r="G98" s="100"/>
      <c r="H98" s="42"/>
      <c r="I98" s="94"/>
      <c r="N98"/>
      <c r="O98"/>
    </row>
    <row r="99" spans="1:15">
      <c r="C99" s="126"/>
      <c r="D99" s="86"/>
      <c r="E99" s="95"/>
      <c r="F99" s="95"/>
      <c r="G99" s="100"/>
      <c r="H99" s="42"/>
      <c r="I99" s="94"/>
      <c r="K99" s="95"/>
      <c r="N99"/>
      <c r="O99"/>
    </row>
    <row r="100" spans="1:15" s="95" customFormat="1">
      <c r="A100" s="175"/>
      <c r="B100" s="175"/>
      <c r="C100" s="86"/>
      <c r="D100" s="86"/>
      <c r="E100" s="132"/>
      <c r="F100" s="127"/>
      <c r="G100" s="100"/>
      <c r="H100" s="42"/>
      <c r="I100" s="126"/>
      <c r="J100" s="175"/>
      <c r="K100" s="175"/>
      <c r="N100"/>
      <c r="O100"/>
    </row>
    <row r="101" spans="1:15" s="95" customFormat="1">
      <c r="A101" s="175"/>
      <c r="B101" s="175"/>
      <c r="C101" s="86"/>
      <c r="D101" s="86"/>
      <c r="G101" s="100"/>
      <c r="H101" s="42"/>
      <c r="I101" s="126"/>
      <c r="J101" s="175"/>
      <c r="K101" s="175"/>
      <c r="N101"/>
      <c r="O101"/>
    </row>
    <row r="102" spans="1:15" s="95" customFormat="1">
      <c r="A102" s="175"/>
      <c r="B102" s="175"/>
      <c r="C102" s="94"/>
      <c r="D102" s="86"/>
      <c r="G102" s="100"/>
      <c r="H102" s="42"/>
      <c r="I102" s="94"/>
      <c r="K102" s="127"/>
      <c r="N102"/>
      <c r="O102"/>
    </row>
    <row r="103" spans="1:15" s="95" customFormat="1">
      <c r="A103" s="175"/>
      <c r="B103" s="175"/>
      <c r="C103" s="126"/>
      <c r="D103" s="86"/>
      <c r="G103" s="100"/>
      <c r="H103" s="42"/>
      <c r="I103" s="94"/>
      <c r="K103" s="127"/>
      <c r="N103"/>
      <c r="O103"/>
    </row>
    <row r="104" spans="1:15" s="95" customFormat="1">
      <c r="A104" s="175"/>
      <c r="B104" s="175"/>
      <c r="C104" s="86"/>
      <c r="D104" s="86"/>
      <c r="E104" s="127"/>
      <c r="F104" s="127"/>
      <c r="G104" s="100"/>
      <c r="H104" s="42"/>
      <c r="I104" s="126"/>
      <c r="K104" s="175"/>
      <c r="N104"/>
      <c r="O104"/>
    </row>
    <row r="105" spans="1:15" s="95" customFormat="1">
      <c r="A105" s="175"/>
      <c r="B105" s="175"/>
      <c r="C105" s="126"/>
      <c r="D105" s="86"/>
      <c r="E105" s="127"/>
      <c r="F105" s="127"/>
      <c r="G105" s="100"/>
      <c r="H105" s="42"/>
      <c r="I105" s="126"/>
      <c r="J105" s="175"/>
      <c r="K105" s="175"/>
      <c r="N105"/>
      <c r="O105"/>
    </row>
    <row r="106" spans="1:15" s="95" customFormat="1">
      <c r="A106" s="175"/>
      <c r="C106" s="94"/>
      <c r="D106" s="86"/>
      <c r="G106" s="100"/>
      <c r="H106" s="42"/>
      <c r="I106" s="94"/>
      <c r="N106"/>
      <c r="O106"/>
    </row>
    <row r="107" spans="1:15" s="95" customFormat="1">
      <c r="A107" s="175"/>
      <c r="B107" s="175"/>
      <c r="C107" s="126"/>
      <c r="D107" s="86"/>
      <c r="E107" s="127"/>
      <c r="F107" s="127"/>
      <c r="G107" s="100"/>
      <c r="H107" s="42"/>
      <c r="I107" s="126"/>
      <c r="K107" s="175"/>
      <c r="N107"/>
      <c r="O107"/>
    </row>
    <row r="108" spans="1:15" s="95" customFormat="1">
      <c r="A108" s="175"/>
      <c r="B108" s="175"/>
      <c r="C108" s="126"/>
      <c r="D108" s="86"/>
      <c r="G108" s="100"/>
      <c r="H108" s="42"/>
      <c r="I108" s="94"/>
      <c r="K108" s="127"/>
      <c r="N108"/>
      <c r="O108"/>
    </row>
    <row r="109" spans="1:15" s="95" customFormat="1">
      <c r="A109" s="175"/>
      <c r="B109" s="175"/>
      <c r="C109" s="126"/>
      <c r="D109" s="86"/>
      <c r="E109" s="127"/>
      <c r="F109" s="127"/>
      <c r="G109" s="100"/>
      <c r="H109" s="42"/>
      <c r="I109" s="126"/>
      <c r="K109" s="175"/>
      <c r="N109"/>
      <c r="O109"/>
    </row>
    <row r="110" spans="1:15" s="95" customFormat="1">
      <c r="A110" s="175"/>
      <c r="B110" s="175"/>
      <c r="C110" s="94"/>
      <c r="D110" s="86"/>
      <c r="G110" s="100"/>
      <c r="H110" s="42"/>
      <c r="I110" s="94"/>
      <c r="N110"/>
      <c r="O110"/>
    </row>
    <row r="111" spans="1:15" s="95" customFormat="1">
      <c r="A111" s="175"/>
      <c r="B111" s="175"/>
      <c r="C111" s="86"/>
      <c r="D111" s="86"/>
      <c r="E111" s="127"/>
      <c r="F111" s="127"/>
      <c r="G111" s="100"/>
      <c r="H111" s="42"/>
      <c r="I111" s="126"/>
      <c r="K111" s="175"/>
      <c r="N111"/>
      <c r="O111"/>
    </row>
    <row r="112" spans="1:15" s="95" customFormat="1">
      <c r="A112" s="175"/>
      <c r="B112" s="175"/>
      <c r="C112" s="126"/>
      <c r="D112" s="86"/>
      <c r="E112" s="127"/>
      <c r="F112" s="127"/>
      <c r="G112" s="100"/>
      <c r="H112" s="42"/>
      <c r="I112" s="126"/>
      <c r="K112" s="175"/>
      <c r="N112"/>
      <c r="O112"/>
    </row>
    <row r="113" spans="1:15" s="95" customFormat="1">
      <c r="A113" s="175"/>
      <c r="B113" s="175"/>
      <c r="C113" s="94"/>
      <c r="D113" s="86"/>
      <c r="G113" s="100"/>
      <c r="H113" s="42"/>
      <c r="I113" s="94"/>
      <c r="K113" s="127"/>
      <c r="N113"/>
      <c r="O113"/>
    </row>
    <row r="114" spans="1:15" s="95" customFormat="1">
      <c r="A114" s="175"/>
      <c r="B114" s="175"/>
      <c r="C114" s="94"/>
      <c r="D114" s="86"/>
      <c r="G114" s="100"/>
      <c r="H114" s="42"/>
      <c r="I114" s="94"/>
      <c r="N114"/>
      <c r="O114"/>
    </row>
    <row r="115" spans="1:15" s="95" customFormat="1">
      <c r="A115" s="175"/>
      <c r="B115" s="175"/>
      <c r="C115" s="136"/>
      <c r="D115" s="86"/>
      <c r="E115" s="127"/>
      <c r="F115" s="127"/>
      <c r="G115" s="100"/>
      <c r="H115" s="42"/>
      <c r="I115" s="126"/>
      <c r="J115" s="175"/>
      <c r="K115" s="175"/>
      <c r="N115"/>
      <c r="O115"/>
    </row>
    <row r="116" spans="1:15" s="95" customFormat="1">
      <c r="A116" s="175"/>
      <c r="B116" s="175"/>
      <c r="C116" s="94"/>
      <c r="D116" s="86"/>
      <c r="G116" s="100"/>
      <c r="H116" s="42"/>
      <c r="I116" s="94"/>
      <c r="N116"/>
      <c r="O116"/>
    </row>
    <row r="117" spans="1:15" s="95" customFormat="1">
      <c r="A117" s="175"/>
      <c r="B117" s="175"/>
      <c r="C117" s="94"/>
      <c r="D117" s="86"/>
      <c r="G117" s="100"/>
      <c r="H117" s="42"/>
      <c r="I117" s="94"/>
      <c r="N117"/>
      <c r="O117"/>
    </row>
    <row r="118" spans="1:15" s="95" customFormat="1">
      <c r="A118" s="175"/>
      <c r="B118" s="175"/>
      <c r="C118" s="126"/>
      <c r="D118" s="86"/>
      <c r="G118" s="100"/>
      <c r="H118" s="42"/>
      <c r="I118" s="94"/>
      <c r="J118" s="127"/>
      <c r="K118" s="127"/>
      <c r="N118"/>
      <c r="O118"/>
    </row>
    <row r="119" spans="1:15" s="95" customFormat="1">
      <c r="A119" s="175"/>
      <c r="B119" s="175"/>
      <c r="C119" s="94"/>
      <c r="D119" s="86"/>
      <c r="G119" s="100"/>
      <c r="H119" s="42"/>
      <c r="I119" s="94"/>
      <c r="K119" s="127"/>
      <c r="N119"/>
      <c r="O119"/>
    </row>
    <row r="120" spans="1:15" s="95" customFormat="1">
      <c r="A120" s="175"/>
      <c r="B120" s="175"/>
      <c r="C120" s="126"/>
      <c r="D120" s="86"/>
      <c r="E120" s="127"/>
      <c r="F120" s="127"/>
      <c r="G120" s="100"/>
      <c r="H120" s="42"/>
      <c r="I120" s="126"/>
      <c r="J120" s="175"/>
      <c r="K120" s="175"/>
      <c r="N120"/>
      <c r="O120"/>
    </row>
    <row r="121" spans="1:15" s="95" customFormat="1">
      <c r="A121" s="175"/>
      <c r="C121" s="94"/>
      <c r="D121" s="86"/>
      <c r="G121" s="100"/>
      <c r="H121" s="42"/>
      <c r="I121" s="94"/>
      <c r="J121" s="175"/>
      <c r="N121"/>
      <c r="O121"/>
    </row>
    <row r="122" spans="1:15" s="95" customFormat="1">
      <c r="A122" s="175"/>
      <c r="B122" s="175"/>
      <c r="C122" s="126"/>
      <c r="D122" s="86"/>
      <c r="G122" s="100"/>
      <c r="H122" s="42"/>
      <c r="I122" s="94"/>
      <c r="J122" s="127"/>
      <c r="N122"/>
      <c r="O122"/>
    </row>
    <row r="123" spans="1:15" s="95" customFormat="1">
      <c r="A123" s="175"/>
      <c r="B123" s="175"/>
      <c r="C123" s="126"/>
      <c r="D123" s="86"/>
      <c r="E123" s="127"/>
      <c r="F123" s="127"/>
      <c r="G123" s="100"/>
      <c r="H123" s="42"/>
      <c r="I123" s="126"/>
      <c r="J123" s="132"/>
      <c r="K123" s="175"/>
      <c r="N123"/>
      <c r="O123"/>
    </row>
    <row r="124" spans="1:15">
      <c r="C124" s="126"/>
      <c r="D124" s="86"/>
      <c r="E124" s="95"/>
      <c r="F124" s="95"/>
      <c r="G124" s="100"/>
      <c r="H124" s="42"/>
      <c r="I124" s="94"/>
      <c r="J124" s="127"/>
      <c r="K124" s="127"/>
      <c r="N124"/>
      <c r="O124"/>
    </row>
    <row r="125" spans="1:15">
      <c r="C125" s="126"/>
      <c r="D125" s="86"/>
      <c r="E125" s="95"/>
      <c r="F125" s="95"/>
      <c r="G125" s="100"/>
      <c r="H125" s="42"/>
      <c r="I125" s="94"/>
      <c r="J125" s="127"/>
      <c r="K125" s="127"/>
      <c r="N125"/>
    </row>
    <row r="126" spans="1:15">
      <c r="C126" s="126"/>
      <c r="D126" s="86"/>
      <c r="E126" s="95"/>
      <c r="F126" s="95"/>
      <c r="G126" s="100"/>
      <c r="H126" s="42"/>
      <c r="I126" s="94"/>
      <c r="J126" s="127"/>
      <c r="K126" s="127"/>
      <c r="N126"/>
    </row>
    <row r="127" spans="1:15">
      <c r="C127" s="126"/>
      <c r="D127" s="86"/>
      <c r="E127" s="95"/>
      <c r="F127" s="95"/>
      <c r="G127" s="100"/>
      <c r="H127" s="42"/>
      <c r="I127" s="94"/>
      <c r="J127" s="127"/>
      <c r="K127" s="127"/>
      <c r="N127"/>
    </row>
    <row r="128" spans="1:15">
      <c r="C128" s="126"/>
      <c r="D128" s="86"/>
      <c r="E128" s="127"/>
      <c r="F128" s="95"/>
      <c r="G128" s="100"/>
      <c r="H128" s="42"/>
      <c r="I128" s="94"/>
      <c r="J128" s="127"/>
      <c r="K128" s="127"/>
      <c r="N128"/>
    </row>
    <row r="129" spans="1:14">
      <c r="C129" s="94"/>
      <c r="D129" s="86"/>
      <c r="E129" s="95"/>
      <c r="F129" s="95"/>
      <c r="G129" s="100"/>
      <c r="H129" s="42"/>
      <c r="I129" s="94"/>
      <c r="J129" s="132"/>
      <c r="K129" s="127"/>
      <c r="N129"/>
    </row>
    <row r="130" spans="1:14">
      <c r="C130" s="126"/>
      <c r="D130" s="86"/>
      <c r="E130" s="95"/>
      <c r="G130" s="100"/>
      <c r="H130" s="42"/>
      <c r="I130" s="94"/>
      <c r="J130" s="132"/>
      <c r="K130" s="127"/>
      <c r="N130"/>
    </row>
    <row r="131" spans="1:14">
      <c r="C131" s="94"/>
      <c r="D131" s="86"/>
      <c r="E131" s="95"/>
      <c r="F131" s="95"/>
      <c r="G131" s="100"/>
      <c r="H131" s="42"/>
      <c r="I131" s="94"/>
      <c r="J131" s="95"/>
      <c r="K131" s="127"/>
      <c r="N131"/>
    </row>
    <row r="132" spans="1:14">
      <c r="B132" s="127"/>
      <c r="C132" s="126"/>
      <c r="D132" s="86"/>
      <c r="E132" s="95"/>
      <c r="F132" s="95"/>
      <c r="G132" s="100"/>
      <c r="H132" s="42"/>
      <c r="I132" s="94"/>
      <c r="K132" s="127"/>
      <c r="N132"/>
    </row>
    <row r="133" spans="1:14">
      <c r="C133" s="126"/>
      <c r="D133" s="86"/>
      <c r="E133" s="95"/>
      <c r="F133" s="95"/>
      <c r="G133" s="100"/>
      <c r="H133" s="42"/>
      <c r="I133" s="94"/>
      <c r="N133"/>
    </row>
    <row r="134" spans="1:14">
      <c r="C134" s="126"/>
      <c r="D134" s="86"/>
      <c r="E134" s="127"/>
      <c r="F134" s="127"/>
      <c r="G134" s="100"/>
      <c r="H134" s="42"/>
      <c r="I134" s="126"/>
      <c r="K134" s="127"/>
      <c r="N134"/>
    </row>
    <row r="135" spans="1:14">
      <c r="C135" s="126"/>
      <c r="D135" s="86"/>
      <c r="E135" s="95"/>
      <c r="F135" s="95"/>
      <c r="G135" s="100"/>
      <c r="H135" s="42"/>
      <c r="I135" s="94"/>
      <c r="K135" s="127"/>
      <c r="N135"/>
    </row>
    <row r="136" spans="1:14">
      <c r="C136" s="94"/>
      <c r="D136" s="86"/>
      <c r="E136" s="95"/>
      <c r="F136" s="95"/>
      <c r="G136" s="100"/>
      <c r="H136" s="42"/>
      <c r="I136" s="94"/>
      <c r="J136" s="95"/>
      <c r="K136" s="127"/>
      <c r="N136"/>
    </row>
    <row r="137" spans="1:14">
      <c r="C137" s="137"/>
      <c r="D137" s="86"/>
      <c r="E137" s="133"/>
      <c r="F137" s="133"/>
      <c r="G137" s="100"/>
      <c r="H137" s="42"/>
      <c r="I137" s="137"/>
      <c r="J137" s="133"/>
      <c r="K137" s="133"/>
      <c r="N137"/>
    </row>
    <row r="138" spans="1:14" s="95" customFormat="1">
      <c r="A138" s="175"/>
      <c r="B138" s="127"/>
      <c r="C138" s="126"/>
      <c r="D138" s="86"/>
      <c r="E138" s="127"/>
      <c r="F138" s="127"/>
      <c r="G138" s="100"/>
      <c r="H138" s="42"/>
      <c r="I138" s="126"/>
      <c r="K138" s="127"/>
      <c r="N138"/>
    </row>
    <row r="139" spans="1:14">
      <c r="C139" s="126"/>
      <c r="D139" s="86"/>
      <c r="E139" s="95"/>
      <c r="F139" s="95"/>
      <c r="G139" s="100"/>
      <c r="H139" s="42"/>
      <c r="I139" s="94"/>
      <c r="J139" s="95"/>
      <c r="K139" s="95"/>
      <c r="N139"/>
    </row>
    <row r="140" spans="1:14">
      <c r="C140" s="137"/>
      <c r="D140" s="86"/>
      <c r="E140" s="133"/>
      <c r="F140" s="133"/>
      <c r="G140" s="100"/>
      <c r="H140" s="42"/>
      <c r="I140" s="137"/>
      <c r="J140" s="133"/>
      <c r="K140" s="133"/>
      <c r="N140"/>
    </row>
    <row r="141" spans="1:14">
      <c r="C141" s="126"/>
      <c r="D141" s="86"/>
      <c r="E141" s="95"/>
      <c r="F141" s="95"/>
      <c r="G141" s="100"/>
      <c r="H141" s="42"/>
      <c r="I141" s="94"/>
      <c r="K141" s="127"/>
      <c r="N141"/>
    </row>
    <row r="142" spans="1:14">
      <c r="C142" s="94"/>
      <c r="D142" s="86"/>
      <c r="E142" s="95"/>
      <c r="F142" s="95"/>
      <c r="G142" s="100"/>
      <c r="H142" s="42"/>
      <c r="I142" s="94"/>
      <c r="J142" s="95"/>
      <c r="N142"/>
    </row>
    <row r="143" spans="1:14">
      <c r="C143" s="94"/>
      <c r="D143" s="86"/>
      <c r="E143" s="95"/>
      <c r="F143" s="95"/>
      <c r="G143" s="100"/>
      <c r="H143" s="42"/>
      <c r="I143" s="94"/>
      <c r="J143" s="95"/>
      <c r="N143"/>
    </row>
    <row r="144" spans="1:14">
      <c r="C144" s="94"/>
      <c r="D144" s="86"/>
      <c r="E144" s="95"/>
      <c r="F144" s="95"/>
      <c r="G144" s="100"/>
      <c r="H144" s="42"/>
      <c r="I144" s="94"/>
      <c r="J144" s="95"/>
      <c r="K144" s="95"/>
      <c r="N144"/>
    </row>
    <row r="145" spans="2:14">
      <c r="C145" s="94"/>
      <c r="D145" s="86"/>
      <c r="E145" s="95"/>
      <c r="F145" s="95"/>
      <c r="G145" s="100"/>
      <c r="H145" s="42"/>
      <c r="I145" s="94"/>
      <c r="J145" s="95"/>
      <c r="N145"/>
    </row>
    <row r="146" spans="2:14">
      <c r="C146" s="94"/>
      <c r="D146" s="86"/>
      <c r="E146" s="95"/>
      <c r="F146" s="95"/>
      <c r="G146" s="100"/>
      <c r="H146" s="42"/>
      <c r="I146" s="94"/>
      <c r="N146"/>
    </row>
    <row r="147" spans="2:14">
      <c r="C147" s="94"/>
      <c r="D147" s="86"/>
      <c r="E147" s="95"/>
      <c r="F147" s="95"/>
      <c r="G147" s="100"/>
      <c r="H147" s="42"/>
      <c r="I147" s="94"/>
      <c r="J147" s="95"/>
      <c r="N147"/>
    </row>
    <row r="148" spans="2:14">
      <c r="C148" s="94"/>
      <c r="D148" s="86"/>
      <c r="E148" s="95"/>
      <c r="F148" s="138"/>
      <c r="G148" s="100"/>
      <c r="H148" s="42"/>
      <c r="I148" s="94"/>
      <c r="J148" s="95"/>
      <c r="N148"/>
    </row>
    <row r="149" spans="2:14">
      <c r="C149" s="94"/>
      <c r="D149" s="86"/>
      <c r="E149" s="95"/>
      <c r="F149" s="138"/>
      <c r="G149" s="100"/>
      <c r="H149" s="42"/>
      <c r="I149" s="94"/>
      <c r="J149" s="95"/>
      <c r="K149" s="95"/>
      <c r="N149"/>
    </row>
    <row r="150" spans="2:14">
      <c r="B150" s="95"/>
      <c r="C150" s="94"/>
      <c r="D150" s="86"/>
      <c r="E150" s="95"/>
      <c r="F150" s="138"/>
      <c r="G150" s="100"/>
      <c r="H150" s="42"/>
      <c r="I150" s="94"/>
      <c r="J150" s="95"/>
      <c r="K150" s="95"/>
      <c r="N150"/>
    </row>
    <row r="151" spans="2:14">
      <c r="B151" s="95"/>
      <c r="C151" s="94"/>
      <c r="D151" s="86"/>
      <c r="E151" s="95"/>
      <c r="F151" s="138"/>
      <c r="G151" s="100"/>
      <c r="H151" s="42"/>
      <c r="I151" s="94"/>
      <c r="J151" s="95"/>
      <c r="K151" s="95"/>
      <c r="N151"/>
    </row>
    <row r="152" spans="2:14">
      <c r="B152" s="95"/>
      <c r="C152" s="94"/>
      <c r="D152" s="86"/>
      <c r="E152" s="95"/>
      <c r="F152" s="138"/>
      <c r="G152" s="100"/>
      <c r="H152" s="42"/>
      <c r="I152" s="94"/>
      <c r="J152" s="95"/>
      <c r="K152" s="95"/>
      <c r="N152"/>
    </row>
    <row r="153" spans="2:14">
      <c r="B153" s="95"/>
      <c r="C153" s="94"/>
      <c r="D153" s="86"/>
      <c r="E153" s="95"/>
      <c r="F153" s="138"/>
      <c r="G153" s="100"/>
      <c r="H153" s="42"/>
      <c r="I153" s="94"/>
      <c r="J153" s="95"/>
      <c r="K153" s="95"/>
      <c r="N153"/>
    </row>
    <row r="154" spans="2:14">
      <c r="B154" s="95"/>
      <c r="C154" s="94"/>
      <c r="D154" s="86"/>
      <c r="E154" s="95"/>
      <c r="F154" s="95"/>
      <c r="G154" s="100"/>
      <c r="H154" s="42"/>
      <c r="I154" s="94"/>
      <c r="J154" s="95"/>
      <c r="K154" s="95"/>
      <c r="N154"/>
    </row>
    <row r="155" spans="2:14">
      <c r="B155" s="95"/>
      <c r="C155" s="94"/>
      <c r="D155" s="86"/>
      <c r="E155" s="95"/>
      <c r="F155" s="95"/>
      <c r="G155" s="100"/>
      <c r="H155" s="42"/>
      <c r="I155" s="94"/>
      <c r="J155" s="95"/>
      <c r="K155" s="95"/>
      <c r="N155"/>
    </row>
    <row r="156" spans="2:14">
      <c r="B156" s="95"/>
      <c r="C156" s="94"/>
      <c r="D156" s="86"/>
      <c r="E156" s="95"/>
      <c r="F156" s="138"/>
      <c r="G156" s="100"/>
      <c r="H156" s="42"/>
      <c r="I156" s="94"/>
      <c r="J156" s="95"/>
      <c r="K156" s="95"/>
      <c r="N156"/>
    </row>
    <row r="157" spans="2:14">
      <c r="B157" s="95"/>
      <c r="C157" s="94"/>
      <c r="D157" s="86"/>
      <c r="E157" s="95"/>
      <c r="F157" s="95"/>
      <c r="G157" s="100"/>
      <c r="H157" s="42"/>
      <c r="I157" s="94"/>
      <c r="J157" s="95"/>
      <c r="K157" s="95"/>
      <c r="N157"/>
    </row>
    <row r="158" spans="2:14">
      <c r="B158" s="95"/>
      <c r="C158" s="94"/>
      <c r="D158" s="86"/>
      <c r="E158" s="95"/>
      <c r="F158" s="95"/>
      <c r="G158" s="100"/>
      <c r="H158" s="42"/>
      <c r="I158" s="94"/>
      <c r="J158" s="95"/>
      <c r="K158" s="95"/>
      <c r="N158"/>
    </row>
    <row r="159" spans="2:14">
      <c r="B159" s="95"/>
      <c r="C159" s="94"/>
      <c r="D159" s="86"/>
      <c r="E159" s="95"/>
      <c r="F159" s="139"/>
      <c r="G159" s="100"/>
      <c r="H159" s="42"/>
      <c r="I159" s="94"/>
      <c r="J159" s="95"/>
      <c r="K159" s="95"/>
      <c r="N159"/>
    </row>
    <row r="160" spans="2:14">
      <c r="B160" s="95"/>
      <c r="C160" s="94"/>
      <c r="D160" s="86"/>
      <c r="E160" s="95"/>
      <c r="F160" s="95"/>
      <c r="G160" s="100"/>
      <c r="H160" s="42"/>
      <c r="I160" s="94"/>
      <c r="J160" s="95"/>
      <c r="K160" s="95"/>
      <c r="N160"/>
    </row>
    <row r="161" spans="2:14">
      <c r="B161" s="95"/>
      <c r="C161" s="94"/>
      <c r="D161" s="86"/>
      <c r="E161" s="95"/>
      <c r="F161" s="138"/>
      <c r="G161" s="100"/>
      <c r="H161" s="42"/>
      <c r="I161" s="94"/>
      <c r="J161" s="95"/>
      <c r="K161" s="95"/>
      <c r="N161"/>
    </row>
    <row r="162" spans="2:14">
      <c r="B162" s="95"/>
      <c r="C162" s="94"/>
      <c r="D162" s="86"/>
      <c r="E162" s="95"/>
      <c r="F162" s="139"/>
      <c r="G162" s="100"/>
      <c r="H162" s="42"/>
      <c r="I162" s="94"/>
      <c r="J162" s="95"/>
      <c r="K162" s="95"/>
      <c r="N162"/>
    </row>
    <row r="163" spans="2:14">
      <c r="B163" s="95"/>
      <c r="C163" s="94"/>
      <c r="D163" s="86"/>
      <c r="E163" s="95"/>
      <c r="F163" s="95"/>
      <c r="G163" s="100"/>
      <c r="H163" s="42"/>
      <c r="I163" s="94"/>
      <c r="J163" s="95"/>
      <c r="K163" s="95"/>
      <c r="N163"/>
    </row>
    <row r="164" spans="2:14">
      <c r="B164" s="95"/>
      <c r="C164" s="94"/>
      <c r="D164" s="86"/>
      <c r="E164" s="95"/>
      <c r="F164" s="95"/>
      <c r="G164" s="100"/>
      <c r="H164" s="42"/>
      <c r="I164" s="94"/>
      <c r="J164" s="95"/>
      <c r="K164" s="95"/>
      <c r="N164"/>
    </row>
    <row r="165" spans="2:14">
      <c r="B165" s="95"/>
      <c r="C165" s="94"/>
      <c r="D165" s="86"/>
      <c r="E165" s="95"/>
      <c r="F165" s="138"/>
      <c r="G165" s="100"/>
      <c r="H165" s="42"/>
      <c r="I165" s="94"/>
      <c r="J165" s="95"/>
      <c r="K165" s="95"/>
      <c r="N165"/>
    </row>
    <row r="166" spans="2:14">
      <c r="B166" s="95"/>
      <c r="C166" s="94"/>
      <c r="D166" s="86"/>
      <c r="E166" s="95"/>
      <c r="F166" s="95"/>
      <c r="G166" s="100"/>
      <c r="H166" s="42"/>
      <c r="I166" s="94"/>
      <c r="J166" s="95"/>
      <c r="K166" s="95"/>
      <c r="N166"/>
    </row>
    <row r="167" spans="2:14">
      <c r="B167" s="95"/>
      <c r="C167" s="94"/>
      <c r="D167" s="86"/>
      <c r="E167" s="95"/>
      <c r="F167" s="138"/>
      <c r="G167" s="100"/>
      <c r="H167" s="42"/>
      <c r="I167" s="94"/>
      <c r="J167" s="95"/>
      <c r="K167" s="95"/>
      <c r="N167"/>
    </row>
    <row r="168" spans="2:14">
      <c r="B168" s="95"/>
      <c r="C168" s="94"/>
      <c r="D168" s="86"/>
      <c r="E168" s="95"/>
      <c r="F168" s="95"/>
      <c r="G168" s="100"/>
      <c r="H168" s="42"/>
      <c r="I168" s="94"/>
      <c r="J168" s="95"/>
      <c r="K168" s="95"/>
      <c r="N168"/>
    </row>
    <row r="169" spans="2:14">
      <c r="B169" s="95"/>
      <c r="C169" s="94"/>
      <c r="D169" s="86"/>
      <c r="E169" s="95"/>
      <c r="F169" s="95"/>
      <c r="G169" s="100"/>
      <c r="H169" s="42"/>
      <c r="I169" s="94"/>
      <c r="J169" s="95"/>
      <c r="K169" s="95"/>
      <c r="N169"/>
    </row>
    <row r="170" spans="2:14">
      <c r="B170" s="95"/>
      <c r="C170" s="94"/>
      <c r="D170" s="86"/>
      <c r="E170" s="95"/>
      <c r="F170" s="138"/>
      <c r="G170" s="100"/>
      <c r="H170" s="42"/>
      <c r="I170" s="94"/>
      <c r="J170" s="95"/>
      <c r="K170" s="95"/>
      <c r="N170"/>
    </row>
    <row r="171" spans="2:14">
      <c r="B171" s="95"/>
      <c r="C171" s="94"/>
      <c r="D171" s="86"/>
      <c r="E171" s="95"/>
      <c r="F171" s="95"/>
      <c r="G171" s="100"/>
      <c r="H171" s="42"/>
      <c r="I171" s="94"/>
      <c r="J171" s="95"/>
      <c r="K171" s="95"/>
      <c r="N171"/>
    </row>
    <row r="172" spans="2:14">
      <c r="B172" s="95"/>
      <c r="C172" s="94"/>
      <c r="D172" s="86"/>
      <c r="E172" s="95"/>
      <c r="F172" s="95"/>
      <c r="G172" s="100"/>
      <c r="H172" s="42"/>
      <c r="I172" s="94"/>
      <c r="J172" s="95"/>
      <c r="K172" s="95"/>
      <c r="N172"/>
    </row>
    <row r="173" spans="2:14">
      <c r="C173" s="94"/>
      <c r="D173" s="86"/>
      <c r="E173" s="95"/>
      <c r="F173" s="95"/>
      <c r="G173" s="100"/>
      <c r="H173" s="42"/>
      <c r="I173" s="94"/>
      <c r="J173" s="95"/>
      <c r="K173" s="95"/>
      <c r="N173"/>
    </row>
    <row r="174" spans="2:14">
      <c r="C174" s="126"/>
      <c r="D174" s="86"/>
      <c r="E174" s="95"/>
      <c r="F174" s="95"/>
      <c r="G174" s="100"/>
      <c r="H174" s="42"/>
      <c r="I174" s="94"/>
      <c r="J174" s="96"/>
      <c r="K174" s="127"/>
      <c r="N174"/>
    </row>
    <row r="175" spans="2:14">
      <c r="C175" s="94"/>
      <c r="D175" s="86"/>
      <c r="E175" s="95"/>
      <c r="F175" s="95"/>
      <c r="G175" s="100"/>
      <c r="H175" s="42"/>
      <c r="I175" s="94"/>
      <c r="J175" s="96"/>
      <c r="K175" s="95"/>
      <c r="N175"/>
    </row>
    <row r="176" spans="2:14">
      <c r="C176" s="126"/>
      <c r="D176" s="86"/>
      <c r="E176" s="95"/>
      <c r="F176" s="95"/>
      <c r="G176" s="100"/>
      <c r="H176" s="42"/>
      <c r="I176" s="94"/>
      <c r="J176" s="95"/>
      <c r="K176" s="127"/>
      <c r="N176"/>
    </row>
    <row r="177" spans="2:14">
      <c r="C177" s="94"/>
      <c r="D177" s="86"/>
      <c r="E177" s="95"/>
      <c r="F177" s="95"/>
      <c r="G177" s="100"/>
      <c r="H177" s="42"/>
      <c r="I177" s="94"/>
      <c r="J177" s="95"/>
      <c r="K177" s="95"/>
      <c r="N177"/>
    </row>
    <row r="178" spans="2:14">
      <c r="C178" s="94"/>
      <c r="D178" s="86"/>
      <c r="E178" s="95"/>
      <c r="F178" s="95"/>
      <c r="G178" s="100"/>
      <c r="H178" s="42"/>
      <c r="I178" s="94"/>
      <c r="J178" s="95"/>
      <c r="K178" s="95"/>
      <c r="N178"/>
    </row>
    <row r="179" spans="2:14">
      <c r="C179" s="94"/>
      <c r="D179" s="86"/>
      <c r="E179" s="95"/>
      <c r="F179" s="44"/>
      <c r="G179" s="100"/>
      <c r="H179" s="42"/>
      <c r="I179" s="94"/>
      <c r="J179" s="95"/>
      <c r="K179" s="95"/>
      <c r="N179"/>
    </row>
    <row r="180" spans="2:14">
      <c r="C180" s="94"/>
      <c r="D180" s="86"/>
      <c r="E180" s="95"/>
      <c r="F180" s="95"/>
      <c r="G180" s="100"/>
      <c r="H180" s="42"/>
      <c r="I180" s="94"/>
      <c r="J180" s="95"/>
      <c r="K180" s="95"/>
      <c r="N180"/>
    </row>
    <row r="181" spans="2:14">
      <c r="C181" s="94"/>
      <c r="D181" s="86"/>
      <c r="E181" s="95"/>
      <c r="F181" s="95"/>
      <c r="G181" s="100"/>
      <c r="H181" s="42"/>
      <c r="I181" s="94"/>
      <c r="J181" s="95"/>
      <c r="K181" s="95"/>
      <c r="N181"/>
    </row>
    <row r="182" spans="2:14">
      <c r="C182" s="126"/>
      <c r="D182" s="86"/>
      <c r="E182" s="95"/>
      <c r="F182" s="95"/>
      <c r="G182" s="100"/>
      <c r="H182" s="42"/>
      <c r="I182" s="94"/>
      <c r="J182" s="95"/>
      <c r="K182" s="133"/>
      <c r="N182"/>
    </row>
    <row r="183" spans="2:14">
      <c r="C183" s="94"/>
      <c r="D183" s="86"/>
      <c r="E183" s="95"/>
      <c r="F183" s="95"/>
      <c r="G183" s="100"/>
      <c r="H183" s="42"/>
      <c r="I183" s="94"/>
      <c r="J183" s="95"/>
      <c r="K183" s="95"/>
      <c r="N183"/>
    </row>
    <row r="184" spans="2:14">
      <c r="B184" s="44"/>
      <c r="C184" s="137"/>
      <c r="D184" s="86"/>
      <c r="E184" s="133"/>
      <c r="F184" s="133"/>
      <c r="G184" s="100"/>
      <c r="H184" s="42"/>
      <c r="I184" s="137"/>
      <c r="J184" s="134"/>
      <c r="K184" s="133"/>
      <c r="N184"/>
    </row>
    <row r="185" spans="2:14">
      <c r="B185" s="127"/>
      <c r="C185" s="126"/>
      <c r="D185" s="86"/>
      <c r="E185" s="95"/>
      <c r="F185" s="127"/>
      <c r="G185" s="100"/>
      <c r="H185" s="42"/>
      <c r="I185" s="94"/>
      <c r="J185" s="95"/>
      <c r="K185" s="127"/>
      <c r="N185"/>
    </row>
    <row r="186" spans="2:14">
      <c r="B186" s="95"/>
      <c r="C186" s="94"/>
      <c r="D186" s="86"/>
      <c r="E186" s="95"/>
      <c r="F186" s="95"/>
      <c r="G186" s="100"/>
      <c r="H186" s="42"/>
      <c r="I186" s="94"/>
      <c r="J186" s="95"/>
      <c r="K186" s="95"/>
      <c r="N186"/>
    </row>
    <row r="187" spans="2:14">
      <c r="B187" s="95"/>
      <c r="C187" s="94"/>
      <c r="D187" s="86"/>
      <c r="E187" s="95"/>
      <c r="F187" s="95"/>
      <c r="G187" s="100"/>
      <c r="H187" s="42"/>
      <c r="I187" s="94"/>
      <c r="J187" s="95"/>
      <c r="K187" s="95"/>
      <c r="N187"/>
    </row>
    <row r="188" spans="2:14">
      <c r="B188" s="95"/>
      <c r="C188" s="94"/>
      <c r="D188" s="86"/>
      <c r="E188" s="95"/>
      <c r="F188" s="95"/>
      <c r="G188" s="100"/>
      <c r="H188" s="42"/>
      <c r="I188" s="94"/>
      <c r="J188" s="95"/>
      <c r="K188" s="95"/>
      <c r="N188"/>
    </row>
    <row r="189" spans="2:14">
      <c r="B189" s="95"/>
      <c r="C189" s="94"/>
      <c r="D189" s="86"/>
      <c r="E189" s="95"/>
      <c r="F189" s="95"/>
      <c r="G189" s="100"/>
      <c r="H189" s="42"/>
      <c r="I189" s="94"/>
      <c r="J189" s="95"/>
      <c r="K189" s="95"/>
      <c r="N189"/>
    </row>
    <row r="190" spans="2:14">
      <c r="B190" s="95"/>
      <c r="C190" s="94"/>
      <c r="D190" s="86"/>
      <c r="E190" s="95"/>
      <c r="F190" s="95"/>
      <c r="G190" s="100"/>
      <c r="H190" s="42"/>
      <c r="I190" s="94"/>
      <c r="J190" s="95"/>
      <c r="K190" s="95"/>
      <c r="N190"/>
    </row>
    <row r="191" spans="2:14">
      <c r="B191" s="95"/>
      <c r="C191" s="94"/>
      <c r="D191" s="86"/>
      <c r="E191" s="95"/>
      <c r="F191" s="95"/>
      <c r="G191" s="100"/>
      <c r="H191" s="42"/>
      <c r="I191" s="94"/>
      <c r="J191" s="95"/>
      <c r="K191" s="95"/>
      <c r="N191"/>
    </row>
    <row r="192" spans="2:14">
      <c r="B192" s="95"/>
      <c r="C192" s="94"/>
      <c r="D192" s="86"/>
      <c r="E192" s="95"/>
      <c r="F192" s="95"/>
      <c r="G192" s="100"/>
      <c r="H192" s="42"/>
      <c r="I192" s="94"/>
      <c r="J192" s="95"/>
      <c r="K192" s="95"/>
      <c r="N192"/>
    </row>
    <row r="193" spans="2:14">
      <c r="B193" s="95"/>
      <c r="C193" s="94"/>
      <c r="D193" s="86"/>
      <c r="E193" s="95"/>
      <c r="F193" s="95"/>
      <c r="G193" s="100"/>
      <c r="H193" s="42"/>
      <c r="I193" s="94"/>
      <c r="J193" s="95"/>
      <c r="K193" s="95"/>
      <c r="N193"/>
    </row>
    <row r="194" spans="2:14">
      <c r="B194" s="95"/>
      <c r="C194" s="94"/>
      <c r="D194" s="86"/>
      <c r="E194" s="95"/>
      <c r="F194" s="95"/>
      <c r="G194" s="100"/>
      <c r="H194" s="42"/>
      <c r="I194" s="94"/>
      <c r="J194" s="95"/>
      <c r="K194" s="95"/>
      <c r="N194"/>
    </row>
    <row r="195" spans="2:14">
      <c r="B195" s="95"/>
      <c r="C195" s="94"/>
      <c r="D195" s="86"/>
      <c r="E195" s="95"/>
      <c r="F195" s="95"/>
      <c r="G195" s="100"/>
      <c r="H195" s="42"/>
      <c r="I195" s="94"/>
      <c r="J195" s="95"/>
      <c r="K195" s="95"/>
      <c r="N195"/>
    </row>
    <row r="196" spans="2:14">
      <c r="B196" s="95"/>
      <c r="C196" s="94"/>
      <c r="D196" s="86"/>
      <c r="E196" s="95"/>
      <c r="F196" s="95"/>
      <c r="G196" s="100"/>
      <c r="H196" s="42"/>
      <c r="I196" s="94"/>
      <c r="J196" s="95"/>
      <c r="K196" s="95"/>
      <c r="N196"/>
    </row>
    <row r="197" spans="2:14">
      <c r="B197" s="95"/>
      <c r="C197" s="94"/>
      <c r="D197" s="86"/>
      <c r="E197" s="95"/>
      <c r="F197" s="95"/>
      <c r="G197" s="100"/>
      <c r="H197" s="42"/>
      <c r="I197" s="94"/>
      <c r="J197" s="95"/>
      <c r="K197" s="95"/>
      <c r="N197"/>
    </row>
    <row r="198" spans="2:14">
      <c r="B198" s="95"/>
      <c r="C198" s="94"/>
      <c r="D198" s="86"/>
      <c r="E198" s="95"/>
      <c r="F198" s="95"/>
      <c r="G198" s="100"/>
      <c r="H198" s="42"/>
      <c r="I198" s="94"/>
      <c r="J198" s="95"/>
      <c r="K198" s="95"/>
      <c r="N198"/>
    </row>
    <row r="199" spans="2:14">
      <c r="B199" s="95"/>
      <c r="C199" s="94"/>
      <c r="D199" s="86"/>
      <c r="E199" s="95"/>
      <c r="F199" s="95"/>
      <c r="G199" s="100"/>
      <c r="H199" s="42"/>
      <c r="I199" s="94"/>
      <c r="J199" s="95"/>
      <c r="K199" s="95"/>
      <c r="N199"/>
    </row>
    <row r="200" spans="2:14">
      <c r="B200" s="95"/>
      <c r="C200" s="94"/>
      <c r="D200" s="86"/>
      <c r="E200" s="95"/>
      <c r="F200" s="95"/>
      <c r="G200" s="100"/>
      <c r="H200" s="42"/>
      <c r="I200" s="94"/>
      <c r="J200" s="95"/>
      <c r="K200" s="95"/>
      <c r="N200"/>
    </row>
    <row r="201" spans="2:14">
      <c r="B201" s="95"/>
      <c r="C201" s="94"/>
      <c r="D201" s="86"/>
      <c r="E201" s="95"/>
      <c r="F201" s="95"/>
      <c r="G201" s="100"/>
      <c r="H201" s="42"/>
      <c r="I201" s="94"/>
      <c r="J201" s="95"/>
      <c r="K201" s="95"/>
      <c r="N201"/>
    </row>
    <row r="202" spans="2:14">
      <c r="B202" s="95"/>
      <c r="C202" s="94"/>
      <c r="D202" s="86"/>
      <c r="E202" s="95"/>
      <c r="F202" s="95"/>
      <c r="G202" s="100"/>
      <c r="H202" s="42"/>
      <c r="I202" s="94"/>
      <c r="J202" s="95"/>
      <c r="K202" s="95"/>
      <c r="N202"/>
    </row>
    <row r="203" spans="2:14">
      <c r="B203" s="95"/>
      <c r="C203" s="94"/>
      <c r="D203" s="86"/>
      <c r="E203" s="95"/>
      <c r="F203" s="95"/>
      <c r="G203" s="100"/>
      <c r="H203" s="42"/>
      <c r="I203" s="94"/>
      <c r="J203" s="95"/>
      <c r="K203" s="95"/>
      <c r="N203"/>
    </row>
    <row r="204" spans="2:14">
      <c r="B204" s="95"/>
      <c r="C204" s="94"/>
      <c r="D204" s="86"/>
      <c r="E204" s="95"/>
      <c r="F204" s="95"/>
      <c r="G204" s="100"/>
      <c r="H204" s="42"/>
      <c r="I204" s="94"/>
      <c r="J204" s="95"/>
      <c r="K204" s="95"/>
      <c r="N204"/>
    </row>
    <row r="205" spans="2:14">
      <c r="B205" s="95"/>
      <c r="C205" s="94"/>
      <c r="D205" s="86"/>
      <c r="E205" s="95"/>
      <c r="F205" s="95"/>
      <c r="G205" s="100"/>
      <c r="H205" s="42"/>
      <c r="I205" s="94"/>
      <c r="J205" s="95"/>
      <c r="K205" s="95"/>
      <c r="N205"/>
    </row>
    <row r="206" spans="2:14">
      <c r="B206" s="95"/>
      <c r="C206" s="94"/>
      <c r="D206" s="86"/>
      <c r="E206" s="95"/>
      <c r="F206" s="95"/>
      <c r="G206" s="100"/>
      <c r="H206" s="42"/>
      <c r="I206" s="94"/>
      <c r="J206" s="95"/>
      <c r="K206" s="95"/>
      <c r="N206"/>
    </row>
    <row r="207" spans="2:14">
      <c r="B207" s="95"/>
      <c r="C207" s="94"/>
      <c r="D207" s="86"/>
      <c r="E207" s="95"/>
      <c r="F207" s="95"/>
      <c r="G207" s="100"/>
      <c r="H207" s="42"/>
      <c r="I207" s="94"/>
      <c r="J207" s="95"/>
      <c r="K207" s="95"/>
      <c r="N207"/>
    </row>
    <row r="208" spans="2:14">
      <c r="B208" s="95"/>
      <c r="C208" s="94"/>
      <c r="D208" s="86"/>
      <c r="E208" s="95"/>
      <c r="F208" s="95"/>
      <c r="G208" s="100"/>
      <c r="H208" s="42"/>
      <c r="I208" s="94"/>
      <c r="J208" s="95"/>
      <c r="K208" s="95"/>
      <c r="N208"/>
    </row>
    <row r="209" spans="2:14">
      <c r="B209" s="95"/>
      <c r="C209" s="94"/>
      <c r="D209" s="86"/>
      <c r="E209" s="95"/>
      <c r="F209" s="95"/>
      <c r="G209" s="100"/>
      <c r="H209" s="42"/>
      <c r="I209" s="94"/>
      <c r="J209" s="95"/>
      <c r="K209" s="95"/>
      <c r="N209"/>
    </row>
    <row r="210" spans="2:14">
      <c r="B210" s="95"/>
      <c r="C210" s="94"/>
      <c r="D210" s="86"/>
      <c r="E210" s="95"/>
      <c r="F210" s="95"/>
      <c r="G210" s="100"/>
      <c r="H210" s="42"/>
      <c r="I210" s="94"/>
      <c r="J210" s="95"/>
      <c r="K210" s="95"/>
      <c r="N210"/>
    </row>
    <row r="211" spans="2:14">
      <c r="B211" s="95"/>
      <c r="C211" s="94"/>
      <c r="D211" s="86"/>
      <c r="E211" s="95"/>
      <c r="F211" s="95"/>
      <c r="G211" s="100"/>
      <c r="H211" s="42"/>
      <c r="I211" s="94"/>
      <c r="J211" s="95"/>
      <c r="K211" s="95"/>
      <c r="N211"/>
    </row>
    <row r="212" spans="2:14">
      <c r="B212" s="95"/>
      <c r="C212" s="94"/>
      <c r="D212" s="86"/>
      <c r="E212" s="95"/>
      <c r="F212" s="95"/>
      <c r="G212" s="100"/>
      <c r="H212" s="42"/>
      <c r="I212" s="94"/>
      <c r="J212" s="95"/>
      <c r="K212" s="95"/>
      <c r="N212"/>
    </row>
    <row r="213" spans="2:14">
      <c r="B213" s="95"/>
      <c r="C213" s="94"/>
      <c r="D213" s="86"/>
      <c r="E213" s="95"/>
      <c r="F213" s="95"/>
      <c r="G213" s="100"/>
      <c r="H213" s="42"/>
      <c r="I213" s="94"/>
      <c r="J213" s="95"/>
      <c r="K213" s="95"/>
      <c r="N213"/>
    </row>
    <row r="214" spans="2:14">
      <c r="B214" s="95"/>
      <c r="C214" s="94"/>
      <c r="D214" s="86"/>
      <c r="E214" s="95"/>
      <c r="F214" s="95"/>
      <c r="G214" s="100"/>
      <c r="H214" s="42"/>
      <c r="I214" s="94"/>
      <c r="J214" s="95"/>
      <c r="K214" s="95"/>
      <c r="N214"/>
    </row>
    <row r="215" spans="2:14">
      <c r="B215" s="95"/>
      <c r="C215" s="94"/>
      <c r="D215" s="86"/>
      <c r="E215" s="95"/>
      <c r="F215" s="95"/>
      <c r="G215" s="100"/>
      <c r="H215" s="42"/>
      <c r="I215" s="94"/>
      <c r="J215" s="95"/>
      <c r="K215" s="95"/>
      <c r="N215"/>
    </row>
    <row r="216" spans="2:14">
      <c r="B216" s="95"/>
      <c r="C216" s="94"/>
      <c r="D216" s="86"/>
      <c r="E216" s="95"/>
      <c r="F216" s="95"/>
      <c r="G216" s="100"/>
      <c r="H216" s="42"/>
      <c r="I216" s="94"/>
      <c r="J216" s="95"/>
      <c r="K216" s="95"/>
      <c r="N216"/>
    </row>
    <row r="217" spans="2:14">
      <c r="B217" s="95"/>
      <c r="C217" s="94"/>
      <c r="D217" s="86"/>
      <c r="E217" s="95"/>
      <c r="F217" s="95"/>
      <c r="G217" s="100"/>
      <c r="H217" s="42"/>
      <c r="I217" s="94"/>
      <c r="J217" s="95"/>
      <c r="K217" s="95"/>
      <c r="N217"/>
    </row>
    <row r="218" spans="2:14">
      <c r="B218" s="95"/>
      <c r="C218" s="94"/>
      <c r="D218" s="86"/>
      <c r="E218" s="95"/>
      <c r="F218" s="95"/>
      <c r="G218" s="100"/>
      <c r="H218" s="42"/>
      <c r="I218" s="94"/>
      <c r="J218" s="95"/>
      <c r="K218" s="95"/>
      <c r="N218"/>
    </row>
    <row r="219" spans="2:14">
      <c r="B219" s="95"/>
      <c r="C219" s="94"/>
      <c r="D219" s="86"/>
      <c r="E219" s="95"/>
      <c r="F219" s="95"/>
      <c r="G219" s="100"/>
      <c r="H219" s="42"/>
      <c r="I219" s="94"/>
      <c r="J219" s="95"/>
      <c r="K219" s="95"/>
      <c r="N219"/>
    </row>
    <row r="220" spans="2:14">
      <c r="B220" s="95"/>
      <c r="C220" s="94"/>
      <c r="D220" s="86"/>
      <c r="E220" s="95"/>
      <c r="F220" s="95"/>
      <c r="G220" s="100"/>
      <c r="H220" s="42"/>
      <c r="I220" s="94"/>
      <c r="J220" s="95"/>
      <c r="K220" s="95"/>
      <c r="N220"/>
    </row>
    <row r="221" spans="2:14">
      <c r="B221" s="95"/>
      <c r="C221" s="94"/>
      <c r="D221" s="86"/>
      <c r="E221" s="95"/>
      <c r="F221" s="95"/>
      <c r="G221" s="100"/>
      <c r="H221" s="42"/>
      <c r="I221" s="94"/>
      <c r="J221" s="95"/>
      <c r="K221" s="95"/>
      <c r="N221"/>
    </row>
    <row r="222" spans="2:14">
      <c r="B222" s="95"/>
      <c r="C222" s="94"/>
      <c r="D222" s="86"/>
      <c r="E222" s="95"/>
      <c r="F222" s="95"/>
      <c r="G222" s="100"/>
      <c r="H222" s="42"/>
      <c r="I222" s="94"/>
      <c r="J222" s="95"/>
      <c r="K222" s="95"/>
      <c r="N222"/>
    </row>
    <row r="223" spans="2:14">
      <c r="B223" s="95"/>
      <c r="C223" s="94"/>
      <c r="D223" s="86"/>
      <c r="E223" s="95"/>
      <c r="F223" s="95"/>
      <c r="G223" s="100"/>
      <c r="H223" s="42"/>
      <c r="I223" s="94"/>
      <c r="J223" s="95"/>
      <c r="K223" s="95"/>
      <c r="N223"/>
    </row>
    <row r="224" spans="2:14">
      <c r="B224" s="95"/>
      <c r="C224" s="94"/>
      <c r="D224" s="86"/>
      <c r="E224" s="95"/>
      <c r="F224" s="95"/>
      <c r="G224" s="100"/>
      <c r="H224" s="42"/>
      <c r="I224" s="94"/>
      <c r="J224" s="95"/>
      <c r="K224" s="95"/>
      <c r="N224"/>
    </row>
    <row r="225" spans="2:14">
      <c r="B225" s="95"/>
      <c r="C225" s="94"/>
      <c r="D225" s="86"/>
      <c r="E225" s="95"/>
      <c r="F225" s="95"/>
      <c r="G225" s="100"/>
      <c r="H225" s="42"/>
      <c r="I225" s="94"/>
      <c r="J225" s="95"/>
      <c r="K225" s="95"/>
      <c r="N225"/>
    </row>
    <row r="226" spans="2:14">
      <c r="B226" s="95"/>
      <c r="C226" s="94"/>
      <c r="D226" s="86"/>
      <c r="E226" s="95"/>
      <c r="F226" s="95"/>
      <c r="G226" s="100"/>
      <c r="H226" s="42"/>
      <c r="I226" s="94"/>
      <c r="J226" s="95"/>
      <c r="K226" s="95"/>
      <c r="N226"/>
    </row>
    <row r="227" spans="2:14">
      <c r="B227" s="95"/>
      <c r="C227" s="94"/>
      <c r="D227" s="86"/>
      <c r="E227" s="95"/>
      <c r="F227" s="95"/>
      <c r="G227" s="100"/>
      <c r="H227" s="42"/>
      <c r="I227" s="94"/>
      <c r="J227" s="95"/>
      <c r="K227" s="95"/>
      <c r="N227"/>
    </row>
    <row r="228" spans="2:14">
      <c r="B228" s="95"/>
      <c r="C228" s="94"/>
      <c r="D228" s="86"/>
      <c r="E228" s="95"/>
      <c r="F228" s="95"/>
      <c r="G228" s="100"/>
      <c r="H228" s="42"/>
      <c r="I228" s="94"/>
      <c r="J228" s="95"/>
      <c r="K228" s="95"/>
      <c r="N228"/>
    </row>
    <row r="229" spans="2:14">
      <c r="B229" s="95"/>
      <c r="C229" s="94"/>
      <c r="D229" s="86"/>
      <c r="E229" s="95"/>
      <c r="F229" s="95"/>
      <c r="G229" s="100"/>
      <c r="H229" s="42"/>
      <c r="I229" s="94"/>
      <c r="J229" s="95"/>
      <c r="K229" s="95"/>
      <c r="N229"/>
    </row>
    <row r="230" spans="2:14">
      <c r="B230" s="95"/>
      <c r="C230" s="94"/>
      <c r="D230" s="86"/>
      <c r="E230" s="95"/>
      <c r="F230" s="95"/>
      <c r="G230" s="100"/>
      <c r="H230" s="42"/>
      <c r="I230" s="94"/>
      <c r="J230" s="95"/>
      <c r="K230" s="95"/>
      <c r="N230"/>
    </row>
    <row r="231" spans="2:14">
      <c r="B231" s="95"/>
      <c r="C231" s="94"/>
      <c r="D231" s="86"/>
      <c r="E231" s="95"/>
      <c r="F231" s="95"/>
      <c r="G231" s="100"/>
      <c r="H231" s="42"/>
      <c r="I231" s="94"/>
      <c r="J231" s="95"/>
      <c r="K231" s="95"/>
      <c r="N231"/>
    </row>
    <row r="232" spans="2:14">
      <c r="B232" s="95"/>
      <c r="C232" s="94"/>
      <c r="D232" s="86"/>
      <c r="E232" s="95"/>
      <c r="F232" s="95"/>
      <c r="G232" s="100"/>
      <c r="H232" s="42"/>
      <c r="I232" s="94"/>
      <c r="J232" s="95"/>
      <c r="K232" s="95"/>
      <c r="N232"/>
    </row>
    <row r="233" spans="2:14">
      <c r="B233" s="95"/>
      <c r="C233" s="94"/>
      <c r="D233" s="86"/>
      <c r="E233" s="95"/>
      <c r="F233" s="95"/>
      <c r="G233" s="100"/>
      <c r="H233" s="42"/>
      <c r="I233" s="94"/>
      <c r="J233" s="95"/>
      <c r="K233" s="95"/>
      <c r="N233"/>
    </row>
    <row r="234" spans="2:14">
      <c r="B234" s="95"/>
      <c r="C234" s="94"/>
      <c r="D234" s="86"/>
      <c r="E234" s="95"/>
      <c r="F234" s="95"/>
      <c r="G234" s="100"/>
      <c r="H234" s="42"/>
      <c r="I234" s="94"/>
      <c r="J234" s="95"/>
      <c r="K234" s="95"/>
      <c r="N234"/>
    </row>
    <row r="235" spans="2:14">
      <c r="B235" s="95"/>
      <c r="C235" s="94"/>
      <c r="D235" s="86"/>
      <c r="E235" s="95"/>
      <c r="F235" s="95"/>
      <c r="G235" s="100"/>
      <c r="H235" s="42"/>
      <c r="I235" s="94"/>
      <c r="J235" s="95"/>
      <c r="K235" s="95"/>
      <c r="N235"/>
    </row>
    <row r="236" spans="2:14">
      <c r="B236" s="95"/>
      <c r="C236" s="94"/>
      <c r="D236" s="86"/>
      <c r="E236" s="95"/>
      <c r="F236" s="95"/>
      <c r="G236" s="100"/>
      <c r="H236" s="42"/>
      <c r="I236" s="94"/>
      <c r="J236" s="95"/>
      <c r="K236" s="95"/>
      <c r="N236"/>
    </row>
    <row r="237" spans="2:14">
      <c r="B237" s="95"/>
      <c r="C237" s="94"/>
      <c r="D237" s="86"/>
      <c r="E237" s="95"/>
      <c r="F237" s="95"/>
      <c r="G237" s="100"/>
      <c r="H237" s="42"/>
      <c r="I237" s="94"/>
      <c r="J237" s="95"/>
      <c r="K237" s="95"/>
      <c r="N237"/>
    </row>
    <row r="238" spans="2:14">
      <c r="B238" s="95"/>
      <c r="C238" s="94"/>
      <c r="D238" s="86"/>
      <c r="E238" s="95"/>
      <c r="F238" s="95"/>
      <c r="G238" s="100"/>
      <c r="H238" s="42"/>
      <c r="I238" s="94"/>
      <c r="J238" s="95"/>
      <c r="K238" s="95"/>
      <c r="N238"/>
    </row>
    <row r="239" spans="2:14">
      <c r="B239" s="95"/>
      <c r="C239" s="94"/>
      <c r="D239" s="86"/>
      <c r="E239" s="95"/>
      <c r="F239" s="95"/>
      <c r="G239" s="100"/>
      <c r="H239" s="42"/>
      <c r="I239" s="94"/>
      <c r="J239" s="95"/>
      <c r="K239" s="95"/>
      <c r="N239"/>
    </row>
    <row r="240" spans="2:14">
      <c r="C240" s="94"/>
      <c r="D240" s="86"/>
      <c r="E240" s="95"/>
      <c r="F240" s="95"/>
      <c r="G240" s="100"/>
      <c r="H240" s="42"/>
      <c r="I240" s="126"/>
      <c r="J240" s="95"/>
      <c r="K240" s="127"/>
      <c r="N240"/>
    </row>
    <row r="241" spans="2:14">
      <c r="B241" s="95"/>
      <c r="C241" s="94"/>
      <c r="D241" s="86"/>
      <c r="E241" s="95"/>
      <c r="F241" s="95"/>
      <c r="G241" s="100"/>
      <c r="H241" s="42"/>
      <c r="I241" s="94"/>
      <c r="J241" s="95"/>
      <c r="K241" s="95"/>
      <c r="N241"/>
    </row>
    <row r="242" spans="2:14">
      <c r="B242" s="95"/>
      <c r="C242" s="94"/>
      <c r="D242" s="86"/>
      <c r="E242" s="95"/>
      <c r="F242" s="95"/>
      <c r="G242" s="100"/>
      <c r="H242" s="42"/>
      <c r="I242" s="94"/>
      <c r="J242" s="95"/>
      <c r="K242" s="95"/>
      <c r="N242"/>
    </row>
    <row r="243" spans="2:14">
      <c r="B243" s="95"/>
      <c r="C243" s="94"/>
      <c r="D243" s="86"/>
      <c r="E243" s="95"/>
      <c r="F243" s="95"/>
      <c r="G243" s="100"/>
      <c r="H243" s="42"/>
      <c r="I243" s="94"/>
      <c r="J243" s="95"/>
      <c r="K243" s="95"/>
      <c r="N243"/>
    </row>
    <row r="244" spans="2:14">
      <c r="B244" s="95"/>
      <c r="C244" s="94"/>
      <c r="D244" s="86"/>
      <c r="E244" s="95"/>
      <c r="F244" s="95"/>
      <c r="G244" s="100"/>
      <c r="H244" s="42"/>
      <c r="I244" s="94"/>
      <c r="J244" s="95"/>
      <c r="K244" s="95"/>
      <c r="N244"/>
    </row>
    <row r="245" spans="2:14">
      <c r="B245" s="95"/>
      <c r="C245" s="94"/>
      <c r="D245" s="86"/>
      <c r="E245" s="95"/>
      <c r="F245" s="95"/>
      <c r="G245" s="100"/>
      <c r="H245" s="42"/>
      <c r="I245" s="94"/>
      <c r="J245" s="95"/>
      <c r="K245" s="95"/>
      <c r="N245"/>
    </row>
    <row r="246" spans="2:14">
      <c r="C246" s="94"/>
      <c r="D246" s="86"/>
      <c r="E246" s="95"/>
      <c r="F246" s="95"/>
      <c r="G246" s="100"/>
      <c r="H246" s="42"/>
      <c r="I246" s="94"/>
      <c r="J246" s="95"/>
      <c r="K246" s="127"/>
      <c r="N246"/>
    </row>
    <row r="247" spans="2:14">
      <c r="C247" s="94"/>
      <c r="D247" s="86"/>
      <c r="E247" s="95"/>
      <c r="F247" s="95"/>
      <c r="G247" s="100"/>
      <c r="H247" s="42"/>
      <c r="I247" s="94"/>
      <c r="J247" s="95"/>
      <c r="K247" s="95"/>
      <c r="N247"/>
    </row>
    <row r="248" spans="2:14">
      <c r="C248" s="126"/>
      <c r="D248" s="86"/>
      <c r="E248" s="127"/>
      <c r="F248" s="127"/>
      <c r="G248" s="100"/>
      <c r="H248" s="42"/>
      <c r="I248" s="126"/>
      <c r="J248" s="95"/>
      <c r="K248" s="127"/>
      <c r="N248"/>
    </row>
    <row r="249" spans="2:14">
      <c r="B249" s="95"/>
      <c r="C249" s="94"/>
      <c r="D249" s="86"/>
      <c r="E249" s="95"/>
      <c r="F249" s="95"/>
      <c r="G249" s="100"/>
      <c r="H249" s="42"/>
      <c r="I249" s="94"/>
      <c r="K249" s="127"/>
      <c r="N249"/>
    </row>
    <row r="250" spans="2:14">
      <c r="C250" s="94"/>
      <c r="D250" s="86"/>
      <c r="E250" s="95"/>
      <c r="F250" s="95"/>
      <c r="G250" s="100"/>
      <c r="H250" s="42"/>
      <c r="I250" s="94"/>
      <c r="J250" s="44"/>
      <c r="K250" s="95"/>
      <c r="N250"/>
    </row>
    <row r="251" spans="2:14">
      <c r="C251" s="94"/>
      <c r="D251" s="86"/>
      <c r="E251" s="127"/>
      <c r="F251" s="127"/>
      <c r="G251" s="100"/>
      <c r="H251" s="42"/>
      <c r="I251" s="126"/>
      <c r="J251" s="127"/>
      <c r="K251" s="127"/>
      <c r="N251"/>
    </row>
    <row r="252" spans="2:14">
      <c r="B252" s="127"/>
      <c r="C252" s="126"/>
      <c r="D252" s="86"/>
      <c r="E252" s="127"/>
      <c r="F252" s="127"/>
      <c r="G252" s="100"/>
      <c r="H252" s="42"/>
      <c r="I252" s="94"/>
      <c r="J252" s="95"/>
      <c r="K252" s="127"/>
      <c r="N252"/>
    </row>
    <row r="253" spans="2:14">
      <c r="C253" s="94"/>
      <c r="D253" s="86"/>
      <c r="E253" s="95"/>
      <c r="F253" s="95"/>
      <c r="G253" s="100"/>
      <c r="H253" s="42"/>
      <c r="I253" s="94"/>
      <c r="J253" s="95"/>
      <c r="K253" s="127"/>
      <c r="N253"/>
    </row>
    <row r="254" spans="2:14">
      <c r="C254" s="94"/>
      <c r="D254" s="86"/>
      <c r="E254" s="95"/>
      <c r="F254" s="95"/>
      <c r="G254" s="100"/>
      <c r="H254" s="42"/>
      <c r="I254" s="94"/>
      <c r="J254" s="95"/>
      <c r="K254" s="95"/>
      <c r="N254"/>
    </row>
    <row r="255" spans="2:14">
      <c r="C255" s="94"/>
      <c r="D255" s="86"/>
      <c r="E255" s="95"/>
      <c r="F255" s="95"/>
      <c r="G255" s="100"/>
      <c r="H255" s="42"/>
      <c r="I255" s="94"/>
      <c r="J255" s="95"/>
      <c r="K255" s="95"/>
      <c r="N255"/>
    </row>
    <row r="256" spans="2:14">
      <c r="C256" s="137"/>
      <c r="D256" s="86"/>
      <c r="E256" s="133"/>
      <c r="F256" s="133"/>
      <c r="G256" s="100"/>
      <c r="H256" s="42"/>
      <c r="I256" s="137"/>
      <c r="J256" s="133"/>
      <c r="K256" s="127"/>
      <c r="N256"/>
    </row>
    <row r="257" spans="1:14">
      <c r="C257" s="94"/>
      <c r="D257" s="86"/>
      <c r="E257" s="95"/>
      <c r="F257" s="95"/>
      <c r="G257" s="100"/>
      <c r="H257" s="42"/>
      <c r="I257" s="94"/>
      <c r="K257" s="127"/>
      <c r="N257"/>
    </row>
    <row r="258" spans="1:14">
      <c r="C258" s="94"/>
      <c r="D258" s="86"/>
      <c r="E258" s="95"/>
      <c r="F258" s="95"/>
      <c r="G258" s="100"/>
      <c r="H258" s="42"/>
      <c r="I258" s="94"/>
      <c r="K258" s="127"/>
      <c r="N258"/>
    </row>
    <row r="259" spans="1:14">
      <c r="C259" s="94"/>
      <c r="D259" s="86"/>
      <c r="E259" s="95"/>
      <c r="F259" s="95"/>
      <c r="G259" s="100"/>
      <c r="H259" s="42"/>
      <c r="I259" s="94"/>
      <c r="J259" s="95"/>
      <c r="K259" s="95"/>
      <c r="N259"/>
    </row>
    <row r="260" spans="1:14">
      <c r="C260" s="94"/>
      <c r="D260" s="86"/>
      <c r="E260" s="95"/>
      <c r="F260" s="95"/>
      <c r="G260" s="100"/>
      <c r="H260" s="42"/>
      <c r="I260" s="94"/>
      <c r="K260" s="127"/>
      <c r="N260"/>
    </row>
    <row r="261" spans="1:14">
      <c r="C261" s="94"/>
      <c r="D261" s="86"/>
      <c r="E261" s="95"/>
      <c r="F261" s="95"/>
      <c r="G261" s="100"/>
      <c r="H261" s="42"/>
      <c r="I261" s="94"/>
      <c r="J261" s="95"/>
      <c r="K261" s="127"/>
      <c r="N261"/>
    </row>
    <row r="262" spans="1:14">
      <c r="C262" s="94"/>
      <c r="D262" s="86"/>
      <c r="E262" s="95"/>
      <c r="F262" s="140"/>
      <c r="G262" s="100"/>
      <c r="H262" s="42"/>
      <c r="I262" s="94"/>
      <c r="J262" s="95"/>
      <c r="K262" s="95"/>
      <c r="N262"/>
    </row>
    <row r="263" spans="1:14">
      <c r="C263" s="94"/>
      <c r="D263" s="86"/>
      <c r="E263" s="95"/>
      <c r="F263" s="95"/>
      <c r="G263" s="100"/>
      <c r="H263" s="42"/>
      <c r="I263" s="94"/>
      <c r="J263" s="95"/>
      <c r="K263" s="95"/>
      <c r="N263"/>
    </row>
    <row r="264" spans="1:14">
      <c r="C264" s="94"/>
      <c r="D264" s="86"/>
      <c r="E264" s="95"/>
      <c r="F264" s="142"/>
      <c r="G264" s="100"/>
      <c r="H264" s="42"/>
      <c r="I264" s="94"/>
      <c r="J264" s="95"/>
      <c r="K264" s="95"/>
      <c r="N264"/>
    </row>
    <row r="265" spans="1:14">
      <c r="C265" s="94"/>
      <c r="D265" s="86"/>
      <c r="E265" s="95"/>
      <c r="F265" s="95"/>
      <c r="G265" s="100"/>
      <c r="H265" s="42"/>
      <c r="I265" s="94"/>
      <c r="J265" s="95"/>
      <c r="K265" s="127"/>
      <c r="N265"/>
    </row>
    <row r="266" spans="1:14">
      <c r="C266" s="94"/>
      <c r="D266" s="86"/>
      <c r="E266" s="95"/>
      <c r="F266" s="95"/>
      <c r="G266" s="100"/>
      <c r="H266" s="42"/>
      <c r="I266" s="94"/>
      <c r="J266" s="95"/>
      <c r="K266" s="127"/>
      <c r="N266"/>
    </row>
    <row r="267" spans="1:14" s="95" customFormat="1">
      <c r="A267" s="175"/>
      <c r="B267" s="127"/>
      <c r="C267" s="126"/>
      <c r="D267" s="86"/>
      <c r="E267" s="127"/>
      <c r="F267" s="127"/>
      <c r="G267" s="100"/>
      <c r="H267" s="42"/>
      <c r="I267" s="94"/>
      <c r="K267" s="127"/>
      <c r="N267"/>
    </row>
    <row r="268" spans="1:14">
      <c r="C268" s="126"/>
      <c r="D268" s="86"/>
      <c r="E268" s="127"/>
      <c r="F268" s="127"/>
      <c r="G268" s="100"/>
      <c r="H268" s="42"/>
      <c r="I268" s="94"/>
      <c r="J268" s="95"/>
      <c r="K268" s="127"/>
      <c r="N268"/>
    </row>
    <row r="269" spans="1:14">
      <c r="C269" s="126"/>
      <c r="D269" s="86"/>
      <c r="E269" s="95"/>
      <c r="F269" s="95"/>
      <c r="G269" s="100"/>
      <c r="H269" s="42"/>
      <c r="I269" s="94"/>
      <c r="J269" s="95"/>
      <c r="K269" s="95"/>
      <c r="N269"/>
    </row>
    <row r="270" spans="1:14">
      <c r="C270" s="137"/>
      <c r="D270" s="86"/>
      <c r="E270" s="133"/>
      <c r="F270" s="133"/>
      <c r="G270" s="100"/>
      <c r="H270" s="42"/>
      <c r="I270" s="137"/>
      <c r="J270" s="133"/>
      <c r="K270" s="133"/>
      <c r="N270"/>
    </row>
    <row r="271" spans="1:14">
      <c r="C271" s="94"/>
      <c r="D271" s="86"/>
      <c r="E271" s="95"/>
      <c r="F271" s="95"/>
      <c r="G271" s="100"/>
      <c r="H271" s="42"/>
      <c r="I271" s="94"/>
      <c r="J271" s="95"/>
      <c r="K271" s="95"/>
      <c r="N271"/>
    </row>
    <row r="272" spans="1:14">
      <c r="C272" s="94"/>
      <c r="D272" s="86"/>
      <c r="E272" s="95"/>
      <c r="F272" s="95"/>
      <c r="G272" s="100"/>
      <c r="H272" s="42"/>
      <c r="I272" s="94"/>
      <c r="J272" s="95"/>
      <c r="K272" s="95"/>
      <c r="N272"/>
    </row>
    <row r="273" spans="2:14">
      <c r="C273" s="94"/>
      <c r="D273" s="86"/>
      <c r="E273" s="95"/>
      <c r="F273" s="95"/>
      <c r="G273" s="100"/>
      <c r="H273" s="42"/>
      <c r="I273" s="94"/>
      <c r="J273" s="95"/>
      <c r="K273" s="95"/>
      <c r="N273"/>
    </row>
    <row r="274" spans="2:14">
      <c r="C274" s="94"/>
      <c r="D274" s="86"/>
      <c r="E274" s="95"/>
      <c r="F274" s="95"/>
      <c r="G274" s="100"/>
      <c r="H274" s="42"/>
      <c r="I274" s="94"/>
      <c r="J274" s="95"/>
      <c r="K274" s="95"/>
      <c r="N274"/>
    </row>
    <row r="275" spans="2:14">
      <c r="C275" s="126"/>
      <c r="D275" s="86"/>
      <c r="E275" s="95"/>
      <c r="F275" s="95"/>
      <c r="G275" s="100"/>
      <c r="H275" s="42"/>
      <c r="I275" s="94"/>
      <c r="J275" s="95"/>
      <c r="K275" s="95"/>
      <c r="N275"/>
    </row>
    <row r="276" spans="2:14">
      <c r="C276" s="94"/>
      <c r="D276" s="86"/>
      <c r="E276" s="95"/>
      <c r="F276" s="95"/>
      <c r="G276" s="100"/>
      <c r="H276" s="42"/>
      <c r="I276" s="94"/>
      <c r="J276" s="95"/>
      <c r="K276" s="127"/>
      <c r="N276"/>
    </row>
    <row r="277" spans="2:14">
      <c r="C277" s="94"/>
      <c r="D277" s="86"/>
      <c r="E277" s="95"/>
      <c r="F277" s="95"/>
      <c r="G277" s="100"/>
      <c r="H277" s="42"/>
      <c r="I277" s="94"/>
      <c r="J277" s="95"/>
      <c r="K277" s="95"/>
      <c r="N277"/>
    </row>
    <row r="278" spans="2:14">
      <c r="C278" s="94"/>
      <c r="D278" s="86"/>
      <c r="E278" s="95"/>
      <c r="F278" s="95"/>
      <c r="G278" s="100"/>
      <c r="H278" s="42"/>
      <c r="I278" s="94"/>
      <c r="J278" s="95"/>
      <c r="K278" s="95"/>
      <c r="N278"/>
    </row>
    <row r="279" spans="2:14">
      <c r="C279" s="94"/>
      <c r="D279" s="86"/>
      <c r="E279" s="95"/>
      <c r="F279" s="95"/>
      <c r="G279" s="100"/>
      <c r="H279" s="42"/>
      <c r="I279" s="94"/>
      <c r="J279" s="95"/>
      <c r="K279" s="95"/>
      <c r="N279"/>
    </row>
    <row r="280" spans="2:14">
      <c r="C280" s="94"/>
      <c r="D280" s="86"/>
      <c r="E280" s="95"/>
      <c r="F280" s="142"/>
      <c r="G280" s="100"/>
      <c r="H280" s="42"/>
      <c r="I280" s="94"/>
      <c r="J280" s="95"/>
      <c r="K280" s="127"/>
      <c r="N280"/>
    </row>
    <row r="281" spans="2:14">
      <c r="B281" s="95"/>
      <c r="C281" s="94"/>
      <c r="D281" s="86"/>
      <c r="E281" s="95"/>
      <c r="F281" s="95"/>
      <c r="G281" s="100"/>
      <c r="H281" s="42"/>
      <c r="I281" s="94"/>
      <c r="J281" s="95"/>
      <c r="K281" s="95"/>
      <c r="N281"/>
    </row>
    <row r="282" spans="2:14">
      <c r="C282" s="94"/>
      <c r="D282" s="86"/>
      <c r="E282" s="95"/>
      <c r="F282" s="140"/>
      <c r="G282" s="100"/>
      <c r="H282" s="42"/>
      <c r="I282" s="94"/>
      <c r="J282" s="95"/>
      <c r="K282" s="95"/>
      <c r="N282"/>
    </row>
    <row r="283" spans="2:14">
      <c r="B283" s="95"/>
      <c r="C283" s="94"/>
      <c r="D283" s="86"/>
      <c r="E283" s="95"/>
      <c r="F283" s="95"/>
      <c r="G283" s="100"/>
      <c r="H283" s="42"/>
      <c r="I283" s="94"/>
      <c r="J283" s="95"/>
      <c r="K283" s="127"/>
      <c r="N283"/>
    </row>
    <row r="284" spans="2:14">
      <c r="B284" s="95"/>
      <c r="C284" s="94"/>
      <c r="D284" s="86"/>
      <c r="E284" s="95"/>
      <c r="F284" s="95"/>
      <c r="G284" s="100"/>
      <c r="H284" s="42"/>
      <c r="I284" s="94"/>
      <c r="J284" s="95"/>
      <c r="K284" s="95"/>
      <c r="N284"/>
    </row>
    <row r="285" spans="2:14">
      <c r="B285" s="95"/>
      <c r="C285" s="94"/>
      <c r="D285" s="86"/>
      <c r="E285" s="95"/>
      <c r="F285" s="95"/>
      <c r="G285" s="100"/>
      <c r="H285" s="42"/>
      <c r="I285" s="94"/>
      <c r="J285" s="95"/>
      <c r="K285" s="95"/>
      <c r="N285"/>
    </row>
    <row r="286" spans="2:14">
      <c r="B286" s="95"/>
      <c r="C286" s="94"/>
      <c r="D286" s="86"/>
      <c r="E286" s="95"/>
      <c r="F286" s="95"/>
      <c r="G286" s="100"/>
      <c r="H286" s="42"/>
      <c r="I286" s="94"/>
      <c r="J286" s="95"/>
      <c r="K286" s="95"/>
      <c r="N286"/>
    </row>
    <row r="287" spans="2:14">
      <c r="B287" s="95"/>
      <c r="C287" s="94"/>
      <c r="D287" s="86"/>
      <c r="E287" s="140"/>
      <c r="F287" s="140"/>
      <c r="G287" s="100"/>
      <c r="H287" s="42"/>
      <c r="I287" s="94"/>
      <c r="J287" s="95"/>
      <c r="K287" s="95"/>
      <c r="N287"/>
    </row>
    <row r="288" spans="2:14">
      <c r="B288" s="95"/>
      <c r="C288" s="94"/>
      <c r="D288" s="86"/>
      <c r="E288" s="95"/>
      <c r="F288" s="95"/>
      <c r="G288" s="100"/>
      <c r="H288" s="42"/>
      <c r="I288" s="94"/>
      <c r="J288" s="95"/>
      <c r="K288" s="95"/>
      <c r="N288"/>
    </row>
    <row r="289" spans="1:14">
      <c r="B289" s="95"/>
      <c r="C289" s="94"/>
      <c r="D289" s="86"/>
      <c r="E289" s="95"/>
      <c r="F289" s="95"/>
      <c r="G289" s="100"/>
      <c r="H289" s="42"/>
      <c r="I289" s="94"/>
      <c r="J289" s="132"/>
      <c r="K289" s="127"/>
      <c r="N289"/>
    </row>
    <row r="290" spans="1:14">
      <c r="C290" s="94"/>
      <c r="D290" s="86"/>
      <c r="E290" s="95"/>
      <c r="F290" s="95"/>
      <c r="G290" s="100"/>
      <c r="H290" s="42"/>
      <c r="I290" s="94"/>
      <c r="J290" s="95"/>
      <c r="K290" s="95"/>
      <c r="N290"/>
    </row>
    <row r="291" spans="1:14">
      <c r="C291" s="94"/>
      <c r="D291" s="86"/>
      <c r="E291" s="95"/>
      <c r="F291" s="95"/>
      <c r="G291" s="100"/>
      <c r="H291" s="42"/>
      <c r="I291" s="94"/>
      <c r="J291" s="95"/>
      <c r="K291" s="127"/>
      <c r="N291"/>
    </row>
    <row r="292" spans="1:14">
      <c r="C292" s="126"/>
      <c r="D292" s="86"/>
      <c r="E292" s="95"/>
      <c r="F292" s="127"/>
      <c r="G292" s="100"/>
      <c r="H292" s="42"/>
      <c r="I292" s="126"/>
      <c r="J292" s="95"/>
      <c r="K292" s="127"/>
      <c r="N292"/>
    </row>
    <row r="293" spans="1:14" s="127" customFormat="1">
      <c r="A293" s="175"/>
      <c r="B293" s="175"/>
      <c r="C293" s="137"/>
      <c r="D293" s="86"/>
      <c r="E293" s="133"/>
      <c r="F293" s="133"/>
      <c r="G293" s="100"/>
      <c r="H293" s="42"/>
      <c r="I293" s="137"/>
      <c r="J293" s="95"/>
      <c r="K293" s="133"/>
      <c r="N293"/>
    </row>
    <row r="294" spans="1:14" s="127" customFormat="1">
      <c r="A294" s="175"/>
      <c r="C294" s="126"/>
      <c r="D294" s="86"/>
      <c r="E294" s="95"/>
      <c r="G294" s="100"/>
      <c r="H294" s="42"/>
      <c r="I294" s="126"/>
      <c r="J294" s="95"/>
      <c r="K294" s="95"/>
      <c r="N294"/>
    </row>
    <row r="295" spans="1:14">
      <c r="C295" s="86"/>
      <c r="D295" s="86"/>
      <c r="G295" s="100"/>
      <c r="H295" s="42"/>
      <c r="I295" s="94"/>
      <c r="J295" s="95"/>
      <c r="N295"/>
    </row>
    <row r="296" spans="1:14">
      <c r="B296" s="127"/>
      <c r="C296" s="94"/>
      <c r="D296" s="86"/>
      <c r="E296" s="95"/>
      <c r="F296" s="95"/>
      <c r="G296" s="100"/>
      <c r="H296" s="42"/>
      <c r="I296" s="94"/>
      <c r="J296" s="95"/>
      <c r="K296" s="95"/>
      <c r="N296"/>
    </row>
    <row r="297" spans="1:14">
      <c r="B297" s="134"/>
      <c r="C297" s="126"/>
      <c r="D297" s="86"/>
      <c r="E297" s="95"/>
      <c r="F297" s="127"/>
      <c r="G297" s="100"/>
      <c r="H297" s="42"/>
      <c r="I297" s="204"/>
      <c r="J297" s="132"/>
      <c r="K297" s="144"/>
      <c r="N297"/>
    </row>
    <row r="298" spans="1:14">
      <c r="B298" s="134"/>
      <c r="C298" s="137"/>
      <c r="D298" s="86"/>
      <c r="E298" s="133"/>
      <c r="F298" s="133"/>
      <c r="G298" s="100"/>
      <c r="H298" s="42"/>
      <c r="I298" s="137"/>
      <c r="J298" s="95"/>
      <c r="K298" s="133"/>
      <c r="N298"/>
    </row>
    <row r="299" spans="1:14">
      <c r="B299" s="127"/>
      <c r="C299" s="126"/>
      <c r="D299" s="86"/>
      <c r="E299" s="95"/>
      <c r="F299" s="127"/>
      <c r="G299" s="100"/>
      <c r="H299" s="42"/>
      <c r="I299" s="126"/>
      <c r="J299" s="95"/>
      <c r="K299" s="127"/>
      <c r="N299"/>
    </row>
    <row r="300" spans="1:14">
      <c r="B300" s="127"/>
      <c r="C300" s="126"/>
      <c r="D300" s="86"/>
      <c r="E300" s="95"/>
      <c r="F300" s="127"/>
      <c r="G300" s="100"/>
      <c r="H300" s="42"/>
      <c r="I300" s="126"/>
      <c r="J300" s="95"/>
      <c r="K300" s="127"/>
      <c r="N300"/>
    </row>
    <row r="301" spans="1:14">
      <c r="B301" s="95"/>
      <c r="C301" s="126"/>
      <c r="D301" s="86"/>
      <c r="E301" s="127"/>
      <c r="F301" s="127"/>
      <c r="G301" s="100"/>
      <c r="H301" s="42"/>
      <c r="I301" s="126"/>
      <c r="J301" s="95"/>
      <c r="K301" s="127"/>
      <c r="N301"/>
    </row>
    <row r="302" spans="1:14">
      <c r="C302" s="86"/>
      <c r="D302" s="86"/>
      <c r="G302" s="100"/>
      <c r="H302" s="42"/>
      <c r="I302" s="126"/>
      <c r="J302" s="95"/>
      <c r="K302" s="127"/>
      <c r="N302"/>
    </row>
    <row r="303" spans="1:14">
      <c r="B303" s="127"/>
      <c r="C303" s="126"/>
      <c r="D303" s="86"/>
      <c r="E303" s="95"/>
      <c r="F303" s="127"/>
      <c r="G303" s="100"/>
      <c r="H303" s="42"/>
      <c r="I303" s="126"/>
      <c r="J303" s="95"/>
      <c r="K303" s="127"/>
      <c r="N303"/>
    </row>
    <row r="304" spans="1:14">
      <c r="B304" s="127"/>
      <c r="C304" s="126"/>
      <c r="D304" s="86"/>
      <c r="E304" s="95"/>
      <c r="F304" s="127"/>
      <c r="G304" s="100"/>
      <c r="H304" s="42"/>
      <c r="I304" s="126"/>
      <c r="J304" s="95"/>
      <c r="K304" s="127"/>
      <c r="N304"/>
    </row>
    <row r="305" spans="1:14">
      <c r="B305" s="127"/>
      <c r="C305" s="94"/>
      <c r="D305" s="86"/>
      <c r="E305" s="95"/>
      <c r="F305" s="95"/>
      <c r="G305" s="100"/>
      <c r="H305" s="42"/>
      <c r="I305" s="94"/>
      <c r="J305" s="95"/>
      <c r="K305" s="95"/>
      <c r="N305"/>
    </row>
    <row r="306" spans="1:14">
      <c r="B306" s="127"/>
      <c r="C306" s="126"/>
      <c r="D306" s="86"/>
      <c r="E306" s="95"/>
      <c r="F306" s="127"/>
      <c r="G306" s="100"/>
      <c r="H306" s="42"/>
      <c r="I306" s="126"/>
      <c r="J306" s="95"/>
      <c r="K306" s="127"/>
      <c r="N306"/>
    </row>
    <row r="307" spans="1:14" s="127" customFormat="1">
      <c r="A307" s="175"/>
      <c r="C307" s="126"/>
      <c r="D307" s="86"/>
      <c r="G307" s="100"/>
      <c r="H307" s="42"/>
      <c r="I307" s="94"/>
      <c r="N307"/>
    </row>
    <row r="308" spans="1:14">
      <c r="B308" s="127"/>
      <c r="C308" s="94"/>
      <c r="D308" s="86"/>
      <c r="E308" s="95"/>
      <c r="F308" s="95"/>
      <c r="G308" s="100"/>
      <c r="H308" s="42"/>
      <c r="I308" s="94"/>
      <c r="J308" s="95"/>
      <c r="K308" s="95"/>
      <c r="N308"/>
    </row>
    <row r="309" spans="1:14">
      <c r="B309" s="127"/>
      <c r="C309" s="94"/>
      <c r="D309" s="86"/>
      <c r="E309" s="95"/>
      <c r="F309" s="95"/>
      <c r="G309" s="100"/>
      <c r="H309" s="42"/>
      <c r="I309" s="94"/>
      <c r="J309" s="95"/>
      <c r="K309" s="95"/>
      <c r="N309"/>
    </row>
    <row r="310" spans="1:14">
      <c r="B310" s="127"/>
      <c r="C310" s="94"/>
      <c r="D310" s="86"/>
      <c r="E310" s="95"/>
      <c r="F310" s="95"/>
      <c r="G310" s="100"/>
      <c r="H310" s="42"/>
      <c r="I310" s="94"/>
      <c r="J310" s="95"/>
      <c r="K310" s="95"/>
      <c r="N310"/>
    </row>
    <row r="311" spans="1:14">
      <c r="B311" s="127"/>
      <c r="C311" s="94"/>
      <c r="D311" s="86"/>
      <c r="E311" s="95"/>
      <c r="F311" s="95"/>
      <c r="G311" s="100"/>
      <c r="H311" s="42"/>
      <c r="I311" s="94"/>
      <c r="J311" s="95"/>
      <c r="K311" s="95"/>
      <c r="N311"/>
    </row>
    <row r="312" spans="1:14">
      <c r="C312" s="86"/>
      <c r="D312" s="86"/>
      <c r="G312" s="100"/>
      <c r="H312" s="42"/>
      <c r="I312" s="94"/>
      <c r="J312" s="95"/>
      <c r="K312" s="127"/>
      <c r="N312"/>
    </row>
    <row r="313" spans="1:14">
      <c r="C313" s="86"/>
      <c r="D313" s="86"/>
      <c r="G313" s="100"/>
      <c r="H313" s="42"/>
      <c r="I313" s="94"/>
      <c r="J313" s="95"/>
      <c r="K313" s="127"/>
      <c r="N313"/>
    </row>
    <row r="314" spans="1:14">
      <c r="C314" s="86"/>
      <c r="D314" s="86"/>
      <c r="G314" s="100"/>
      <c r="H314" s="42"/>
      <c r="I314" s="94"/>
      <c r="J314" s="95"/>
      <c r="K314" s="127"/>
      <c r="N314"/>
    </row>
    <row r="315" spans="1:14">
      <c r="C315" s="86"/>
      <c r="D315" s="86"/>
      <c r="G315" s="100"/>
      <c r="H315" s="42"/>
      <c r="I315" s="94"/>
      <c r="J315" s="95"/>
      <c r="K315" s="127"/>
      <c r="N315"/>
    </row>
    <row r="316" spans="1:14">
      <c r="C316" s="86"/>
      <c r="D316" s="86"/>
      <c r="G316" s="100"/>
      <c r="H316" s="42"/>
      <c r="I316" s="94"/>
      <c r="J316" s="95"/>
      <c r="K316" s="127"/>
      <c r="N316"/>
    </row>
    <row r="317" spans="1:14">
      <c r="B317" s="134"/>
      <c r="C317" s="145"/>
      <c r="D317" s="86"/>
      <c r="E317" s="134"/>
      <c r="F317" s="134"/>
      <c r="G317" s="100"/>
      <c r="H317" s="42"/>
      <c r="I317" s="145"/>
      <c r="J317" s="133"/>
      <c r="K317" s="134"/>
      <c r="N317"/>
    </row>
    <row r="318" spans="1:14">
      <c r="B318" s="134"/>
      <c r="C318" s="126"/>
      <c r="D318" s="86"/>
      <c r="E318" s="95"/>
      <c r="F318" s="127"/>
      <c r="G318" s="100"/>
      <c r="H318" s="42"/>
      <c r="I318" s="126"/>
      <c r="J318" s="95"/>
      <c r="K318" s="127"/>
      <c r="N318"/>
    </row>
    <row r="319" spans="1:14">
      <c r="B319" s="127"/>
      <c r="C319" s="126"/>
      <c r="D319" s="86"/>
      <c r="E319" s="95"/>
      <c r="F319" s="127"/>
      <c r="G319" s="100"/>
      <c r="H319" s="42"/>
      <c r="I319" s="126"/>
      <c r="J319" s="95"/>
      <c r="K319" s="127"/>
      <c r="N319"/>
    </row>
    <row r="320" spans="1:14">
      <c r="B320" s="127"/>
      <c r="C320" s="126"/>
      <c r="D320" s="86"/>
      <c r="E320" s="95"/>
      <c r="F320" s="127"/>
      <c r="G320" s="100"/>
      <c r="H320" s="42"/>
      <c r="I320" s="126"/>
      <c r="J320" s="95"/>
      <c r="K320" s="127"/>
      <c r="N320"/>
    </row>
    <row r="321" spans="2:14">
      <c r="B321" s="127"/>
      <c r="C321" s="145"/>
      <c r="D321" s="86"/>
      <c r="E321" s="134"/>
      <c r="F321" s="134"/>
      <c r="G321" s="100"/>
      <c r="H321" s="42"/>
      <c r="I321" s="145"/>
      <c r="J321" s="133"/>
      <c r="K321" s="134"/>
      <c r="N321"/>
    </row>
    <row r="322" spans="2:14">
      <c r="B322" s="134"/>
      <c r="C322" s="86"/>
      <c r="D322" s="86"/>
      <c r="G322" s="100"/>
      <c r="H322" s="42"/>
      <c r="I322" s="145"/>
      <c r="J322" s="133"/>
      <c r="N322"/>
    </row>
    <row r="323" spans="2:14">
      <c r="C323" s="86"/>
      <c r="D323" s="86"/>
      <c r="G323" s="100"/>
      <c r="H323" s="42"/>
      <c r="I323" s="145"/>
      <c r="J323" s="133"/>
      <c r="N323"/>
    </row>
    <row r="324" spans="2:14">
      <c r="C324" s="86"/>
      <c r="D324" s="86"/>
      <c r="G324" s="100"/>
      <c r="H324" s="42"/>
      <c r="I324" s="145"/>
      <c r="J324" s="133"/>
      <c r="N324"/>
    </row>
    <row r="325" spans="2:14">
      <c r="C325" s="86"/>
      <c r="D325" s="86"/>
      <c r="G325" s="100"/>
      <c r="H325" s="42"/>
      <c r="I325" s="145"/>
      <c r="J325" s="133"/>
      <c r="N325"/>
    </row>
    <row r="326" spans="2:14">
      <c r="C326" s="86"/>
      <c r="D326" s="86"/>
      <c r="G326" s="100"/>
      <c r="H326" s="42"/>
      <c r="I326" s="145"/>
      <c r="J326" s="133"/>
      <c r="N326"/>
    </row>
    <row r="327" spans="2:14">
      <c r="C327" s="86"/>
      <c r="D327" s="86"/>
      <c r="G327" s="100"/>
      <c r="H327" s="42"/>
      <c r="I327" s="145"/>
      <c r="J327" s="133"/>
      <c r="N327"/>
    </row>
    <row r="328" spans="2:14">
      <c r="C328" s="86"/>
      <c r="D328" s="86"/>
      <c r="G328" s="100"/>
      <c r="H328" s="42"/>
      <c r="I328" s="145"/>
      <c r="J328" s="133"/>
      <c r="N328"/>
    </row>
    <row r="329" spans="2:14">
      <c r="C329" s="86"/>
      <c r="D329" s="86"/>
      <c r="G329" s="100"/>
      <c r="H329" s="42"/>
      <c r="I329" s="145"/>
      <c r="J329" s="133"/>
      <c r="N329"/>
    </row>
    <row r="330" spans="2:14">
      <c r="C330" s="86"/>
      <c r="D330" s="86"/>
      <c r="G330" s="100"/>
      <c r="H330" s="42"/>
      <c r="I330" s="145"/>
      <c r="J330" s="133"/>
      <c r="N330"/>
    </row>
    <row r="331" spans="2:14">
      <c r="C331" s="86"/>
      <c r="D331" s="86"/>
      <c r="G331" s="100"/>
      <c r="H331" s="42"/>
      <c r="I331" s="145"/>
      <c r="J331" s="133"/>
      <c r="N331"/>
    </row>
    <row r="332" spans="2:14">
      <c r="C332" s="86"/>
      <c r="D332" s="86"/>
      <c r="G332" s="100"/>
      <c r="H332" s="42"/>
      <c r="I332" s="145"/>
      <c r="J332" s="133"/>
      <c r="N332"/>
    </row>
    <row r="333" spans="2:14">
      <c r="C333" s="86"/>
      <c r="D333" s="86"/>
      <c r="G333" s="100"/>
      <c r="H333" s="42"/>
      <c r="I333" s="145"/>
      <c r="J333" s="133"/>
      <c r="N333"/>
    </row>
    <row r="334" spans="2:14">
      <c r="C334" s="86"/>
      <c r="D334" s="86"/>
      <c r="G334" s="100"/>
      <c r="H334" s="42"/>
      <c r="I334" s="145"/>
      <c r="J334" s="133"/>
      <c r="N334"/>
    </row>
    <row r="335" spans="2:14">
      <c r="C335" s="86"/>
      <c r="D335" s="86"/>
      <c r="G335" s="100"/>
      <c r="H335" s="42"/>
      <c r="I335" s="145"/>
      <c r="J335" s="133"/>
      <c r="N335"/>
    </row>
    <row r="336" spans="2:14">
      <c r="C336" s="86"/>
      <c r="D336" s="86"/>
      <c r="G336" s="100"/>
      <c r="H336" s="42"/>
      <c r="I336" s="145"/>
      <c r="J336" s="133"/>
      <c r="N336"/>
    </row>
    <row r="337" spans="3:14">
      <c r="C337" s="86"/>
      <c r="D337" s="86"/>
      <c r="G337" s="100"/>
      <c r="H337" s="42"/>
      <c r="I337" s="145"/>
      <c r="J337" s="133"/>
      <c r="N337"/>
    </row>
    <row r="338" spans="3:14">
      <c r="C338" s="86"/>
      <c r="D338" s="86"/>
      <c r="G338" s="100"/>
      <c r="H338" s="42"/>
      <c r="I338" s="145"/>
      <c r="J338" s="133"/>
      <c r="N338"/>
    </row>
    <row r="339" spans="3:14">
      <c r="C339" s="86"/>
      <c r="D339" s="86"/>
      <c r="G339" s="100"/>
      <c r="H339" s="42"/>
      <c r="I339" s="145"/>
      <c r="J339" s="133"/>
    </row>
    <row r="340" spans="3:14">
      <c r="C340" s="86"/>
      <c r="D340" s="86"/>
      <c r="G340" s="100"/>
      <c r="H340" s="42"/>
      <c r="I340" s="145"/>
      <c r="J340" s="133"/>
    </row>
    <row r="341" spans="3:14">
      <c r="C341" s="86"/>
      <c r="D341" s="86"/>
      <c r="G341" s="100"/>
      <c r="H341" s="42"/>
      <c r="I341" s="145"/>
      <c r="J341" s="133"/>
    </row>
    <row r="342" spans="3:14">
      <c r="C342" s="86"/>
      <c r="D342" s="86"/>
      <c r="G342" s="100"/>
      <c r="H342" s="42"/>
      <c r="I342" s="145"/>
      <c r="J342" s="133"/>
    </row>
    <row r="343" spans="3:14">
      <c r="C343" s="86"/>
      <c r="D343" s="86"/>
      <c r="G343" s="100"/>
      <c r="H343" s="42"/>
      <c r="I343" s="145"/>
      <c r="J343" s="133"/>
    </row>
    <row r="344" spans="3:14">
      <c r="C344" s="86"/>
      <c r="D344" s="86"/>
      <c r="G344" s="100"/>
      <c r="H344" s="42"/>
      <c r="I344" s="145"/>
      <c r="J344" s="133"/>
    </row>
    <row r="345" spans="3:14">
      <c r="C345" s="86"/>
      <c r="D345" s="86"/>
      <c r="G345" s="100"/>
      <c r="H345" s="42"/>
      <c r="I345" s="145"/>
      <c r="J345" s="133"/>
    </row>
    <row r="346" spans="3:14">
      <c r="C346" s="86"/>
      <c r="D346" s="86"/>
      <c r="G346" s="100"/>
      <c r="H346" s="42"/>
      <c r="I346" s="145"/>
      <c r="J346" s="133"/>
    </row>
    <row r="347" spans="3:14">
      <c r="C347" s="86"/>
      <c r="D347" s="86"/>
      <c r="G347" s="100"/>
      <c r="H347" s="42"/>
      <c r="I347" s="145"/>
      <c r="J347" s="133"/>
    </row>
    <row r="348" spans="3:14">
      <c r="C348" s="86"/>
      <c r="D348" s="86"/>
      <c r="G348" s="100"/>
      <c r="H348" s="42"/>
      <c r="I348" s="145"/>
      <c r="J348" s="133"/>
    </row>
    <row r="349" spans="3:14">
      <c r="C349" s="86"/>
      <c r="D349" s="86"/>
      <c r="G349" s="100"/>
      <c r="H349" s="42"/>
      <c r="I349" s="145"/>
      <c r="J349" s="133"/>
    </row>
    <row r="350" spans="3:14">
      <c r="C350" s="86"/>
      <c r="D350" s="86"/>
      <c r="G350" s="100"/>
      <c r="H350" s="42"/>
      <c r="I350" s="145"/>
      <c r="J350" s="133"/>
    </row>
    <row r="351" spans="3:14">
      <c r="C351" s="86"/>
      <c r="D351" s="86"/>
      <c r="G351" s="100"/>
      <c r="H351" s="42"/>
      <c r="I351" s="145"/>
      <c r="J351" s="133"/>
    </row>
    <row r="352" spans="3:14">
      <c r="C352" s="86"/>
      <c r="D352" s="86"/>
      <c r="G352" s="100"/>
      <c r="H352" s="42"/>
      <c r="I352" s="145"/>
      <c r="J352" s="133"/>
    </row>
    <row r="353" spans="3:10">
      <c r="C353" s="86"/>
      <c r="D353" s="86"/>
      <c r="G353" s="100"/>
      <c r="H353" s="42"/>
      <c r="I353" s="145"/>
      <c r="J353" s="133"/>
    </row>
    <row r="354" spans="3:10">
      <c r="C354" s="86"/>
      <c r="D354" s="86"/>
      <c r="G354" s="100"/>
      <c r="H354" s="42"/>
      <c r="I354" s="145"/>
      <c r="J354" s="133"/>
    </row>
    <row r="355" spans="3:10">
      <c r="C355" s="86"/>
      <c r="D355" s="86"/>
      <c r="G355" s="100"/>
      <c r="H355" s="42"/>
      <c r="I355" s="145"/>
      <c r="J355" s="133"/>
    </row>
    <row r="356" spans="3:10">
      <c r="C356" s="86"/>
      <c r="D356" s="86"/>
      <c r="G356" s="100"/>
      <c r="H356" s="42"/>
      <c r="I356" s="145"/>
      <c r="J356" s="133"/>
    </row>
    <row r="357" spans="3:10">
      <c r="C357" s="86"/>
      <c r="D357" s="86"/>
      <c r="G357" s="100"/>
      <c r="H357" s="42"/>
      <c r="I357" s="145"/>
      <c r="J357" s="133"/>
    </row>
    <row r="358" spans="3:10">
      <c r="C358" s="86"/>
      <c r="D358" s="86"/>
      <c r="G358" s="100"/>
      <c r="H358" s="42"/>
      <c r="I358" s="145"/>
      <c r="J358" s="133"/>
    </row>
    <row r="359" spans="3:10">
      <c r="C359" s="86"/>
      <c r="D359" s="86"/>
      <c r="G359" s="100"/>
      <c r="H359" s="42"/>
      <c r="I359" s="145"/>
      <c r="J359" s="133"/>
    </row>
    <row r="360" spans="3:10">
      <c r="C360" s="86"/>
      <c r="D360" s="86"/>
      <c r="G360" s="100"/>
      <c r="H360" s="42"/>
      <c r="I360" s="145"/>
      <c r="J360" s="133"/>
    </row>
    <row r="361" spans="3:10">
      <c r="C361" s="86"/>
      <c r="D361" s="86"/>
      <c r="G361" s="100"/>
      <c r="H361" s="42"/>
      <c r="I361" s="145"/>
      <c r="J361" s="133"/>
    </row>
    <row r="362" spans="3:10">
      <c r="C362" s="86"/>
      <c r="D362" s="86"/>
      <c r="G362" s="100"/>
      <c r="H362" s="42"/>
      <c r="I362" s="145"/>
      <c r="J362" s="133"/>
    </row>
    <row r="363" spans="3:10">
      <c r="C363" s="86"/>
      <c r="D363" s="86"/>
      <c r="G363" s="100"/>
      <c r="H363" s="42"/>
      <c r="I363" s="145"/>
      <c r="J363" s="133"/>
    </row>
    <row r="364" spans="3:10">
      <c r="C364" s="86"/>
      <c r="D364" s="86"/>
      <c r="G364" s="100"/>
      <c r="H364" s="42"/>
      <c r="I364" s="145"/>
      <c r="J364" s="133"/>
    </row>
    <row r="365" spans="3:10">
      <c r="C365" s="86"/>
      <c r="D365" s="86"/>
      <c r="G365" s="100"/>
      <c r="H365" s="42"/>
      <c r="I365" s="145"/>
      <c r="J365" s="133"/>
    </row>
    <row r="366" spans="3:10">
      <c r="C366" s="86"/>
      <c r="D366" s="86"/>
      <c r="G366" s="100"/>
      <c r="H366" s="42"/>
      <c r="I366" s="145"/>
      <c r="J366" s="133"/>
    </row>
    <row r="367" spans="3:10">
      <c r="C367" s="86"/>
      <c r="D367" s="86"/>
      <c r="G367" s="100"/>
      <c r="H367" s="42"/>
      <c r="I367" s="145"/>
      <c r="J367" s="133"/>
    </row>
    <row r="368" spans="3:10">
      <c r="C368" s="86"/>
      <c r="D368" s="86"/>
      <c r="G368" s="100"/>
      <c r="H368" s="42"/>
      <c r="I368" s="145"/>
      <c r="J368" s="133"/>
    </row>
    <row r="369" spans="1:11">
      <c r="C369" s="86"/>
      <c r="D369" s="86"/>
      <c r="G369" s="100"/>
      <c r="H369" s="42"/>
      <c r="I369" s="145"/>
      <c r="J369" s="133"/>
    </row>
    <row r="370" spans="1:11">
      <c r="C370" s="86"/>
      <c r="D370" s="86"/>
      <c r="G370" s="100"/>
      <c r="H370" s="42"/>
      <c r="I370" s="145"/>
      <c r="J370" s="133"/>
    </row>
    <row r="371" spans="1:11">
      <c r="C371" s="86"/>
      <c r="D371" s="86"/>
      <c r="G371" s="100"/>
      <c r="H371" s="42"/>
      <c r="I371" s="145"/>
      <c r="J371" s="133"/>
    </row>
    <row r="372" spans="1:11">
      <c r="A372" s="95"/>
      <c r="C372" s="94"/>
      <c r="D372" s="86"/>
      <c r="E372" s="95"/>
      <c r="F372" s="95"/>
      <c r="G372" s="100"/>
      <c r="H372" s="95"/>
      <c r="I372" s="94"/>
      <c r="J372" s="95"/>
    </row>
    <row r="373" spans="1:11">
      <c r="A373" s="95"/>
      <c r="C373" s="94"/>
      <c r="D373" s="86"/>
      <c r="E373" s="95"/>
      <c r="F373" s="95"/>
      <c r="G373" s="100"/>
      <c r="H373" s="95"/>
      <c r="I373" s="94"/>
      <c r="J373" s="95"/>
      <c r="K373" s="95"/>
    </row>
    <row r="374" spans="1:11">
      <c r="A374" s="95"/>
      <c r="C374" s="94"/>
      <c r="D374" s="86"/>
      <c r="E374" s="95"/>
      <c r="F374" s="95"/>
      <c r="G374" s="100"/>
      <c r="H374" s="95"/>
      <c r="I374" s="94"/>
      <c r="J374" s="95"/>
      <c r="K374" s="95"/>
    </row>
    <row r="375" spans="1:11">
      <c r="A375" s="95"/>
      <c r="B375" s="95"/>
      <c r="C375" s="94"/>
      <c r="D375" s="86"/>
      <c r="E375" s="95"/>
      <c r="F375" s="95"/>
      <c r="G375" s="100"/>
      <c r="H375" s="95"/>
      <c r="I375" s="94"/>
      <c r="J375" s="95"/>
      <c r="K375" s="95"/>
    </row>
    <row r="376" spans="1:11">
      <c r="A376" s="95"/>
      <c r="B376" s="95"/>
      <c r="C376" s="126"/>
      <c r="D376" s="86"/>
      <c r="E376" s="95"/>
      <c r="F376" s="95"/>
      <c r="G376" s="100"/>
      <c r="H376" s="95"/>
      <c r="I376" s="126"/>
      <c r="J376" s="95"/>
      <c r="K376" s="95"/>
    </row>
    <row r="377" spans="1:11">
      <c r="A377" s="95"/>
      <c r="B377" s="127"/>
      <c r="C377" s="126"/>
      <c r="D377" s="86"/>
      <c r="E377" s="127"/>
      <c r="F377" s="127"/>
      <c r="G377" s="100"/>
      <c r="H377" s="127"/>
      <c r="I377" s="94"/>
      <c r="J377" s="95"/>
      <c r="K377" s="127"/>
    </row>
    <row r="378" spans="1:11">
      <c r="A378" s="95"/>
      <c r="B378" s="95"/>
      <c r="C378" s="94"/>
      <c r="D378" s="86"/>
      <c r="E378" s="95"/>
      <c r="F378" s="95"/>
      <c r="G378" s="100"/>
      <c r="H378" s="95"/>
      <c r="I378" s="94"/>
      <c r="J378" s="95"/>
      <c r="K378" s="95"/>
    </row>
    <row r="379" spans="1:11">
      <c r="A379" s="95"/>
      <c r="C379" s="94"/>
      <c r="D379" s="86"/>
      <c r="E379" s="95"/>
      <c r="F379" s="95"/>
      <c r="G379" s="100"/>
      <c r="H379" s="95"/>
      <c r="I379" s="94"/>
      <c r="J379" s="95"/>
      <c r="K379" s="95"/>
    </row>
    <row r="380" spans="1:11">
      <c r="A380" s="95"/>
      <c r="B380" s="95"/>
      <c r="C380" s="126"/>
      <c r="D380" s="86"/>
      <c r="E380" s="95"/>
      <c r="F380" s="95"/>
      <c r="G380" s="100"/>
      <c r="H380" s="95"/>
      <c r="I380" s="126"/>
      <c r="J380" s="95"/>
      <c r="K380" s="95"/>
    </row>
    <row r="381" spans="1:11">
      <c r="A381" s="95"/>
      <c r="B381" s="95"/>
      <c r="C381" s="94"/>
      <c r="D381" s="86"/>
      <c r="E381" s="127"/>
      <c r="F381" s="127"/>
      <c r="G381" s="100"/>
      <c r="H381" s="95"/>
      <c r="I381" s="94"/>
      <c r="J381" s="127"/>
      <c r="K381" s="127"/>
    </row>
    <row r="382" spans="1:11">
      <c r="A382" s="95"/>
      <c r="B382" s="44"/>
      <c r="C382" s="94"/>
      <c r="D382" s="86"/>
      <c r="E382" s="95"/>
      <c r="F382" s="95"/>
      <c r="G382" s="100"/>
      <c r="H382" s="95"/>
      <c r="I382" s="94"/>
      <c r="J382" s="95"/>
      <c r="K382" s="95"/>
    </row>
    <row r="383" spans="1:11">
      <c r="A383" s="95"/>
      <c r="C383" s="126"/>
      <c r="D383" s="86"/>
      <c r="E383" s="127"/>
      <c r="F383" s="127"/>
      <c r="G383" s="100"/>
      <c r="H383" s="127"/>
      <c r="I383" s="126"/>
      <c r="J383" s="127"/>
      <c r="K383" s="127"/>
    </row>
    <row r="384" spans="1:11">
      <c r="A384" s="95"/>
      <c r="B384" s="44"/>
      <c r="C384" s="94"/>
      <c r="D384" s="86"/>
      <c r="E384" s="95"/>
      <c r="F384" s="95"/>
      <c r="G384" s="100"/>
      <c r="H384" s="95"/>
      <c r="I384" s="94"/>
      <c r="J384" s="95"/>
      <c r="K384" s="95"/>
    </row>
    <row r="385" spans="1:11">
      <c r="A385" s="95"/>
      <c r="C385" s="94"/>
      <c r="D385" s="86"/>
      <c r="E385" s="95"/>
      <c r="F385" s="142"/>
      <c r="G385" s="100"/>
      <c r="H385" s="95"/>
      <c r="I385" s="94"/>
      <c r="J385" s="95"/>
      <c r="K385" s="95"/>
    </row>
    <row r="386" spans="1:11">
      <c r="A386" s="95"/>
      <c r="C386" s="94"/>
      <c r="D386" s="86"/>
      <c r="E386" s="95"/>
      <c r="F386" s="142"/>
      <c r="G386" s="100"/>
      <c r="H386" s="117"/>
      <c r="I386" s="94"/>
      <c r="J386" s="95"/>
      <c r="K386" s="95"/>
    </row>
    <row r="387" spans="1:11">
      <c r="A387" s="95"/>
      <c r="B387" s="95"/>
      <c r="C387" s="94"/>
      <c r="D387" s="86"/>
      <c r="E387" s="95"/>
      <c r="F387" s="95"/>
      <c r="G387" s="100"/>
      <c r="H387" s="95"/>
      <c r="I387" s="94"/>
      <c r="J387" s="95"/>
      <c r="K387" s="95"/>
    </row>
    <row r="388" spans="1:11">
      <c r="A388" s="95"/>
      <c r="B388" s="44"/>
      <c r="C388" s="94"/>
      <c r="D388" s="86"/>
      <c r="E388" s="140"/>
      <c r="F388" s="140"/>
      <c r="G388" s="141"/>
      <c r="H388" s="117"/>
      <c r="I388" s="94"/>
      <c r="J388" s="95"/>
      <c r="K388" s="95"/>
    </row>
    <row r="389" spans="1:11" s="95" customFormat="1">
      <c r="B389" s="175"/>
      <c r="C389" s="126"/>
      <c r="D389" s="86"/>
      <c r="E389" s="142"/>
      <c r="G389" s="143"/>
      <c r="H389" s="135"/>
      <c r="I389" s="126"/>
      <c r="J389" s="127"/>
      <c r="K389" s="127"/>
    </row>
    <row r="390" spans="1:11" s="95" customFormat="1">
      <c r="B390" s="175"/>
      <c r="C390" s="126"/>
      <c r="D390" s="86"/>
      <c r="E390" s="142"/>
      <c r="F390" s="142"/>
      <c r="G390" s="143"/>
      <c r="H390" s="135"/>
      <c r="I390" s="126"/>
      <c r="J390" s="127"/>
      <c r="K390" s="127"/>
    </row>
    <row r="391" spans="1:11">
      <c r="A391" s="95"/>
      <c r="C391" s="94"/>
      <c r="D391" s="86"/>
      <c r="E391" s="95"/>
      <c r="F391" s="95"/>
      <c r="G391" s="100"/>
      <c r="H391" s="95"/>
      <c r="I391" s="94"/>
      <c r="J391" s="95"/>
      <c r="K391" s="95"/>
    </row>
    <row r="392" spans="1:11">
      <c r="A392" s="95"/>
      <c r="B392" s="127"/>
      <c r="C392" s="94"/>
      <c r="D392" s="86"/>
      <c r="E392" s="95"/>
      <c r="F392" s="95"/>
      <c r="G392" s="100"/>
      <c r="H392" s="95"/>
      <c r="I392" s="94"/>
      <c r="J392" s="95"/>
      <c r="K392" s="95"/>
    </row>
    <row r="393" spans="1:11">
      <c r="A393" s="95"/>
      <c r="B393" s="95"/>
      <c r="C393" s="94"/>
      <c r="D393" s="86"/>
      <c r="E393" s="95"/>
      <c r="F393" s="95"/>
      <c r="G393" s="100"/>
      <c r="H393" s="95"/>
      <c r="I393" s="94"/>
      <c r="J393" s="95"/>
      <c r="K393" s="95"/>
    </row>
    <row r="394" spans="1:11">
      <c r="A394" s="95"/>
      <c r="B394" s="95"/>
      <c r="C394" s="94"/>
      <c r="D394" s="86"/>
      <c r="E394" s="95"/>
      <c r="F394" s="95"/>
      <c r="G394" s="100"/>
      <c r="H394" s="95"/>
      <c r="I394" s="94"/>
      <c r="J394" s="95"/>
      <c r="K394" s="95"/>
    </row>
    <row r="395" spans="1:11">
      <c r="A395" s="95"/>
      <c r="B395" s="95"/>
      <c r="C395" s="94"/>
      <c r="D395" s="86"/>
      <c r="E395" s="95"/>
      <c r="F395" s="95"/>
      <c r="G395" s="100"/>
      <c r="H395" s="95"/>
      <c r="I395" s="94"/>
      <c r="J395" s="95"/>
      <c r="K395" s="95"/>
    </row>
    <row r="396" spans="1:11" s="135" customFormat="1">
      <c r="A396" s="95"/>
      <c r="B396" s="95"/>
      <c r="C396" s="94"/>
      <c r="D396" s="86"/>
      <c r="E396" s="95"/>
      <c r="F396" s="95"/>
      <c r="G396" s="100"/>
      <c r="H396" s="95"/>
      <c r="I396" s="94"/>
      <c r="J396" s="95"/>
      <c r="K396" s="95"/>
    </row>
    <row r="397" spans="1:11">
      <c r="A397" s="95"/>
      <c r="B397" s="95"/>
      <c r="C397" s="94"/>
      <c r="D397" s="86"/>
      <c r="E397" s="95"/>
      <c r="F397" s="95"/>
      <c r="G397" s="100"/>
      <c r="H397" s="95"/>
      <c r="I397" s="94"/>
      <c r="J397" s="95"/>
      <c r="K397" s="95"/>
    </row>
    <row r="398" spans="1:11">
      <c r="A398" s="95"/>
      <c r="B398" s="95"/>
      <c r="C398" s="94"/>
      <c r="D398" s="86"/>
      <c r="E398" s="95"/>
      <c r="F398" s="95"/>
      <c r="G398" s="100"/>
      <c r="H398" s="95"/>
      <c r="I398" s="94"/>
      <c r="J398" s="95"/>
      <c r="K398" s="95"/>
    </row>
    <row r="399" spans="1:11">
      <c r="A399" s="95"/>
      <c r="B399" s="95"/>
      <c r="C399" s="94"/>
      <c r="D399" s="86"/>
      <c r="E399" s="95"/>
      <c r="F399" s="95"/>
      <c r="G399" s="100"/>
      <c r="H399" s="95"/>
      <c r="I399" s="94"/>
      <c r="J399" s="95"/>
      <c r="K399" s="95"/>
    </row>
    <row r="400" spans="1:11">
      <c r="A400" s="95"/>
      <c r="B400" s="95"/>
      <c r="C400" s="94"/>
      <c r="D400" s="86"/>
      <c r="E400" s="95"/>
      <c r="F400" s="95"/>
      <c r="G400" s="100"/>
      <c r="H400" s="95"/>
      <c r="I400" s="94"/>
      <c r="J400" s="95"/>
      <c r="K400" s="95"/>
    </row>
    <row r="401" spans="1:11">
      <c r="A401" s="95"/>
      <c r="B401" s="95"/>
      <c r="C401" s="94"/>
      <c r="D401" s="86"/>
      <c r="E401" s="95"/>
      <c r="F401" s="95"/>
      <c r="G401" s="100"/>
      <c r="H401" s="95"/>
      <c r="I401" s="94"/>
      <c r="J401" s="95"/>
      <c r="K401" s="95"/>
    </row>
    <row r="402" spans="1:11">
      <c r="A402" s="95"/>
      <c r="B402" s="95"/>
      <c r="C402" s="94"/>
      <c r="D402" s="86"/>
      <c r="E402" s="95"/>
      <c r="F402" s="95"/>
      <c r="G402" s="100"/>
      <c r="H402" s="95"/>
      <c r="I402" s="94"/>
      <c r="J402" s="95"/>
      <c r="K402" s="95"/>
    </row>
    <row r="403" spans="1:11">
      <c r="A403" s="95"/>
      <c r="B403" s="95"/>
      <c r="C403" s="94"/>
      <c r="D403" s="86"/>
      <c r="E403" s="95"/>
      <c r="F403" s="95"/>
      <c r="G403" s="100"/>
      <c r="H403" s="95"/>
      <c r="I403" s="94"/>
      <c r="J403" s="95"/>
      <c r="K403" s="95"/>
    </row>
    <row r="404" spans="1:11">
      <c r="A404" s="95"/>
      <c r="B404" s="95"/>
      <c r="C404" s="94"/>
      <c r="D404" s="86"/>
      <c r="E404" s="95"/>
      <c r="F404" s="95"/>
      <c r="G404" s="100"/>
      <c r="H404" s="95"/>
      <c r="I404" s="94"/>
      <c r="J404" s="95"/>
      <c r="K404" s="95"/>
    </row>
    <row r="405" spans="1:11">
      <c r="A405" s="95"/>
      <c r="B405" s="95"/>
      <c r="C405" s="94"/>
      <c r="D405" s="86"/>
      <c r="E405" s="95"/>
      <c r="F405" s="95"/>
      <c r="G405" s="100"/>
      <c r="H405" s="95"/>
      <c r="I405" s="94"/>
      <c r="J405" s="95"/>
      <c r="K405" s="95"/>
    </row>
    <row r="406" spans="1:11">
      <c r="A406" s="95"/>
      <c r="B406" s="95"/>
      <c r="C406" s="94"/>
      <c r="D406" s="86"/>
      <c r="E406" s="95"/>
      <c r="F406" s="95"/>
      <c r="G406" s="100"/>
      <c r="H406" s="95"/>
      <c r="I406" s="94"/>
      <c r="J406" s="95"/>
      <c r="K406" s="95"/>
    </row>
    <row r="407" spans="1:11">
      <c r="A407" s="95"/>
      <c r="B407" s="95"/>
      <c r="C407" s="94"/>
      <c r="D407" s="86"/>
      <c r="E407" s="95"/>
      <c r="F407" s="95"/>
      <c r="G407" s="100"/>
      <c r="H407" s="95"/>
      <c r="I407" s="94"/>
      <c r="J407" s="95"/>
      <c r="K407" s="95"/>
    </row>
    <row r="408" spans="1:11">
      <c r="A408" s="95"/>
      <c r="B408" s="95"/>
      <c r="C408" s="94"/>
      <c r="D408" s="86"/>
      <c r="E408" s="95"/>
      <c r="F408" s="95"/>
      <c r="G408" s="100"/>
      <c r="H408" s="95"/>
      <c r="I408" s="94"/>
      <c r="J408" s="95"/>
      <c r="K408" s="95"/>
    </row>
    <row r="409" spans="1:11">
      <c r="A409" s="95"/>
      <c r="B409" s="95"/>
      <c r="C409" s="94"/>
      <c r="D409" s="86"/>
      <c r="E409" s="95"/>
      <c r="F409" s="95"/>
      <c r="G409" s="100"/>
      <c r="H409" s="95"/>
      <c r="I409" s="94"/>
      <c r="J409" s="95"/>
      <c r="K409" s="95"/>
    </row>
    <row r="410" spans="1:11">
      <c r="A410" s="95"/>
      <c r="B410" s="95"/>
      <c r="C410" s="94"/>
      <c r="D410" s="86"/>
      <c r="E410" s="95"/>
      <c r="F410" s="95"/>
      <c r="G410" s="100"/>
      <c r="H410" s="95"/>
      <c r="I410" s="94"/>
      <c r="J410" s="95"/>
      <c r="K410" s="95"/>
    </row>
    <row r="411" spans="1:11" s="44" customFormat="1">
      <c r="A411" s="95"/>
      <c r="B411" s="95"/>
      <c r="C411" s="94"/>
      <c r="D411" s="86"/>
      <c r="E411" s="95"/>
      <c r="F411" s="95"/>
      <c r="G411" s="100"/>
      <c r="H411" s="95"/>
      <c r="I411" s="94"/>
      <c r="J411" s="95"/>
      <c r="K411" s="95"/>
    </row>
    <row r="412" spans="1:11">
      <c r="A412" s="95"/>
      <c r="B412" s="95"/>
      <c r="C412" s="94"/>
      <c r="D412" s="86"/>
      <c r="E412" s="95"/>
      <c r="F412" s="95"/>
      <c r="G412" s="100"/>
      <c r="H412" s="95"/>
      <c r="I412" s="94"/>
      <c r="J412" s="95"/>
      <c r="K412" s="95"/>
    </row>
    <row r="413" spans="1:11">
      <c r="A413" s="95"/>
      <c r="B413" s="95"/>
      <c r="C413" s="94"/>
      <c r="D413" s="86"/>
      <c r="E413" s="95"/>
      <c r="F413" s="95"/>
      <c r="G413" s="100"/>
      <c r="H413" s="95"/>
      <c r="I413" s="94"/>
      <c r="J413" s="95"/>
      <c r="K413" s="95"/>
    </row>
    <row r="414" spans="1:11" s="135" customFormat="1">
      <c r="A414" s="95"/>
      <c r="B414" s="95"/>
      <c r="C414" s="94"/>
      <c r="D414" s="86"/>
      <c r="E414" s="95"/>
      <c r="F414" s="95"/>
      <c r="G414" s="100"/>
      <c r="H414" s="95"/>
      <c r="I414" s="94"/>
      <c r="J414" s="95"/>
      <c r="K414" s="95"/>
    </row>
    <row r="415" spans="1:11">
      <c r="A415" s="95"/>
      <c r="B415" s="95"/>
      <c r="C415" s="94"/>
      <c r="D415" s="86"/>
      <c r="E415" s="95"/>
      <c r="F415" s="95"/>
      <c r="G415" s="100"/>
      <c r="H415" s="95"/>
      <c r="I415" s="94"/>
      <c r="J415" s="95"/>
      <c r="K415" s="95"/>
    </row>
    <row r="416" spans="1:11">
      <c r="A416" s="95"/>
      <c r="B416" s="95"/>
      <c r="C416" s="94"/>
      <c r="D416" s="86"/>
      <c r="E416" s="95"/>
      <c r="F416" s="95"/>
      <c r="G416" s="100"/>
      <c r="H416" s="95"/>
      <c r="I416" s="94"/>
      <c r="J416" s="95"/>
      <c r="K416" s="95"/>
    </row>
    <row r="417" spans="1:12">
      <c r="A417" s="95"/>
      <c r="B417" s="95"/>
      <c r="C417" s="94"/>
      <c r="D417" s="86"/>
      <c r="E417" s="95"/>
      <c r="F417" s="95"/>
      <c r="G417" s="100"/>
      <c r="H417" s="95"/>
      <c r="I417" s="94"/>
      <c r="J417" s="95"/>
      <c r="K417" s="95"/>
    </row>
    <row r="418" spans="1:12" ht="14.7" customHeight="1">
      <c r="A418" s="95"/>
      <c r="B418" s="95"/>
      <c r="C418" s="94"/>
      <c r="D418" s="86"/>
      <c r="E418" s="95"/>
      <c r="F418" s="95"/>
      <c r="G418" s="100"/>
      <c r="H418" s="95"/>
      <c r="I418" s="94"/>
      <c r="J418" s="95"/>
      <c r="K418" s="95"/>
    </row>
    <row r="419" spans="1:12">
      <c r="A419" s="95"/>
      <c r="B419" s="95"/>
      <c r="C419" s="94"/>
      <c r="D419" s="86"/>
      <c r="E419" s="95"/>
      <c r="F419" s="95"/>
      <c r="G419" s="100"/>
      <c r="H419" s="95"/>
      <c r="I419" s="94"/>
      <c r="J419" s="95"/>
      <c r="K419" s="95"/>
    </row>
    <row r="420" spans="1:12" s="95" customFormat="1">
      <c r="C420" s="94"/>
      <c r="D420" s="86"/>
      <c r="G420" s="100"/>
      <c r="I420" s="94"/>
    </row>
    <row r="421" spans="1:12" s="117" customFormat="1">
      <c r="A421" s="95"/>
      <c r="B421" s="95"/>
      <c r="C421" s="94"/>
      <c r="D421" s="86"/>
      <c r="E421" s="95"/>
      <c r="F421" s="95"/>
      <c r="G421" s="100"/>
      <c r="H421" s="95"/>
      <c r="I421" s="94"/>
      <c r="J421" s="95"/>
      <c r="K421" s="95"/>
    </row>
    <row r="422" spans="1:12" s="117" customFormat="1">
      <c r="A422" s="95"/>
      <c r="B422" s="95"/>
      <c r="C422" s="94"/>
      <c r="D422" s="86"/>
      <c r="E422" s="95"/>
      <c r="F422" s="95"/>
      <c r="G422" s="100"/>
      <c r="H422" s="95"/>
      <c r="I422" s="94"/>
      <c r="J422" s="95"/>
      <c r="K422" s="95"/>
    </row>
    <row r="423" spans="1:12" s="117" customFormat="1">
      <c r="A423" s="95"/>
      <c r="B423" s="95"/>
      <c r="C423" s="94"/>
      <c r="D423" s="86"/>
      <c r="E423" s="95"/>
      <c r="F423" s="95"/>
      <c r="G423" s="100"/>
      <c r="H423" s="95"/>
      <c r="I423" s="94"/>
      <c r="J423" s="95"/>
      <c r="K423" s="95"/>
    </row>
    <row r="424" spans="1:12">
      <c r="A424" s="95"/>
      <c r="B424" s="95"/>
      <c r="C424" s="94"/>
      <c r="D424" s="86"/>
      <c r="E424" s="95"/>
      <c r="F424" s="95"/>
      <c r="G424" s="100"/>
      <c r="H424" s="95"/>
      <c r="I424" s="94"/>
      <c r="J424" s="95"/>
      <c r="K424" s="95"/>
    </row>
    <row r="425" spans="1:12">
      <c r="A425" s="95"/>
      <c r="B425" s="127"/>
      <c r="C425" s="94"/>
      <c r="D425" s="86"/>
      <c r="E425" s="95"/>
      <c r="F425" s="95"/>
      <c r="G425" s="100"/>
      <c r="H425" s="95"/>
      <c r="I425" s="94"/>
      <c r="J425" s="95"/>
      <c r="K425" s="95"/>
    </row>
    <row r="426" spans="1:12">
      <c r="A426" s="95"/>
      <c r="B426" s="127"/>
      <c r="C426" s="94"/>
      <c r="D426" s="86"/>
      <c r="E426" s="140"/>
      <c r="F426" s="140"/>
      <c r="G426" s="100"/>
      <c r="H426" s="95"/>
      <c r="I426" s="94"/>
      <c r="J426" s="95"/>
      <c r="K426" s="95"/>
      <c r="L426" s="117"/>
    </row>
    <row r="427" spans="1:12" s="117" customFormat="1">
      <c r="A427" s="95"/>
      <c r="B427" s="127"/>
      <c r="C427" s="94"/>
      <c r="D427" s="86"/>
      <c r="E427" s="95"/>
      <c r="F427" s="95"/>
      <c r="G427" s="100"/>
      <c r="H427" s="95"/>
      <c r="I427" s="94"/>
      <c r="J427" s="127"/>
      <c r="K427" s="95"/>
    </row>
    <row r="428" spans="1:12" s="117" customFormat="1">
      <c r="A428" s="95"/>
      <c r="B428" s="127"/>
      <c r="C428" s="94"/>
      <c r="D428" s="86"/>
      <c r="E428" s="95"/>
      <c r="F428" s="140"/>
      <c r="G428" s="100"/>
      <c r="H428" s="95"/>
      <c r="I428" s="94"/>
      <c r="J428" s="95"/>
      <c r="K428" s="95"/>
    </row>
    <row r="429" spans="1:12" s="117" customFormat="1">
      <c r="A429" s="95"/>
      <c r="B429" s="95"/>
      <c r="C429" s="94"/>
      <c r="D429" s="86"/>
      <c r="E429" s="95"/>
      <c r="F429" s="95"/>
      <c r="G429" s="100"/>
      <c r="H429" s="95"/>
      <c r="I429" s="94"/>
      <c r="J429" s="127"/>
      <c r="K429" s="95"/>
    </row>
    <row r="430" spans="1:12" s="117" customFormat="1">
      <c r="A430" s="95"/>
      <c r="B430" s="127"/>
      <c r="C430" s="94"/>
      <c r="D430" s="86"/>
      <c r="E430" s="95"/>
      <c r="F430" s="95"/>
      <c r="G430" s="100"/>
      <c r="H430" s="95"/>
      <c r="I430" s="94"/>
      <c r="J430" s="127"/>
      <c r="K430" s="95"/>
    </row>
    <row r="431" spans="1:12" s="117" customFormat="1">
      <c r="A431" s="95"/>
      <c r="B431" s="127"/>
      <c r="C431" s="94"/>
      <c r="D431" s="86"/>
      <c r="E431" s="95"/>
      <c r="F431" s="140"/>
      <c r="G431" s="100"/>
      <c r="H431" s="95"/>
      <c r="I431" s="94"/>
      <c r="J431" s="95"/>
      <c r="K431" s="95"/>
    </row>
    <row r="432" spans="1:12" s="117" customFormat="1">
      <c r="A432" s="95"/>
      <c r="B432" s="127"/>
      <c r="C432" s="94"/>
      <c r="D432" s="86"/>
      <c r="E432" s="127"/>
      <c r="F432" s="127"/>
      <c r="G432" s="100"/>
      <c r="H432" s="95"/>
      <c r="I432" s="94"/>
      <c r="J432" s="95"/>
      <c r="K432" s="95"/>
    </row>
    <row r="433" spans="1:11" s="117" customFormat="1">
      <c r="A433" s="95"/>
      <c r="B433" s="95"/>
      <c r="C433" s="94"/>
      <c r="D433" s="86"/>
      <c r="E433" s="95"/>
      <c r="F433" s="95"/>
      <c r="G433" s="100"/>
      <c r="H433" s="95"/>
      <c r="I433" s="94"/>
      <c r="J433" s="95"/>
      <c r="K433" s="95"/>
    </row>
    <row r="434" spans="1:11" s="117" customFormat="1">
      <c r="A434" s="95"/>
      <c r="B434" s="95"/>
      <c r="C434" s="94"/>
      <c r="D434" s="86"/>
      <c r="E434" s="95"/>
      <c r="F434" s="95"/>
      <c r="G434" s="100"/>
      <c r="H434" s="95"/>
      <c r="I434" s="94"/>
      <c r="J434" s="95"/>
      <c r="K434" s="95"/>
    </row>
    <row r="435" spans="1:11" s="117" customFormat="1">
      <c r="A435" s="95"/>
      <c r="B435" s="95"/>
      <c r="C435" s="94"/>
      <c r="D435" s="86"/>
      <c r="E435" s="95"/>
      <c r="F435" s="95"/>
      <c r="G435" s="100"/>
      <c r="H435" s="95"/>
      <c r="I435" s="94"/>
      <c r="J435" s="95"/>
      <c r="K435" s="95"/>
    </row>
    <row r="436" spans="1:11" s="117" customFormat="1">
      <c r="A436" s="95"/>
      <c r="B436" s="95"/>
      <c r="C436" s="94"/>
      <c r="D436" s="86"/>
      <c r="E436" s="95"/>
      <c r="F436" s="95"/>
      <c r="G436" s="100"/>
      <c r="H436" s="95"/>
      <c r="I436" s="94"/>
      <c r="J436" s="95"/>
      <c r="K436" s="95"/>
    </row>
    <row r="437" spans="1:11" s="117" customFormat="1">
      <c r="A437" s="95"/>
      <c r="B437" s="95"/>
      <c r="C437" s="94"/>
      <c r="D437" s="86"/>
      <c r="E437" s="95"/>
      <c r="F437" s="95"/>
      <c r="G437" s="100"/>
      <c r="H437" s="95"/>
      <c r="I437" s="94"/>
      <c r="J437" s="95"/>
      <c r="K437" s="95"/>
    </row>
    <row r="438" spans="1:11" s="117" customFormat="1">
      <c r="A438" s="95"/>
      <c r="B438" s="95"/>
      <c r="C438" s="94"/>
      <c r="D438" s="86"/>
      <c r="E438" s="95"/>
      <c r="F438" s="95"/>
      <c r="G438" s="100"/>
      <c r="H438" s="95"/>
      <c r="I438" s="94"/>
      <c r="J438" s="95"/>
      <c r="K438" s="95"/>
    </row>
    <row r="439" spans="1:11" s="117" customFormat="1">
      <c r="A439" s="95"/>
      <c r="B439" s="127"/>
      <c r="C439" s="126"/>
      <c r="D439" s="86"/>
      <c r="E439" s="127"/>
      <c r="F439" s="127"/>
      <c r="G439" s="129"/>
      <c r="H439" s="127"/>
      <c r="I439" s="126"/>
      <c r="J439" s="95"/>
      <c r="K439" s="127"/>
    </row>
    <row r="440" spans="1:11" s="117" customFormat="1">
      <c r="A440" s="95"/>
      <c r="B440" s="127"/>
      <c r="C440" s="94"/>
      <c r="D440" s="86"/>
      <c r="E440" s="95"/>
      <c r="F440" s="95"/>
      <c r="G440" s="100"/>
      <c r="H440" s="95"/>
      <c r="I440" s="94"/>
      <c r="J440" s="95"/>
      <c r="K440" s="95"/>
    </row>
    <row r="441" spans="1:11" s="117" customFormat="1">
      <c r="A441" s="95"/>
      <c r="B441" s="127"/>
      <c r="C441" s="86"/>
      <c r="D441" s="86"/>
      <c r="E441" s="142"/>
      <c r="F441" s="142"/>
      <c r="G441" s="143"/>
      <c r="H441" s="175"/>
      <c r="I441" s="94"/>
      <c r="J441" s="95"/>
      <c r="K441" s="175"/>
    </row>
    <row r="442" spans="1:11" s="117" customFormat="1">
      <c r="A442" s="95"/>
      <c r="B442" s="127"/>
      <c r="C442" s="43"/>
      <c r="D442" s="86"/>
      <c r="E442" s="140"/>
      <c r="F442" s="140"/>
      <c r="G442" s="141"/>
      <c r="H442" s="44"/>
      <c r="I442" s="94"/>
      <c r="J442" s="95"/>
      <c r="K442" s="95"/>
    </row>
    <row r="443" spans="1:11" s="117" customFormat="1">
      <c r="A443" s="95"/>
      <c r="B443" s="127"/>
      <c r="C443" s="43"/>
      <c r="D443" s="86"/>
      <c r="E443" s="140"/>
      <c r="F443" s="142"/>
      <c r="G443" s="141"/>
      <c r="H443" s="44"/>
      <c r="I443" s="94"/>
      <c r="J443" s="95"/>
      <c r="K443" s="44"/>
    </row>
    <row r="444" spans="1:11" s="117" customFormat="1">
      <c r="A444" s="95"/>
      <c r="B444" s="127"/>
      <c r="C444" s="43"/>
      <c r="D444" s="86"/>
      <c r="E444" s="140"/>
      <c r="F444" s="140"/>
      <c r="G444" s="141"/>
      <c r="H444" s="44"/>
      <c r="I444" s="94"/>
      <c r="J444" s="95"/>
      <c r="K444" s="44"/>
    </row>
    <row r="445" spans="1:11" s="117" customFormat="1">
      <c r="A445" s="95"/>
      <c r="B445" s="44"/>
      <c r="C445" s="43"/>
      <c r="D445" s="86"/>
      <c r="E445" s="140"/>
      <c r="F445" s="140"/>
      <c r="G445" s="141"/>
      <c r="H445" s="44"/>
      <c r="I445" s="94"/>
      <c r="J445" s="95"/>
      <c r="K445" s="44"/>
    </row>
    <row r="446" spans="1:11" s="117" customFormat="1">
      <c r="A446" s="95"/>
      <c r="B446" s="44"/>
      <c r="C446" s="43"/>
      <c r="D446" s="86"/>
      <c r="E446" s="140"/>
      <c r="F446" s="140"/>
      <c r="G446" s="141"/>
      <c r="H446" s="44"/>
      <c r="I446" s="94"/>
      <c r="J446" s="95"/>
      <c r="K446" s="44"/>
    </row>
    <row r="447" spans="1:11" s="117" customFormat="1">
      <c r="A447" s="95"/>
      <c r="B447" s="44"/>
      <c r="C447" s="43"/>
      <c r="D447" s="86"/>
      <c r="E447" s="140"/>
      <c r="F447" s="140"/>
      <c r="G447" s="141"/>
      <c r="H447" s="44"/>
      <c r="I447" s="94"/>
      <c r="J447" s="95"/>
      <c r="K447" s="44"/>
    </row>
    <row r="448" spans="1:11" s="117" customFormat="1">
      <c r="A448" s="95"/>
      <c r="B448" s="44"/>
      <c r="C448" s="43"/>
      <c r="D448" s="86"/>
      <c r="E448" s="140"/>
      <c r="F448" s="140"/>
      <c r="G448" s="141"/>
      <c r="H448" s="44"/>
      <c r="I448" s="94"/>
      <c r="J448" s="95"/>
      <c r="K448" s="44"/>
    </row>
    <row r="449" spans="1:11" s="117" customFormat="1">
      <c r="A449" s="95"/>
      <c r="B449" s="44"/>
      <c r="C449" s="43"/>
      <c r="D449" s="86"/>
      <c r="E449" s="140"/>
      <c r="F449" s="140"/>
      <c r="G449" s="141"/>
      <c r="H449" s="44"/>
      <c r="I449" s="94"/>
      <c r="J449" s="95"/>
      <c r="K449" s="44"/>
    </row>
    <row r="450" spans="1:11" s="117" customFormat="1">
      <c r="A450" s="95"/>
      <c r="B450" s="44"/>
      <c r="C450" s="43"/>
      <c r="D450" s="86"/>
      <c r="E450" s="142"/>
      <c r="F450" s="142"/>
      <c r="G450" s="141"/>
      <c r="H450" s="44"/>
      <c r="I450" s="94"/>
      <c r="J450" s="95"/>
      <c r="K450" s="175"/>
    </row>
    <row r="451" spans="1:11" s="117" customFormat="1">
      <c r="A451" s="95"/>
      <c r="B451" s="44"/>
      <c r="C451" s="43"/>
      <c r="D451" s="86"/>
      <c r="E451" s="142"/>
      <c r="F451" s="142"/>
      <c r="G451" s="141"/>
      <c r="H451" s="44"/>
      <c r="I451" s="94"/>
      <c r="J451" s="95"/>
      <c r="K451" s="175"/>
    </row>
    <row r="452" spans="1:11" s="117" customFormat="1">
      <c r="A452" s="95"/>
      <c r="B452" s="44"/>
      <c r="C452" s="43"/>
      <c r="D452" s="86"/>
      <c r="E452" s="142"/>
      <c r="F452" s="142"/>
      <c r="G452" s="141"/>
      <c r="H452" s="44"/>
      <c r="I452" s="94"/>
      <c r="J452" s="95"/>
      <c r="K452" s="44"/>
    </row>
    <row r="453" spans="1:11" s="117" customFormat="1">
      <c r="A453" s="95"/>
      <c r="B453" s="44"/>
      <c r="C453" s="43"/>
      <c r="D453" s="86"/>
      <c r="E453" s="140"/>
      <c r="F453" s="140"/>
      <c r="G453" s="141"/>
      <c r="H453" s="44"/>
      <c r="I453" s="94"/>
      <c r="J453" s="95"/>
      <c r="K453" s="44"/>
    </row>
    <row r="454" spans="1:11" s="95" customFormat="1">
      <c r="C454" s="94"/>
      <c r="D454" s="86"/>
      <c r="G454" s="203"/>
      <c r="I454" s="94"/>
    </row>
    <row r="455" spans="1:11" s="95" customFormat="1">
      <c r="C455" s="94"/>
      <c r="D455" s="86"/>
      <c r="G455" s="100"/>
      <c r="I455" s="94"/>
    </row>
    <row r="456" spans="1:11" s="117" customFormat="1">
      <c r="A456" s="95"/>
      <c r="B456" s="44"/>
      <c r="C456" s="43"/>
      <c r="D456" s="86"/>
      <c r="E456" s="95"/>
      <c r="F456" s="95"/>
      <c r="G456" s="192"/>
      <c r="H456" s="44"/>
      <c r="I456" s="126"/>
      <c r="J456" s="95"/>
      <c r="K456" s="95"/>
    </row>
    <row r="457" spans="1:11" s="117" customFormat="1">
      <c r="A457" s="95"/>
      <c r="B457" s="44"/>
      <c r="C457" s="43"/>
      <c r="D457" s="86"/>
      <c r="E457" s="95"/>
      <c r="F457" s="95"/>
      <c r="G457" s="192"/>
      <c r="H457" s="44"/>
      <c r="I457" s="126"/>
      <c r="J457" s="95"/>
      <c r="K457" s="95"/>
    </row>
    <row r="458" spans="1:11" s="117" customFormat="1">
      <c r="A458" s="95"/>
      <c r="B458" s="44"/>
      <c r="C458" s="43"/>
      <c r="D458" s="86"/>
      <c r="E458" s="95"/>
      <c r="F458" s="95"/>
      <c r="G458" s="192"/>
      <c r="H458" s="44"/>
      <c r="I458" s="126"/>
      <c r="J458" s="95"/>
      <c r="K458" s="95"/>
    </row>
    <row r="459" spans="1:11" s="117" customFormat="1">
      <c r="A459" s="95"/>
      <c r="B459" s="44"/>
      <c r="C459" s="43"/>
      <c r="D459" s="86"/>
      <c r="E459" s="95"/>
      <c r="F459" s="95"/>
      <c r="G459" s="192"/>
      <c r="H459" s="44"/>
      <c r="I459" s="126"/>
      <c r="J459" s="95"/>
      <c r="K459" s="95"/>
    </row>
    <row r="460" spans="1:11" s="117" customFormat="1">
      <c r="A460" s="95"/>
      <c r="B460" s="44"/>
      <c r="C460" s="43"/>
      <c r="D460" s="86"/>
      <c r="E460" s="95"/>
      <c r="F460" s="95"/>
      <c r="G460" s="192"/>
      <c r="H460" s="44"/>
      <c r="I460" s="126"/>
      <c r="J460" s="95"/>
      <c r="K460" s="95"/>
    </row>
    <row r="461" spans="1:11" s="117" customFormat="1">
      <c r="A461" s="95"/>
      <c r="B461" s="44"/>
      <c r="C461" s="43"/>
      <c r="D461" s="86"/>
      <c r="E461" s="95"/>
      <c r="F461" s="95"/>
      <c r="G461" s="192"/>
      <c r="H461" s="44"/>
      <c r="I461" s="126"/>
      <c r="J461" s="95"/>
      <c r="K461" s="95"/>
    </row>
    <row r="462" spans="1:11" s="117" customFormat="1">
      <c r="A462" s="95"/>
      <c r="B462" s="44"/>
      <c r="C462" s="43"/>
      <c r="D462" s="86"/>
      <c r="E462" s="95"/>
      <c r="F462" s="95"/>
      <c r="G462" s="192"/>
      <c r="H462" s="44"/>
      <c r="I462" s="126"/>
      <c r="J462" s="95"/>
      <c r="K462" s="95"/>
    </row>
    <row r="463" spans="1:11" s="117" customFormat="1">
      <c r="A463" s="95"/>
      <c r="B463" s="44"/>
      <c r="C463" s="43"/>
      <c r="D463" s="86"/>
      <c r="E463" s="95"/>
      <c r="F463" s="95"/>
      <c r="G463" s="192"/>
      <c r="H463" s="44"/>
      <c r="I463" s="126"/>
      <c r="J463" s="95"/>
      <c r="K463" s="95"/>
    </row>
    <row r="464" spans="1:11" s="117" customFormat="1">
      <c r="A464" s="95"/>
      <c r="B464" s="44"/>
      <c r="C464" s="43"/>
      <c r="D464" s="86"/>
      <c r="E464" s="95"/>
      <c r="F464" s="95"/>
      <c r="G464" s="192"/>
      <c r="H464" s="44"/>
      <c r="I464" s="126"/>
      <c r="J464" s="95"/>
      <c r="K464" s="95"/>
    </row>
    <row r="465" spans="1:11" s="117" customFormat="1">
      <c r="A465" s="95"/>
      <c r="B465" s="44"/>
      <c r="C465" s="43"/>
      <c r="D465" s="86"/>
      <c r="E465" s="95"/>
      <c r="F465" s="95"/>
      <c r="G465" s="192"/>
      <c r="H465" s="44"/>
      <c r="I465" s="126"/>
      <c r="J465" s="95"/>
      <c r="K465" s="95"/>
    </row>
    <row r="466" spans="1:11" s="117" customFormat="1">
      <c r="A466" s="95"/>
      <c r="B466" s="44"/>
      <c r="C466" s="43"/>
      <c r="D466" s="86"/>
      <c r="E466" s="95"/>
      <c r="F466" s="95"/>
      <c r="G466" s="192"/>
      <c r="H466" s="44"/>
      <c r="I466" s="126"/>
      <c r="J466" s="95"/>
      <c r="K466" s="95"/>
    </row>
    <row r="467" spans="1:11" s="117" customFormat="1">
      <c r="A467" s="95"/>
      <c r="B467" s="44"/>
      <c r="C467" s="43"/>
      <c r="D467" s="86"/>
      <c r="E467" s="95"/>
      <c r="F467" s="95"/>
      <c r="G467" s="192"/>
      <c r="H467" s="44"/>
      <c r="I467" s="126"/>
      <c r="J467" s="95"/>
      <c r="K467" s="95"/>
    </row>
    <row r="468" spans="1:11" s="117" customFormat="1">
      <c r="A468" s="95"/>
      <c r="B468" s="44"/>
      <c r="C468" s="43"/>
      <c r="D468" s="86"/>
      <c r="E468" s="95"/>
      <c r="F468" s="95"/>
      <c r="G468" s="192"/>
      <c r="H468" s="44"/>
      <c r="I468" s="126"/>
      <c r="J468" s="95"/>
      <c r="K468" s="95"/>
    </row>
    <row r="469" spans="1:11" s="117" customFormat="1">
      <c r="A469" s="95"/>
      <c r="B469" s="44"/>
      <c r="C469" s="43"/>
      <c r="D469" s="86"/>
      <c r="E469" s="95"/>
      <c r="F469" s="95"/>
      <c r="G469" s="192"/>
      <c r="H469" s="44"/>
      <c r="I469" s="126"/>
      <c r="J469" s="95"/>
      <c r="K469" s="95"/>
    </row>
    <row r="470" spans="1:11" s="117" customFormat="1">
      <c r="A470" s="95"/>
      <c r="B470" s="44"/>
      <c r="C470" s="43"/>
      <c r="D470" s="86"/>
      <c r="E470" s="95"/>
      <c r="F470" s="95"/>
      <c r="G470" s="192"/>
      <c r="H470" s="44"/>
      <c r="I470" s="126"/>
      <c r="J470" s="95"/>
      <c r="K470" s="95"/>
    </row>
    <row r="471" spans="1:11">
      <c r="A471" s="95"/>
      <c r="B471" s="44"/>
      <c r="C471" s="43"/>
      <c r="D471" s="86"/>
      <c r="E471" s="95"/>
      <c r="F471" s="95"/>
      <c r="G471" s="192"/>
      <c r="I471" s="126"/>
      <c r="J471" s="95"/>
      <c r="K471" s="95"/>
    </row>
    <row r="472" spans="1:11">
      <c r="A472" s="95"/>
      <c r="B472" s="44"/>
      <c r="C472" s="43"/>
      <c r="D472" s="86"/>
      <c r="E472" s="95"/>
      <c r="F472" s="95"/>
      <c r="G472" s="192"/>
      <c r="I472" s="126"/>
      <c r="J472" s="95"/>
      <c r="K472" s="95"/>
    </row>
    <row r="473" spans="1:11">
      <c r="A473" s="95"/>
      <c r="B473" s="44"/>
      <c r="C473" s="43"/>
      <c r="D473" s="86"/>
      <c r="E473" s="95"/>
      <c r="F473" s="95"/>
      <c r="G473" s="192"/>
      <c r="I473" s="126"/>
      <c r="J473" s="95"/>
      <c r="K473" s="95"/>
    </row>
    <row r="474" spans="1:11">
      <c r="A474" s="95"/>
      <c r="B474" s="44"/>
      <c r="C474" s="43"/>
      <c r="D474" s="86"/>
      <c r="E474" s="95"/>
      <c r="F474" s="95"/>
      <c r="G474" s="192"/>
      <c r="I474" s="126"/>
      <c r="J474" s="95"/>
      <c r="K474" s="95"/>
    </row>
    <row r="475" spans="1:11">
      <c r="A475" s="95"/>
      <c r="B475" s="44"/>
      <c r="C475" s="43"/>
      <c r="D475" s="86"/>
      <c r="E475" s="95"/>
      <c r="F475" s="95"/>
      <c r="G475" s="192"/>
      <c r="I475" s="126"/>
      <c r="J475" s="95"/>
      <c r="K475" s="95"/>
    </row>
    <row r="476" spans="1:11">
      <c r="A476" s="95"/>
      <c r="B476" s="44"/>
      <c r="C476" s="43"/>
      <c r="D476" s="86"/>
      <c r="E476" s="95"/>
      <c r="F476" s="95"/>
      <c r="G476" s="192"/>
      <c r="I476" s="126"/>
      <c r="J476" s="95"/>
      <c r="K476" s="95"/>
    </row>
    <row r="477" spans="1:11">
      <c r="A477" s="95"/>
      <c r="B477" s="44"/>
      <c r="C477" s="43"/>
      <c r="D477" s="86"/>
      <c r="E477" s="95"/>
      <c r="F477" s="95"/>
      <c r="G477" s="192"/>
      <c r="I477" s="126"/>
      <c r="J477" s="95"/>
      <c r="K477" s="95"/>
    </row>
    <row r="478" spans="1:11">
      <c r="A478" s="95"/>
      <c r="B478" s="44"/>
      <c r="C478" s="43"/>
      <c r="D478" s="86"/>
      <c r="E478" s="95"/>
      <c r="F478" s="95"/>
      <c r="G478" s="192"/>
      <c r="I478" s="126"/>
      <c r="J478" s="95"/>
      <c r="K478" s="95"/>
    </row>
    <row r="479" spans="1:11">
      <c r="A479" s="95"/>
      <c r="B479" s="44"/>
      <c r="C479" s="43"/>
      <c r="D479" s="86"/>
      <c r="E479" s="95"/>
      <c r="F479" s="95"/>
      <c r="G479" s="192"/>
      <c r="I479" s="126"/>
      <c r="J479" s="95"/>
      <c r="K479" s="95"/>
    </row>
    <row r="480" spans="1:11">
      <c r="A480" s="95"/>
      <c r="B480" s="44"/>
      <c r="C480" s="43"/>
      <c r="D480" s="86"/>
      <c r="E480" s="95"/>
      <c r="F480" s="95"/>
      <c r="G480" s="192"/>
      <c r="I480" s="126"/>
      <c r="J480" s="95"/>
      <c r="K480" s="95"/>
    </row>
    <row r="481" spans="1:18" s="117" customFormat="1">
      <c r="A481" s="95"/>
      <c r="B481" s="175"/>
      <c r="C481" s="86"/>
      <c r="D481" s="59"/>
      <c r="E481" s="44"/>
      <c r="F481" s="44"/>
      <c r="G481" s="100"/>
      <c r="H481" s="175"/>
      <c r="I481" s="94"/>
      <c r="J481" s="95"/>
      <c r="K481" s="95"/>
      <c r="L481" s="175"/>
      <c r="M481" s="175"/>
      <c r="N481" s="175"/>
      <c r="O481" s="175"/>
      <c r="P481" s="175"/>
      <c r="Q481" s="175"/>
      <c r="R481" s="175"/>
    </row>
    <row r="482" spans="1:18" s="117" customFormat="1">
      <c r="A482" s="95"/>
      <c r="B482" s="175"/>
      <c r="C482" s="43"/>
      <c r="D482" s="59"/>
      <c r="E482" s="95"/>
      <c r="F482" s="95"/>
      <c r="G482" s="100"/>
      <c r="H482" s="95"/>
      <c r="I482" s="94"/>
      <c r="J482" s="95"/>
      <c r="K482" s="95"/>
      <c r="L482" s="95"/>
      <c r="M482" s="95"/>
      <c r="N482" s="95"/>
      <c r="O482" s="95"/>
      <c r="P482" s="95"/>
      <c r="Q482" s="95"/>
      <c r="R482" s="95"/>
    </row>
    <row r="483" spans="1:18" s="95" customFormat="1">
      <c r="B483" s="44"/>
      <c r="C483" s="43"/>
      <c r="D483" s="59"/>
      <c r="E483" s="44"/>
      <c r="F483" s="44"/>
      <c r="G483" s="100"/>
      <c r="H483" s="44"/>
      <c r="I483" s="94"/>
      <c r="L483" s="175"/>
      <c r="M483" s="175"/>
      <c r="N483" s="175"/>
      <c r="O483" s="175"/>
      <c r="P483" s="175"/>
      <c r="Q483" s="175"/>
      <c r="R483" s="175"/>
    </row>
    <row r="484" spans="1:18" s="95" customFormat="1">
      <c r="B484" s="44"/>
      <c r="C484" s="43"/>
      <c r="D484" s="59"/>
      <c r="E484" s="44"/>
      <c r="F484" s="140"/>
      <c r="G484" s="100"/>
      <c r="H484" s="44"/>
      <c r="I484" s="94"/>
    </row>
    <row r="485" spans="1:18" s="95" customFormat="1">
      <c r="B485" s="44"/>
      <c r="C485" s="43"/>
      <c r="D485" s="59"/>
      <c r="E485" s="44"/>
      <c r="F485" s="140"/>
      <c r="G485" s="100"/>
      <c r="H485" s="44"/>
      <c r="I485" s="94"/>
      <c r="L485" s="175"/>
      <c r="M485" s="175"/>
      <c r="N485" s="175"/>
      <c r="O485" s="175"/>
      <c r="P485" s="175"/>
      <c r="Q485" s="175"/>
      <c r="R485" s="175"/>
    </row>
    <row r="486" spans="1:18">
      <c r="A486" s="95"/>
      <c r="B486" s="44"/>
      <c r="C486" s="43"/>
      <c r="D486" s="59"/>
      <c r="E486" s="44"/>
      <c r="F486" s="140"/>
      <c r="G486" s="100"/>
      <c r="H486" s="44"/>
      <c r="I486" s="94"/>
      <c r="J486" s="95"/>
      <c r="K486" s="95"/>
      <c r="L486" s="95"/>
      <c r="M486" s="95"/>
      <c r="N486" s="95"/>
      <c r="O486" s="95"/>
      <c r="P486" s="95"/>
      <c r="Q486" s="95"/>
      <c r="R486" s="95"/>
    </row>
    <row r="487" spans="1:18">
      <c r="A487" s="95"/>
      <c r="B487" s="44"/>
      <c r="C487" s="43"/>
      <c r="D487" s="59"/>
      <c r="E487" s="44"/>
      <c r="F487" s="140"/>
      <c r="G487" s="100"/>
      <c r="H487" s="44"/>
      <c r="I487" s="94"/>
      <c r="J487" s="95"/>
      <c r="K487" s="95"/>
    </row>
    <row r="488" spans="1:18">
      <c r="A488" s="95"/>
      <c r="B488" s="44"/>
      <c r="C488" s="43"/>
      <c r="D488" s="59"/>
      <c r="E488" s="44"/>
      <c r="F488" s="140"/>
      <c r="G488" s="100"/>
      <c r="H488" s="44"/>
      <c r="I488" s="94"/>
      <c r="J488" s="95"/>
      <c r="K488" s="95"/>
    </row>
    <row r="489" spans="1:18" s="44" customFormat="1">
      <c r="A489" s="95"/>
      <c r="C489" s="43"/>
      <c r="D489" s="59"/>
      <c r="F489" s="140"/>
      <c r="G489" s="100"/>
      <c r="I489" s="94"/>
      <c r="J489" s="95"/>
      <c r="K489" s="95"/>
      <c r="L489" s="175"/>
      <c r="M489" s="175"/>
      <c r="N489" s="175"/>
      <c r="O489" s="175"/>
      <c r="P489" s="175"/>
      <c r="Q489" s="175"/>
      <c r="R489" s="175"/>
    </row>
    <row r="490" spans="1:18">
      <c r="A490" s="95"/>
      <c r="C490" s="43"/>
      <c r="D490" s="43"/>
      <c r="E490" s="95"/>
      <c r="F490" s="95"/>
      <c r="G490" s="100"/>
      <c r="H490" s="95"/>
      <c r="I490" s="94"/>
      <c r="J490" s="95"/>
      <c r="K490" s="95"/>
    </row>
    <row r="491" spans="1:18">
      <c r="A491" s="95"/>
      <c r="C491" s="43"/>
      <c r="D491" s="59"/>
      <c r="E491" s="44"/>
      <c r="F491" s="140"/>
      <c r="G491" s="100"/>
      <c r="H491" s="44"/>
      <c r="I491" s="94"/>
      <c r="J491" s="95"/>
      <c r="K491" s="95"/>
    </row>
    <row r="492" spans="1:18">
      <c r="A492" s="95"/>
      <c r="C492" s="43"/>
      <c r="D492" s="59"/>
      <c r="E492" s="44"/>
      <c r="F492" s="140"/>
      <c r="G492" s="100"/>
      <c r="H492" s="44"/>
      <c r="I492" s="94"/>
      <c r="J492" s="95"/>
      <c r="K492" s="95"/>
      <c r="L492" s="44"/>
      <c r="M492" s="44"/>
      <c r="N492" s="44"/>
      <c r="O492" s="44"/>
      <c r="P492" s="44"/>
      <c r="Q492" s="44"/>
      <c r="R492" s="44"/>
    </row>
    <row r="493" spans="1:18">
      <c r="A493" s="95"/>
      <c r="C493" s="43"/>
      <c r="D493" s="59"/>
      <c r="E493" s="44"/>
      <c r="F493" s="140"/>
      <c r="G493" s="100"/>
      <c r="H493" s="44"/>
      <c r="I493" s="94"/>
      <c r="J493" s="95"/>
      <c r="K493" s="44"/>
      <c r="L493" s="44"/>
      <c r="M493" s="44"/>
      <c r="N493" s="44"/>
      <c r="O493" s="44"/>
      <c r="P493" s="44"/>
      <c r="Q493" s="44"/>
      <c r="R493" s="44"/>
    </row>
    <row r="494" spans="1:18">
      <c r="A494" s="95"/>
      <c r="C494" s="43"/>
      <c r="D494" s="59"/>
      <c r="E494" s="44"/>
      <c r="F494" s="44"/>
      <c r="G494" s="100"/>
      <c r="H494" s="44"/>
      <c r="I494" s="94"/>
      <c r="J494" s="95"/>
      <c r="K494" s="44"/>
    </row>
    <row r="495" spans="1:18">
      <c r="A495" s="95"/>
      <c r="C495" s="43"/>
      <c r="D495" s="59"/>
      <c r="E495" s="44"/>
      <c r="F495" s="140"/>
      <c r="G495" s="100"/>
      <c r="H495" s="44"/>
      <c r="I495" s="94"/>
      <c r="J495" s="95"/>
      <c r="K495" s="44"/>
    </row>
    <row r="496" spans="1:18">
      <c r="A496" s="95"/>
      <c r="C496" s="43"/>
      <c r="D496" s="59"/>
      <c r="E496" s="44"/>
      <c r="F496" s="140"/>
      <c r="G496" s="141"/>
      <c r="H496" s="44"/>
      <c r="I496" s="94"/>
      <c r="J496" s="95"/>
      <c r="K496" s="44"/>
      <c r="L496" s="117"/>
      <c r="M496" s="117"/>
      <c r="N496" s="117"/>
      <c r="O496" s="117"/>
      <c r="P496" s="117"/>
      <c r="Q496" s="117"/>
      <c r="R496" s="117"/>
    </row>
    <row r="497" spans="1:18">
      <c r="A497" s="95"/>
      <c r="C497" s="43"/>
      <c r="D497" s="59"/>
      <c r="E497" s="44"/>
      <c r="F497" s="44"/>
      <c r="G497" s="100"/>
      <c r="H497" s="44"/>
      <c r="I497" s="94"/>
      <c r="J497" s="95"/>
      <c r="K497" s="44"/>
    </row>
    <row r="498" spans="1:18">
      <c r="A498" s="95"/>
      <c r="C498" s="43"/>
      <c r="D498" s="59"/>
      <c r="E498" s="44"/>
      <c r="F498" s="140"/>
      <c r="G498" s="141"/>
      <c r="H498" s="44"/>
      <c r="I498" s="94"/>
      <c r="J498" s="95"/>
      <c r="K498" s="44"/>
      <c r="L498" s="44"/>
      <c r="M498" s="44"/>
      <c r="N498" s="44"/>
      <c r="O498" s="44"/>
      <c r="P498" s="44"/>
      <c r="Q498" s="44"/>
      <c r="R498" s="44"/>
    </row>
    <row r="499" spans="1:18">
      <c r="A499" s="95"/>
      <c r="B499" s="44"/>
      <c r="C499" s="86"/>
      <c r="D499" s="59"/>
      <c r="E499" s="44"/>
      <c r="G499" s="125"/>
      <c r="I499" s="94"/>
      <c r="J499" s="95"/>
      <c r="L499" s="44"/>
      <c r="M499" s="44"/>
      <c r="N499" s="44"/>
      <c r="O499" s="44"/>
      <c r="P499" s="44"/>
      <c r="Q499" s="44"/>
      <c r="R499" s="44"/>
    </row>
    <row r="500" spans="1:18" s="44" customFormat="1">
      <c r="A500" s="95"/>
      <c r="C500" s="86"/>
      <c r="D500" s="59"/>
      <c r="F500" s="175"/>
      <c r="G500" s="125"/>
      <c r="H500" s="175"/>
      <c r="I500" s="94"/>
      <c r="J500" s="95"/>
      <c r="K500" s="175"/>
      <c r="L500" s="175"/>
      <c r="M500" s="175"/>
      <c r="N500" s="175"/>
      <c r="O500" s="175"/>
      <c r="P500" s="175"/>
      <c r="Q500" s="175"/>
      <c r="R500" s="175"/>
    </row>
    <row r="501" spans="1:18" s="44" customFormat="1">
      <c r="A501" s="95"/>
      <c r="C501" s="86"/>
      <c r="D501" s="59"/>
      <c r="F501" s="175"/>
      <c r="G501" s="125"/>
      <c r="H501" s="175"/>
      <c r="I501" s="94"/>
      <c r="J501" s="95"/>
      <c r="K501" s="175"/>
      <c r="L501" s="175"/>
      <c r="M501" s="175"/>
      <c r="N501" s="175"/>
      <c r="O501" s="175"/>
      <c r="P501" s="175"/>
      <c r="Q501" s="175"/>
      <c r="R501" s="175"/>
    </row>
    <row r="502" spans="1:18" s="44" customFormat="1">
      <c r="A502" s="95"/>
      <c r="C502" s="86"/>
      <c r="D502" s="59"/>
      <c r="F502" s="175"/>
      <c r="G502" s="125"/>
      <c r="H502" s="175"/>
      <c r="I502" s="94"/>
      <c r="J502" s="95"/>
      <c r="K502" s="175"/>
      <c r="L502" s="175"/>
      <c r="M502" s="175"/>
      <c r="N502" s="175"/>
      <c r="O502" s="175"/>
      <c r="P502" s="175"/>
      <c r="Q502" s="175"/>
      <c r="R502" s="175"/>
    </row>
    <row r="503" spans="1:18">
      <c r="A503" s="95"/>
      <c r="C503" s="43"/>
      <c r="D503" s="59"/>
      <c r="E503" s="44"/>
      <c r="F503" s="140"/>
      <c r="G503" s="100"/>
      <c r="H503" s="44"/>
      <c r="I503" s="94"/>
      <c r="J503" s="95"/>
      <c r="K503" s="95"/>
      <c r="L503" s="95"/>
      <c r="M503" s="95"/>
      <c r="N503" s="95"/>
      <c r="O503" s="95"/>
      <c r="P503" s="95"/>
      <c r="Q503" s="95"/>
      <c r="R503" s="95"/>
    </row>
    <row r="504" spans="1:18">
      <c r="A504" s="95"/>
      <c r="C504" s="43"/>
      <c r="D504" s="59"/>
      <c r="E504" s="44"/>
      <c r="F504" s="140"/>
      <c r="G504" s="100"/>
      <c r="H504" s="44"/>
      <c r="I504" s="94"/>
      <c r="J504" s="95"/>
      <c r="K504" s="95"/>
    </row>
    <row r="505" spans="1:18">
      <c r="A505" s="95"/>
      <c r="B505" s="44"/>
      <c r="C505" s="43"/>
      <c r="D505" s="59"/>
      <c r="E505" s="44"/>
      <c r="F505" s="44"/>
      <c r="G505" s="100"/>
      <c r="H505" s="44"/>
      <c r="I505" s="94"/>
      <c r="J505" s="95"/>
      <c r="K505" s="95"/>
    </row>
    <row r="506" spans="1:18">
      <c r="A506" s="95"/>
      <c r="B506" s="44"/>
      <c r="C506" s="43"/>
      <c r="D506" s="59"/>
      <c r="E506" s="44"/>
      <c r="F506" s="44"/>
      <c r="G506" s="100"/>
      <c r="H506" s="44"/>
      <c r="I506" s="94"/>
      <c r="J506" s="95"/>
      <c r="K506" s="95"/>
    </row>
    <row r="507" spans="1:18">
      <c r="A507" s="95"/>
      <c r="C507" s="43"/>
      <c r="D507" s="59"/>
      <c r="E507" s="44"/>
      <c r="F507" s="140"/>
      <c r="G507" s="100"/>
      <c r="H507" s="44"/>
      <c r="I507" s="94"/>
      <c r="J507" s="95"/>
      <c r="K507" s="95"/>
    </row>
    <row r="508" spans="1:18">
      <c r="A508" s="95"/>
      <c r="C508" s="43"/>
      <c r="D508" s="59"/>
      <c r="E508" s="44"/>
      <c r="F508" s="140"/>
      <c r="G508" s="100"/>
      <c r="H508" s="44"/>
      <c r="I508" s="94"/>
      <c r="J508" s="95"/>
      <c r="K508" s="95"/>
    </row>
    <row r="509" spans="1:18">
      <c r="A509" s="95"/>
      <c r="B509" s="44"/>
      <c r="C509" s="43"/>
      <c r="D509" s="59"/>
      <c r="E509" s="44"/>
      <c r="F509" s="140"/>
      <c r="G509" s="100"/>
      <c r="H509" s="44"/>
      <c r="I509" s="94"/>
      <c r="J509" s="95"/>
      <c r="K509" s="95"/>
    </row>
    <row r="510" spans="1:18">
      <c r="A510" s="95"/>
      <c r="B510" s="44"/>
      <c r="C510" s="43"/>
      <c r="D510" s="59"/>
      <c r="E510" s="44"/>
      <c r="F510" s="140"/>
      <c r="G510" s="100"/>
      <c r="H510" s="44"/>
      <c r="I510" s="94"/>
      <c r="J510" s="95"/>
      <c r="K510" s="95"/>
    </row>
    <row r="511" spans="1:18">
      <c r="A511" s="95"/>
      <c r="B511" s="44"/>
      <c r="C511" s="43"/>
      <c r="D511" s="59"/>
      <c r="E511" s="44"/>
      <c r="F511" s="140"/>
      <c r="G511" s="100"/>
      <c r="H511" s="44"/>
      <c r="I511" s="94"/>
      <c r="J511" s="95"/>
      <c r="K511" s="95"/>
    </row>
    <row r="512" spans="1:18">
      <c r="A512" s="95"/>
      <c r="B512" s="44"/>
      <c r="C512" s="43"/>
      <c r="D512" s="59"/>
      <c r="E512" s="44"/>
      <c r="F512" s="140"/>
      <c r="G512" s="100"/>
      <c r="H512" s="44"/>
      <c r="I512" s="94"/>
      <c r="J512" s="95"/>
      <c r="K512" s="95"/>
    </row>
    <row r="513" spans="1:11">
      <c r="A513" s="95"/>
      <c r="B513" s="44"/>
      <c r="C513" s="43"/>
      <c r="D513" s="59"/>
      <c r="E513" s="44"/>
      <c r="F513" s="140"/>
      <c r="G513" s="100"/>
      <c r="H513" s="44"/>
      <c r="I513" s="94"/>
      <c r="J513" s="95"/>
      <c r="K513" s="95"/>
    </row>
    <row r="514" spans="1:11">
      <c r="A514" s="95"/>
      <c r="B514" s="44"/>
      <c r="C514" s="43"/>
      <c r="D514" s="59"/>
      <c r="E514" s="44"/>
      <c r="F514" s="140"/>
      <c r="G514" s="100"/>
      <c r="H514" s="44"/>
      <c r="I514" s="94"/>
      <c r="J514" s="95"/>
      <c r="K514" s="95"/>
    </row>
    <row r="515" spans="1:11">
      <c r="A515" s="95"/>
      <c r="B515" s="44"/>
      <c r="C515" s="43"/>
      <c r="D515" s="59"/>
      <c r="E515" s="44"/>
      <c r="F515" s="140"/>
      <c r="G515" s="100"/>
      <c r="H515" s="44"/>
      <c r="I515" s="94"/>
      <c r="J515" s="95"/>
      <c r="K515" s="95"/>
    </row>
    <row r="516" spans="1:11">
      <c r="A516" s="95"/>
      <c r="B516" s="44"/>
      <c r="C516" s="43"/>
      <c r="D516" s="59"/>
      <c r="E516" s="44"/>
      <c r="F516" s="140"/>
      <c r="G516" s="100"/>
      <c r="H516" s="44"/>
      <c r="I516" s="94"/>
      <c r="J516" s="95"/>
      <c r="K516" s="95"/>
    </row>
    <row r="517" spans="1:11">
      <c r="A517" s="95"/>
      <c r="B517" s="44"/>
      <c r="C517" s="43"/>
      <c r="D517" s="59"/>
      <c r="E517" s="44"/>
      <c r="F517" s="140"/>
      <c r="G517" s="100"/>
      <c r="H517" s="44"/>
      <c r="I517" s="94"/>
      <c r="J517" s="95"/>
      <c r="K517" s="95"/>
    </row>
    <row r="518" spans="1:11">
      <c r="A518" s="95"/>
      <c r="B518" s="44"/>
      <c r="C518" s="43"/>
      <c r="D518" s="59"/>
      <c r="E518" s="44"/>
      <c r="F518" s="140"/>
      <c r="G518" s="100"/>
      <c r="H518" s="44"/>
      <c r="I518" s="94"/>
      <c r="J518" s="95"/>
      <c r="K518" s="95"/>
    </row>
    <row r="519" spans="1:11">
      <c r="A519" s="95"/>
      <c r="B519" s="44"/>
      <c r="C519" s="43"/>
      <c r="D519" s="59"/>
      <c r="E519" s="44"/>
      <c r="F519" s="44"/>
      <c r="G519" s="141"/>
      <c r="H519" s="44"/>
      <c r="I519" s="94"/>
      <c r="J519" s="95"/>
      <c r="K519" s="44"/>
    </row>
    <row r="520" spans="1:11">
      <c r="A520" s="95"/>
      <c r="B520" s="44"/>
      <c r="C520" s="43"/>
      <c r="D520" s="59"/>
      <c r="E520" s="44"/>
      <c r="F520" s="44"/>
      <c r="G520" s="100"/>
      <c r="H520" s="44"/>
      <c r="I520" s="94"/>
      <c r="J520" s="95"/>
      <c r="K520" s="95"/>
    </row>
    <row r="521" spans="1:11">
      <c r="A521" s="95"/>
      <c r="B521" s="44"/>
      <c r="C521" s="43"/>
      <c r="D521" s="59"/>
      <c r="E521" s="44"/>
      <c r="F521" s="44"/>
      <c r="G521" s="100"/>
      <c r="H521" s="44"/>
      <c r="I521" s="94"/>
      <c r="J521" s="95"/>
      <c r="K521" s="95"/>
    </row>
    <row r="522" spans="1:11">
      <c r="A522" s="95"/>
      <c r="B522" s="44"/>
      <c r="C522" s="43"/>
      <c r="D522" s="59"/>
      <c r="E522" s="44"/>
      <c r="F522" s="44"/>
      <c r="G522" s="100"/>
      <c r="H522" s="44"/>
      <c r="I522" s="94"/>
      <c r="J522" s="95"/>
      <c r="K522" s="95"/>
    </row>
    <row r="523" spans="1:11">
      <c r="A523" s="95"/>
      <c r="B523" s="44"/>
      <c r="C523" s="94"/>
      <c r="D523" s="59"/>
      <c r="E523" s="95"/>
      <c r="F523" s="95"/>
      <c r="G523" s="100"/>
      <c r="H523" s="95"/>
      <c r="I523" s="94"/>
      <c r="J523" s="95"/>
      <c r="K523" s="95"/>
    </row>
    <row r="524" spans="1:11">
      <c r="A524" s="95"/>
      <c r="B524" s="95"/>
      <c r="C524" s="43"/>
      <c r="D524" s="43"/>
      <c r="E524" s="95"/>
      <c r="F524" s="95"/>
      <c r="G524" s="100"/>
      <c r="H524" s="95"/>
      <c r="I524" s="94"/>
      <c r="J524" s="95"/>
      <c r="K524" s="95"/>
    </row>
    <row r="525" spans="1:11">
      <c r="A525" s="95"/>
      <c r="C525" s="43"/>
      <c r="D525" s="59"/>
      <c r="E525" s="44"/>
      <c r="F525" s="44"/>
      <c r="G525" s="100"/>
      <c r="H525" s="44"/>
      <c r="I525" s="94"/>
      <c r="J525" s="95"/>
      <c r="K525" s="95"/>
    </row>
    <row r="526" spans="1:11">
      <c r="A526" s="95"/>
      <c r="B526" s="44"/>
      <c r="C526" s="43"/>
      <c r="D526" s="59"/>
      <c r="E526" s="44"/>
      <c r="F526" s="140"/>
      <c r="G526" s="100"/>
      <c r="H526" s="44"/>
      <c r="I526" s="94"/>
      <c r="J526" s="95"/>
      <c r="K526" s="95"/>
    </row>
    <row r="527" spans="1:11">
      <c r="A527" s="95"/>
      <c r="B527" s="44"/>
      <c r="C527" s="43"/>
      <c r="D527" s="59"/>
      <c r="E527" s="44"/>
      <c r="F527" s="44"/>
      <c r="G527" s="100"/>
      <c r="H527" s="44"/>
      <c r="I527" s="94"/>
      <c r="J527" s="95"/>
      <c r="K527" s="95"/>
    </row>
    <row r="528" spans="1:11">
      <c r="A528" s="95"/>
      <c r="B528" s="44"/>
      <c r="C528" s="94"/>
      <c r="D528" s="59"/>
      <c r="E528" s="95"/>
      <c r="F528" s="140"/>
      <c r="G528" s="100"/>
      <c r="H528" s="95"/>
      <c r="I528" s="94"/>
      <c r="J528" s="95"/>
      <c r="K528" s="95"/>
    </row>
    <row r="529" spans="1:11">
      <c r="A529" s="95"/>
      <c r="C529" s="43"/>
      <c r="D529" s="59"/>
      <c r="E529" s="44"/>
      <c r="F529" s="140"/>
      <c r="G529" s="100"/>
      <c r="H529" s="44"/>
      <c r="I529" s="94"/>
      <c r="J529" s="95"/>
      <c r="K529" s="95"/>
    </row>
    <row r="530" spans="1:11">
      <c r="A530" s="95"/>
      <c r="C530" s="43"/>
      <c r="D530" s="59"/>
      <c r="E530" s="44"/>
      <c r="F530" s="140"/>
      <c r="G530" s="143"/>
      <c r="H530" s="44"/>
      <c r="I530" s="94"/>
      <c r="J530" s="95"/>
      <c r="K530" s="95"/>
    </row>
    <row r="531" spans="1:11">
      <c r="A531" s="95"/>
      <c r="C531" s="86"/>
      <c r="E531" s="142"/>
      <c r="F531" s="142"/>
      <c r="G531" s="143"/>
      <c r="I531" s="94"/>
      <c r="J531" s="95"/>
      <c r="K531" s="95"/>
    </row>
    <row r="532" spans="1:11">
      <c r="A532" s="95"/>
      <c r="C532" s="43"/>
      <c r="D532" s="42"/>
      <c r="E532" s="140"/>
      <c r="F532" s="140"/>
      <c r="G532" s="141"/>
      <c r="H532" s="44"/>
      <c r="I532" s="94"/>
      <c r="J532" s="95"/>
      <c r="K532" s="44"/>
    </row>
    <row r="533" spans="1:11">
      <c r="A533" s="95"/>
      <c r="C533" s="43"/>
      <c r="D533" s="42"/>
      <c r="G533" s="31"/>
      <c r="I533" s="94"/>
      <c r="K533" s="95"/>
    </row>
    <row r="534" spans="1:11">
      <c r="A534" s="95"/>
      <c r="C534" s="43"/>
      <c r="D534" s="42"/>
      <c r="G534" s="31"/>
      <c r="I534" s="94"/>
      <c r="K534" s="95"/>
    </row>
    <row r="535" spans="1:11">
      <c r="A535" s="95"/>
      <c r="C535" s="43"/>
      <c r="D535" s="42"/>
      <c r="G535" s="31"/>
      <c r="I535" s="94"/>
      <c r="K535" s="95"/>
    </row>
    <row r="536" spans="1:11">
      <c r="A536" s="95"/>
      <c r="C536" s="43"/>
      <c r="D536" s="42"/>
      <c r="G536" s="31"/>
      <c r="I536" s="94"/>
      <c r="K536" s="95"/>
    </row>
    <row r="537" spans="1:11">
      <c r="A537" s="95"/>
      <c r="C537" s="43"/>
      <c r="D537" s="42"/>
      <c r="G537" s="31"/>
      <c r="I537" s="94"/>
      <c r="K537" s="95"/>
    </row>
    <row r="538" spans="1:11">
      <c r="A538" s="95"/>
      <c r="C538" s="43"/>
      <c r="D538" s="42"/>
      <c r="G538" s="31"/>
      <c r="I538" s="94"/>
      <c r="K538" s="95"/>
    </row>
    <row r="539" spans="1:11">
      <c r="A539" s="95"/>
      <c r="C539" s="43"/>
      <c r="D539" s="42"/>
      <c r="G539" s="31"/>
      <c r="I539" s="94"/>
      <c r="K539" s="95"/>
    </row>
    <row r="540" spans="1:11">
      <c r="A540" s="95"/>
      <c r="C540" s="43"/>
      <c r="D540" s="42"/>
      <c r="G540" s="31"/>
      <c r="I540" s="94"/>
      <c r="K540" s="95"/>
    </row>
    <row r="541" spans="1:11">
      <c r="A541" s="95"/>
      <c r="C541" s="43"/>
      <c r="D541" s="42"/>
      <c r="G541" s="31"/>
      <c r="I541" s="94"/>
      <c r="K541" s="95"/>
    </row>
    <row r="542" spans="1:11">
      <c r="A542" s="95"/>
      <c r="C542" s="43"/>
      <c r="D542" s="42"/>
      <c r="G542" s="31"/>
      <c r="I542" s="94"/>
      <c r="K542" s="95"/>
    </row>
    <row r="543" spans="1:11">
      <c r="A543" s="95"/>
      <c r="C543" s="43"/>
      <c r="D543" s="42"/>
      <c r="G543" s="31"/>
      <c r="I543" s="94"/>
      <c r="K543" s="95"/>
    </row>
    <row r="544" spans="1:11">
      <c r="A544" s="95"/>
      <c r="C544" s="43"/>
      <c r="D544" s="42"/>
      <c r="G544" s="31"/>
      <c r="I544" s="94"/>
      <c r="K544" s="95"/>
    </row>
    <row r="545" spans="1:11">
      <c r="A545" s="95"/>
      <c r="C545" s="43"/>
      <c r="D545" s="42"/>
      <c r="G545" s="31"/>
      <c r="I545" s="94"/>
      <c r="K545" s="95"/>
    </row>
    <row r="546" spans="1:11">
      <c r="A546" s="95"/>
      <c r="C546" s="43"/>
      <c r="D546" s="42"/>
      <c r="G546" s="31"/>
      <c r="I546" s="94"/>
      <c r="K546" s="95"/>
    </row>
    <row r="547" spans="1:11">
      <c r="A547" s="95"/>
      <c r="C547" s="43"/>
      <c r="D547" s="42"/>
      <c r="G547" s="31"/>
      <c r="I547" s="94"/>
      <c r="K547" s="95"/>
    </row>
    <row r="548" spans="1:11">
      <c r="A548" s="95"/>
      <c r="C548" s="43"/>
      <c r="D548" s="42"/>
      <c r="G548" s="31"/>
      <c r="I548" s="94"/>
      <c r="K548" s="95"/>
    </row>
    <row r="549" spans="1:11">
      <c r="A549" s="95"/>
      <c r="C549" s="43"/>
      <c r="D549" s="42"/>
      <c r="G549" s="31"/>
      <c r="I549" s="94"/>
      <c r="K549" s="95"/>
    </row>
    <row r="550" spans="1:11">
      <c r="A550" s="95"/>
      <c r="C550" s="43"/>
      <c r="D550" s="42"/>
      <c r="G550" s="31"/>
      <c r="I550" s="94"/>
      <c r="K550" s="95"/>
    </row>
    <row r="551" spans="1:11">
      <c r="A551" s="95"/>
      <c r="C551" s="43"/>
      <c r="D551" s="42"/>
      <c r="G551" s="31"/>
      <c r="I551" s="94"/>
      <c r="K551" s="95"/>
    </row>
    <row r="552" spans="1:11">
      <c r="A552" s="95"/>
      <c r="C552" s="43"/>
      <c r="D552" s="42"/>
      <c r="G552" s="31"/>
      <c r="I552" s="94"/>
      <c r="K552" s="95"/>
    </row>
    <row r="553" spans="1:11">
      <c r="A553" s="95"/>
      <c r="C553" s="43"/>
      <c r="D553" s="42"/>
      <c r="G553" s="31"/>
      <c r="I553" s="94"/>
      <c r="K553" s="95"/>
    </row>
    <row r="554" spans="1:11">
      <c r="A554" s="95"/>
      <c r="C554" s="43"/>
      <c r="D554" s="42"/>
      <c r="G554" s="31"/>
      <c r="I554" s="94"/>
      <c r="K554" s="95"/>
    </row>
    <row r="555" spans="1:11">
      <c r="A555" s="95"/>
      <c r="C555" s="43"/>
      <c r="D555" s="42"/>
      <c r="G555" s="31"/>
      <c r="I555" s="94"/>
      <c r="K555" s="95"/>
    </row>
    <row r="556" spans="1:11">
      <c r="A556" s="95"/>
      <c r="C556" s="43"/>
      <c r="D556" s="42"/>
      <c r="G556" s="31"/>
      <c r="I556" s="94"/>
      <c r="K556" s="95"/>
    </row>
    <row r="557" spans="1:11">
      <c r="A557" s="95"/>
      <c r="C557" s="43"/>
      <c r="D557" s="42"/>
      <c r="G557" s="31"/>
      <c r="I557" s="94"/>
      <c r="K557" s="95"/>
    </row>
    <row r="558" spans="1:11">
      <c r="A558" s="95"/>
      <c r="C558" s="43"/>
      <c r="D558" s="42"/>
      <c r="G558" s="31"/>
      <c r="I558" s="94"/>
      <c r="K558" s="95"/>
    </row>
    <row r="559" spans="1:11">
      <c r="A559" s="95"/>
      <c r="C559" s="43"/>
      <c r="D559" s="42"/>
      <c r="G559" s="31"/>
      <c r="I559" s="94"/>
      <c r="K559" s="95"/>
    </row>
    <row r="560" spans="1:11">
      <c r="A560" s="95"/>
      <c r="C560" s="43"/>
      <c r="D560" s="42"/>
      <c r="G560" s="31"/>
      <c r="I560" s="94"/>
      <c r="K560" s="95"/>
    </row>
    <row r="561" spans="1:11">
      <c r="A561" s="95"/>
      <c r="C561" s="43"/>
      <c r="D561" s="42"/>
      <c r="G561" s="31"/>
      <c r="I561" s="94"/>
      <c r="K561" s="95"/>
    </row>
    <row r="562" spans="1:11">
      <c r="A562" s="95"/>
      <c r="C562" s="43"/>
      <c r="D562" s="42"/>
      <c r="G562" s="31"/>
      <c r="I562" s="94"/>
      <c r="K562" s="95"/>
    </row>
    <row r="563" spans="1:11">
      <c r="A563" s="95"/>
      <c r="C563" s="43"/>
      <c r="D563" s="42"/>
      <c r="G563" s="31"/>
      <c r="I563" s="94"/>
      <c r="K563" s="95"/>
    </row>
    <row r="564" spans="1:11">
      <c r="A564" s="95"/>
      <c r="C564" s="43"/>
      <c r="D564" s="42"/>
      <c r="G564" s="31"/>
      <c r="I564" s="94"/>
      <c r="K564" s="95"/>
    </row>
    <row r="565" spans="1:11">
      <c r="A565" s="95"/>
      <c r="B565" s="44"/>
      <c r="C565" s="43"/>
      <c r="D565" s="42"/>
      <c r="E565" s="44"/>
      <c r="F565" s="44"/>
      <c r="G565" s="113"/>
      <c r="H565" s="44"/>
      <c r="I565" s="94"/>
      <c r="K565" s="95"/>
    </row>
    <row r="566" spans="1:11">
      <c r="A566" s="95"/>
      <c r="B566" s="44"/>
      <c r="C566" s="43"/>
      <c r="D566" s="42"/>
      <c r="E566" s="44"/>
      <c r="F566" s="44"/>
      <c r="G566" s="113"/>
      <c r="H566" s="44"/>
      <c r="I566" s="94"/>
      <c r="K566" s="95"/>
    </row>
    <row r="567" spans="1:11">
      <c r="A567" s="95"/>
      <c r="B567" s="44"/>
      <c r="C567" s="43"/>
      <c r="D567" s="42"/>
      <c r="E567" s="69"/>
      <c r="F567" s="44"/>
      <c r="G567" s="113"/>
      <c r="H567" s="44"/>
      <c r="I567" s="94"/>
      <c r="K567" s="95"/>
    </row>
    <row r="568" spans="1:11" s="44" customFormat="1">
      <c r="A568" s="95"/>
      <c r="C568" s="43"/>
      <c r="D568" s="42"/>
      <c r="E568" s="140"/>
      <c r="F568" s="140"/>
      <c r="G568" s="113"/>
      <c r="I568" s="94"/>
    </row>
    <row r="569" spans="1:11">
      <c r="A569" s="95"/>
      <c r="B569" s="44"/>
      <c r="C569" s="43"/>
      <c r="D569" s="42"/>
      <c r="E569" s="142"/>
      <c r="F569" s="142"/>
      <c r="G569" s="143"/>
      <c r="I569" s="94"/>
      <c r="J569" s="44"/>
      <c r="K569" s="44"/>
    </row>
    <row r="570" spans="1:11">
      <c r="A570" s="95"/>
      <c r="B570" s="44"/>
      <c r="C570" s="86"/>
      <c r="F570"/>
      <c r="G570" s="113"/>
      <c r="I570" s="94"/>
      <c r="J570" s="44"/>
      <c r="K570" s="95"/>
    </row>
    <row r="571" spans="1:11">
      <c r="A571" s="95"/>
      <c r="B571" s="44"/>
      <c r="C571" s="86"/>
      <c r="E571" s="44"/>
      <c r="F571" s="44"/>
      <c r="G571" s="113"/>
      <c r="H571" s="44"/>
      <c r="I571" s="94"/>
      <c r="J571" s="44"/>
      <c r="K571" s="95"/>
    </row>
    <row r="572" spans="1:11">
      <c r="A572" s="95"/>
      <c r="B572" s="44"/>
      <c r="C572" s="86"/>
      <c r="D572" s="42"/>
      <c r="E572" s="44"/>
      <c r="F572" s="44"/>
      <c r="G572" s="113"/>
      <c r="H572" s="44"/>
      <c r="I572" s="94"/>
      <c r="J572" s="95"/>
      <c r="K572" s="44"/>
    </row>
    <row r="573" spans="1:11">
      <c r="A573" s="95"/>
      <c r="B573" s="44"/>
      <c r="C573" s="86"/>
      <c r="E573" s="140"/>
      <c r="F573" s="140"/>
      <c r="G573" s="141"/>
      <c r="H573" s="44"/>
      <c r="I573" s="94"/>
      <c r="J573" s="44"/>
      <c r="K573" s="44"/>
    </row>
    <row r="574" spans="1:11">
      <c r="A574" s="95"/>
      <c r="B574" s="44"/>
      <c r="C574" s="86"/>
      <c r="E574" s="140"/>
      <c r="F574" s="140"/>
      <c r="G574" s="141"/>
      <c r="H574" s="44"/>
      <c r="I574" s="94"/>
      <c r="J574" s="44"/>
      <c r="K574" s="44"/>
    </row>
    <row r="575" spans="1:11">
      <c r="A575" s="95"/>
      <c r="C575" s="86"/>
      <c r="E575" s="44"/>
      <c r="F575" s="140"/>
      <c r="G575" s="141"/>
      <c r="H575" s="44"/>
      <c r="I575" s="94"/>
      <c r="J575" s="44"/>
      <c r="K575" s="44"/>
    </row>
    <row r="576" spans="1:11">
      <c r="A576" s="95"/>
      <c r="C576" s="86"/>
      <c r="E576" s="142"/>
      <c r="F576" s="142"/>
      <c r="G576" s="143"/>
      <c r="I576" s="94"/>
      <c r="J576" s="44"/>
      <c r="K576" s="95"/>
    </row>
    <row r="577" spans="1:11">
      <c r="A577" s="95"/>
      <c r="C577" s="86"/>
      <c r="E577" s="142"/>
      <c r="F577" s="142"/>
      <c r="G577" s="143"/>
      <c r="I577" s="94"/>
      <c r="J577" s="44"/>
      <c r="K577" s="44"/>
    </row>
    <row r="578" spans="1:11">
      <c r="A578" s="95"/>
      <c r="C578" s="43"/>
      <c r="D578" s="43"/>
      <c r="E578" s="95"/>
      <c r="F578" s="95"/>
      <c r="G578" s="100"/>
      <c r="H578" s="95"/>
      <c r="I578" s="94"/>
      <c r="J578" s="95"/>
      <c r="K578" s="95"/>
    </row>
    <row r="579" spans="1:11">
      <c r="A579" s="95"/>
      <c r="C579" s="43"/>
      <c r="D579" s="43"/>
      <c r="E579" s="95"/>
      <c r="F579" s="95"/>
      <c r="G579" s="100"/>
      <c r="H579" s="95"/>
      <c r="I579" s="94"/>
      <c r="J579" s="95"/>
      <c r="K579" s="95"/>
    </row>
    <row r="580" spans="1:11">
      <c r="A580" s="95"/>
      <c r="C580" s="43"/>
      <c r="D580" s="43"/>
      <c r="E580" s="95"/>
      <c r="F580" s="95"/>
      <c r="G580" s="100"/>
      <c r="H580" s="95"/>
      <c r="I580" s="94"/>
      <c r="J580" s="95"/>
      <c r="K580" s="95"/>
    </row>
    <row r="581" spans="1:11">
      <c r="A581" s="95"/>
      <c r="C581" s="43"/>
      <c r="D581" s="43"/>
      <c r="E581" s="95"/>
      <c r="F581" s="95"/>
      <c r="G581" s="100"/>
      <c r="H581" s="95"/>
      <c r="I581" s="94"/>
      <c r="J581" s="95"/>
      <c r="K581" s="95"/>
    </row>
    <row r="582" spans="1:11">
      <c r="A582" s="95"/>
      <c r="C582" s="43"/>
      <c r="D582" s="43"/>
      <c r="E582" s="44"/>
      <c r="F582" s="44"/>
      <c r="G582" s="100"/>
      <c r="H582" s="44"/>
      <c r="I582" s="94"/>
      <c r="J582" s="95"/>
      <c r="K582" s="95"/>
    </row>
    <row r="583" spans="1:11">
      <c r="A583" s="95"/>
      <c r="C583" s="43"/>
      <c r="D583" s="43"/>
      <c r="E583" s="44"/>
      <c r="F583" s="44"/>
      <c r="G583" s="100"/>
      <c r="H583" s="44"/>
      <c r="I583" s="94"/>
      <c r="J583" s="95"/>
      <c r="K583" s="95"/>
    </row>
    <row r="584" spans="1:11">
      <c r="A584" s="95"/>
      <c r="C584" s="43"/>
      <c r="D584" s="43"/>
      <c r="E584" s="44"/>
      <c r="F584" s="44"/>
      <c r="G584" s="100"/>
      <c r="H584" s="44"/>
      <c r="I584" s="94"/>
      <c r="J584" s="95"/>
      <c r="K584" s="95"/>
    </row>
    <row r="585" spans="1:11">
      <c r="A585" s="95"/>
      <c r="C585" s="43"/>
      <c r="D585" s="43"/>
      <c r="E585" s="44"/>
      <c r="F585" s="44"/>
      <c r="G585" s="100"/>
      <c r="H585" s="44"/>
      <c r="I585" s="94"/>
      <c r="J585" s="95"/>
      <c r="K585" s="95"/>
    </row>
    <row r="586" spans="1:11">
      <c r="A586" s="95"/>
      <c r="C586" s="43"/>
      <c r="D586" s="43"/>
      <c r="E586" s="44"/>
      <c r="F586" s="44"/>
      <c r="G586" s="100"/>
      <c r="H586" s="44"/>
      <c r="I586" s="94"/>
      <c r="J586" s="95"/>
      <c r="K586" s="95"/>
    </row>
    <row r="587" spans="1:11">
      <c r="A587" s="95"/>
      <c r="B587" s="44"/>
      <c r="C587" s="43"/>
      <c r="D587" s="43"/>
      <c r="E587" s="140"/>
      <c r="F587" s="44"/>
      <c r="G587" s="100"/>
      <c r="H587" s="44"/>
      <c r="I587" s="94"/>
      <c r="J587" s="95"/>
      <c r="K587" s="95"/>
    </row>
    <row r="588" spans="1:11">
      <c r="A588" s="95"/>
      <c r="B588" s="44"/>
      <c r="C588" s="86"/>
      <c r="F588" s="142"/>
      <c r="G588" s="100"/>
      <c r="I588" s="94"/>
      <c r="J588" s="95"/>
      <c r="K588" s="95"/>
    </row>
    <row r="589" spans="1:11">
      <c r="A589" s="95"/>
      <c r="B589" s="44"/>
      <c r="C589" s="86"/>
      <c r="G589" s="100"/>
      <c r="I589" s="94"/>
      <c r="J589" s="95"/>
      <c r="K589" s="95"/>
    </row>
    <row r="590" spans="1:11">
      <c r="A590" s="95"/>
      <c r="B590" s="44"/>
      <c r="C590" s="86"/>
      <c r="G590" s="100"/>
      <c r="I590" s="94"/>
      <c r="J590" s="95"/>
      <c r="K590" s="95"/>
    </row>
    <row r="591" spans="1:11">
      <c r="A591" s="95"/>
      <c r="B591" s="44"/>
      <c r="C591" s="86"/>
      <c r="G591" s="100"/>
      <c r="I591" s="94"/>
      <c r="J591" s="95"/>
      <c r="K591" s="95"/>
    </row>
    <row r="592" spans="1:11">
      <c r="A592" s="95"/>
      <c r="B592" s="44"/>
      <c r="C592" s="86"/>
      <c r="G592" s="100"/>
      <c r="I592" s="94"/>
      <c r="J592" s="95"/>
      <c r="K592" s="95"/>
    </row>
    <row r="593" spans="1:11">
      <c r="A593" s="95"/>
      <c r="B593" s="44"/>
      <c r="C593" s="86"/>
      <c r="G593" s="100"/>
      <c r="I593" s="94"/>
      <c r="J593" s="95"/>
      <c r="K593" s="95"/>
    </row>
    <row r="594" spans="1:11">
      <c r="A594" s="95"/>
      <c r="B594" s="44"/>
      <c r="C594" s="86"/>
      <c r="G594" s="100"/>
      <c r="I594" s="94"/>
      <c r="J594" s="95"/>
      <c r="K594" s="95"/>
    </row>
    <row r="595" spans="1:11">
      <c r="A595" s="95"/>
      <c r="B595" s="44"/>
      <c r="C595" s="86"/>
      <c r="G595" s="100"/>
      <c r="I595" s="94"/>
      <c r="J595" s="95"/>
      <c r="K595" s="95"/>
    </row>
    <row r="596" spans="1:11">
      <c r="A596" s="95"/>
      <c r="B596" s="44"/>
      <c r="C596" s="86"/>
      <c r="G596" s="100"/>
      <c r="I596" s="94"/>
      <c r="J596" s="95"/>
      <c r="K596" s="95"/>
    </row>
    <row r="597" spans="1:11">
      <c r="A597" s="95"/>
      <c r="B597" s="44"/>
      <c r="C597" s="86"/>
      <c r="G597" s="100"/>
      <c r="I597" s="94"/>
      <c r="J597" s="95"/>
      <c r="K597" s="95"/>
    </row>
    <row r="598" spans="1:11">
      <c r="A598" s="95"/>
      <c r="B598" s="44"/>
      <c r="C598" s="86"/>
      <c r="G598" s="100"/>
      <c r="I598" s="94"/>
      <c r="J598" s="95"/>
      <c r="K598" s="95"/>
    </row>
    <row r="599" spans="1:11">
      <c r="A599" s="95"/>
      <c r="B599" s="44"/>
      <c r="C599" s="86"/>
      <c r="G599" s="100"/>
      <c r="I599" s="94"/>
      <c r="J599" s="95"/>
      <c r="K599" s="95"/>
    </row>
    <row r="600" spans="1:11">
      <c r="A600" s="95"/>
      <c r="B600" s="44"/>
      <c r="C600" s="86"/>
      <c r="F600" s="142"/>
      <c r="G600" s="100"/>
      <c r="I600" s="94"/>
      <c r="J600" s="95"/>
    </row>
    <row r="601" spans="1:11">
      <c r="A601" s="95"/>
      <c r="B601" s="44"/>
      <c r="C601" s="86"/>
      <c r="E601" s="127"/>
      <c r="F601" s="142"/>
      <c r="G601" s="100"/>
      <c r="I601" s="94"/>
      <c r="J601" s="95"/>
      <c r="K601" s="95"/>
    </row>
    <row r="602" spans="1:11">
      <c r="A602" s="95"/>
      <c r="B602" s="44"/>
      <c r="C602" s="86"/>
      <c r="E602" s="127"/>
      <c r="F602" s="142"/>
      <c r="G602" s="100"/>
      <c r="I602" s="94"/>
      <c r="J602" s="95"/>
      <c r="K602" s="95"/>
    </row>
    <row r="603" spans="1:11">
      <c r="A603" s="95"/>
      <c r="B603" s="44"/>
      <c r="C603" s="86"/>
      <c r="G603" s="100"/>
      <c r="I603" s="94"/>
      <c r="J603" s="95"/>
    </row>
    <row r="604" spans="1:11">
      <c r="A604" s="95"/>
      <c r="B604" s="44"/>
      <c r="C604" s="86"/>
      <c r="G604" s="100"/>
      <c r="I604" s="94"/>
      <c r="J604" s="95"/>
    </row>
    <row r="605" spans="1:11">
      <c r="A605" s="95"/>
      <c r="B605" s="44"/>
      <c r="C605" s="86"/>
      <c r="G605" s="100"/>
      <c r="I605" s="94"/>
      <c r="J605" s="95"/>
    </row>
    <row r="606" spans="1:11">
      <c r="A606" s="95"/>
      <c r="B606" s="44"/>
      <c r="C606" s="86"/>
      <c r="G606" s="100"/>
      <c r="I606" s="94"/>
      <c r="J606" s="95"/>
    </row>
    <row r="607" spans="1:11">
      <c r="A607" s="95"/>
      <c r="B607" s="44"/>
      <c r="C607" s="86"/>
      <c r="G607" s="100"/>
      <c r="I607" s="94"/>
      <c r="J607" s="95"/>
    </row>
    <row r="608" spans="1:11">
      <c r="A608" s="95"/>
      <c r="B608" s="44"/>
      <c r="C608" s="86"/>
      <c r="G608" s="100"/>
      <c r="I608" s="94"/>
      <c r="J608" s="95"/>
    </row>
    <row r="609" spans="1:10">
      <c r="A609" s="95"/>
      <c r="B609" s="44"/>
      <c r="C609" s="86"/>
      <c r="F609" s="142"/>
      <c r="G609" s="100"/>
      <c r="I609" s="94"/>
      <c r="J609" s="95"/>
    </row>
    <row r="610" spans="1:10">
      <c r="A610" s="95"/>
      <c r="C610" s="86"/>
      <c r="F610" s="142"/>
      <c r="G610" s="100"/>
      <c r="I610" s="94"/>
      <c r="J610" s="95"/>
    </row>
    <row r="611" spans="1:10">
      <c r="A611" s="95"/>
      <c r="C611" s="86"/>
      <c r="G611" s="100"/>
      <c r="H611" s="125"/>
      <c r="I611" s="94"/>
      <c r="J611" s="95"/>
    </row>
    <row r="612" spans="1:10">
      <c r="A612" s="95"/>
      <c r="C612" s="86"/>
      <c r="G612" s="100"/>
      <c r="H612" s="125"/>
      <c r="I612" s="94"/>
      <c r="J612" s="95"/>
    </row>
    <row r="613" spans="1:10">
      <c r="A613" s="95"/>
      <c r="C613" s="86"/>
      <c r="G613" s="100"/>
      <c r="H613" s="125"/>
      <c r="I613" s="94"/>
      <c r="J613" s="95"/>
    </row>
    <row r="614" spans="1:10">
      <c r="A614" s="95"/>
      <c r="C614" s="86"/>
      <c r="G614" s="100"/>
      <c r="H614" s="125"/>
      <c r="I614" s="94"/>
      <c r="J614" s="95"/>
    </row>
    <row r="615" spans="1:10">
      <c r="A615" s="95"/>
      <c r="C615" s="86"/>
      <c r="G615" s="100"/>
      <c r="H615" s="125"/>
      <c r="I615" s="94"/>
      <c r="J615" s="95"/>
    </row>
    <row r="616" spans="1:10">
      <c r="A616" s="95"/>
      <c r="C616" s="86"/>
      <c r="G616" s="100"/>
      <c r="H616" s="125"/>
      <c r="I616" s="94"/>
      <c r="J616" s="95"/>
    </row>
    <row r="617" spans="1:10">
      <c r="A617" s="95"/>
      <c r="C617" s="86"/>
      <c r="G617" s="100"/>
      <c r="H617" s="125"/>
      <c r="I617" s="94"/>
      <c r="J617" s="95"/>
    </row>
    <row r="618" spans="1:10">
      <c r="A618" s="95"/>
      <c r="C618" s="86"/>
      <c r="G618" s="100"/>
      <c r="H618" s="125"/>
      <c r="I618" s="94"/>
      <c r="J618" s="95"/>
    </row>
    <row r="619" spans="1:10">
      <c r="A619" s="95"/>
      <c r="C619" s="86"/>
      <c r="G619" s="100"/>
      <c r="H619" s="125"/>
      <c r="I619" s="94"/>
      <c r="J619" s="95"/>
    </row>
    <row r="620" spans="1:10">
      <c r="A620" s="95"/>
      <c r="C620" s="86"/>
      <c r="G620" s="100"/>
      <c r="H620" s="125"/>
      <c r="I620" s="94"/>
      <c r="J620" s="95"/>
    </row>
    <row r="621" spans="1:10">
      <c r="A621" s="95"/>
      <c r="C621" s="86"/>
      <c r="G621" s="100"/>
      <c r="H621" s="125"/>
      <c r="I621" s="94"/>
      <c r="J621" s="95"/>
    </row>
    <row r="622" spans="1:10">
      <c r="A622" s="95"/>
      <c r="C622" s="86"/>
      <c r="G622" s="125"/>
      <c r="H622" s="125"/>
      <c r="I622" s="94"/>
      <c r="J622" s="95"/>
    </row>
    <row r="623" spans="1:10">
      <c r="A623" s="95"/>
      <c r="C623" s="86"/>
      <c r="G623" s="125"/>
      <c r="H623" s="125"/>
      <c r="I623" s="94"/>
      <c r="J623" s="95"/>
    </row>
    <row r="624" spans="1:10">
      <c r="A624" s="95"/>
      <c r="C624" s="86"/>
      <c r="G624" s="125"/>
      <c r="H624" s="125"/>
      <c r="I624" s="94"/>
      <c r="J624" s="95"/>
    </row>
    <row r="625" spans="1:11">
      <c r="A625" s="95"/>
      <c r="C625" s="86"/>
      <c r="G625" s="125"/>
      <c r="H625" s="125"/>
      <c r="I625" s="94"/>
      <c r="J625" s="95"/>
    </row>
    <row r="626" spans="1:11">
      <c r="A626" s="95"/>
      <c r="C626" s="86"/>
      <c r="G626" s="125"/>
      <c r="H626" s="125"/>
      <c r="I626" s="94"/>
      <c r="J626" s="95"/>
    </row>
    <row r="627" spans="1:11">
      <c r="A627" s="95"/>
      <c r="C627" s="86"/>
      <c r="G627" s="125"/>
      <c r="H627" s="125"/>
      <c r="I627" s="94"/>
      <c r="J627" s="95"/>
    </row>
    <row r="628" spans="1:11">
      <c r="A628" s="95"/>
      <c r="C628" s="86"/>
      <c r="G628" s="125"/>
      <c r="H628" s="125"/>
      <c r="I628" s="94"/>
      <c r="J628" s="95"/>
    </row>
    <row r="629" spans="1:11">
      <c r="A629" s="95"/>
      <c r="C629" s="86"/>
      <c r="G629" s="125"/>
      <c r="H629" s="125"/>
      <c r="I629" s="94"/>
      <c r="J629" s="95"/>
    </row>
    <row r="630" spans="1:11">
      <c r="A630" s="95"/>
      <c r="C630" s="86"/>
      <c r="G630" s="125"/>
      <c r="H630" s="125"/>
      <c r="I630" s="94"/>
      <c r="J630" s="95"/>
    </row>
    <row r="631" spans="1:11">
      <c r="A631" s="95"/>
      <c r="C631" s="86"/>
      <c r="G631" s="125"/>
      <c r="I631" s="94"/>
      <c r="J631" s="95"/>
      <c r="K631" s="95"/>
    </row>
    <row r="632" spans="1:11">
      <c r="A632" s="95"/>
      <c r="C632" s="86"/>
      <c r="E632" s="142"/>
      <c r="F632" s="142"/>
      <c r="G632" s="125"/>
      <c r="I632" s="94"/>
      <c r="J632" s="95"/>
      <c r="K632" s="95"/>
    </row>
    <row r="633" spans="1:11">
      <c r="A633" s="95"/>
      <c r="C633" s="86"/>
      <c r="G633" s="125"/>
      <c r="I633" s="94"/>
      <c r="J633" s="95"/>
    </row>
    <row r="634" spans="1:11">
      <c r="A634" s="95"/>
      <c r="C634" s="86"/>
      <c r="E634" s="142"/>
      <c r="F634" s="142"/>
      <c r="G634" s="143"/>
      <c r="I634" s="94"/>
      <c r="J634" s="95"/>
    </row>
    <row r="635" spans="1:11">
      <c r="A635" s="95"/>
      <c r="C635" s="86"/>
      <c r="G635" s="125"/>
      <c r="I635" s="94"/>
      <c r="J635" s="95"/>
      <c r="K635" s="95"/>
    </row>
    <row r="636" spans="1:11">
      <c r="A636" s="95"/>
      <c r="C636" s="86"/>
      <c r="G636" s="125"/>
      <c r="I636" s="94"/>
      <c r="J636" s="95"/>
    </row>
    <row r="637" spans="1:11">
      <c r="A637" s="95"/>
      <c r="C637" s="86"/>
      <c r="G637" s="125"/>
      <c r="I637" s="94"/>
      <c r="J637" s="95"/>
    </row>
    <row r="638" spans="1:11">
      <c r="A638" s="95"/>
      <c r="C638" s="86"/>
      <c r="G638" s="125"/>
      <c r="I638" s="94"/>
      <c r="J638" s="95"/>
    </row>
    <row r="639" spans="1:11">
      <c r="A639" s="95"/>
      <c r="C639" s="86"/>
      <c r="E639" s="263"/>
      <c r="F639" s="142"/>
      <c r="G639" s="143"/>
      <c r="I639" s="94"/>
      <c r="J639" s="95"/>
    </row>
    <row r="640" spans="1:11">
      <c r="A640" s="95"/>
      <c r="C640" s="86"/>
      <c r="G640" s="143"/>
      <c r="I640" s="94"/>
      <c r="J640" s="95"/>
      <c r="K640" s="95"/>
    </row>
    <row r="641" spans="1:11">
      <c r="A641" s="95"/>
      <c r="C641" s="86"/>
      <c r="G641" s="143"/>
      <c r="I641" s="94"/>
      <c r="J641" s="95"/>
      <c r="K641" s="95"/>
    </row>
    <row r="642" spans="1:11">
      <c r="A642" s="95"/>
      <c r="C642" s="86"/>
      <c r="G642" s="143"/>
      <c r="I642" s="94"/>
      <c r="J642" s="95"/>
      <c r="K642" s="95"/>
    </row>
    <row r="643" spans="1:11">
      <c r="A643" s="95"/>
      <c r="C643" s="86"/>
      <c r="G643" s="143"/>
      <c r="I643" s="94"/>
      <c r="J643" s="95"/>
      <c r="K643" s="95"/>
    </row>
    <row r="644" spans="1:11">
      <c r="A644" s="95"/>
      <c r="C644" s="86"/>
      <c r="G644" s="143"/>
      <c r="I644" s="94"/>
      <c r="J644" s="95"/>
      <c r="K644" s="95"/>
    </row>
    <row r="645" spans="1:11">
      <c r="A645" s="95"/>
      <c r="C645" s="86"/>
      <c r="G645" s="143"/>
      <c r="I645" s="94"/>
      <c r="J645" s="95"/>
      <c r="K645" s="95"/>
    </row>
    <row r="646" spans="1:11">
      <c r="A646" s="95"/>
      <c r="C646" s="86"/>
      <c r="G646" s="143"/>
      <c r="I646" s="94"/>
      <c r="J646" s="95"/>
      <c r="K646" s="95"/>
    </row>
    <row r="647" spans="1:11">
      <c r="A647" s="95"/>
      <c r="C647" s="86"/>
      <c r="G647" s="143"/>
      <c r="I647" s="94"/>
      <c r="J647" s="95"/>
      <c r="K647" s="95"/>
    </row>
    <row r="648" spans="1:11">
      <c r="A648" s="95"/>
      <c r="C648" s="86"/>
      <c r="G648" s="143"/>
      <c r="I648" s="94"/>
      <c r="J648" s="95"/>
      <c r="K648" s="95"/>
    </row>
    <row r="649" spans="1:11">
      <c r="A649" s="95"/>
      <c r="C649" s="86"/>
      <c r="G649" s="143"/>
      <c r="I649" s="94"/>
      <c r="J649" s="95"/>
      <c r="K649" s="95"/>
    </row>
    <row r="650" spans="1:11">
      <c r="A650" s="95"/>
      <c r="C650" s="86"/>
      <c r="G650" s="143"/>
      <c r="I650" s="94"/>
      <c r="J650" s="95"/>
      <c r="K650" s="95"/>
    </row>
    <row r="651" spans="1:11">
      <c r="A651" s="95"/>
      <c r="C651" s="86"/>
      <c r="G651" s="143"/>
      <c r="I651" s="94"/>
      <c r="J651" s="95"/>
      <c r="K651" s="95"/>
    </row>
    <row r="652" spans="1:11">
      <c r="A652" s="95"/>
      <c r="C652" s="86"/>
      <c r="G652" s="143"/>
      <c r="I652" s="94"/>
      <c r="J652" s="95"/>
      <c r="K652" s="95"/>
    </row>
    <row r="653" spans="1:11">
      <c r="A653" s="95"/>
      <c r="C653" s="86"/>
      <c r="G653" s="143"/>
      <c r="I653" s="94"/>
      <c r="J653" s="95"/>
      <c r="K653" s="95"/>
    </row>
    <row r="654" spans="1:11">
      <c r="A654" s="95"/>
      <c r="C654" s="86"/>
      <c r="E654" s="142"/>
      <c r="F654" s="142"/>
      <c r="G654" s="143"/>
      <c r="I654" s="94"/>
      <c r="J654" s="95"/>
    </row>
    <row r="655" spans="1:11">
      <c r="A655" s="95"/>
      <c r="C655" s="86"/>
      <c r="E655" s="142"/>
      <c r="F655" s="142"/>
      <c r="G655" s="143"/>
      <c r="I655" s="94"/>
      <c r="J655" s="95"/>
    </row>
    <row r="656" spans="1:11">
      <c r="A656" s="95"/>
      <c r="C656" s="86"/>
      <c r="E656" s="142"/>
      <c r="G656" s="143"/>
      <c r="I656" s="94"/>
      <c r="J656" s="95"/>
    </row>
    <row r="657" spans="1:10">
      <c r="A657" s="95"/>
      <c r="C657" s="86"/>
      <c r="F657"/>
      <c r="G657" s="143"/>
      <c r="I657" s="94"/>
      <c r="J657" s="95"/>
    </row>
    <row r="658" spans="1:10">
      <c r="A658" s="95"/>
      <c r="C658" s="86"/>
      <c r="G658" s="125"/>
      <c r="I658" s="94"/>
      <c r="J658" s="95"/>
    </row>
    <row r="659" spans="1:10">
      <c r="A659" s="95"/>
      <c r="C659" s="86"/>
      <c r="G659" s="125"/>
      <c r="I659" s="94"/>
      <c r="J659" s="95"/>
    </row>
    <row r="660" spans="1:10">
      <c r="A660" s="95"/>
      <c r="C660" s="86"/>
      <c r="G660" s="125"/>
      <c r="I660" s="94"/>
      <c r="J660" s="95"/>
    </row>
    <row r="661" spans="1:10">
      <c r="A661" s="95"/>
      <c r="C661" s="86"/>
      <c r="G661" s="125"/>
      <c r="I661" s="94"/>
      <c r="J661" s="95"/>
    </row>
    <row r="662" spans="1:10">
      <c r="A662" s="95"/>
      <c r="C662" s="86"/>
      <c r="G662" s="125"/>
      <c r="I662" s="94"/>
      <c r="J662" s="95"/>
    </row>
    <row r="663" spans="1:10">
      <c r="A663" s="95"/>
      <c r="C663" s="86"/>
      <c r="G663" s="125"/>
      <c r="I663" s="94"/>
      <c r="J663" s="95"/>
    </row>
    <row r="664" spans="1:10">
      <c r="A664" s="95"/>
      <c r="C664" s="86"/>
      <c r="G664" s="125"/>
      <c r="I664" s="94"/>
      <c r="J664" s="95"/>
    </row>
    <row r="665" spans="1:10">
      <c r="A665" s="95"/>
      <c r="C665" s="86"/>
      <c r="G665" s="125"/>
      <c r="I665" s="94"/>
      <c r="J665" s="95"/>
    </row>
    <row r="666" spans="1:10">
      <c r="A666" s="95"/>
      <c r="C666" s="86"/>
      <c r="G666" s="125"/>
      <c r="I666" s="94"/>
      <c r="J666" s="95"/>
    </row>
    <row r="667" spans="1:10">
      <c r="A667" s="95"/>
      <c r="C667" s="86"/>
      <c r="G667" s="125"/>
      <c r="I667" s="94"/>
      <c r="J667" s="95"/>
    </row>
    <row r="668" spans="1:10">
      <c r="A668" s="95"/>
      <c r="C668" s="86"/>
      <c r="G668" s="125"/>
      <c r="I668" s="94"/>
      <c r="J668" s="95"/>
    </row>
    <row r="669" spans="1:10">
      <c r="A669" s="95"/>
      <c r="C669" s="86"/>
      <c r="G669" s="125"/>
      <c r="I669" s="94"/>
      <c r="J669" s="95"/>
    </row>
    <row r="670" spans="1:10">
      <c r="A670" s="95"/>
      <c r="C670" s="86"/>
      <c r="G670" s="125"/>
      <c r="I670" s="94"/>
      <c r="J670" s="95"/>
    </row>
    <row r="671" spans="1:10">
      <c r="A671" s="95"/>
      <c r="C671" s="86"/>
      <c r="G671" s="125"/>
      <c r="I671" s="94"/>
      <c r="J671" s="95"/>
    </row>
    <row r="672" spans="1:10">
      <c r="A672" s="95"/>
      <c r="C672" s="86"/>
      <c r="F672" s="142"/>
      <c r="G672" s="125"/>
      <c r="I672" s="94"/>
      <c r="J672" s="95"/>
    </row>
    <row r="673" spans="1:11">
      <c r="A673" s="95"/>
      <c r="C673" s="86"/>
      <c r="F673" s="275"/>
      <c r="G673" s="125"/>
      <c r="I673" s="94"/>
      <c r="J673" s="95"/>
    </row>
    <row r="674" spans="1:11">
      <c r="A674" s="95"/>
      <c r="C674" s="86"/>
      <c r="F674" s="275"/>
      <c r="G674" s="125"/>
      <c r="I674" s="94"/>
      <c r="J674" s="95"/>
    </row>
    <row r="675" spans="1:11">
      <c r="A675" s="95"/>
      <c r="C675" s="86"/>
      <c r="F675" s="275"/>
      <c r="G675" s="125"/>
      <c r="I675" s="94"/>
      <c r="J675" s="95"/>
    </row>
    <row r="676" spans="1:11">
      <c r="A676" s="95"/>
      <c r="C676" s="86"/>
      <c r="F676" s="275"/>
      <c r="G676" s="125"/>
      <c r="I676" s="94"/>
      <c r="J676" s="95"/>
    </row>
    <row r="677" spans="1:11">
      <c r="A677" s="95"/>
      <c r="C677" s="86"/>
      <c r="F677" s="275"/>
      <c r="G677" s="125"/>
      <c r="I677" s="94"/>
      <c r="J677" s="95"/>
    </row>
    <row r="678" spans="1:11">
      <c r="A678" s="95"/>
      <c r="C678" s="86"/>
      <c r="F678" s="275"/>
      <c r="G678" s="125"/>
      <c r="I678" s="94"/>
      <c r="J678" s="95"/>
    </row>
    <row r="679" spans="1:11">
      <c r="A679" s="95"/>
      <c r="C679" s="86"/>
      <c r="F679" s="275"/>
      <c r="G679" s="125"/>
      <c r="I679" s="94"/>
      <c r="J679" s="95"/>
    </row>
    <row r="680" spans="1:11">
      <c r="A680" s="95"/>
      <c r="C680" s="86"/>
      <c r="F680" s="275"/>
      <c r="G680" s="125"/>
      <c r="I680" s="94"/>
      <c r="J680" s="95"/>
    </row>
    <row r="681" spans="1:11">
      <c r="A681" s="95"/>
      <c r="C681" s="86"/>
      <c r="F681" s="275"/>
      <c r="G681" s="125"/>
      <c r="I681" s="94"/>
      <c r="J681" s="95"/>
    </row>
    <row r="682" spans="1:11">
      <c r="A682" s="95"/>
      <c r="C682" s="86"/>
      <c r="F682" s="275"/>
      <c r="G682" s="125"/>
      <c r="I682" s="94"/>
      <c r="J682" s="95"/>
    </row>
    <row r="683" spans="1:11">
      <c r="A683" s="95"/>
      <c r="C683" s="86"/>
      <c r="F683" s="275"/>
      <c r="G683" s="125"/>
      <c r="I683" s="94"/>
      <c r="J683" s="95"/>
    </row>
    <row r="684" spans="1:11">
      <c r="A684" s="95"/>
      <c r="C684" s="86"/>
      <c r="F684"/>
      <c r="G684" s="125"/>
      <c r="I684" s="94"/>
      <c r="J684" s="95"/>
    </row>
    <row r="685" spans="1:11">
      <c r="A685" s="95"/>
      <c r="C685" s="86"/>
      <c r="E685"/>
      <c r="F685" s="275"/>
      <c r="G685" s="125"/>
      <c r="I685" s="94"/>
      <c r="J685" s="95"/>
    </row>
    <row r="686" spans="1:11">
      <c r="A686" s="95"/>
      <c r="C686" s="86"/>
      <c r="F686" s="275"/>
      <c r="G686" s="125"/>
      <c r="I686" s="94"/>
      <c r="J686" s="95"/>
    </row>
    <row r="687" spans="1:11">
      <c r="A687" s="95"/>
      <c r="C687" s="86"/>
      <c r="F687" s="275"/>
      <c r="G687" s="125"/>
      <c r="I687" s="94"/>
      <c r="J687" s="95"/>
    </row>
    <row r="688" spans="1:11">
      <c r="A688" s="95"/>
      <c r="C688" s="86"/>
      <c r="F688" s="275"/>
      <c r="G688" s="125"/>
      <c r="I688" s="94"/>
      <c r="J688" s="95"/>
      <c r="K688" s="95"/>
    </row>
    <row r="689" spans="1:11">
      <c r="A689" s="95"/>
      <c r="C689" s="86"/>
      <c r="F689" s="275"/>
      <c r="G689" s="125"/>
      <c r="I689" s="94"/>
      <c r="J689" s="95"/>
      <c r="K689" s="95"/>
    </row>
    <row r="690" spans="1:11">
      <c r="A690" s="95"/>
      <c r="C690" s="86"/>
      <c r="F690" s="275"/>
      <c r="G690" s="125"/>
      <c r="I690" s="94"/>
      <c r="J690" s="95"/>
      <c r="K690" s="95"/>
    </row>
    <row r="691" spans="1:11">
      <c r="A691" s="95"/>
      <c r="C691" s="86"/>
      <c r="F691" s="275"/>
      <c r="G691" s="125"/>
      <c r="I691" s="94"/>
      <c r="J691" s="95"/>
      <c r="K691" s="95"/>
    </row>
    <row r="692" spans="1:11">
      <c r="A692" s="95"/>
      <c r="C692" s="86"/>
      <c r="F692" s="275"/>
      <c r="G692" s="125"/>
      <c r="I692" s="94"/>
      <c r="J692" s="95"/>
      <c r="K692" s="95"/>
    </row>
    <row r="693" spans="1:11">
      <c r="A693" s="95"/>
      <c r="C693" s="86"/>
      <c r="F693" s="275"/>
      <c r="G693" s="125"/>
      <c r="I693" s="94"/>
      <c r="J693" s="95"/>
      <c r="K693" s="95"/>
    </row>
    <row r="694" spans="1:11">
      <c r="A694" s="95"/>
      <c r="C694" s="86"/>
      <c r="F694" s="275"/>
      <c r="G694" s="125"/>
      <c r="I694" s="94"/>
      <c r="J694" s="95"/>
      <c r="K694" s="95"/>
    </row>
    <row r="695" spans="1:11">
      <c r="A695" s="95"/>
      <c r="C695" s="86"/>
      <c r="F695" s="275"/>
      <c r="G695" s="125"/>
      <c r="I695" s="94"/>
      <c r="J695" s="95"/>
      <c r="K695" s="95"/>
    </row>
    <row r="696" spans="1:11">
      <c r="A696" s="95"/>
      <c r="C696" s="86"/>
      <c r="F696" s="275"/>
      <c r="G696" s="125"/>
      <c r="I696" s="94"/>
      <c r="J696" s="95"/>
      <c r="K696" s="95"/>
    </row>
    <row r="697" spans="1:11">
      <c r="A697" s="95"/>
      <c r="C697" s="86"/>
      <c r="F697" s="275"/>
      <c r="G697" s="125"/>
      <c r="I697" s="94"/>
      <c r="J697" s="95"/>
      <c r="K697" s="95"/>
    </row>
    <row r="698" spans="1:11">
      <c r="A698" s="95"/>
      <c r="C698" s="86"/>
      <c r="F698" s="275"/>
      <c r="G698" s="125"/>
      <c r="I698" s="94"/>
      <c r="J698" s="95"/>
      <c r="K698" s="95"/>
    </row>
    <row r="699" spans="1:11">
      <c r="A699" s="95"/>
      <c r="C699" s="86"/>
      <c r="F699" s="275"/>
      <c r="G699" s="125"/>
      <c r="I699" s="94"/>
      <c r="J699" s="95"/>
      <c r="K699" s="95"/>
    </row>
    <row r="700" spans="1:11">
      <c r="A700" s="95"/>
      <c r="C700" s="86"/>
      <c r="F700" s="275"/>
      <c r="G700" s="125"/>
      <c r="I700" s="94"/>
      <c r="J700" s="95"/>
      <c r="K700" s="95"/>
    </row>
    <row r="701" spans="1:11">
      <c r="A701" s="95"/>
      <c r="C701" s="86"/>
      <c r="E701"/>
      <c r="F701" s="275"/>
      <c r="G701" s="125"/>
      <c r="I701" s="94"/>
      <c r="J701" s="95"/>
    </row>
    <row r="702" spans="1:11">
      <c r="A702" s="95"/>
      <c r="C702" s="86"/>
      <c r="F702" s="275"/>
      <c r="G702" s="125"/>
      <c r="I702" s="94"/>
      <c r="J702" s="95"/>
    </row>
    <row r="703" spans="1:11">
      <c r="A703" s="95"/>
      <c r="C703" s="86"/>
      <c r="F703" s="275"/>
      <c r="G703" s="125"/>
      <c r="I703" s="94"/>
      <c r="J703" s="95"/>
    </row>
    <row r="704" spans="1:11">
      <c r="A704" s="95"/>
      <c r="C704" s="86"/>
      <c r="E704" s="142"/>
      <c r="F704" s="142"/>
      <c r="G704" s="125"/>
      <c r="I704" s="94"/>
      <c r="J704" s="95"/>
    </row>
    <row r="705" spans="1:11">
      <c r="A705" s="95"/>
      <c r="C705" s="86"/>
      <c r="G705" s="125"/>
      <c r="I705" s="94"/>
      <c r="J705" s="95"/>
    </row>
    <row r="706" spans="1:11">
      <c r="A706" s="95"/>
      <c r="C706" s="86"/>
      <c r="G706" s="125"/>
      <c r="I706" s="94"/>
      <c r="J706" s="95"/>
    </row>
    <row r="707" spans="1:11">
      <c r="A707" s="95"/>
      <c r="C707" s="86"/>
      <c r="G707" s="125"/>
      <c r="I707" s="94"/>
      <c r="J707" s="95"/>
    </row>
    <row r="708" spans="1:11">
      <c r="A708" s="95"/>
      <c r="C708" s="86"/>
      <c r="G708" s="125"/>
      <c r="I708" s="94"/>
      <c r="J708" s="95"/>
    </row>
    <row r="709" spans="1:11">
      <c r="A709" s="95"/>
      <c r="C709" s="86"/>
      <c r="E709" s="142"/>
      <c r="F709" s="142"/>
      <c r="G709" s="125"/>
      <c r="I709" s="94"/>
      <c r="J709" s="95"/>
    </row>
    <row r="710" spans="1:11">
      <c r="A710" s="95"/>
      <c r="C710" s="86"/>
      <c r="G710" s="125"/>
      <c r="I710" s="94"/>
      <c r="J710" s="95"/>
    </row>
    <row r="711" spans="1:11">
      <c r="A711" s="95"/>
      <c r="C711" s="86"/>
      <c r="G711" s="125"/>
      <c r="I711" s="94"/>
      <c r="J711" s="95"/>
      <c r="K711" s="95"/>
    </row>
    <row r="712" spans="1:11">
      <c r="A712" s="95"/>
      <c r="C712" s="86"/>
      <c r="E712" s="142"/>
      <c r="F712" s="142"/>
      <c r="G712" s="125"/>
      <c r="I712" s="94"/>
      <c r="J712" s="95"/>
      <c r="K712" s="95"/>
    </row>
    <row r="713" spans="1:11">
      <c r="A713" s="95"/>
      <c r="C713" s="86"/>
      <c r="E713" s="142"/>
      <c r="G713" s="125"/>
      <c r="I713" s="94"/>
      <c r="J713" s="95"/>
      <c r="K713" s="95"/>
    </row>
    <row r="714" spans="1:11">
      <c r="A714" s="95"/>
      <c r="C714" s="86"/>
      <c r="E714" s="142"/>
      <c r="G714" s="125"/>
      <c r="I714" s="94"/>
      <c r="J714" s="95"/>
      <c r="K714" s="95"/>
    </row>
    <row r="715" spans="1:11">
      <c r="A715" s="95"/>
      <c r="C715" s="86"/>
      <c r="E715" s="142"/>
      <c r="G715" s="125"/>
      <c r="I715" s="94"/>
      <c r="J715" s="95"/>
      <c r="K715" s="95"/>
    </row>
    <row r="716" spans="1:11">
      <c r="A716" s="95"/>
      <c r="C716" s="86"/>
      <c r="E716" s="142"/>
      <c r="G716" s="125"/>
      <c r="I716" s="94"/>
      <c r="J716" s="95"/>
    </row>
    <row r="717" spans="1:11">
      <c r="A717" s="95"/>
      <c r="C717" s="86"/>
      <c r="G717" s="125"/>
      <c r="I717" s="94"/>
      <c r="J717" s="95"/>
      <c r="K717" s="95"/>
    </row>
    <row r="718" spans="1:11">
      <c r="A718" s="95"/>
      <c r="C718" s="86"/>
      <c r="G718" s="125"/>
      <c r="I718" s="94"/>
      <c r="J718" s="95"/>
    </row>
    <row r="719" spans="1:11">
      <c r="A719" s="95"/>
      <c r="C719" s="86"/>
      <c r="G719" s="125"/>
      <c r="I719" s="94"/>
      <c r="J719" s="95"/>
    </row>
    <row r="720" spans="1:11">
      <c r="A720" s="95"/>
      <c r="C720" s="86"/>
      <c r="G720" s="125"/>
      <c r="I720" s="94"/>
      <c r="J720" s="95"/>
    </row>
    <row r="721" spans="1:11">
      <c r="A721" s="95"/>
      <c r="C721" s="86"/>
      <c r="G721" s="125"/>
      <c r="I721" s="94"/>
      <c r="J721" s="95"/>
    </row>
    <row r="722" spans="1:11">
      <c r="A722" s="95"/>
      <c r="C722" s="86"/>
      <c r="E722"/>
      <c r="F722" s="278"/>
      <c r="G722" s="143"/>
      <c r="I722" s="94"/>
      <c r="J722" s="95"/>
      <c r="K722" s="95"/>
    </row>
    <row r="723" spans="1:11">
      <c r="A723" s="95"/>
      <c r="C723" s="86"/>
      <c r="E723"/>
      <c r="G723" s="125"/>
      <c r="I723" s="94"/>
      <c r="J723" s="95"/>
    </row>
    <row r="724" spans="1:11">
      <c r="A724" s="95"/>
      <c r="C724" s="86"/>
      <c r="G724" s="125"/>
      <c r="I724" s="94"/>
      <c r="J724" s="95"/>
    </row>
    <row r="725" spans="1:11">
      <c r="A725" s="95"/>
      <c r="C725" s="86"/>
      <c r="G725" s="125"/>
      <c r="I725" s="94"/>
      <c r="J725" s="95"/>
    </row>
    <row r="726" spans="1:11">
      <c r="A726" s="95"/>
      <c r="C726" s="86"/>
      <c r="G726" s="125"/>
      <c r="I726" s="94"/>
      <c r="J726" s="95"/>
    </row>
    <row r="727" spans="1:11">
      <c r="A727" s="95"/>
      <c r="C727" s="86"/>
      <c r="G727" s="125"/>
      <c r="I727" s="94"/>
      <c r="J727" s="95"/>
    </row>
    <row r="728" spans="1:11">
      <c r="A728" s="95"/>
      <c r="C728" s="86"/>
      <c r="E728" s="142"/>
      <c r="F728" s="142"/>
      <c r="G728" s="143"/>
      <c r="I728" s="94"/>
      <c r="J728" s="95"/>
    </row>
    <row r="729" spans="1:11">
      <c r="A729" s="95"/>
      <c r="C729" s="86"/>
      <c r="G729" s="125"/>
      <c r="I729" s="94"/>
      <c r="J729" s="95"/>
    </row>
    <row r="730" spans="1:11">
      <c r="A730" s="95"/>
      <c r="C730" s="86"/>
      <c r="E730" s="142"/>
      <c r="F730" s="142"/>
      <c r="G730" s="143"/>
      <c r="I730" s="94"/>
      <c r="J730" s="95"/>
    </row>
    <row r="731" spans="1:11">
      <c r="A731" s="95"/>
      <c r="C731" s="86"/>
      <c r="E731" s="142"/>
      <c r="F731" s="142"/>
      <c r="G731" s="125"/>
      <c r="I731" s="94"/>
      <c r="J731" s="95"/>
    </row>
    <row r="732" spans="1:11">
      <c r="A732" s="95"/>
      <c r="C732" s="86"/>
      <c r="G732" s="125"/>
      <c r="I732" s="94"/>
      <c r="J732" s="95"/>
    </row>
    <row r="733" spans="1:11">
      <c r="A733" s="95"/>
      <c r="C733" s="86"/>
      <c r="G733" s="125"/>
      <c r="I733" s="94"/>
      <c r="J733" s="95"/>
    </row>
    <row r="734" spans="1:11">
      <c r="A734" s="95"/>
      <c r="C734" s="86"/>
      <c r="G734" s="125"/>
      <c r="I734" s="94"/>
      <c r="J734" s="95"/>
    </row>
    <row r="735" spans="1:11">
      <c r="A735" s="95"/>
      <c r="C735" s="86"/>
      <c r="G735" s="125"/>
      <c r="I735" s="94"/>
      <c r="J735" s="95"/>
    </row>
    <row r="736" spans="1:11">
      <c r="A736" s="95"/>
      <c r="C736" s="86"/>
      <c r="G736" s="125"/>
      <c r="I736" s="94"/>
      <c r="J736" s="95"/>
    </row>
    <row r="737" spans="1:11">
      <c r="A737" s="95"/>
      <c r="C737" s="86"/>
      <c r="G737" s="125"/>
      <c r="I737" s="94"/>
      <c r="J737" s="95"/>
    </row>
    <row r="738" spans="1:11">
      <c r="A738" s="95"/>
      <c r="C738" s="86"/>
      <c r="G738" s="125"/>
      <c r="I738" s="94"/>
      <c r="J738" s="95"/>
    </row>
    <row r="739" spans="1:11">
      <c r="A739" s="95"/>
      <c r="C739" s="86"/>
      <c r="F739" s="142"/>
      <c r="G739" s="125"/>
      <c r="I739" s="94"/>
      <c r="J739" s="95"/>
    </row>
    <row r="740" spans="1:11">
      <c r="A740" s="95"/>
      <c r="C740" s="86"/>
      <c r="G740" s="125"/>
      <c r="I740" s="94"/>
      <c r="J740" s="95"/>
      <c r="K740" s="95"/>
    </row>
    <row r="741" spans="1:11">
      <c r="A741" s="95"/>
      <c r="C741" s="86"/>
      <c r="G741" s="125"/>
      <c r="I741" s="94"/>
      <c r="J741" s="95"/>
      <c r="K741" s="95"/>
    </row>
    <row r="742" spans="1:11">
      <c r="A742" s="95"/>
      <c r="C742" s="86"/>
      <c r="G742" s="125"/>
      <c r="I742" s="94"/>
      <c r="J742" s="95"/>
      <c r="K742" s="95"/>
    </row>
    <row r="743" spans="1:11">
      <c r="A743" s="95"/>
      <c r="C743" s="86"/>
      <c r="G743" s="125"/>
      <c r="I743" s="94"/>
      <c r="J743" s="95"/>
      <c r="K743" s="95"/>
    </row>
    <row r="744" spans="1:11">
      <c r="A744" s="95"/>
      <c r="C744" s="86"/>
      <c r="G744" s="125"/>
      <c r="I744" s="94"/>
      <c r="J744" s="95"/>
      <c r="K744" s="95"/>
    </row>
    <row r="745" spans="1:11">
      <c r="A745" s="95"/>
      <c r="C745" s="86"/>
      <c r="G745" s="125"/>
      <c r="I745" s="94"/>
      <c r="J745" s="95"/>
      <c r="K745" s="95"/>
    </row>
    <row r="746" spans="1:11">
      <c r="A746" s="95"/>
      <c r="C746" s="86"/>
      <c r="G746" s="125"/>
      <c r="I746" s="94"/>
      <c r="J746" s="95"/>
      <c r="K746" s="95"/>
    </row>
    <row r="747" spans="1:11">
      <c r="A747" s="95"/>
      <c r="C747" s="86"/>
      <c r="G747" s="125"/>
      <c r="I747" s="94"/>
      <c r="J747" s="95"/>
      <c r="K747" s="95"/>
    </row>
    <row r="748" spans="1:11">
      <c r="A748" s="95"/>
      <c r="C748" s="86"/>
      <c r="G748" s="125"/>
      <c r="I748" s="94"/>
      <c r="J748" s="95"/>
      <c r="K748" s="95"/>
    </row>
    <row r="749" spans="1:11">
      <c r="A749" s="95"/>
      <c r="C749" s="86"/>
      <c r="G749" s="125"/>
      <c r="I749" s="94"/>
      <c r="J749" s="95"/>
      <c r="K749" s="95"/>
    </row>
    <row r="750" spans="1:11">
      <c r="A750" s="95"/>
      <c r="C750" s="86"/>
      <c r="G750" s="125"/>
      <c r="I750" s="94"/>
      <c r="J750" s="95"/>
      <c r="K750" s="95"/>
    </row>
    <row r="751" spans="1:11">
      <c r="A751" s="95"/>
      <c r="C751" s="86"/>
      <c r="G751" s="125"/>
      <c r="I751" s="94"/>
      <c r="J751" s="95"/>
      <c r="K751" s="95"/>
    </row>
    <row r="752" spans="1:11">
      <c r="A752" s="95"/>
      <c r="C752" s="86"/>
      <c r="G752" s="125"/>
      <c r="I752" s="94"/>
      <c r="J752" s="95"/>
      <c r="K752" s="95"/>
    </row>
    <row r="753" spans="1:11">
      <c r="A753" s="95"/>
      <c r="C753" s="86"/>
      <c r="G753" s="125"/>
      <c r="I753" s="94"/>
      <c r="J753" s="95"/>
      <c r="K753" s="95"/>
    </row>
    <row r="754" spans="1:11">
      <c r="A754" s="95"/>
      <c r="C754" s="86"/>
      <c r="G754" s="125"/>
      <c r="I754" s="94"/>
      <c r="J754" s="95"/>
      <c r="K754" s="95"/>
    </row>
    <row r="755" spans="1:11">
      <c r="A755" s="95"/>
      <c r="C755" s="86"/>
      <c r="G755" s="125"/>
      <c r="I755" s="94"/>
      <c r="J755" s="95"/>
    </row>
    <row r="756" spans="1:11">
      <c r="A756" s="95"/>
      <c r="C756" s="86"/>
      <c r="G756" s="125"/>
      <c r="I756" s="94"/>
      <c r="J756" s="95"/>
    </row>
    <row r="757" spans="1:11">
      <c r="A757" s="95"/>
      <c r="C757" s="86"/>
      <c r="G757" s="125"/>
      <c r="I757" s="94"/>
      <c r="J757" s="95"/>
    </row>
    <row r="758" spans="1:11">
      <c r="A758" s="95"/>
      <c r="C758" s="86"/>
      <c r="G758" s="125"/>
      <c r="I758" s="94"/>
      <c r="J758" s="95"/>
    </row>
    <row r="759" spans="1:11">
      <c r="A759" s="95"/>
      <c r="C759" s="86"/>
      <c r="G759" s="125"/>
      <c r="I759" s="94"/>
      <c r="J759" s="95"/>
    </row>
  </sheetData>
  <autoFilter ref="A1:TT758"/>
  <sortState ref="A487:K551">
    <sortCondition ref="E487:E551"/>
  </sortState>
  <pageMargins left="0.7" right="0.7" top="0.75" bottom="0.75" header="0.3" footer="0.3"/>
  <pageSetup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290"/>
  <sheetViews>
    <sheetView zoomScale="74" zoomScaleNormal="74" workbookViewId="0">
      <pane ySplit="1" topLeftCell="A23" activePane="bottomLeft" state="frozen"/>
      <selection pane="bottomLeft" activeCell="K47" sqref="K47"/>
    </sheetView>
  </sheetViews>
  <sheetFormatPr defaultColWidth="9" defaultRowHeight="14"/>
  <cols>
    <col min="1" max="1" width="9" style="354"/>
    <col min="2" max="2" width="7.5859375" style="354" customWidth="1"/>
    <col min="3" max="3" width="9.1171875" style="354" customWidth="1"/>
    <col min="4" max="4" width="20.234375" style="369" customWidth="1"/>
    <col min="5" max="5" width="11" style="369" customWidth="1"/>
    <col min="6" max="6" width="11" style="354" customWidth="1"/>
    <col min="7" max="7" width="10.5859375" style="354" customWidth="1"/>
    <col min="8" max="8" width="10" style="354" customWidth="1"/>
    <col min="9" max="9" width="9.703125" style="354" customWidth="1"/>
    <col min="10" max="10" width="64.8203125" style="354" customWidth="1"/>
    <col min="11" max="11" width="11.52734375" style="373" customWidth="1"/>
    <col min="12" max="12" width="10.5859375" style="373" customWidth="1"/>
    <col min="13" max="13" width="11" style="373" customWidth="1"/>
    <col min="14" max="14" width="11.5859375" style="373" customWidth="1"/>
    <col min="15" max="15" width="11.234375" style="373" hidden="1" customWidth="1"/>
    <col min="16" max="16" width="10.234375" style="356" customWidth="1"/>
    <col min="17" max="17" width="12.234375" style="356" customWidth="1"/>
    <col min="18" max="18" width="11.5859375" style="356" customWidth="1"/>
    <col min="19" max="20" width="10.234375" style="356" customWidth="1"/>
    <col min="21" max="21" width="8.41015625" style="369" customWidth="1"/>
    <col min="22" max="22" width="11.1171875" style="354" customWidth="1"/>
    <col min="23" max="23" width="14.41015625" style="354" customWidth="1"/>
    <col min="24" max="24" width="31.1171875" style="354" customWidth="1"/>
    <col min="25" max="25" width="15" style="369" bestFit="1" customWidth="1"/>
    <col min="26" max="27" width="10.5859375" style="369" customWidth="1"/>
    <col min="28" max="28" width="11" style="369" customWidth="1"/>
    <col min="29" max="29" width="13.234375" style="369" customWidth="1"/>
    <col min="30" max="30" width="13.703125" style="354" customWidth="1"/>
    <col min="31" max="31" width="1.703125" style="354" customWidth="1"/>
    <col min="32" max="32" width="12.87890625" style="354" customWidth="1"/>
    <col min="33" max="33" width="12.234375" style="380" customWidth="1"/>
    <col min="34" max="34" width="18.17578125" style="354" customWidth="1"/>
    <col min="35" max="35" width="17.76171875" style="354" customWidth="1"/>
    <col min="36" max="36" width="14.5859375" style="354" customWidth="1"/>
    <col min="37" max="37" width="11" style="354" bestFit="1" customWidth="1"/>
    <col min="38" max="38" width="10.234375" style="354" bestFit="1" customWidth="1"/>
    <col min="39" max="16384" width="9" style="354"/>
  </cols>
  <sheetData>
    <row r="1" spans="1:34" ht="49.95" customHeight="1">
      <c r="A1" s="381"/>
      <c r="B1" s="381" t="s">
        <v>107</v>
      </c>
      <c r="C1" s="381" t="s">
        <v>108</v>
      </c>
      <c r="D1" s="381" t="s">
        <v>278</v>
      </c>
      <c r="E1" s="381" t="s">
        <v>528</v>
      </c>
      <c r="F1" s="381" t="s">
        <v>65</v>
      </c>
      <c r="G1" s="381" t="s">
        <v>245</v>
      </c>
      <c r="H1" s="381" t="s">
        <v>193</v>
      </c>
      <c r="I1" s="381" t="s">
        <v>112</v>
      </c>
      <c r="J1" s="381" t="s">
        <v>109</v>
      </c>
      <c r="K1" s="381" t="s">
        <v>194</v>
      </c>
      <c r="L1" s="382" t="s">
        <v>6</v>
      </c>
      <c r="M1" s="382" t="s">
        <v>624</v>
      </c>
      <c r="N1" s="382" t="s">
        <v>37</v>
      </c>
      <c r="O1" s="493" t="s">
        <v>314</v>
      </c>
      <c r="P1" s="382" t="s">
        <v>18</v>
      </c>
      <c r="Q1" s="382" t="s">
        <v>379</v>
      </c>
      <c r="R1" s="382" t="s">
        <v>195</v>
      </c>
      <c r="S1" s="382" t="s">
        <v>38</v>
      </c>
      <c r="T1" s="382" t="s">
        <v>62</v>
      </c>
      <c r="U1" s="382" t="s">
        <v>89</v>
      </c>
      <c r="V1" s="381" t="s">
        <v>104</v>
      </c>
      <c r="W1" s="381" t="s">
        <v>110</v>
      </c>
      <c r="X1" s="381" t="s">
        <v>79</v>
      </c>
      <c r="Y1" s="381" t="s">
        <v>196</v>
      </c>
      <c r="Z1" s="381" t="s">
        <v>499</v>
      </c>
      <c r="AA1" s="381" t="s">
        <v>498</v>
      </c>
      <c r="AB1" s="381" t="s">
        <v>501</v>
      </c>
      <c r="AC1" s="381" t="s">
        <v>497</v>
      </c>
      <c r="AD1" s="381" t="s">
        <v>500</v>
      </c>
      <c r="AG1" s="354"/>
      <c r="AH1" s="380"/>
    </row>
    <row r="2" spans="1:34">
      <c r="B2" s="383" t="s">
        <v>190</v>
      </c>
      <c r="C2" s="383" t="s">
        <v>280</v>
      </c>
      <c r="D2" s="384">
        <v>42584</v>
      </c>
      <c r="E2" s="384">
        <v>42566</v>
      </c>
      <c r="F2" s="385">
        <v>42566</v>
      </c>
      <c r="G2" s="385">
        <f>F2+14</f>
        <v>42580</v>
      </c>
      <c r="H2" s="386">
        <v>42585</v>
      </c>
      <c r="I2" s="392" t="str">
        <f>TEXT(H2,"mmm-yy")</f>
        <v>Aug-16</v>
      </c>
      <c r="J2" s="397" t="s">
        <v>204</v>
      </c>
      <c r="K2" s="383" t="s">
        <v>205</v>
      </c>
      <c r="L2" s="387">
        <v>3313.85</v>
      </c>
      <c r="M2" s="521"/>
      <c r="N2" s="387">
        <f>SUM(L2:M2)</f>
        <v>3313.85</v>
      </c>
      <c r="O2" s="494">
        <f>L2*1.1</f>
        <v>3645.2350000000001</v>
      </c>
      <c r="P2" s="388" t="e">
        <f>GETPIVOTDATA("Debit",$J$101,"Type of Cost","DJC","Project Cost","NBN Greenfields AYCA-2KHI4F The Vault ")</f>
        <v>#REF!</v>
      </c>
      <c r="Q2" s="388">
        <v>1442.6868712998539</v>
      </c>
      <c r="R2" s="388">
        <f>G95</f>
        <v>0</v>
      </c>
      <c r="S2" s="389" t="e">
        <f>SUM(P2:R2)</f>
        <v>#REF!</v>
      </c>
      <c r="T2" s="501" t="e">
        <f t="shared" ref="T2:T11" si="0">L2-S2</f>
        <v>#REF!</v>
      </c>
      <c r="U2" s="498" t="e">
        <f t="shared" ref="U2:U11" si="1">T2/L2</f>
        <v>#REF!</v>
      </c>
      <c r="V2" s="391" t="s">
        <v>199</v>
      </c>
      <c r="W2" s="392">
        <f t="shared" ref="W2:W38" si="2">G2+14</f>
        <v>42594</v>
      </c>
      <c r="X2" s="383" t="s">
        <v>200</v>
      </c>
      <c r="Y2" s="393" t="s">
        <v>206</v>
      </c>
      <c r="Z2" s="384">
        <v>42527</v>
      </c>
      <c r="AA2" s="384">
        <v>42541</v>
      </c>
      <c r="AB2" s="394">
        <f>AA2-Z2</f>
        <v>14</v>
      </c>
      <c r="AC2" s="384">
        <v>42610</v>
      </c>
      <c r="AD2" s="395">
        <f>AC2-AA2</f>
        <v>69</v>
      </c>
    </row>
    <row r="3" spans="1:34">
      <c r="B3" s="383" t="s">
        <v>190</v>
      </c>
      <c r="C3" s="397" t="s">
        <v>233</v>
      </c>
      <c r="D3" s="398">
        <v>42564</v>
      </c>
      <c r="E3" s="420">
        <v>42557</v>
      </c>
      <c r="F3" s="400">
        <v>42558</v>
      </c>
      <c r="G3" s="400">
        <f>F3+14</f>
        <v>42572</v>
      </c>
      <c r="H3" s="386">
        <v>42963</v>
      </c>
      <c r="I3" s="392" t="str">
        <f>TEXT(G3,"mmm-yy")</f>
        <v>Jul-16</v>
      </c>
      <c r="J3" s="397" t="s">
        <v>207</v>
      </c>
      <c r="K3" s="383" t="s">
        <v>208</v>
      </c>
      <c r="L3" s="387">
        <v>4261.26</v>
      </c>
      <c r="M3" s="522">
        <v>-900</v>
      </c>
      <c r="N3" s="387">
        <f>SUM(L3:M3)</f>
        <v>3361.26</v>
      </c>
      <c r="O3" s="494">
        <f>L3*1.1</f>
        <v>4687.3860000000004</v>
      </c>
      <c r="P3" s="388" t="e">
        <f>GETPIVOTDATA("Debit",$J$101,"Type of Cost","DJC ","Project Cost","NBN Greenfields AYCA-1RX8QD Redgum Ridge Estate - 12")</f>
        <v>#REF!</v>
      </c>
      <c r="Q3" s="388">
        <v>1208.710058644333</v>
      </c>
      <c r="R3" s="388">
        <f>G131</f>
        <v>0</v>
      </c>
      <c r="S3" s="388" t="e">
        <f>SUM(P3:R3)</f>
        <v>#REF!</v>
      </c>
      <c r="T3" s="388" t="e">
        <f t="shared" si="0"/>
        <v>#REF!</v>
      </c>
      <c r="U3" s="390" t="e">
        <f t="shared" si="1"/>
        <v>#REF!</v>
      </c>
      <c r="V3" s="391" t="s">
        <v>199</v>
      </c>
      <c r="W3" s="392">
        <f t="shared" si="2"/>
        <v>42586</v>
      </c>
      <c r="X3" s="383" t="s">
        <v>200</v>
      </c>
      <c r="Y3" s="393" t="s">
        <v>201</v>
      </c>
      <c r="Z3" s="398">
        <v>42535</v>
      </c>
      <c r="AA3" s="398">
        <v>42541</v>
      </c>
      <c r="AB3" s="394">
        <f>AA3-Z3</f>
        <v>6</v>
      </c>
      <c r="AC3" s="398">
        <v>42556</v>
      </c>
      <c r="AD3" s="395">
        <f>AC3-AA3</f>
        <v>15</v>
      </c>
    </row>
    <row r="4" spans="1:34">
      <c r="B4" s="404" t="s">
        <v>190</v>
      </c>
      <c r="C4" s="405" t="s">
        <v>582</v>
      </c>
      <c r="D4" s="406">
        <v>42660</v>
      </c>
      <c r="E4" s="406">
        <v>42600</v>
      </c>
      <c r="F4" s="400">
        <v>42654</v>
      </c>
      <c r="G4" s="400">
        <v>42660</v>
      </c>
      <c r="H4" s="386">
        <f>G4+14</f>
        <v>42674</v>
      </c>
      <c r="I4" s="411" t="str">
        <f>TEXT(F4,"mmm-yy")</f>
        <v>Oct-16</v>
      </c>
      <c r="J4" s="405" t="s">
        <v>574</v>
      </c>
      <c r="K4" s="405" t="s">
        <v>209</v>
      </c>
      <c r="L4" s="418">
        <v>4018.06</v>
      </c>
      <c r="M4" s="418">
        <v>935</v>
      </c>
      <c r="N4" s="387">
        <f>SUM(L4:M4)</f>
        <v>4953.0599999999995</v>
      </c>
      <c r="O4" s="495">
        <f>1.1*SUM(L4:L4)</f>
        <v>4419.866</v>
      </c>
      <c r="P4" s="408" t="e">
        <f>GETPIVOTDATA("Debit",$J$101,"Type of Cost","DJC","Project Cost","NBN Greenfields AYCA-2PFFWC - 19 Brae Street, Prospect ")</f>
        <v>#REF!</v>
      </c>
      <c r="Q4" s="408">
        <v>1582.647028001287</v>
      </c>
      <c r="R4" s="408">
        <f>G127</f>
        <v>0</v>
      </c>
      <c r="S4" s="409" t="e">
        <f t="shared" ref="S4:S11" si="3">SUM(P4:R4)</f>
        <v>#REF!</v>
      </c>
      <c r="T4" s="408" t="e">
        <f>SUM(L4:L4)-S4</f>
        <v>#REF!</v>
      </c>
      <c r="U4" s="410" t="e">
        <f t="shared" si="1"/>
        <v>#REF!</v>
      </c>
      <c r="V4" s="391" t="s">
        <v>199</v>
      </c>
      <c r="W4" s="392">
        <f t="shared" si="2"/>
        <v>42674</v>
      </c>
      <c r="X4" s="404" t="s">
        <v>200</v>
      </c>
      <c r="Y4" s="412" t="s">
        <v>210</v>
      </c>
      <c r="Z4" s="406">
        <v>42537</v>
      </c>
      <c r="AA4" s="406">
        <v>42550</v>
      </c>
      <c r="AB4" s="413">
        <f>AA4-Z4</f>
        <v>13</v>
      </c>
      <c r="AC4" s="406">
        <v>42572</v>
      </c>
      <c r="AD4" s="414">
        <f>AC4-AA4</f>
        <v>22</v>
      </c>
    </row>
    <row r="5" spans="1:34">
      <c r="B5" s="383" t="s">
        <v>190</v>
      </c>
      <c r="C5" s="383" t="s">
        <v>342</v>
      </c>
      <c r="D5" s="384">
        <v>42597</v>
      </c>
      <c r="E5" s="384">
        <v>42573</v>
      </c>
      <c r="F5" s="385">
        <v>42612</v>
      </c>
      <c r="G5" s="401">
        <f>F5+14</f>
        <v>42626</v>
      </c>
      <c r="H5" s="386">
        <v>42597</v>
      </c>
      <c r="I5" s="392" t="str">
        <f t="shared" ref="I5:I13" si="4">TEXT(H5,"mmm-yy")</f>
        <v>Aug-16</v>
      </c>
      <c r="J5" s="397" t="s">
        <v>211</v>
      </c>
      <c r="K5" s="397" t="s">
        <v>212</v>
      </c>
      <c r="L5" s="418">
        <v>771.34</v>
      </c>
      <c r="M5" s="521"/>
      <c r="N5" s="387">
        <f t="shared" ref="N5:N40" si="5">SUM(L5:M5)</f>
        <v>771.34</v>
      </c>
      <c r="O5" s="494">
        <f t="shared" ref="O5:O40" si="6">N5*1.1</f>
        <v>848.47400000000016</v>
      </c>
      <c r="P5" s="388" t="e">
        <f>GETPIVOTDATA("Debit",$J$101,"Type of Cost","DJC ","Project Cost","NBN Greenfields AYCA-24VU33 Bunya Lot 3075-3077")</f>
        <v>#REF!</v>
      </c>
      <c r="Q5" s="388"/>
      <c r="R5" s="388">
        <f>G102</f>
        <v>0</v>
      </c>
      <c r="S5" s="389" t="e">
        <f t="shared" si="3"/>
        <v>#REF!</v>
      </c>
      <c r="T5" s="388" t="e">
        <f t="shared" si="0"/>
        <v>#REF!</v>
      </c>
      <c r="U5" s="390" t="e">
        <f t="shared" si="1"/>
        <v>#REF!</v>
      </c>
      <c r="V5" s="391" t="s">
        <v>199</v>
      </c>
      <c r="W5" s="392">
        <f t="shared" si="2"/>
        <v>42640</v>
      </c>
      <c r="X5" s="383" t="s">
        <v>200</v>
      </c>
      <c r="Y5" s="393" t="s">
        <v>210</v>
      </c>
      <c r="Z5" s="398">
        <v>42537</v>
      </c>
      <c r="AA5" s="398">
        <v>42556</v>
      </c>
      <c r="AB5" s="395">
        <f t="shared" ref="AB5:AB19" si="7">AA5-Z5</f>
        <v>19</v>
      </c>
      <c r="AC5" s="398">
        <v>42582</v>
      </c>
      <c r="AD5" s="395">
        <f t="shared" ref="AD5:AD14" si="8">AC5-AA5</f>
        <v>26</v>
      </c>
    </row>
    <row r="6" spans="1:34">
      <c r="B6" s="383" t="s">
        <v>190</v>
      </c>
      <c r="C6" s="383" t="s">
        <v>341</v>
      </c>
      <c r="D6" s="384">
        <v>42597</v>
      </c>
      <c r="E6" s="384">
        <v>42573</v>
      </c>
      <c r="F6" s="385">
        <v>42612</v>
      </c>
      <c r="G6" s="401">
        <f t="shared" ref="G6:G12" si="9">F6+14</f>
        <v>42626</v>
      </c>
      <c r="H6" s="386">
        <v>42597</v>
      </c>
      <c r="I6" s="392" t="str">
        <f t="shared" si="4"/>
        <v>Aug-16</v>
      </c>
      <c r="J6" s="397" t="s">
        <v>213</v>
      </c>
      <c r="K6" s="397" t="s">
        <v>212</v>
      </c>
      <c r="L6" s="418">
        <v>5884.1</v>
      </c>
      <c r="M6" s="521"/>
      <c r="N6" s="387">
        <f t="shared" si="5"/>
        <v>5884.1</v>
      </c>
      <c r="O6" s="494">
        <f t="shared" si="6"/>
        <v>6472.5100000000011</v>
      </c>
      <c r="P6" s="388" t="e">
        <f>GETPIVOTDATA("Debit",$J$101,"Type of Cost","DJC ","Project Cost","NBN Greenfields AYCA-24VUME - Bunya Lot 6208")</f>
        <v>#REF!</v>
      </c>
      <c r="Q6" s="388"/>
      <c r="R6" s="388">
        <f>G100</f>
        <v>0</v>
      </c>
      <c r="S6" s="389" t="e">
        <f t="shared" si="3"/>
        <v>#REF!</v>
      </c>
      <c r="T6" s="388" t="e">
        <f t="shared" si="0"/>
        <v>#REF!</v>
      </c>
      <c r="U6" s="390" t="e">
        <f t="shared" si="1"/>
        <v>#REF!</v>
      </c>
      <c r="V6" s="391" t="s">
        <v>199</v>
      </c>
      <c r="W6" s="392">
        <f t="shared" si="2"/>
        <v>42640</v>
      </c>
      <c r="X6" s="383" t="s">
        <v>200</v>
      </c>
      <c r="Y6" s="393" t="s">
        <v>210</v>
      </c>
      <c r="Z6" s="398">
        <v>42537</v>
      </c>
      <c r="AA6" s="398">
        <v>42557</v>
      </c>
      <c r="AB6" s="395">
        <f t="shared" si="7"/>
        <v>20</v>
      </c>
      <c r="AC6" s="398">
        <v>42582</v>
      </c>
      <c r="AD6" s="395">
        <f t="shared" si="8"/>
        <v>25</v>
      </c>
    </row>
    <row r="7" spans="1:34">
      <c r="B7" s="383" t="s">
        <v>190</v>
      </c>
      <c r="C7" s="383" t="s">
        <v>337</v>
      </c>
      <c r="D7" s="384">
        <v>42597</v>
      </c>
      <c r="E7" s="384">
        <v>42573</v>
      </c>
      <c r="F7" s="385">
        <v>42612</v>
      </c>
      <c r="G7" s="401">
        <f t="shared" si="9"/>
        <v>42626</v>
      </c>
      <c r="H7" s="386">
        <v>42597</v>
      </c>
      <c r="I7" s="392" t="str">
        <f t="shared" si="4"/>
        <v>Aug-16</v>
      </c>
      <c r="J7" s="397" t="s">
        <v>214</v>
      </c>
      <c r="K7" s="397" t="s">
        <v>212</v>
      </c>
      <c r="L7" s="418">
        <v>2528.1</v>
      </c>
      <c r="M7" s="521"/>
      <c r="N7" s="387">
        <f t="shared" si="5"/>
        <v>2528.1</v>
      </c>
      <c r="O7" s="494">
        <f t="shared" si="6"/>
        <v>2780.9100000000003</v>
      </c>
      <c r="P7" s="388" t="e">
        <f>GETPIVOTDATA("Debit",$J$101,"Type of Cost","DJC ","Project Cost","NBN Greenfields AYCA-24VSRG - Bunya Lot 2272")</f>
        <v>#REF!</v>
      </c>
      <c r="Q7" s="388"/>
      <c r="R7" s="388">
        <f>G105</f>
        <v>0</v>
      </c>
      <c r="S7" s="389" t="e">
        <f t="shared" si="3"/>
        <v>#REF!</v>
      </c>
      <c r="T7" s="388" t="e">
        <f t="shared" si="0"/>
        <v>#REF!</v>
      </c>
      <c r="U7" s="390" t="e">
        <f t="shared" si="1"/>
        <v>#REF!</v>
      </c>
      <c r="V7" s="391" t="s">
        <v>199</v>
      </c>
      <c r="W7" s="392">
        <f t="shared" si="2"/>
        <v>42640</v>
      </c>
      <c r="X7" s="383" t="s">
        <v>200</v>
      </c>
      <c r="Y7" s="393" t="s">
        <v>210</v>
      </c>
      <c r="Z7" s="398">
        <v>42548</v>
      </c>
      <c r="AA7" s="398">
        <v>42556</v>
      </c>
      <c r="AB7" s="417">
        <f t="shared" si="7"/>
        <v>8</v>
      </c>
      <c r="AC7" s="398">
        <v>42580</v>
      </c>
      <c r="AD7" s="395">
        <f t="shared" si="8"/>
        <v>24</v>
      </c>
    </row>
    <row r="8" spans="1:34">
      <c r="B8" s="383" t="s">
        <v>190</v>
      </c>
      <c r="C8" s="383" t="s">
        <v>348</v>
      </c>
      <c r="D8" s="384">
        <v>42597</v>
      </c>
      <c r="E8" s="384">
        <v>42573</v>
      </c>
      <c r="F8" s="385">
        <v>42612</v>
      </c>
      <c r="G8" s="401">
        <f t="shared" si="9"/>
        <v>42626</v>
      </c>
      <c r="H8" s="386">
        <v>42597</v>
      </c>
      <c r="I8" s="392" t="str">
        <f t="shared" si="4"/>
        <v>Aug-16</v>
      </c>
      <c r="J8" s="397" t="s">
        <v>215</v>
      </c>
      <c r="K8" s="397" t="s">
        <v>212</v>
      </c>
      <c r="L8" s="418">
        <v>2736.89</v>
      </c>
      <c r="M8" s="521"/>
      <c r="N8" s="387">
        <f t="shared" si="5"/>
        <v>2736.89</v>
      </c>
      <c r="O8" s="494">
        <f t="shared" si="6"/>
        <v>3010.5790000000002</v>
      </c>
      <c r="P8" s="388" t="e">
        <f>GETPIVOTDATA("Debit",$J$101,"Type of Cost","DJC ","Project Cost","NBN Greenfields AYCA-24VUGB - Bunya Lot 6000")</f>
        <v>#REF!</v>
      </c>
      <c r="Q8" s="388"/>
      <c r="R8" s="388">
        <f>G101</f>
        <v>0</v>
      </c>
      <c r="S8" s="389" t="e">
        <f t="shared" si="3"/>
        <v>#REF!</v>
      </c>
      <c r="T8" s="388" t="e">
        <f t="shared" si="0"/>
        <v>#REF!</v>
      </c>
      <c r="U8" s="390" t="e">
        <f t="shared" si="1"/>
        <v>#REF!</v>
      </c>
      <c r="V8" s="391" t="s">
        <v>199</v>
      </c>
      <c r="W8" s="392">
        <f t="shared" si="2"/>
        <v>42640</v>
      </c>
      <c r="X8" s="383" t="s">
        <v>200</v>
      </c>
      <c r="Y8" s="393" t="s">
        <v>210</v>
      </c>
      <c r="Z8" s="398">
        <v>42548</v>
      </c>
      <c r="AA8" s="398">
        <v>42556</v>
      </c>
      <c r="AB8" s="417">
        <f t="shared" si="7"/>
        <v>8</v>
      </c>
      <c r="AC8" s="398">
        <v>42580</v>
      </c>
      <c r="AD8" s="395">
        <f t="shared" si="8"/>
        <v>24</v>
      </c>
    </row>
    <row r="9" spans="1:34">
      <c r="B9" s="383" t="s">
        <v>190</v>
      </c>
      <c r="C9" s="383" t="s">
        <v>340</v>
      </c>
      <c r="D9" s="384">
        <v>42597</v>
      </c>
      <c r="E9" s="384">
        <v>42573</v>
      </c>
      <c r="F9" s="385">
        <v>42612</v>
      </c>
      <c r="G9" s="401">
        <f t="shared" si="9"/>
        <v>42626</v>
      </c>
      <c r="H9" s="386">
        <v>42597</v>
      </c>
      <c r="I9" s="392" t="str">
        <f t="shared" si="4"/>
        <v>Aug-16</v>
      </c>
      <c r="J9" s="397" t="s">
        <v>547</v>
      </c>
      <c r="K9" s="397" t="s">
        <v>212</v>
      </c>
      <c r="L9" s="418">
        <v>2248.67</v>
      </c>
      <c r="M9" s="418">
        <v>100</v>
      </c>
      <c r="N9" s="387">
        <f t="shared" si="5"/>
        <v>2348.67</v>
      </c>
      <c r="O9" s="494">
        <f t="shared" si="6"/>
        <v>2583.5370000000003</v>
      </c>
      <c r="P9" s="388" t="e">
        <f>GETPIVOTDATA("Debit",$J$101,"Type of Cost","DJC ","Project Cost","NBN Greenfields AYCA-24VUJT - Bunya Lot 6207")</f>
        <v>#REF!</v>
      </c>
      <c r="Q9" s="388"/>
      <c r="R9" s="388">
        <f>G99</f>
        <v>0</v>
      </c>
      <c r="S9" s="389" t="e">
        <f t="shared" si="3"/>
        <v>#REF!</v>
      </c>
      <c r="T9" s="388" t="e">
        <f t="shared" si="0"/>
        <v>#REF!</v>
      </c>
      <c r="U9" s="390" t="e">
        <f t="shared" si="1"/>
        <v>#REF!</v>
      </c>
      <c r="V9" s="391" t="s">
        <v>199</v>
      </c>
      <c r="W9" s="392">
        <f t="shared" si="2"/>
        <v>42640</v>
      </c>
      <c r="X9" s="383" t="s">
        <v>200</v>
      </c>
      <c r="Y9" s="393" t="s">
        <v>210</v>
      </c>
      <c r="Z9" s="398">
        <v>42548</v>
      </c>
      <c r="AA9" s="398">
        <v>42556</v>
      </c>
      <c r="AB9" s="417">
        <f t="shared" si="7"/>
        <v>8</v>
      </c>
      <c r="AC9" s="398">
        <v>42580</v>
      </c>
      <c r="AD9" s="395">
        <f t="shared" si="8"/>
        <v>24</v>
      </c>
    </row>
    <row r="10" spans="1:34">
      <c r="B10" s="383" t="s">
        <v>190</v>
      </c>
      <c r="C10" s="383" t="s">
        <v>338</v>
      </c>
      <c r="D10" s="384">
        <v>42597</v>
      </c>
      <c r="E10" s="384">
        <v>42573</v>
      </c>
      <c r="F10" s="385">
        <v>42612</v>
      </c>
      <c r="G10" s="401">
        <f t="shared" si="9"/>
        <v>42626</v>
      </c>
      <c r="H10" s="386">
        <v>42597</v>
      </c>
      <c r="I10" s="392" t="str">
        <f t="shared" si="4"/>
        <v>Aug-16</v>
      </c>
      <c r="J10" s="397" t="s">
        <v>548</v>
      </c>
      <c r="K10" s="397" t="s">
        <v>212</v>
      </c>
      <c r="L10" s="418">
        <v>2399.02</v>
      </c>
      <c r="M10" s="418">
        <v>100</v>
      </c>
      <c r="N10" s="387">
        <f t="shared" si="5"/>
        <v>2499.02</v>
      </c>
      <c r="O10" s="494">
        <f t="shared" si="6"/>
        <v>2748.922</v>
      </c>
      <c r="P10" s="388" t="e">
        <f>GETPIVOTDATA("Debit",$J$101,"Type of Cost","DJC ","Project Cost","NBN Greenfields AYCA-24VU6N - Bunya Lot 5014")</f>
        <v>#REF!</v>
      </c>
      <c r="Q10" s="388"/>
      <c r="R10" s="388">
        <f>G104</f>
        <v>0</v>
      </c>
      <c r="S10" s="389" t="e">
        <f t="shared" si="3"/>
        <v>#REF!</v>
      </c>
      <c r="T10" s="388" t="e">
        <f t="shared" si="0"/>
        <v>#REF!</v>
      </c>
      <c r="U10" s="390" t="e">
        <f t="shared" si="1"/>
        <v>#REF!</v>
      </c>
      <c r="V10" s="391" t="s">
        <v>199</v>
      </c>
      <c r="W10" s="392">
        <f t="shared" si="2"/>
        <v>42640</v>
      </c>
      <c r="X10" s="383" t="s">
        <v>200</v>
      </c>
      <c r="Y10" s="393" t="s">
        <v>210</v>
      </c>
      <c r="Z10" s="398">
        <v>42548</v>
      </c>
      <c r="AA10" s="398">
        <v>42556</v>
      </c>
      <c r="AB10" s="417">
        <f t="shared" si="7"/>
        <v>8</v>
      </c>
      <c r="AC10" s="398">
        <v>42580</v>
      </c>
      <c r="AD10" s="395">
        <f t="shared" si="8"/>
        <v>24</v>
      </c>
    </row>
    <row r="11" spans="1:34">
      <c r="B11" s="404" t="s">
        <v>190</v>
      </c>
      <c r="C11" s="383" t="s">
        <v>339</v>
      </c>
      <c r="D11" s="384">
        <v>42597</v>
      </c>
      <c r="E11" s="384">
        <v>42573</v>
      </c>
      <c r="F11" s="385">
        <v>42612</v>
      </c>
      <c r="G11" s="401">
        <f t="shared" si="9"/>
        <v>42626</v>
      </c>
      <c r="H11" s="386">
        <v>42597</v>
      </c>
      <c r="I11" s="392" t="str">
        <f t="shared" si="4"/>
        <v>Aug-16</v>
      </c>
      <c r="J11" s="397" t="s">
        <v>216</v>
      </c>
      <c r="K11" s="397" t="s">
        <v>212</v>
      </c>
      <c r="L11" s="418">
        <v>2241.84</v>
      </c>
      <c r="M11" s="521"/>
      <c r="N11" s="387">
        <f t="shared" si="5"/>
        <v>2241.84</v>
      </c>
      <c r="O11" s="494">
        <f t="shared" si="6"/>
        <v>2466.0240000000003</v>
      </c>
      <c r="P11" s="388" t="e">
        <f>GETPIVOTDATA("Debit",$J$101,"Type of Cost","DJC ","Project Cost","NBN Greenfields AYCA-24VU9K - Bunya Lot 5055")</f>
        <v>#REF!</v>
      </c>
      <c r="Q11" s="388"/>
      <c r="R11" s="388">
        <f>G103</f>
        <v>0</v>
      </c>
      <c r="S11" s="389" t="e">
        <f t="shared" si="3"/>
        <v>#REF!</v>
      </c>
      <c r="T11" s="388" t="e">
        <f t="shared" si="0"/>
        <v>#REF!</v>
      </c>
      <c r="U11" s="390" t="e">
        <f t="shared" si="1"/>
        <v>#REF!</v>
      </c>
      <c r="V11" s="391" t="s">
        <v>199</v>
      </c>
      <c r="W11" s="392">
        <f t="shared" si="2"/>
        <v>42640</v>
      </c>
      <c r="X11" s="383" t="s">
        <v>200</v>
      </c>
      <c r="Y11" s="393" t="s">
        <v>210</v>
      </c>
      <c r="Z11" s="398">
        <v>42548</v>
      </c>
      <c r="AA11" s="398">
        <v>42556</v>
      </c>
      <c r="AB11" s="417">
        <f t="shared" si="7"/>
        <v>8</v>
      </c>
      <c r="AC11" s="398">
        <v>42580</v>
      </c>
      <c r="AD11" s="395">
        <f t="shared" si="8"/>
        <v>24</v>
      </c>
    </row>
    <row r="12" spans="1:34">
      <c r="B12" s="404" t="s">
        <v>190</v>
      </c>
      <c r="C12" s="383" t="s">
        <v>336</v>
      </c>
      <c r="D12" s="384">
        <v>42597</v>
      </c>
      <c r="E12" s="384">
        <v>42573</v>
      </c>
      <c r="F12" s="385">
        <v>42612</v>
      </c>
      <c r="G12" s="401">
        <f t="shared" si="9"/>
        <v>42626</v>
      </c>
      <c r="H12" s="386">
        <v>42597</v>
      </c>
      <c r="I12" s="392" t="str">
        <f t="shared" si="4"/>
        <v>Aug-16</v>
      </c>
      <c r="J12" s="397" t="s">
        <v>334</v>
      </c>
      <c r="K12" s="397" t="s">
        <v>212</v>
      </c>
      <c r="L12" s="418">
        <v>1033.8900000000001</v>
      </c>
      <c r="M12" s="521"/>
      <c r="N12" s="387">
        <f t="shared" si="5"/>
        <v>1033.8900000000001</v>
      </c>
      <c r="O12" s="494">
        <f t="shared" si="6"/>
        <v>1137.2790000000002</v>
      </c>
      <c r="Q12" s="388">
        <v>450.10472090414652</v>
      </c>
      <c r="R12" s="388">
        <f>G106</f>
        <v>0</v>
      </c>
      <c r="S12" s="389">
        <f>SUM(Q12:R12)</f>
        <v>450.10472090414652</v>
      </c>
      <c r="T12" s="388">
        <f>L12-S12</f>
        <v>583.78527909585364</v>
      </c>
      <c r="U12" s="390">
        <f>T12/L12</f>
        <v>0.56464931384949424</v>
      </c>
      <c r="V12" s="391" t="s">
        <v>199</v>
      </c>
      <c r="W12" s="392">
        <f t="shared" si="2"/>
        <v>42640</v>
      </c>
      <c r="X12" s="383" t="s">
        <v>200</v>
      </c>
      <c r="Y12" s="393" t="s">
        <v>210</v>
      </c>
      <c r="Z12" s="420">
        <v>42559</v>
      </c>
      <c r="AA12" s="420">
        <v>42580</v>
      </c>
      <c r="AB12" s="421">
        <f t="shared" si="7"/>
        <v>21</v>
      </c>
      <c r="AC12" s="420">
        <v>42596</v>
      </c>
      <c r="AD12" s="395">
        <f t="shared" si="8"/>
        <v>16</v>
      </c>
    </row>
    <row r="13" spans="1:34">
      <c r="B13" s="383" t="s">
        <v>190</v>
      </c>
      <c r="C13" s="397" t="s">
        <v>429</v>
      </c>
      <c r="D13" s="422">
        <v>42592</v>
      </c>
      <c r="E13" s="422">
        <v>42516</v>
      </c>
      <c r="F13" s="385">
        <v>42516</v>
      </c>
      <c r="G13" s="385">
        <f t="shared" ref="G13:G19" si="10">F13+14</f>
        <v>42530</v>
      </c>
      <c r="H13" s="386">
        <v>42592</v>
      </c>
      <c r="I13" s="392" t="str">
        <f t="shared" si="4"/>
        <v>Aug-16</v>
      </c>
      <c r="J13" s="397" t="s">
        <v>218</v>
      </c>
      <c r="K13" s="383" t="s">
        <v>219</v>
      </c>
      <c r="L13" s="423">
        <v>7731.44</v>
      </c>
      <c r="M13" s="521"/>
      <c r="N13" s="387">
        <f t="shared" si="5"/>
        <v>7731.44</v>
      </c>
      <c r="O13" s="494">
        <f t="shared" si="6"/>
        <v>8504.5840000000007</v>
      </c>
      <c r="P13" s="389">
        <v>3683.05</v>
      </c>
      <c r="Q13" s="424"/>
      <c r="R13" s="389">
        <f>G98</f>
        <v>0</v>
      </c>
      <c r="S13" s="389">
        <f>SUM(P13:R13)</f>
        <v>3683.05</v>
      </c>
      <c r="T13" s="388">
        <f>L13-S13</f>
        <v>4048.3899999999994</v>
      </c>
      <c r="U13" s="390">
        <f>T13/L13</f>
        <v>0.52362690520782673</v>
      </c>
      <c r="V13" s="391" t="s">
        <v>199</v>
      </c>
      <c r="W13" s="392">
        <f t="shared" si="2"/>
        <v>42544</v>
      </c>
      <c r="X13" s="383" t="s">
        <v>200</v>
      </c>
      <c r="Y13" s="393" t="s">
        <v>220</v>
      </c>
      <c r="Z13" s="384">
        <v>42475</v>
      </c>
      <c r="AA13" s="384">
        <v>42486</v>
      </c>
      <c r="AB13" s="394">
        <f t="shared" si="7"/>
        <v>11</v>
      </c>
      <c r="AC13" s="384">
        <v>42489</v>
      </c>
      <c r="AD13" s="395">
        <f t="shared" si="8"/>
        <v>3</v>
      </c>
    </row>
    <row r="14" spans="1:34">
      <c r="B14" s="383" t="s">
        <v>190</v>
      </c>
      <c r="C14" s="532" t="s">
        <v>277</v>
      </c>
      <c r="D14" s="384">
        <v>42564</v>
      </c>
      <c r="E14" s="384">
        <v>42516</v>
      </c>
      <c r="F14" s="385">
        <v>42516</v>
      </c>
      <c r="G14" s="385">
        <f t="shared" si="10"/>
        <v>42530</v>
      </c>
      <c r="H14" s="386">
        <v>42537</v>
      </c>
      <c r="I14" s="411" t="str">
        <f>TEXT(F14,"mmm-yy")</f>
        <v>May-16</v>
      </c>
      <c r="J14" s="405" t="s">
        <v>221</v>
      </c>
      <c r="K14" s="404" t="s">
        <v>222</v>
      </c>
      <c r="L14" s="425">
        <v>2005.7</v>
      </c>
      <c r="M14" s="418">
        <v>1380.9</v>
      </c>
      <c r="N14" s="387">
        <f t="shared" si="5"/>
        <v>3386.6000000000004</v>
      </c>
      <c r="O14" s="494">
        <f t="shared" si="6"/>
        <v>3725.2600000000007</v>
      </c>
      <c r="P14" s="409">
        <v>275</v>
      </c>
      <c r="Q14" s="426"/>
      <c r="R14" s="426">
        <v>943.43</v>
      </c>
      <c r="S14" s="426">
        <f>SUM(P14:R14)</f>
        <v>1218.4299999999998</v>
      </c>
      <c r="T14" s="408">
        <f>SUM(L14:L14)-S14</f>
        <v>787.27000000000021</v>
      </c>
      <c r="U14" s="410">
        <f>T14/L14:L14</f>
        <v>0.39251632846387802</v>
      </c>
      <c r="V14" s="427" t="s">
        <v>199</v>
      </c>
      <c r="W14" s="392">
        <f t="shared" si="2"/>
        <v>42544</v>
      </c>
      <c r="X14" s="404" t="s">
        <v>200</v>
      </c>
      <c r="Y14" s="412" t="s">
        <v>223</v>
      </c>
      <c r="Z14" s="406">
        <v>42494</v>
      </c>
      <c r="AA14" s="406">
        <v>42501</v>
      </c>
      <c r="AB14" s="413">
        <f t="shared" si="7"/>
        <v>7</v>
      </c>
      <c r="AC14" s="406">
        <v>42532</v>
      </c>
      <c r="AD14" s="414">
        <f t="shared" si="8"/>
        <v>31</v>
      </c>
    </row>
    <row r="15" spans="1:34">
      <c r="B15" s="416" t="s">
        <v>190</v>
      </c>
      <c r="C15" s="216" t="s">
        <v>236</v>
      </c>
      <c r="D15" s="531">
        <v>42564</v>
      </c>
      <c r="E15" s="531">
        <v>42521</v>
      </c>
      <c r="F15" s="401">
        <v>42528</v>
      </c>
      <c r="G15" s="401">
        <f t="shared" si="10"/>
        <v>42542</v>
      </c>
      <c r="H15" s="428">
        <v>42593</v>
      </c>
      <c r="I15" s="392" t="str">
        <f>TEXT(F15,"mmm-yy")</f>
        <v>Jun-16</v>
      </c>
      <c r="J15" s="397" t="s">
        <v>224</v>
      </c>
      <c r="K15" s="387" t="s">
        <v>225</v>
      </c>
      <c r="L15" s="423">
        <v>1256.19</v>
      </c>
      <c r="M15" s="521"/>
      <c r="N15" s="387">
        <f t="shared" si="5"/>
        <v>1256.19</v>
      </c>
      <c r="O15" s="494">
        <f t="shared" si="6"/>
        <v>1381.8090000000002</v>
      </c>
      <c r="P15" s="388"/>
      <c r="Q15" s="388"/>
      <c r="R15" s="388">
        <f>G89</f>
        <v>0</v>
      </c>
      <c r="S15" s="388">
        <f t="shared" ref="S15:S23" si="11">SUM(P15:R15)</f>
        <v>0</v>
      </c>
      <c r="T15" s="388">
        <f>L15-S15</f>
        <v>1256.19</v>
      </c>
      <c r="U15" s="390">
        <f t="shared" ref="U15:U23" si="12">T15/L15</f>
        <v>1</v>
      </c>
      <c r="V15" s="391" t="s">
        <v>199</v>
      </c>
      <c r="W15" s="392">
        <f t="shared" si="2"/>
        <v>42556</v>
      </c>
      <c r="X15" s="383" t="s">
        <v>200</v>
      </c>
      <c r="Y15" s="393" t="s">
        <v>220</v>
      </c>
      <c r="Z15" s="398">
        <v>42489</v>
      </c>
      <c r="AA15" s="398">
        <v>42502</v>
      </c>
      <c r="AB15" s="394">
        <f t="shared" si="7"/>
        <v>13</v>
      </c>
      <c r="AC15" s="398">
        <v>42502</v>
      </c>
      <c r="AD15" s="395">
        <f>AC15-AA15</f>
        <v>0</v>
      </c>
    </row>
    <row r="16" spans="1:34">
      <c r="B16" s="383" t="s">
        <v>190</v>
      </c>
      <c r="C16" s="397" t="s">
        <v>238</v>
      </c>
      <c r="D16" s="392">
        <v>42564</v>
      </c>
      <c r="E16" s="392">
        <v>42528</v>
      </c>
      <c r="F16" s="385">
        <v>42542</v>
      </c>
      <c r="G16" s="401">
        <f t="shared" si="10"/>
        <v>42556</v>
      </c>
      <c r="H16" s="386">
        <v>42612</v>
      </c>
      <c r="I16" s="392" t="str">
        <f>TEXT(F16,"mmm-yy")</f>
        <v>Jun-16</v>
      </c>
      <c r="J16" s="397" t="s">
        <v>226</v>
      </c>
      <c r="K16" s="383" t="s">
        <v>227</v>
      </c>
      <c r="L16" s="423">
        <v>671.14</v>
      </c>
      <c r="M16" s="521"/>
      <c r="N16" s="387">
        <f t="shared" si="5"/>
        <v>671.14</v>
      </c>
      <c r="O16" s="494">
        <f t="shared" si="6"/>
        <v>738.25400000000002</v>
      </c>
      <c r="P16" s="388"/>
      <c r="Q16" s="388">
        <v>241.34213621039655</v>
      </c>
      <c r="R16" s="388">
        <f>G88</f>
        <v>0</v>
      </c>
      <c r="S16" s="388">
        <f t="shared" si="11"/>
        <v>241.34213621039655</v>
      </c>
      <c r="T16" s="501">
        <f>L16-S16</f>
        <v>429.79786378960341</v>
      </c>
      <c r="U16" s="498">
        <f t="shared" si="12"/>
        <v>0.64039971360610815</v>
      </c>
      <c r="V16" s="391" t="s">
        <v>199</v>
      </c>
      <c r="W16" s="392">
        <f t="shared" si="2"/>
        <v>42570</v>
      </c>
      <c r="X16" s="383" t="s">
        <v>200</v>
      </c>
      <c r="Y16" s="393" t="s">
        <v>220</v>
      </c>
      <c r="Z16" s="398">
        <v>42452</v>
      </c>
      <c r="AA16" s="398">
        <v>42460</v>
      </c>
      <c r="AB16" s="417">
        <f t="shared" si="7"/>
        <v>8</v>
      </c>
      <c r="AC16" s="398">
        <v>42472</v>
      </c>
      <c r="AD16" s="395">
        <f>AC16-AA16</f>
        <v>12</v>
      </c>
    </row>
    <row r="17" spans="2:36">
      <c r="B17" s="429" t="s">
        <v>190</v>
      </c>
      <c r="C17" s="216" t="s">
        <v>237</v>
      </c>
      <c r="D17" s="392">
        <v>42564</v>
      </c>
      <c r="E17" s="531">
        <v>42542</v>
      </c>
      <c r="F17" s="401">
        <v>42557</v>
      </c>
      <c r="G17" s="399">
        <f t="shared" si="10"/>
        <v>42571</v>
      </c>
      <c r="H17" s="386">
        <v>42593</v>
      </c>
      <c r="I17" s="392" t="str">
        <f>TEXT(G17,"mmm-yy")</f>
        <v>Jul-16</v>
      </c>
      <c r="J17" s="397" t="s">
        <v>228</v>
      </c>
      <c r="K17" s="387" t="s">
        <v>225</v>
      </c>
      <c r="L17" s="503">
        <v>11071.89</v>
      </c>
      <c r="M17" s="521"/>
      <c r="N17" s="387">
        <f t="shared" si="5"/>
        <v>11071.89</v>
      </c>
      <c r="O17" s="494">
        <f t="shared" si="6"/>
        <v>12179.079</v>
      </c>
      <c r="P17" s="388"/>
      <c r="Q17" s="388"/>
      <c r="R17" s="388">
        <f>G86</f>
        <v>0</v>
      </c>
      <c r="S17" s="388">
        <f t="shared" si="11"/>
        <v>0</v>
      </c>
      <c r="T17" s="388">
        <f>L17-S17</f>
        <v>11071.89</v>
      </c>
      <c r="U17" s="390">
        <f t="shared" si="12"/>
        <v>1</v>
      </c>
      <c r="V17" s="391" t="s">
        <v>199</v>
      </c>
      <c r="W17" s="392">
        <f t="shared" si="2"/>
        <v>42585</v>
      </c>
      <c r="X17" s="383" t="s">
        <v>200</v>
      </c>
      <c r="Y17" s="393" t="s">
        <v>220</v>
      </c>
      <c r="Z17" s="398">
        <v>42517</v>
      </c>
      <c r="AA17" s="398">
        <v>42521</v>
      </c>
      <c r="AB17" s="417">
        <f t="shared" si="7"/>
        <v>4</v>
      </c>
      <c r="AC17" s="420">
        <v>42544</v>
      </c>
      <c r="AD17" s="395">
        <f>AC17-AA17</f>
        <v>23</v>
      </c>
    </row>
    <row r="18" spans="2:36">
      <c r="B18" s="383" t="s">
        <v>190</v>
      </c>
      <c r="C18" s="397" t="s">
        <v>235</v>
      </c>
      <c r="D18" s="392">
        <v>42564</v>
      </c>
      <c r="E18" s="411">
        <v>42557</v>
      </c>
      <c r="F18" s="400">
        <v>42555</v>
      </c>
      <c r="G18" s="400">
        <f t="shared" si="10"/>
        <v>42569</v>
      </c>
      <c r="H18" s="386">
        <v>42593</v>
      </c>
      <c r="I18" s="392" t="str">
        <f>TEXT(G18,"mmm-yy")</f>
        <v>Jul-16</v>
      </c>
      <c r="J18" s="216" t="s">
        <v>197</v>
      </c>
      <c r="K18" s="429" t="s">
        <v>198</v>
      </c>
      <c r="L18" s="430">
        <v>3199.03</v>
      </c>
      <c r="M18" s="521"/>
      <c r="N18" s="387">
        <f t="shared" si="5"/>
        <v>3199.03</v>
      </c>
      <c r="O18" s="494">
        <f t="shared" si="6"/>
        <v>3518.9330000000004</v>
      </c>
      <c r="P18" s="388">
        <f>SUM(K152:K153)</f>
        <v>0</v>
      </c>
      <c r="Q18" s="431">
        <v>1150.3721041826518</v>
      </c>
      <c r="R18" s="388">
        <f>G87</f>
        <v>0</v>
      </c>
      <c r="S18" s="388">
        <f t="shared" si="11"/>
        <v>1150.3721041826518</v>
      </c>
      <c r="T18" s="500">
        <f>L18-S18</f>
        <v>2048.6578958173486</v>
      </c>
      <c r="U18" s="499">
        <f t="shared" si="12"/>
        <v>0.64039971360610826</v>
      </c>
      <c r="V18" s="391" t="s">
        <v>199</v>
      </c>
      <c r="W18" s="392">
        <f t="shared" si="2"/>
        <v>42583</v>
      </c>
      <c r="X18" s="383" t="s">
        <v>200</v>
      </c>
      <c r="Y18" s="433" t="s">
        <v>201</v>
      </c>
      <c r="Z18" s="420">
        <v>42472</v>
      </c>
      <c r="AA18" s="420">
        <v>42521</v>
      </c>
      <c r="AB18" s="417">
        <f t="shared" si="7"/>
        <v>49</v>
      </c>
      <c r="AC18" s="406">
        <v>42507</v>
      </c>
      <c r="AD18" s="448">
        <f>AC18-AA18</f>
        <v>-14</v>
      </c>
    </row>
    <row r="19" spans="2:36" ht="14.35">
      <c r="B19" s="405" t="s">
        <v>190</v>
      </c>
      <c r="C19" s="405" t="s">
        <v>234</v>
      </c>
      <c r="D19" s="406">
        <v>42564</v>
      </c>
      <c r="E19" s="406">
        <v>42555</v>
      </c>
      <c r="F19" s="400">
        <v>42552</v>
      </c>
      <c r="G19" s="400">
        <f t="shared" si="10"/>
        <v>42566</v>
      </c>
      <c r="H19" s="386">
        <v>42590</v>
      </c>
      <c r="I19" s="392" t="str">
        <f>TEXT(G19,"mmm-yy")</f>
        <v>Jul-16</v>
      </c>
      <c r="J19" s="405" t="s">
        <v>202</v>
      </c>
      <c r="K19" s="404" t="s">
        <v>203</v>
      </c>
      <c r="L19" s="407">
        <v>6247.95</v>
      </c>
      <c r="M19" s="407">
        <v>567.6</v>
      </c>
      <c r="N19" s="387">
        <f t="shared" si="5"/>
        <v>6815.55</v>
      </c>
      <c r="O19" s="494">
        <f t="shared" si="6"/>
        <v>7497.1050000000005</v>
      </c>
      <c r="P19" s="408"/>
      <c r="Q19" s="408">
        <v>2450.8737319318893</v>
      </c>
      <c r="R19" s="408">
        <f>G89</f>
        <v>0</v>
      </c>
      <c r="S19" s="408">
        <f t="shared" si="11"/>
        <v>2450.8737319318893</v>
      </c>
      <c r="T19" s="408">
        <f>SUM(L19:L19)-S19</f>
        <v>3797.0762680681105</v>
      </c>
      <c r="U19" s="410">
        <f t="shared" si="12"/>
        <v>0.6077315388356358</v>
      </c>
      <c r="V19" s="434" t="s">
        <v>199</v>
      </c>
      <c r="W19" s="392">
        <f t="shared" si="2"/>
        <v>42580</v>
      </c>
      <c r="X19" s="435" t="s">
        <v>200</v>
      </c>
      <c r="Y19" s="436" t="s">
        <v>201</v>
      </c>
      <c r="Z19" s="437">
        <v>42516</v>
      </c>
      <c r="AA19" s="437">
        <v>42536</v>
      </c>
      <c r="AB19" s="413">
        <f t="shared" si="7"/>
        <v>20</v>
      </c>
      <c r="AC19" s="406">
        <v>42543</v>
      </c>
      <c r="AD19" s="414">
        <f>AC19-AA19</f>
        <v>7</v>
      </c>
      <c r="AG19"/>
      <c r="AH19"/>
      <c r="AI19"/>
      <c r="AJ19"/>
    </row>
    <row r="20" spans="2:36" ht="14.35">
      <c r="B20" s="397" t="s">
        <v>190</v>
      </c>
      <c r="C20" s="397" t="s">
        <v>531</v>
      </c>
      <c r="D20" s="384">
        <v>42660</v>
      </c>
      <c r="E20" s="384">
        <v>42606</v>
      </c>
      <c r="F20" s="385">
        <v>42654</v>
      </c>
      <c r="G20" s="419">
        <v>42660</v>
      </c>
      <c r="H20" s="386">
        <f>D20+14</f>
        <v>42674</v>
      </c>
      <c r="I20" s="392" t="str">
        <f t="shared" ref="I20:I39" si="13">TEXT(F20,"mmm-yy")</f>
        <v>Oct-16</v>
      </c>
      <c r="J20" s="397" t="s">
        <v>239</v>
      </c>
      <c r="K20" s="397" t="s">
        <v>240</v>
      </c>
      <c r="L20" s="387">
        <f>4388.46</f>
        <v>4388.46</v>
      </c>
      <c r="M20" s="522">
        <v>-950</v>
      </c>
      <c r="N20" s="387">
        <f t="shared" si="5"/>
        <v>3438.46</v>
      </c>
      <c r="O20" s="494">
        <f t="shared" si="6"/>
        <v>3782.3060000000005</v>
      </c>
      <c r="P20" s="387" t="e">
        <f>GETPIVOTDATA("Debit",$J$101,"Type of Cost","DJC ","Project Cost","NBN Greenfields AYCA-2R1JTT -Greenway")</f>
        <v>#REF!</v>
      </c>
      <c r="Q20" s="388"/>
      <c r="R20" s="388">
        <f>G125</f>
        <v>0</v>
      </c>
      <c r="S20" s="388" t="e">
        <f t="shared" si="11"/>
        <v>#REF!</v>
      </c>
      <c r="T20" s="388" t="e">
        <f t="shared" ref="T20:T51" si="14">L20-S20</f>
        <v>#REF!</v>
      </c>
      <c r="U20" s="390" t="e">
        <f t="shared" si="12"/>
        <v>#REF!</v>
      </c>
      <c r="V20" s="391" t="s">
        <v>199</v>
      </c>
      <c r="W20" s="392">
        <f t="shared" si="2"/>
        <v>42674</v>
      </c>
      <c r="X20" s="383" t="s">
        <v>200</v>
      </c>
      <c r="Y20" s="442" t="s">
        <v>210</v>
      </c>
      <c r="Z20" s="421"/>
      <c r="AA20" s="421"/>
      <c r="AB20" s="421"/>
      <c r="AC20" s="398"/>
      <c r="AD20" s="398"/>
      <c r="AG20"/>
      <c r="AH20"/>
      <c r="AI20"/>
      <c r="AJ20"/>
    </row>
    <row r="21" spans="2:36" ht="14.35">
      <c r="B21" s="397" t="s">
        <v>190</v>
      </c>
      <c r="C21" s="383" t="s">
        <v>279</v>
      </c>
      <c r="D21" s="384">
        <v>42584</v>
      </c>
      <c r="E21" s="384">
        <v>42584</v>
      </c>
      <c r="F21" s="385">
        <v>42585</v>
      </c>
      <c r="G21" s="400">
        <f t="shared" ref="G21:G26" si="15">F21+14</f>
        <v>42599</v>
      </c>
      <c r="H21" s="386">
        <v>42585</v>
      </c>
      <c r="I21" s="392" t="str">
        <f>TEXT(H21,"mmm-yy")</f>
        <v>Aug-16</v>
      </c>
      <c r="J21" s="397" t="s">
        <v>251</v>
      </c>
      <c r="K21" s="397" t="s">
        <v>252</v>
      </c>
      <c r="L21" s="387">
        <v>4006.99</v>
      </c>
      <c r="M21" s="521"/>
      <c r="N21" s="387">
        <f t="shared" si="5"/>
        <v>4006.99</v>
      </c>
      <c r="O21" s="494">
        <f t="shared" si="6"/>
        <v>4407.6890000000003</v>
      </c>
      <c r="P21" s="387"/>
      <c r="Q21" s="388"/>
      <c r="R21" s="388">
        <f>G96</f>
        <v>0</v>
      </c>
      <c r="S21" s="388">
        <f t="shared" si="11"/>
        <v>0</v>
      </c>
      <c r="T21" s="388">
        <f t="shared" si="14"/>
        <v>4006.99</v>
      </c>
      <c r="U21" s="390">
        <f t="shared" si="12"/>
        <v>1</v>
      </c>
      <c r="V21" s="391" t="s">
        <v>199</v>
      </c>
      <c r="W21" s="392">
        <f t="shared" si="2"/>
        <v>42613</v>
      </c>
      <c r="X21" s="383" t="s">
        <v>200</v>
      </c>
      <c r="Y21" s="393" t="s">
        <v>201</v>
      </c>
      <c r="Z21" s="392">
        <v>42552</v>
      </c>
      <c r="AA21" s="392">
        <v>42565</v>
      </c>
      <c r="AB21" s="395">
        <f t="shared" ref="AB21:AB29" si="16">AA21-Z21</f>
        <v>13</v>
      </c>
      <c r="AC21" s="384">
        <v>42580</v>
      </c>
      <c r="AD21" s="395">
        <f t="shared" ref="AD21:AD27" si="17">AC21-AA21</f>
        <v>15</v>
      </c>
      <c r="AG21"/>
      <c r="AH21"/>
      <c r="AI21"/>
      <c r="AJ21"/>
    </row>
    <row r="22" spans="2:36">
      <c r="B22" s="397" t="s">
        <v>190</v>
      </c>
      <c r="C22" s="383" t="s">
        <v>386</v>
      </c>
      <c r="D22" s="384">
        <v>42614</v>
      </c>
      <c r="E22" s="384">
        <v>42591</v>
      </c>
      <c r="F22" s="385">
        <v>42614</v>
      </c>
      <c r="G22" s="400">
        <f t="shared" si="15"/>
        <v>42628</v>
      </c>
      <c r="H22" s="386">
        <v>46287</v>
      </c>
      <c r="I22" s="392" t="str">
        <f t="shared" si="13"/>
        <v>Sep-16</v>
      </c>
      <c r="J22" s="397" t="s">
        <v>253</v>
      </c>
      <c r="K22" s="397" t="s">
        <v>254</v>
      </c>
      <c r="L22" s="387">
        <v>3287.77</v>
      </c>
      <c r="M22" s="387">
        <v>1728.79</v>
      </c>
      <c r="N22" s="387">
        <f t="shared" si="5"/>
        <v>5016.5599999999995</v>
      </c>
      <c r="O22" s="494">
        <f t="shared" si="6"/>
        <v>5518.2159999999994</v>
      </c>
      <c r="P22" s="387" t="e">
        <f>GETPIVOTDATA("Debit",$J$101,"Type of Cost","DJC","Project Cost","NBN Greenfields AYCA‐2Q7AAG Land and Housing Penrith")</f>
        <v>#REF!</v>
      </c>
      <c r="Q22" s="388">
        <v>2450.8737319318893</v>
      </c>
      <c r="R22" s="388">
        <f>G114</f>
        <v>0</v>
      </c>
      <c r="S22" s="388" t="e">
        <f t="shared" si="11"/>
        <v>#REF!</v>
      </c>
      <c r="T22" s="501" t="e">
        <f t="shared" si="14"/>
        <v>#REF!</v>
      </c>
      <c r="U22" s="498" t="e">
        <f t="shared" si="12"/>
        <v>#REF!</v>
      </c>
      <c r="V22" s="391" t="s">
        <v>199</v>
      </c>
      <c r="W22" s="392">
        <f t="shared" si="2"/>
        <v>42642</v>
      </c>
      <c r="X22" s="383" t="s">
        <v>200</v>
      </c>
      <c r="Y22" s="393" t="s">
        <v>367</v>
      </c>
      <c r="Z22" s="406">
        <v>42559</v>
      </c>
      <c r="AA22" s="406">
        <v>42571</v>
      </c>
      <c r="AB22" s="395">
        <f t="shared" si="16"/>
        <v>12</v>
      </c>
      <c r="AC22" s="384">
        <v>42580</v>
      </c>
      <c r="AD22" s="395">
        <f t="shared" si="17"/>
        <v>9</v>
      </c>
      <c r="AG22" s="354"/>
      <c r="AH22" s="380"/>
    </row>
    <row r="23" spans="2:36">
      <c r="B23" s="397" t="s">
        <v>190</v>
      </c>
      <c r="C23" s="383" t="s">
        <v>371</v>
      </c>
      <c r="D23" s="443">
        <v>42601</v>
      </c>
      <c r="E23" s="443">
        <v>42601</v>
      </c>
      <c r="F23" s="444">
        <v>42601</v>
      </c>
      <c r="G23" s="400">
        <f t="shared" si="15"/>
        <v>42615</v>
      </c>
      <c r="H23" s="386">
        <v>42601</v>
      </c>
      <c r="I23" s="392" t="str">
        <f>TEXT(H23,"mmm-yy")</f>
        <v>Aug-16</v>
      </c>
      <c r="J23" s="397" t="s">
        <v>549</v>
      </c>
      <c r="K23" s="397" t="s">
        <v>254</v>
      </c>
      <c r="L23" s="387">
        <f>3773.41</f>
        <v>3773.41</v>
      </c>
      <c r="M23" s="418">
        <v>931.29</v>
      </c>
      <c r="N23" s="387">
        <f t="shared" si="5"/>
        <v>4704.7</v>
      </c>
      <c r="O23" s="494">
        <f t="shared" si="6"/>
        <v>5175.17</v>
      </c>
      <c r="P23" s="387" t="e">
        <f>GETPIVOTDATA("Debit",$J$101,"Type of Cost","DJC ","Project Cost","NBN Greenfields AYCA-24O1QL - 85 Jamison Road ")</f>
        <v>#REF!</v>
      </c>
      <c r="Q23" s="388"/>
      <c r="R23" s="388">
        <f>G107</f>
        <v>0</v>
      </c>
      <c r="S23" s="388" t="e">
        <f t="shared" si="11"/>
        <v>#REF!</v>
      </c>
      <c r="T23" s="388" t="e">
        <f t="shared" si="14"/>
        <v>#REF!</v>
      </c>
      <c r="U23" s="390" t="e">
        <f t="shared" si="12"/>
        <v>#REF!</v>
      </c>
      <c r="V23" s="391" t="s">
        <v>199</v>
      </c>
      <c r="W23" s="392">
        <f t="shared" si="2"/>
        <v>42629</v>
      </c>
      <c r="X23" s="383" t="s">
        <v>200</v>
      </c>
      <c r="Y23" s="393" t="s">
        <v>367</v>
      </c>
      <c r="Z23" s="406">
        <v>42558</v>
      </c>
      <c r="AA23" s="406">
        <v>42571</v>
      </c>
      <c r="AB23" s="395">
        <f t="shared" si="16"/>
        <v>13</v>
      </c>
      <c r="AC23" s="406">
        <v>42571</v>
      </c>
      <c r="AD23" s="395">
        <f t="shared" si="17"/>
        <v>0</v>
      </c>
      <c r="AG23" s="354"/>
    </row>
    <row r="24" spans="2:36">
      <c r="B24" s="397" t="s">
        <v>190</v>
      </c>
      <c r="C24" s="446" t="s">
        <v>428</v>
      </c>
      <c r="D24" s="443">
        <v>42620</v>
      </c>
      <c r="E24" s="443">
        <v>42559</v>
      </c>
      <c r="F24" s="444">
        <v>42559</v>
      </c>
      <c r="G24" s="444">
        <f t="shared" si="15"/>
        <v>42573</v>
      </c>
      <c r="H24" s="386">
        <v>42591</v>
      </c>
      <c r="I24" s="392" t="str">
        <f>TEXT(H24,"mmm-yy")</f>
        <v>Aug-16</v>
      </c>
      <c r="J24" s="445" t="s">
        <v>315</v>
      </c>
      <c r="K24" s="445" t="s">
        <v>316</v>
      </c>
      <c r="L24" s="387">
        <v>966.94</v>
      </c>
      <c r="M24" s="521"/>
      <c r="N24" s="387">
        <f t="shared" si="5"/>
        <v>966.94</v>
      </c>
      <c r="O24" s="494">
        <f t="shared" si="6"/>
        <v>1063.6340000000002</v>
      </c>
      <c r="P24" s="388"/>
      <c r="Q24" s="388"/>
      <c r="R24" s="388">
        <f>G115</f>
        <v>0</v>
      </c>
      <c r="S24" s="388">
        <f t="shared" ref="S24:S55" si="18">SUM(P24:R24)</f>
        <v>0</v>
      </c>
      <c r="T24" s="388">
        <f t="shared" si="14"/>
        <v>966.94</v>
      </c>
      <c r="U24" s="390">
        <f t="shared" ref="U24:U55" si="19">T24/L24</f>
        <v>1</v>
      </c>
      <c r="V24" s="391" t="s">
        <v>199</v>
      </c>
      <c r="W24" s="392">
        <f t="shared" si="2"/>
        <v>42587</v>
      </c>
      <c r="X24" s="383" t="s">
        <v>200</v>
      </c>
      <c r="Y24" s="393" t="s">
        <v>220</v>
      </c>
      <c r="Z24" s="406">
        <v>42550</v>
      </c>
      <c r="AA24" s="406">
        <v>42557</v>
      </c>
      <c r="AB24" s="395">
        <f t="shared" si="16"/>
        <v>7</v>
      </c>
      <c r="AC24" s="406">
        <v>42582</v>
      </c>
      <c r="AD24" s="395">
        <f t="shared" si="17"/>
        <v>25</v>
      </c>
      <c r="AG24" s="354"/>
      <c r="AH24" s="380"/>
    </row>
    <row r="25" spans="2:36">
      <c r="B25" s="397" t="s">
        <v>190</v>
      </c>
      <c r="C25" s="383" t="s">
        <v>376</v>
      </c>
      <c r="D25" s="384">
        <v>42605</v>
      </c>
      <c r="E25" s="384">
        <v>42601</v>
      </c>
      <c r="F25" s="385">
        <v>42604</v>
      </c>
      <c r="G25" s="385">
        <f t="shared" si="15"/>
        <v>42618</v>
      </c>
      <c r="H25" s="386">
        <v>42670</v>
      </c>
      <c r="I25" s="392" t="str">
        <f>TEXT(F25,"mmm-yy")</f>
        <v>Aug-16</v>
      </c>
      <c r="J25" s="397" t="s">
        <v>550</v>
      </c>
      <c r="K25" s="397" t="s">
        <v>353</v>
      </c>
      <c r="L25" s="387">
        <f>3191.87</f>
        <v>3191.87</v>
      </c>
      <c r="M25" s="418">
        <v>1208.05</v>
      </c>
      <c r="N25" s="387">
        <f t="shared" si="5"/>
        <v>4399.92</v>
      </c>
      <c r="O25" s="494">
        <f t="shared" si="6"/>
        <v>4839.9120000000003</v>
      </c>
      <c r="P25" s="388"/>
      <c r="Q25" s="388"/>
      <c r="R25" s="388">
        <f>G108</f>
        <v>0</v>
      </c>
      <c r="S25" s="388">
        <f t="shared" si="18"/>
        <v>0</v>
      </c>
      <c r="T25" s="388">
        <f t="shared" si="14"/>
        <v>3191.87</v>
      </c>
      <c r="U25" s="390">
        <f t="shared" si="19"/>
        <v>1</v>
      </c>
      <c r="V25" s="391" t="s">
        <v>199</v>
      </c>
      <c r="W25" s="392">
        <f t="shared" si="2"/>
        <v>42632</v>
      </c>
      <c r="X25" s="383" t="s">
        <v>200</v>
      </c>
      <c r="Y25" s="393" t="s">
        <v>201</v>
      </c>
      <c r="Z25" s="384">
        <v>42513</v>
      </c>
      <c r="AA25" s="384">
        <v>42542</v>
      </c>
      <c r="AB25" s="395">
        <f t="shared" si="16"/>
        <v>29</v>
      </c>
      <c r="AC25" s="443">
        <v>42537</v>
      </c>
      <c r="AD25" s="395">
        <f t="shared" si="17"/>
        <v>-5</v>
      </c>
      <c r="AG25" s="354"/>
      <c r="AH25" s="380"/>
    </row>
    <row r="26" spans="2:36">
      <c r="B26" s="397" t="s">
        <v>190</v>
      </c>
      <c r="C26" s="397" t="s">
        <v>641</v>
      </c>
      <c r="D26" s="392">
        <v>42726</v>
      </c>
      <c r="E26" s="536">
        <v>42746</v>
      </c>
      <c r="F26" s="386">
        <v>42746</v>
      </c>
      <c r="G26" s="386">
        <f t="shared" si="15"/>
        <v>42760</v>
      </c>
      <c r="H26" s="386">
        <v>42780</v>
      </c>
      <c r="I26" s="392" t="str">
        <f>TEXT(F26,"mmm-yy")</f>
        <v>Jan-17</v>
      </c>
      <c r="J26" s="397" t="s">
        <v>352</v>
      </c>
      <c r="K26" s="397" t="s">
        <v>354</v>
      </c>
      <c r="L26" s="418">
        <v>5985.51</v>
      </c>
      <c r="M26" s="542">
        <v>-328.53</v>
      </c>
      <c r="N26" s="522">
        <f t="shared" si="5"/>
        <v>5656.9800000000005</v>
      </c>
      <c r="O26" s="494">
        <f t="shared" si="6"/>
        <v>6222.6780000000008</v>
      </c>
      <c r="P26" s="388" t="e">
        <f>GETPIVOTDATA("Debit",#REF!,"Type of Cost","DJC","Project Cost","NBN Greenfields - AYCA-2AW2N9 - 2-10 Tyler St, Campbelltown","Month Incurred Credit or Debit","Dec-16")</f>
        <v>#REF!</v>
      </c>
      <c r="Q26" s="388"/>
      <c r="R26" s="388"/>
      <c r="S26" s="388" t="e">
        <f t="shared" si="18"/>
        <v>#REF!</v>
      </c>
      <c r="T26" s="388" t="e">
        <f t="shared" si="14"/>
        <v>#REF!</v>
      </c>
      <c r="U26" s="390" t="e">
        <f t="shared" si="19"/>
        <v>#REF!</v>
      </c>
      <c r="V26" s="391" t="s">
        <v>199</v>
      </c>
      <c r="W26" s="392">
        <f t="shared" si="2"/>
        <v>42774</v>
      </c>
      <c r="X26" s="383" t="s">
        <v>200</v>
      </c>
      <c r="Y26" s="393" t="s">
        <v>355</v>
      </c>
      <c r="Z26" s="406">
        <v>42587</v>
      </c>
      <c r="AA26" s="406">
        <v>42594</v>
      </c>
      <c r="AB26" s="395">
        <f t="shared" si="16"/>
        <v>7</v>
      </c>
      <c r="AC26" s="406">
        <v>42608</v>
      </c>
      <c r="AD26" s="395">
        <f t="shared" si="17"/>
        <v>14</v>
      </c>
      <c r="AG26" s="354"/>
    </row>
    <row r="27" spans="2:36">
      <c r="B27" s="397" t="s">
        <v>190</v>
      </c>
      <c r="C27" s="383" t="s">
        <v>462</v>
      </c>
      <c r="D27" s="384">
        <v>42636</v>
      </c>
      <c r="E27" s="384">
        <v>42632</v>
      </c>
      <c r="F27" s="385">
        <v>42632</v>
      </c>
      <c r="G27" s="419">
        <v>42634</v>
      </c>
      <c r="H27" s="386">
        <v>42640</v>
      </c>
      <c r="I27" s="392" t="str">
        <f t="shared" si="13"/>
        <v>Sep-16</v>
      </c>
      <c r="J27" s="383" t="s">
        <v>384</v>
      </c>
      <c r="K27" s="397" t="s">
        <v>385</v>
      </c>
      <c r="L27" s="387">
        <v>2226.8000000000002</v>
      </c>
      <c r="M27" s="521"/>
      <c r="N27" s="387">
        <f t="shared" si="5"/>
        <v>2226.8000000000002</v>
      </c>
      <c r="O27" s="494">
        <f t="shared" si="6"/>
        <v>2449.4800000000005</v>
      </c>
      <c r="P27" s="388"/>
      <c r="Q27" s="388">
        <v>3279.4589319706051</v>
      </c>
      <c r="R27" s="388">
        <f>G116</f>
        <v>0</v>
      </c>
      <c r="S27" s="388">
        <f t="shared" si="18"/>
        <v>3279.4589319706051</v>
      </c>
      <c r="T27" s="388">
        <f t="shared" si="14"/>
        <v>-1052.658931970605</v>
      </c>
      <c r="U27" s="390">
        <f t="shared" si="19"/>
        <v>-0.47272271060293014</v>
      </c>
      <c r="V27" s="391" t="s">
        <v>199</v>
      </c>
      <c r="W27" s="392">
        <f t="shared" si="2"/>
        <v>42648</v>
      </c>
      <c r="X27" s="383" t="s">
        <v>200</v>
      </c>
      <c r="Y27" s="393" t="s">
        <v>355</v>
      </c>
      <c r="Z27" s="384">
        <v>42586</v>
      </c>
      <c r="AA27" s="384">
        <v>42598</v>
      </c>
      <c r="AB27" s="395">
        <f>AA27-Z27</f>
        <v>12</v>
      </c>
      <c r="AC27" s="384">
        <v>42598</v>
      </c>
      <c r="AD27" s="395">
        <f t="shared" si="17"/>
        <v>0</v>
      </c>
      <c r="AG27" s="354"/>
      <c r="AH27" s="380"/>
    </row>
    <row r="28" spans="2:36">
      <c r="B28" s="397" t="s">
        <v>190</v>
      </c>
      <c r="C28" s="383" t="s">
        <v>482</v>
      </c>
      <c r="D28" s="384">
        <v>42648</v>
      </c>
      <c r="E28" s="384">
        <v>42621</v>
      </c>
      <c r="F28" s="385">
        <v>42621</v>
      </c>
      <c r="G28" s="490">
        <f>F28+14</f>
        <v>42635</v>
      </c>
      <c r="H28" s="386">
        <f>G28+14</f>
        <v>42649</v>
      </c>
      <c r="I28" s="392" t="str">
        <f t="shared" si="13"/>
        <v>Sep-16</v>
      </c>
      <c r="J28" s="397" t="s">
        <v>405</v>
      </c>
      <c r="K28" s="397" t="s">
        <v>406</v>
      </c>
      <c r="L28" s="387">
        <v>951.94</v>
      </c>
      <c r="M28" s="521"/>
      <c r="N28" s="387">
        <f t="shared" si="5"/>
        <v>951.94</v>
      </c>
      <c r="O28" s="494">
        <f t="shared" si="6"/>
        <v>1047.1340000000002</v>
      </c>
      <c r="P28" s="388"/>
      <c r="Q28" s="388">
        <v>286.76001443001439</v>
      </c>
      <c r="R28" s="388">
        <f>G123</f>
        <v>0</v>
      </c>
      <c r="S28" s="388">
        <f t="shared" si="18"/>
        <v>286.76001443001439</v>
      </c>
      <c r="T28" s="388">
        <f t="shared" si="14"/>
        <v>665.17998556998566</v>
      </c>
      <c r="U28" s="390">
        <f t="shared" si="19"/>
        <v>0.69876251189149063</v>
      </c>
      <c r="V28" s="391" t="s">
        <v>199</v>
      </c>
      <c r="W28" s="392">
        <f t="shared" si="2"/>
        <v>42649</v>
      </c>
      <c r="X28" s="383" t="s">
        <v>200</v>
      </c>
      <c r="Y28" s="393" t="s">
        <v>220</v>
      </c>
      <c r="Z28" s="406">
        <v>42594</v>
      </c>
      <c r="AA28" s="406">
        <v>42611</v>
      </c>
      <c r="AB28" s="395">
        <f t="shared" si="16"/>
        <v>17</v>
      </c>
      <c r="AC28" s="406">
        <v>42622</v>
      </c>
      <c r="AD28" s="395">
        <f>AC28-AA28</f>
        <v>11</v>
      </c>
      <c r="AG28" s="354"/>
      <c r="AH28" s="380"/>
    </row>
    <row r="29" spans="2:36">
      <c r="B29" s="397" t="s">
        <v>190</v>
      </c>
      <c r="C29" s="397" t="s">
        <v>564</v>
      </c>
      <c r="D29" s="384">
        <v>42674</v>
      </c>
      <c r="E29" s="443">
        <v>42655</v>
      </c>
      <c r="F29" s="385">
        <v>42660</v>
      </c>
      <c r="G29" s="386">
        <v>42675</v>
      </c>
      <c r="H29" s="386">
        <f>G29+14</f>
        <v>42689</v>
      </c>
      <c r="I29" s="392" t="str">
        <f t="shared" si="13"/>
        <v>Oct-16</v>
      </c>
      <c r="J29" s="397" t="s">
        <v>407</v>
      </c>
      <c r="K29" s="397" t="s">
        <v>408</v>
      </c>
      <c r="L29" s="387">
        <v>3851.74</v>
      </c>
      <c r="M29" s="418">
        <v>3423.28</v>
      </c>
      <c r="N29" s="387">
        <f t="shared" si="5"/>
        <v>7275.02</v>
      </c>
      <c r="O29" s="494">
        <f t="shared" si="6"/>
        <v>8002.5220000000008</v>
      </c>
      <c r="P29" s="388">
        <v>3928.07</v>
      </c>
      <c r="Q29" s="388">
        <v>733.16</v>
      </c>
      <c r="R29" s="388">
        <f>G134</f>
        <v>0</v>
      </c>
      <c r="S29" s="388">
        <f t="shared" si="18"/>
        <v>4661.2300000000005</v>
      </c>
      <c r="T29" s="388">
        <f t="shared" si="14"/>
        <v>-809.49000000000069</v>
      </c>
      <c r="U29" s="390">
        <f t="shared" si="19"/>
        <v>-0.21016216047812178</v>
      </c>
      <c r="V29" s="391" t="s">
        <v>199</v>
      </c>
      <c r="W29" s="392">
        <f t="shared" si="2"/>
        <v>42689</v>
      </c>
      <c r="X29" s="383" t="s">
        <v>200</v>
      </c>
      <c r="Y29" s="393" t="s">
        <v>210</v>
      </c>
      <c r="Z29" s="406">
        <v>42600</v>
      </c>
      <c r="AA29" s="406">
        <v>42611</v>
      </c>
      <c r="AB29" s="395">
        <f t="shared" si="16"/>
        <v>11</v>
      </c>
      <c r="AC29" s="447">
        <v>42643</v>
      </c>
      <c r="AD29" s="395">
        <f>AC29-AA29</f>
        <v>32</v>
      </c>
      <c r="AG29" s="354"/>
      <c r="AH29" s="380"/>
    </row>
    <row r="30" spans="2:36">
      <c r="B30" s="397" t="s">
        <v>190</v>
      </c>
      <c r="C30" s="397" t="s">
        <v>566</v>
      </c>
      <c r="D30" s="384">
        <v>42674</v>
      </c>
      <c r="E30" s="384">
        <v>42665</v>
      </c>
      <c r="F30" s="385">
        <v>42667</v>
      </c>
      <c r="G30" s="386">
        <v>42682</v>
      </c>
      <c r="H30" s="386">
        <f>G30+14</f>
        <v>42696</v>
      </c>
      <c r="I30" s="392" t="str">
        <f t="shared" si="13"/>
        <v>Oct-16</v>
      </c>
      <c r="J30" s="397" t="s">
        <v>413</v>
      </c>
      <c r="K30" s="397" t="s">
        <v>414</v>
      </c>
      <c r="L30" s="387">
        <v>4679.17</v>
      </c>
      <c r="M30" s="521"/>
      <c r="N30" s="387">
        <f t="shared" si="5"/>
        <v>4679.17</v>
      </c>
      <c r="O30" s="494">
        <f t="shared" si="6"/>
        <v>5147.0870000000004</v>
      </c>
      <c r="P30" s="388">
        <v>1355.1822093659475</v>
      </c>
      <c r="Q30" s="388"/>
      <c r="R30" s="388">
        <f>G135</f>
        <v>0</v>
      </c>
      <c r="S30" s="388">
        <f t="shared" si="18"/>
        <v>1355.1822093659475</v>
      </c>
      <c r="T30" s="388">
        <f t="shared" si="14"/>
        <v>3323.9877906340525</v>
      </c>
      <c r="U30" s="390">
        <f t="shared" si="19"/>
        <v>0.71037978757644038</v>
      </c>
      <c r="V30" s="391" t="s">
        <v>199</v>
      </c>
      <c r="W30" s="392">
        <f t="shared" si="2"/>
        <v>42696</v>
      </c>
      <c r="X30" s="383" t="s">
        <v>200</v>
      </c>
      <c r="Y30" s="393" t="s">
        <v>220</v>
      </c>
      <c r="Z30" s="384">
        <v>42619</v>
      </c>
      <c r="AA30" s="384">
        <v>42620</v>
      </c>
      <c r="AB30" s="395">
        <f>AA30-Z30</f>
        <v>1</v>
      </c>
      <c r="AC30" s="384">
        <v>42643</v>
      </c>
      <c r="AD30" s="395">
        <f t="shared" ref="AD30:AD36" si="20">AC30-AA30</f>
        <v>23</v>
      </c>
      <c r="AG30" s="354"/>
      <c r="AH30" s="380"/>
    </row>
    <row r="31" spans="2:36">
      <c r="B31" s="397" t="s">
        <v>190</v>
      </c>
      <c r="C31" s="397" t="s">
        <v>530</v>
      </c>
      <c r="D31" s="384">
        <v>42660</v>
      </c>
      <c r="E31" s="384">
        <v>42640</v>
      </c>
      <c r="F31" s="385">
        <v>42647</v>
      </c>
      <c r="G31" s="386">
        <v>42657</v>
      </c>
      <c r="H31" s="386">
        <v>42670</v>
      </c>
      <c r="I31" s="392" t="str">
        <f t="shared" si="13"/>
        <v>Oct-16</v>
      </c>
      <c r="J31" s="397" t="s">
        <v>421</v>
      </c>
      <c r="K31" s="397" t="s">
        <v>422</v>
      </c>
      <c r="L31" s="387">
        <v>4454.72</v>
      </c>
      <c r="M31" s="521"/>
      <c r="N31" s="387">
        <f t="shared" si="5"/>
        <v>4454.72</v>
      </c>
      <c r="O31" s="494">
        <f t="shared" si="6"/>
        <v>4900.1920000000009</v>
      </c>
      <c r="P31" s="388">
        <v>702</v>
      </c>
      <c r="Q31" s="388">
        <v>595.72</v>
      </c>
      <c r="R31" s="388">
        <f>G124</f>
        <v>0</v>
      </c>
      <c r="S31" s="388">
        <f t="shared" si="18"/>
        <v>1297.72</v>
      </c>
      <c r="T31" s="388">
        <f t="shared" si="14"/>
        <v>3157</v>
      </c>
      <c r="U31" s="390">
        <f t="shared" si="19"/>
        <v>0.70868651677322025</v>
      </c>
      <c r="V31" s="391" t="s">
        <v>199</v>
      </c>
      <c r="W31" s="392">
        <f t="shared" si="2"/>
        <v>42671</v>
      </c>
      <c r="X31" s="383" t="s">
        <v>200</v>
      </c>
      <c r="Y31" s="393" t="s">
        <v>201</v>
      </c>
      <c r="Z31" s="384">
        <v>42576</v>
      </c>
      <c r="AA31" s="384">
        <v>42620</v>
      </c>
      <c r="AB31" s="395">
        <f t="shared" ref="AB31:AB40" si="21">AA31-Z31</f>
        <v>44</v>
      </c>
      <c r="AC31" s="384">
        <v>42596</v>
      </c>
      <c r="AD31" s="448">
        <f t="shared" si="20"/>
        <v>-24</v>
      </c>
      <c r="AG31" s="354"/>
      <c r="AH31" s="380"/>
    </row>
    <row r="32" spans="2:36">
      <c r="B32" s="397" t="s">
        <v>190</v>
      </c>
      <c r="C32" s="397" t="s">
        <v>533</v>
      </c>
      <c r="D32" s="384">
        <v>42660</v>
      </c>
      <c r="E32" s="384">
        <v>42648</v>
      </c>
      <c r="F32" s="385">
        <v>42648</v>
      </c>
      <c r="G32" s="385">
        <f>F32+14</f>
        <v>42662</v>
      </c>
      <c r="H32" s="386">
        <v>42670</v>
      </c>
      <c r="I32" s="392" t="str">
        <f t="shared" si="13"/>
        <v>Oct-16</v>
      </c>
      <c r="J32" s="397" t="s">
        <v>444</v>
      </c>
      <c r="K32" s="397" t="s">
        <v>445</v>
      </c>
      <c r="L32" s="387">
        <v>3430.64</v>
      </c>
      <c r="M32" s="521"/>
      <c r="N32" s="387">
        <f t="shared" si="5"/>
        <v>3430.64</v>
      </c>
      <c r="O32" s="494">
        <f t="shared" si="6"/>
        <v>3773.7040000000002</v>
      </c>
      <c r="P32" s="388"/>
      <c r="Q32" s="388">
        <v>854.97333333333336</v>
      </c>
      <c r="R32" s="388">
        <f>G126</f>
        <v>0</v>
      </c>
      <c r="S32" s="388">
        <f t="shared" si="18"/>
        <v>854.97333333333336</v>
      </c>
      <c r="T32" s="388">
        <f t="shared" si="14"/>
        <v>2575.6666666666665</v>
      </c>
      <c r="U32" s="390">
        <f t="shared" si="19"/>
        <v>0.75078313861747858</v>
      </c>
      <c r="V32" s="391" t="s">
        <v>199</v>
      </c>
      <c r="W32" s="392">
        <f t="shared" si="2"/>
        <v>42676</v>
      </c>
      <c r="X32" s="383" t="s">
        <v>200</v>
      </c>
      <c r="Y32" s="393" t="s">
        <v>223</v>
      </c>
      <c r="Z32" s="384">
        <v>42606</v>
      </c>
      <c r="AA32" s="384">
        <v>42627</v>
      </c>
      <c r="AB32" s="395">
        <f t="shared" si="21"/>
        <v>21</v>
      </c>
      <c r="AC32" s="384">
        <v>42613</v>
      </c>
      <c r="AD32" s="448">
        <f t="shared" si="20"/>
        <v>-14</v>
      </c>
      <c r="AG32" s="354"/>
      <c r="AH32" s="380"/>
    </row>
    <row r="33" spans="2:39">
      <c r="B33" s="397" t="s">
        <v>190</v>
      </c>
      <c r="C33" s="383" t="s">
        <v>481</v>
      </c>
      <c r="D33" s="384">
        <v>42647</v>
      </c>
      <c r="E33" s="384">
        <v>42632</v>
      </c>
      <c r="F33" s="385">
        <v>42643</v>
      </c>
      <c r="G33" s="400">
        <f>F33+14</f>
        <v>42657</v>
      </c>
      <c r="H33" s="386">
        <f>G33+14</f>
        <v>42671</v>
      </c>
      <c r="I33" s="392" t="str">
        <f t="shared" si="13"/>
        <v>Sep-16</v>
      </c>
      <c r="J33" s="397" t="s">
        <v>448</v>
      </c>
      <c r="K33" s="397" t="s">
        <v>447</v>
      </c>
      <c r="L33" s="387">
        <v>1458.73</v>
      </c>
      <c r="M33" s="521"/>
      <c r="N33" s="387">
        <f t="shared" si="5"/>
        <v>1458.73</v>
      </c>
      <c r="O33" s="494">
        <f t="shared" si="6"/>
        <v>1604.6030000000001</v>
      </c>
      <c r="P33" s="388"/>
      <c r="Q33" s="388">
        <v>286.7527525252525</v>
      </c>
      <c r="R33" s="388">
        <f>G122</f>
        <v>0</v>
      </c>
      <c r="S33" s="388">
        <f t="shared" si="18"/>
        <v>286.7527525252525</v>
      </c>
      <c r="T33" s="388">
        <f t="shared" si="14"/>
        <v>1171.9772474747474</v>
      </c>
      <c r="U33" s="390">
        <f t="shared" si="19"/>
        <v>0.80342301006680295</v>
      </c>
      <c r="V33" s="391" t="s">
        <v>199</v>
      </c>
      <c r="W33" s="392">
        <f t="shared" si="2"/>
        <v>42671</v>
      </c>
      <c r="X33" s="383" t="s">
        <v>200</v>
      </c>
      <c r="Y33" s="393" t="s">
        <v>446</v>
      </c>
      <c r="Z33" s="384">
        <v>42615</v>
      </c>
      <c r="AA33" s="384">
        <v>42628</v>
      </c>
      <c r="AB33" s="395">
        <f t="shared" si="21"/>
        <v>13</v>
      </c>
      <c r="AC33" s="384">
        <v>42628</v>
      </c>
      <c r="AD33" s="395">
        <f t="shared" si="20"/>
        <v>0</v>
      </c>
      <c r="AG33" s="354"/>
      <c r="AH33" s="380"/>
    </row>
    <row r="34" spans="2:39">
      <c r="B34" s="397" t="s">
        <v>190</v>
      </c>
      <c r="C34" s="397" t="s">
        <v>565</v>
      </c>
      <c r="D34" s="384">
        <v>42674</v>
      </c>
      <c r="E34" s="422">
        <v>42664</v>
      </c>
      <c r="F34" s="385">
        <v>42674</v>
      </c>
      <c r="G34" s="386">
        <v>42668</v>
      </c>
      <c r="H34" s="386">
        <v>42685</v>
      </c>
      <c r="I34" s="392" t="str">
        <f t="shared" si="13"/>
        <v>Oct-16</v>
      </c>
      <c r="J34" s="397" t="s">
        <v>450</v>
      </c>
      <c r="K34" s="397" t="s">
        <v>449</v>
      </c>
      <c r="L34" s="387">
        <v>1278.97</v>
      </c>
      <c r="M34" s="521"/>
      <c r="N34" s="387">
        <f t="shared" si="5"/>
        <v>1278.97</v>
      </c>
      <c r="O34" s="494">
        <f t="shared" si="6"/>
        <v>1406.8670000000002</v>
      </c>
      <c r="P34" s="388"/>
      <c r="Q34" s="388">
        <v>360.16333333333336</v>
      </c>
      <c r="R34" s="388">
        <f>G133</f>
        <v>0</v>
      </c>
      <c r="S34" s="388">
        <f t="shared" si="18"/>
        <v>360.16333333333336</v>
      </c>
      <c r="T34" s="388">
        <f t="shared" si="14"/>
        <v>918.80666666666662</v>
      </c>
      <c r="U34" s="390">
        <f t="shared" si="19"/>
        <v>0.71839579244756846</v>
      </c>
      <c r="V34" s="391" t="s">
        <v>199</v>
      </c>
      <c r="W34" s="392">
        <f t="shared" si="2"/>
        <v>42682</v>
      </c>
      <c r="X34" s="383" t="s">
        <v>200</v>
      </c>
      <c r="Y34" s="393" t="s">
        <v>206</v>
      </c>
      <c r="Z34" s="384">
        <v>42613</v>
      </c>
      <c r="AA34" s="384">
        <v>42622</v>
      </c>
      <c r="AB34" s="395">
        <f t="shared" si="21"/>
        <v>9</v>
      </c>
      <c r="AC34" s="384">
        <v>42622</v>
      </c>
      <c r="AD34" s="395">
        <f t="shared" si="20"/>
        <v>0</v>
      </c>
      <c r="AG34" s="354"/>
      <c r="AH34" s="380"/>
    </row>
    <row r="35" spans="2:39">
      <c r="B35" s="397" t="s">
        <v>190</v>
      </c>
      <c r="C35" s="397" t="s">
        <v>532</v>
      </c>
      <c r="D35" s="384">
        <v>42660</v>
      </c>
      <c r="E35" s="384">
        <v>42646</v>
      </c>
      <c r="F35" s="385">
        <v>42647</v>
      </c>
      <c r="G35" s="441">
        <v>42660</v>
      </c>
      <c r="H35" s="386">
        <v>42698</v>
      </c>
      <c r="I35" s="392" t="str">
        <f t="shared" si="13"/>
        <v>Oct-16</v>
      </c>
      <c r="J35" s="397" t="s">
        <v>457</v>
      </c>
      <c r="K35" s="397" t="s">
        <v>458</v>
      </c>
      <c r="L35" s="387">
        <f>8619.01</f>
        <v>8619.01</v>
      </c>
      <c r="M35" s="418">
        <v>429.03</v>
      </c>
      <c r="N35" s="387">
        <f t="shared" si="5"/>
        <v>9048.0400000000009</v>
      </c>
      <c r="O35" s="494">
        <f t="shared" si="6"/>
        <v>9952.844000000001</v>
      </c>
      <c r="P35" s="388">
        <v>4673.7</v>
      </c>
      <c r="Q35" s="388">
        <v>360.16333333333336</v>
      </c>
      <c r="R35" s="388">
        <f>G128</f>
        <v>0</v>
      </c>
      <c r="S35" s="388">
        <f t="shared" si="18"/>
        <v>5033.8633333333328</v>
      </c>
      <c r="T35" s="388">
        <f t="shared" si="14"/>
        <v>3585.1466666666674</v>
      </c>
      <c r="U35" s="390">
        <f t="shared" si="19"/>
        <v>0.41595805860147134</v>
      </c>
      <c r="V35" s="391" t="s">
        <v>199</v>
      </c>
      <c r="W35" s="392">
        <f t="shared" si="2"/>
        <v>42674</v>
      </c>
      <c r="X35" s="383" t="s">
        <v>200</v>
      </c>
      <c r="Y35" s="393" t="s">
        <v>201</v>
      </c>
      <c r="Z35" s="384">
        <v>42619</v>
      </c>
      <c r="AA35" s="384">
        <v>42634</v>
      </c>
      <c r="AB35" s="395">
        <f t="shared" si="21"/>
        <v>15</v>
      </c>
      <c r="AC35" s="384">
        <v>42635</v>
      </c>
      <c r="AD35" s="395">
        <f t="shared" si="20"/>
        <v>1</v>
      </c>
      <c r="AG35" s="354"/>
      <c r="AH35" s="380"/>
    </row>
    <row r="36" spans="2:39">
      <c r="B36" s="397" t="s">
        <v>190</v>
      </c>
      <c r="C36" s="397" t="s">
        <v>620</v>
      </c>
      <c r="D36" s="384">
        <v>42674</v>
      </c>
      <c r="E36" s="422">
        <v>42660</v>
      </c>
      <c r="F36" s="385">
        <v>42660</v>
      </c>
      <c r="G36" s="386">
        <v>42663</v>
      </c>
      <c r="H36" s="386">
        <v>42698</v>
      </c>
      <c r="I36" s="392" t="str">
        <f t="shared" si="13"/>
        <v>Oct-16</v>
      </c>
      <c r="J36" s="397" t="s">
        <v>562</v>
      </c>
      <c r="K36" s="397" t="s">
        <v>459</v>
      </c>
      <c r="L36" s="387">
        <v>3446.12</v>
      </c>
      <c r="M36" s="418">
        <v>4280.75</v>
      </c>
      <c r="N36" s="387">
        <f t="shared" si="5"/>
        <v>7726.87</v>
      </c>
      <c r="O36" s="494">
        <f t="shared" si="6"/>
        <v>8499.5570000000007</v>
      </c>
      <c r="P36" s="388" t="e">
        <f>GETPIVOTDATA("Debit",#REF!,"Type of Cost","DJC","Project Cost","NBN Greenfields - AYCA-2DSDPB-3 Glenfield Road, Glenfield","Month Incurred Credit or Debit","Dec-16")</f>
        <v>#REF!</v>
      </c>
      <c r="Q36" s="388">
        <v>475.13333333333333</v>
      </c>
      <c r="R36" s="388">
        <f>G129</f>
        <v>0</v>
      </c>
      <c r="S36" s="388" t="e">
        <f t="shared" si="18"/>
        <v>#REF!</v>
      </c>
      <c r="T36" s="388" t="e">
        <f t="shared" si="14"/>
        <v>#REF!</v>
      </c>
      <c r="U36" s="497" t="e">
        <f t="shared" si="19"/>
        <v>#REF!</v>
      </c>
      <c r="V36" s="391" t="s">
        <v>199</v>
      </c>
      <c r="W36" s="392">
        <f t="shared" si="2"/>
        <v>42677</v>
      </c>
      <c r="X36" s="383" t="s">
        <v>200</v>
      </c>
      <c r="Y36" s="393" t="s">
        <v>201</v>
      </c>
      <c r="Z36" s="384">
        <v>42622</v>
      </c>
      <c r="AA36" s="384">
        <v>42634</v>
      </c>
      <c r="AB36" s="395">
        <f t="shared" si="21"/>
        <v>12</v>
      </c>
      <c r="AC36" s="384">
        <v>42633</v>
      </c>
      <c r="AD36" s="448">
        <f t="shared" si="20"/>
        <v>-1</v>
      </c>
      <c r="AG36" s="354"/>
      <c r="AH36" s="380"/>
    </row>
    <row r="37" spans="2:39">
      <c r="B37" s="397" t="s">
        <v>190</v>
      </c>
      <c r="C37" s="397" t="s">
        <v>569</v>
      </c>
      <c r="D37" s="384">
        <v>42674</v>
      </c>
      <c r="E37" s="384">
        <v>42663</v>
      </c>
      <c r="F37" s="385">
        <v>42663</v>
      </c>
      <c r="G37" s="386">
        <v>42677</v>
      </c>
      <c r="H37" s="386">
        <f>G37+14</f>
        <v>42691</v>
      </c>
      <c r="I37" s="392" t="str">
        <f t="shared" si="13"/>
        <v>Oct-16</v>
      </c>
      <c r="J37" s="397" t="s">
        <v>492</v>
      </c>
      <c r="K37" s="397" t="s">
        <v>552</v>
      </c>
      <c r="L37" s="387">
        <f>3514.09</f>
        <v>3514.09</v>
      </c>
      <c r="M37" s="522">
        <v>-1050</v>
      </c>
      <c r="N37" s="387">
        <f t="shared" si="5"/>
        <v>2464.09</v>
      </c>
      <c r="O37" s="494">
        <f t="shared" si="6"/>
        <v>2710.4990000000003</v>
      </c>
      <c r="P37" s="388"/>
      <c r="Q37" s="388"/>
      <c r="R37" s="388"/>
      <c r="S37" s="388">
        <f t="shared" si="18"/>
        <v>0</v>
      </c>
      <c r="T37" s="388">
        <f t="shared" si="14"/>
        <v>3514.09</v>
      </c>
      <c r="U37" s="497">
        <f t="shared" si="19"/>
        <v>1</v>
      </c>
      <c r="V37" s="391" t="s">
        <v>199</v>
      </c>
      <c r="W37" s="392">
        <f t="shared" si="2"/>
        <v>42691</v>
      </c>
      <c r="X37" s="383" t="s">
        <v>200</v>
      </c>
      <c r="Y37" s="393" t="s">
        <v>201</v>
      </c>
      <c r="Z37" s="384">
        <v>42615</v>
      </c>
      <c r="AA37" s="384">
        <v>42635</v>
      </c>
      <c r="AB37" s="395">
        <f t="shared" si="21"/>
        <v>20</v>
      </c>
      <c r="AC37" s="384">
        <v>42643</v>
      </c>
      <c r="AD37" s="395">
        <f t="shared" ref="AD37:AD49" si="22">AC37-AA37</f>
        <v>8</v>
      </c>
      <c r="AG37" s="354"/>
      <c r="AH37" s="380"/>
    </row>
    <row r="38" spans="2:39">
      <c r="B38" s="397" t="s">
        <v>190</v>
      </c>
      <c r="C38" s="445" t="s">
        <v>567</v>
      </c>
      <c r="D38" s="384">
        <v>42674</v>
      </c>
      <c r="E38" s="384">
        <v>42664</v>
      </c>
      <c r="F38" s="385">
        <v>42664</v>
      </c>
      <c r="G38" s="386">
        <v>42676</v>
      </c>
      <c r="H38" s="386">
        <v>42691</v>
      </c>
      <c r="I38" s="392" t="str">
        <f t="shared" si="13"/>
        <v>Oct-16</v>
      </c>
      <c r="J38" s="397" t="s">
        <v>495</v>
      </c>
      <c r="K38" s="397" t="s">
        <v>551</v>
      </c>
      <c r="L38" s="387">
        <v>3650.93</v>
      </c>
      <c r="M38" s="418">
        <v>800</v>
      </c>
      <c r="N38" s="387">
        <f t="shared" si="5"/>
        <v>4450.93</v>
      </c>
      <c r="O38" s="494">
        <f t="shared" si="6"/>
        <v>4896.023000000001</v>
      </c>
      <c r="P38" s="388"/>
      <c r="Q38" s="388">
        <v>244.54750000000001</v>
      </c>
      <c r="R38" s="388">
        <f>G132</f>
        <v>0</v>
      </c>
      <c r="S38" s="388">
        <f t="shared" si="18"/>
        <v>244.54750000000001</v>
      </c>
      <c r="T38" s="388">
        <f t="shared" si="14"/>
        <v>3406.3824999999997</v>
      </c>
      <c r="U38" s="497">
        <f t="shared" si="19"/>
        <v>0.93301775164136258</v>
      </c>
      <c r="V38" s="391" t="s">
        <v>199</v>
      </c>
      <c r="W38" s="392">
        <f t="shared" si="2"/>
        <v>42690</v>
      </c>
      <c r="X38" s="383" t="s">
        <v>200</v>
      </c>
      <c r="Y38" s="393" t="s">
        <v>201</v>
      </c>
      <c r="Z38" s="384">
        <v>42647</v>
      </c>
      <c r="AA38" s="384">
        <v>42650</v>
      </c>
      <c r="AB38" s="395">
        <f t="shared" si="21"/>
        <v>3</v>
      </c>
      <c r="AC38" s="384">
        <v>42657</v>
      </c>
      <c r="AD38" s="395">
        <f t="shared" si="22"/>
        <v>7</v>
      </c>
      <c r="AG38" s="354"/>
      <c r="AH38" s="380"/>
    </row>
    <row r="39" spans="2:39">
      <c r="B39" s="397" t="s">
        <v>190</v>
      </c>
      <c r="C39" s="383" t="s">
        <v>634</v>
      </c>
      <c r="D39" s="384">
        <v>42716</v>
      </c>
      <c r="E39" s="384">
        <v>42694</v>
      </c>
      <c r="F39" s="385">
        <v>42697</v>
      </c>
      <c r="G39" s="385">
        <v>42702</v>
      </c>
      <c r="H39" s="386">
        <f>G39+14</f>
        <v>42716</v>
      </c>
      <c r="I39" s="392" t="str">
        <f t="shared" si="13"/>
        <v>Nov-16</v>
      </c>
      <c r="J39" s="397" t="s">
        <v>529</v>
      </c>
      <c r="K39" s="445" t="s">
        <v>553</v>
      </c>
      <c r="L39" s="387">
        <v>4296.5</v>
      </c>
      <c r="M39" s="521"/>
      <c r="N39" s="387">
        <f t="shared" si="5"/>
        <v>4296.5</v>
      </c>
      <c r="O39" s="494">
        <f t="shared" si="6"/>
        <v>4726.1500000000005</v>
      </c>
      <c r="P39" s="388"/>
      <c r="Q39" s="388"/>
      <c r="R39" s="388"/>
      <c r="S39" s="388">
        <f t="shared" si="18"/>
        <v>0</v>
      </c>
      <c r="T39" s="388">
        <f t="shared" si="14"/>
        <v>4296.5</v>
      </c>
      <c r="U39" s="497">
        <f t="shared" si="19"/>
        <v>1</v>
      </c>
      <c r="V39" s="391" t="s">
        <v>199</v>
      </c>
      <c r="W39" s="392">
        <f>G39+14</f>
        <v>42716</v>
      </c>
      <c r="X39" s="383" t="s">
        <v>200</v>
      </c>
      <c r="Y39" s="393" t="s">
        <v>206</v>
      </c>
      <c r="Z39" s="384">
        <v>42633</v>
      </c>
      <c r="AA39" s="384">
        <v>42642</v>
      </c>
      <c r="AB39" s="394">
        <f t="shared" si="21"/>
        <v>9</v>
      </c>
      <c r="AC39" s="384">
        <v>42643</v>
      </c>
      <c r="AD39" s="395">
        <f t="shared" si="22"/>
        <v>1</v>
      </c>
      <c r="AG39" s="354"/>
      <c r="AH39" s="380"/>
    </row>
    <row r="40" spans="2:39">
      <c r="B40" s="397" t="s">
        <v>190</v>
      </c>
      <c r="C40" s="397" t="s">
        <v>568</v>
      </c>
      <c r="D40" s="384">
        <v>42675</v>
      </c>
      <c r="E40" s="384">
        <v>42675</v>
      </c>
      <c r="F40" s="385">
        <v>42675</v>
      </c>
      <c r="G40" s="385">
        <f>F40+14</f>
        <v>42689</v>
      </c>
      <c r="H40" s="386">
        <f>G40+14</f>
        <v>42703</v>
      </c>
      <c r="I40" s="392" t="str">
        <f t="shared" ref="I40:I74" si="23">TEXT(F40,"mmm-yy")</f>
        <v>Nov-16</v>
      </c>
      <c r="J40" s="397" t="s">
        <v>543</v>
      </c>
      <c r="K40" s="445" t="s">
        <v>458</v>
      </c>
      <c r="L40" s="387">
        <v>3768.8</v>
      </c>
      <c r="M40" s="521"/>
      <c r="N40" s="387">
        <f t="shared" si="5"/>
        <v>3768.8</v>
      </c>
      <c r="O40" s="494">
        <f t="shared" si="6"/>
        <v>4145.68</v>
      </c>
      <c r="P40" s="388"/>
      <c r="Q40" s="388" t="e">
        <f>GETPIVOTDATA("Debit",$J$101,"Type of Cost","DJC Materials","Project Cost","NBN Greenfields AYCA-2N2GYJ - Tatton Park - 6 ")</f>
        <v>#REF!</v>
      </c>
      <c r="R40" s="388">
        <f>G130</f>
        <v>0</v>
      </c>
      <c r="S40" s="388" t="e">
        <f t="shared" si="18"/>
        <v>#REF!</v>
      </c>
      <c r="T40" s="388" t="e">
        <f t="shared" si="14"/>
        <v>#REF!</v>
      </c>
      <c r="U40" s="390" t="e">
        <f t="shared" si="19"/>
        <v>#REF!</v>
      </c>
      <c r="V40" s="391" t="s">
        <v>199</v>
      </c>
      <c r="W40" s="392">
        <f t="shared" ref="W40:W47" si="24">F40+14</f>
        <v>42689</v>
      </c>
      <c r="X40" s="383" t="s">
        <v>200</v>
      </c>
      <c r="Y40" s="393" t="s">
        <v>220</v>
      </c>
      <c r="Z40" s="384">
        <v>42650</v>
      </c>
      <c r="AA40" s="384">
        <v>42660</v>
      </c>
      <c r="AB40" s="394">
        <f t="shared" si="21"/>
        <v>10</v>
      </c>
      <c r="AC40" s="384">
        <v>42671</v>
      </c>
      <c r="AD40" s="395">
        <f t="shared" si="22"/>
        <v>11</v>
      </c>
      <c r="AG40" s="354"/>
      <c r="AH40" s="380"/>
    </row>
    <row r="41" spans="2:39">
      <c r="B41" s="397" t="s">
        <v>190</v>
      </c>
      <c r="C41" s="383" t="s">
        <v>632</v>
      </c>
      <c r="D41" s="384">
        <v>42719</v>
      </c>
      <c r="E41" s="384">
        <v>42694</v>
      </c>
      <c r="F41" s="385">
        <v>42697</v>
      </c>
      <c r="G41" s="385">
        <f>F41+14</f>
        <v>42711</v>
      </c>
      <c r="H41" s="386">
        <f>G41+14</f>
        <v>42725</v>
      </c>
      <c r="I41" s="392" t="str">
        <f t="shared" si="23"/>
        <v>Nov-16</v>
      </c>
      <c r="J41" s="397" t="s">
        <v>526</v>
      </c>
      <c r="K41" s="445" t="s">
        <v>219</v>
      </c>
      <c r="L41" s="387">
        <v>13397.48</v>
      </c>
      <c r="M41" s="387">
        <v>1591.1428571428573</v>
      </c>
      <c r="N41" s="387">
        <f>SUM(L41:M41)</f>
        <v>14988.622857142856</v>
      </c>
      <c r="O41" s="494">
        <f>N41*1.1</f>
        <v>16487.485142857142</v>
      </c>
      <c r="P41" s="388"/>
      <c r="Q41" s="388"/>
      <c r="R41" s="388"/>
      <c r="S41" s="388">
        <f t="shared" si="18"/>
        <v>0</v>
      </c>
      <c r="T41" s="388">
        <f t="shared" si="14"/>
        <v>13397.48</v>
      </c>
      <c r="U41" s="390">
        <f t="shared" si="19"/>
        <v>1</v>
      </c>
      <c r="V41" s="391" t="s">
        <v>199</v>
      </c>
      <c r="W41" s="392">
        <f t="shared" si="24"/>
        <v>42711</v>
      </c>
      <c r="X41" s="383" t="s">
        <v>200</v>
      </c>
      <c r="Y41" s="393" t="s">
        <v>220</v>
      </c>
      <c r="Z41" s="384">
        <v>42658</v>
      </c>
      <c r="AA41" s="384">
        <v>42667</v>
      </c>
      <c r="AB41" s="394">
        <f t="shared" ref="AB41:AB49" si="25">AA41-Z41</f>
        <v>9</v>
      </c>
      <c r="AC41" s="384">
        <v>42664</v>
      </c>
      <c r="AD41" s="448">
        <f t="shared" si="22"/>
        <v>-3</v>
      </c>
      <c r="AG41" s="354"/>
      <c r="AH41" s="380"/>
    </row>
    <row r="42" spans="2:39">
      <c r="B42" s="397" t="s">
        <v>190</v>
      </c>
      <c r="C42" s="397" t="s">
        <v>699</v>
      </c>
      <c r="D42" s="384">
        <v>42788</v>
      </c>
      <c r="E42" s="384">
        <v>42772</v>
      </c>
      <c r="F42" s="385">
        <v>42772</v>
      </c>
      <c r="G42" s="385">
        <f>F42+14</f>
        <v>42786</v>
      </c>
      <c r="H42" s="386">
        <f>G42+14</f>
        <v>42800</v>
      </c>
      <c r="I42" s="392" t="str">
        <f t="shared" si="23"/>
        <v>Feb-17</v>
      </c>
      <c r="J42" s="397" t="s">
        <v>527</v>
      </c>
      <c r="K42" s="445" t="s">
        <v>558</v>
      </c>
      <c r="L42" s="387">
        <v>6345.14</v>
      </c>
      <c r="M42" s="418">
        <f>7582.17-L42</f>
        <v>1237.0299999999997</v>
      </c>
      <c r="N42" s="387">
        <f t="shared" ref="N42:N50" si="26">SUM(L42:M42)</f>
        <v>7582.17</v>
      </c>
      <c r="O42" s="494">
        <f t="shared" ref="O42:O50" si="27">N42*1.1</f>
        <v>8340.3870000000006</v>
      </c>
      <c r="P42" s="388" t="e">
        <f>GETPIVOTDATA("Debit",#REF!,"Type of Cost","DJC","Project Cost","NBN Greenfields - AYCA-1WA1Y6 - 21-24 Railway Road, Meadowbank","Month Incurred Credit or Debit","Dec-16")</f>
        <v>#REF!</v>
      </c>
      <c r="Q42" s="388" t="s">
        <v>16</v>
      </c>
      <c r="R42" s="388"/>
      <c r="S42" s="388" t="e">
        <f t="shared" si="18"/>
        <v>#REF!</v>
      </c>
      <c r="T42" s="388" t="e">
        <f t="shared" si="14"/>
        <v>#REF!</v>
      </c>
      <c r="U42" s="390" t="e">
        <f t="shared" si="19"/>
        <v>#REF!</v>
      </c>
      <c r="V42" s="394"/>
      <c r="W42" s="392">
        <f>F42+14</f>
        <v>42786</v>
      </c>
      <c r="X42" s="383" t="s">
        <v>200</v>
      </c>
      <c r="Y42" s="393" t="s">
        <v>355</v>
      </c>
      <c r="Z42" s="384">
        <v>42653</v>
      </c>
      <c r="AA42" s="384">
        <v>42677</v>
      </c>
      <c r="AB42" s="394">
        <f t="shared" si="25"/>
        <v>24</v>
      </c>
      <c r="AC42" s="384">
        <v>42666</v>
      </c>
      <c r="AD42" s="395">
        <f t="shared" si="22"/>
        <v>-11</v>
      </c>
      <c r="AG42" s="354"/>
      <c r="AH42" s="380"/>
    </row>
    <row r="43" spans="2:39">
      <c r="B43" s="397" t="s">
        <v>190</v>
      </c>
      <c r="C43" s="383" t="s">
        <v>673</v>
      </c>
      <c r="D43" s="384">
        <v>42748</v>
      </c>
      <c r="E43" s="384">
        <v>42765</v>
      </c>
      <c r="F43" s="385">
        <v>42766</v>
      </c>
      <c r="G43" s="385">
        <f>F43+14</f>
        <v>42780</v>
      </c>
      <c r="H43" s="386">
        <f>G43+14</f>
        <v>42794</v>
      </c>
      <c r="I43" s="392" t="str">
        <f t="shared" si="23"/>
        <v>Jan-17</v>
      </c>
      <c r="J43" s="383" t="s">
        <v>560</v>
      </c>
      <c r="K43" s="445" t="s">
        <v>561</v>
      </c>
      <c r="L43" s="387">
        <v>8236.23</v>
      </c>
      <c r="M43" s="418">
        <f>9131.56-L43</f>
        <v>895.32999999999993</v>
      </c>
      <c r="N43" s="387">
        <f t="shared" si="26"/>
        <v>9131.56</v>
      </c>
      <c r="O43" s="494">
        <f t="shared" si="27"/>
        <v>10044.716</v>
      </c>
      <c r="P43" s="388"/>
      <c r="Q43" s="388"/>
      <c r="R43" s="388"/>
      <c r="S43" s="388">
        <f t="shared" si="18"/>
        <v>0</v>
      </c>
      <c r="T43" s="388">
        <f t="shared" si="14"/>
        <v>8236.23</v>
      </c>
      <c r="U43" s="390">
        <f t="shared" si="19"/>
        <v>1</v>
      </c>
      <c r="V43" s="391" t="s">
        <v>199</v>
      </c>
      <c r="W43" s="392">
        <f t="shared" si="24"/>
        <v>42780</v>
      </c>
      <c r="X43" s="383" t="s">
        <v>200</v>
      </c>
      <c r="Y43" s="393" t="s">
        <v>367</v>
      </c>
      <c r="Z43" s="384">
        <v>42658</v>
      </c>
      <c r="AA43" s="384">
        <v>42667</v>
      </c>
      <c r="AB43" s="394">
        <f t="shared" si="25"/>
        <v>9</v>
      </c>
      <c r="AC43" s="384">
        <v>42666</v>
      </c>
      <c r="AD43" s="448">
        <f t="shared" si="22"/>
        <v>-1</v>
      </c>
      <c r="AG43" s="354"/>
      <c r="AH43" s="380"/>
    </row>
    <row r="44" spans="2:39">
      <c r="B44" s="397" t="s">
        <v>190</v>
      </c>
      <c r="C44" s="383"/>
      <c r="D44" s="394"/>
      <c r="E44" s="394"/>
      <c r="F44" s="385">
        <v>42885</v>
      </c>
      <c r="G44" s="385" t="s">
        <v>16</v>
      </c>
      <c r="H44" s="397"/>
      <c r="I44" s="392" t="str">
        <f t="shared" si="23"/>
        <v>May-17</v>
      </c>
      <c r="J44" s="416" t="s">
        <v>570</v>
      </c>
      <c r="K44" s="445" t="s">
        <v>561</v>
      </c>
      <c r="L44" s="387">
        <v>2444.5700000000002</v>
      </c>
      <c r="M44" s="520"/>
      <c r="N44" s="387">
        <f t="shared" si="26"/>
        <v>2444.5700000000002</v>
      </c>
      <c r="O44" s="494">
        <f t="shared" si="27"/>
        <v>2689.0270000000005</v>
      </c>
      <c r="P44" s="388"/>
      <c r="Q44" s="388"/>
      <c r="R44" s="388"/>
      <c r="S44" s="388">
        <f t="shared" si="18"/>
        <v>0</v>
      </c>
      <c r="T44" s="388">
        <f t="shared" si="14"/>
        <v>2444.5700000000002</v>
      </c>
      <c r="U44" s="390">
        <f t="shared" si="19"/>
        <v>1</v>
      </c>
      <c r="V44" s="394"/>
      <c r="W44" s="392">
        <f t="shared" si="24"/>
        <v>42899</v>
      </c>
      <c r="X44" s="383"/>
      <c r="Y44" s="393" t="s">
        <v>201</v>
      </c>
      <c r="Z44" s="384">
        <v>42661</v>
      </c>
      <c r="AA44" s="384">
        <v>42667</v>
      </c>
      <c r="AB44" s="394">
        <f t="shared" si="25"/>
        <v>6</v>
      </c>
      <c r="AC44" s="384">
        <v>42689</v>
      </c>
      <c r="AD44" s="395">
        <f t="shared" si="22"/>
        <v>22</v>
      </c>
      <c r="AG44" s="354"/>
      <c r="AH44" s="380"/>
    </row>
    <row r="45" spans="2:39">
      <c r="B45" s="397" t="s">
        <v>190</v>
      </c>
      <c r="C45" s="383" t="s">
        <v>640</v>
      </c>
      <c r="D45" s="384">
        <v>42726</v>
      </c>
      <c r="E45" s="422">
        <v>42726</v>
      </c>
      <c r="F45" s="385">
        <v>42712</v>
      </c>
      <c r="G45" s="385">
        <v>42724</v>
      </c>
      <c r="H45" s="386">
        <v>42754</v>
      </c>
      <c r="I45" s="392" t="str">
        <f t="shared" si="23"/>
        <v>Dec-16</v>
      </c>
      <c r="J45" s="416" t="s">
        <v>555</v>
      </c>
      <c r="K45" s="445" t="s">
        <v>458</v>
      </c>
      <c r="L45" s="387">
        <v>4576.8599999999997</v>
      </c>
      <c r="M45" s="418">
        <v>1299.7891200000001</v>
      </c>
      <c r="N45" s="387">
        <f t="shared" si="26"/>
        <v>5876.64912</v>
      </c>
      <c r="O45" s="494">
        <f t="shared" si="27"/>
        <v>6464.3140320000002</v>
      </c>
      <c r="P45" s="388" t="e">
        <f>GETPIVOTDATA("Debit",#REF!,"Type of Cost","DJC","Project Cost","NBN Greenfields - AYCA-32OIQA Gracewood Kellyville","Month Incurred Credit or Debit","Dec-16")</f>
        <v>#REF!</v>
      </c>
      <c r="Q45" s="388"/>
      <c r="R45" s="388">
        <f>G148</f>
        <v>0</v>
      </c>
      <c r="S45" s="388" t="e">
        <f t="shared" si="18"/>
        <v>#REF!</v>
      </c>
      <c r="T45" s="388" t="e">
        <f t="shared" si="14"/>
        <v>#REF!</v>
      </c>
      <c r="U45" s="390" t="e">
        <f t="shared" si="19"/>
        <v>#REF!</v>
      </c>
      <c r="V45" s="391" t="s">
        <v>199</v>
      </c>
      <c r="W45" s="392">
        <f t="shared" si="24"/>
        <v>42726</v>
      </c>
      <c r="X45" s="383" t="s">
        <v>200</v>
      </c>
      <c r="Y45" s="393" t="s">
        <v>367</v>
      </c>
      <c r="Z45" s="384">
        <v>42674</v>
      </c>
      <c r="AA45" s="536">
        <v>42691</v>
      </c>
      <c r="AB45" s="394">
        <f t="shared" si="25"/>
        <v>17</v>
      </c>
      <c r="AC45" s="384">
        <v>42699</v>
      </c>
      <c r="AD45" s="395">
        <f t="shared" si="22"/>
        <v>8</v>
      </c>
    </row>
    <row r="46" spans="2:39">
      <c r="B46" s="397" t="s">
        <v>190</v>
      </c>
      <c r="C46" s="383"/>
      <c r="D46" s="394"/>
      <c r="E46" s="394"/>
      <c r="F46" s="385">
        <v>42824</v>
      </c>
      <c r="G46" s="385"/>
      <c r="H46" s="397"/>
      <c r="I46" s="392" t="str">
        <f t="shared" si="23"/>
        <v>Mar-17</v>
      </c>
      <c r="J46" s="416" t="s">
        <v>579</v>
      </c>
      <c r="K46" s="445" t="s">
        <v>580</v>
      </c>
      <c r="L46" s="387">
        <v>1975.2</v>
      </c>
      <c r="M46" s="520"/>
      <c r="N46" s="387">
        <f t="shared" si="26"/>
        <v>1975.2</v>
      </c>
      <c r="O46" s="494">
        <f t="shared" si="27"/>
        <v>2172.7200000000003</v>
      </c>
      <c r="P46" s="388"/>
      <c r="Q46" s="388" t="e">
        <f>GETPIVOTDATA("Debit",#REF!,"Type of Cost","DJC Internals","Project Cost","NBN Greenfields - AYCA-3HNMNR - Uraga","Month Incurred Credit or Debit","Dec-16")</f>
        <v>#REF!</v>
      </c>
      <c r="R46" s="388"/>
      <c r="S46" s="388" t="e">
        <f t="shared" si="18"/>
        <v>#REF!</v>
      </c>
      <c r="T46" s="388" t="e">
        <f t="shared" si="14"/>
        <v>#REF!</v>
      </c>
      <c r="U46" s="390" t="e">
        <f t="shared" si="19"/>
        <v>#REF!</v>
      </c>
      <c r="V46" s="394"/>
      <c r="W46" s="392">
        <f t="shared" si="24"/>
        <v>42838</v>
      </c>
      <c r="X46" s="383"/>
      <c r="Y46" s="393" t="s">
        <v>210</v>
      </c>
      <c r="Z46" s="384">
        <v>42667</v>
      </c>
      <c r="AA46" s="392">
        <v>42684</v>
      </c>
      <c r="AB46" s="394">
        <f t="shared" si="25"/>
        <v>17</v>
      </c>
      <c r="AC46" s="384">
        <v>42685</v>
      </c>
      <c r="AD46" s="395">
        <f t="shared" si="22"/>
        <v>1</v>
      </c>
    </row>
    <row r="47" spans="2:39">
      <c r="B47" s="397" t="s">
        <v>190</v>
      </c>
      <c r="C47" s="397" t="s">
        <v>708</v>
      </c>
      <c r="D47" s="384">
        <v>42794</v>
      </c>
      <c r="E47" s="370">
        <v>42793</v>
      </c>
      <c r="F47" s="385">
        <v>42794</v>
      </c>
      <c r="G47" s="385">
        <f>F47+14</f>
        <v>42808</v>
      </c>
      <c r="H47" s="386">
        <f>G47+14</f>
        <v>42822</v>
      </c>
      <c r="I47" s="392" t="str">
        <f t="shared" si="23"/>
        <v>Feb-17</v>
      </c>
      <c r="J47" s="397" t="s">
        <v>610</v>
      </c>
      <c r="K47" s="445" t="s">
        <v>612</v>
      </c>
      <c r="L47" s="387">
        <v>11866.71</v>
      </c>
      <c r="M47" s="522">
        <f>N47-L47</f>
        <v>-7769.5199999999995</v>
      </c>
      <c r="N47" s="387">
        <v>4097.1899999999996</v>
      </c>
      <c r="O47" s="494">
        <f t="shared" si="27"/>
        <v>4506.9089999999997</v>
      </c>
      <c r="P47" s="388"/>
      <c r="Q47" s="388"/>
      <c r="R47" s="388"/>
      <c r="S47" s="388">
        <f t="shared" si="18"/>
        <v>0</v>
      </c>
      <c r="T47" s="388">
        <f t="shared" si="14"/>
        <v>11866.71</v>
      </c>
      <c r="U47" s="390">
        <f t="shared" si="19"/>
        <v>1</v>
      </c>
      <c r="V47" s="391" t="s">
        <v>199</v>
      </c>
      <c r="W47" s="392">
        <f t="shared" si="24"/>
        <v>42808</v>
      </c>
      <c r="X47" s="383" t="s">
        <v>200</v>
      </c>
      <c r="Y47" s="393" t="s">
        <v>517</v>
      </c>
      <c r="Z47" s="384">
        <v>42612</v>
      </c>
      <c r="AA47" s="392">
        <v>42725</v>
      </c>
      <c r="AB47" s="394">
        <f t="shared" si="25"/>
        <v>113</v>
      </c>
      <c r="AC47" s="384">
        <v>42702</v>
      </c>
      <c r="AD47" s="395">
        <f t="shared" si="22"/>
        <v>-23</v>
      </c>
      <c r="AG47" s="794" t="s">
        <v>29</v>
      </c>
      <c r="AH47" s="354" t="s">
        <v>231</v>
      </c>
      <c r="AI47" s="354" t="s">
        <v>706</v>
      </c>
      <c r="AJ47" s="354" t="s">
        <v>232</v>
      </c>
      <c r="AL47" s="396" t="s">
        <v>62</v>
      </c>
      <c r="AM47" s="396" t="s">
        <v>163</v>
      </c>
    </row>
    <row r="48" spans="2:39">
      <c r="B48" s="397" t="s">
        <v>190</v>
      </c>
      <c r="C48" s="383"/>
      <c r="D48" s="394"/>
      <c r="E48" s="394"/>
      <c r="F48" s="385">
        <v>42824</v>
      </c>
      <c r="G48" s="385"/>
      <c r="H48" s="397"/>
      <c r="I48" s="392" t="str">
        <f t="shared" si="23"/>
        <v>Mar-17</v>
      </c>
      <c r="J48" s="397" t="s">
        <v>611</v>
      </c>
      <c r="K48" s="445" t="s">
        <v>613</v>
      </c>
      <c r="L48" s="387">
        <v>11582.31</v>
      </c>
      <c r="M48" s="520"/>
      <c r="N48" s="387">
        <f t="shared" si="26"/>
        <v>11582.31</v>
      </c>
      <c r="O48" s="494">
        <f t="shared" si="27"/>
        <v>12740.541000000001</v>
      </c>
      <c r="P48" s="388"/>
      <c r="Q48" s="388"/>
      <c r="R48" s="388"/>
      <c r="S48" s="388">
        <f t="shared" si="18"/>
        <v>0</v>
      </c>
      <c r="T48" s="388">
        <f t="shared" si="14"/>
        <v>11582.31</v>
      </c>
      <c r="U48" s="390">
        <f t="shared" si="19"/>
        <v>1</v>
      </c>
      <c r="V48" s="394"/>
      <c r="W48" s="392">
        <f>F48+14</f>
        <v>42838</v>
      </c>
      <c r="X48" s="383"/>
      <c r="Y48" s="393" t="s">
        <v>517</v>
      </c>
      <c r="Z48" s="392">
        <v>42612</v>
      </c>
      <c r="AA48" s="384">
        <v>42725</v>
      </c>
      <c r="AB48" s="394">
        <f t="shared" si="25"/>
        <v>113</v>
      </c>
      <c r="AC48" s="384">
        <v>42703</v>
      </c>
      <c r="AD48" s="395">
        <f t="shared" si="22"/>
        <v>-22</v>
      </c>
      <c r="AG48" s="217" t="s">
        <v>190</v>
      </c>
      <c r="AH48" s="373">
        <v>943.43</v>
      </c>
      <c r="AI48" s="373">
        <v>394846.62197714287</v>
      </c>
      <c r="AJ48" s="373" t="e">
        <v>#REF!</v>
      </c>
      <c r="AL48" s="402" t="e">
        <f>GETPIVOTDATA("Sum of Amount",$AG$47)-GETPIVOTDATA("Sum of Total Cost",$AG$47)</f>
        <v>#REF!</v>
      </c>
      <c r="AM48" s="403" t="e">
        <f>AL48/GETPIVOTDATA("Sum of Amount",$AG$47)</f>
        <v>#REF!</v>
      </c>
    </row>
    <row r="49" spans="2:39">
      <c r="B49" s="397" t="s">
        <v>190</v>
      </c>
      <c r="C49" s="383"/>
      <c r="D49" s="394"/>
      <c r="E49" s="394"/>
      <c r="F49" s="385">
        <v>42824</v>
      </c>
      <c r="G49" s="385"/>
      <c r="H49" s="397"/>
      <c r="I49" s="392" t="str">
        <f t="shared" si="23"/>
        <v>Mar-17</v>
      </c>
      <c r="J49" s="383" t="s">
        <v>679</v>
      </c>
      <c r="K49" s="445" t="s">
        <v>619</v>
      </c>
      <c r="L49" s="387">
        <v>6033.93</v>
      </c>
      <c r="M49" s="520"/>
      <c r="N49" s="387">
        <f t="shared" si="26"/>
        <v>6033.93</v>
      </c>
      <c r="O49" s="494">
        <f t="shared" si="27"/>
        <v>6637.3230000000012</v>
      </c>
      <c r="P49" s="388"/>
      <c r="Q49" s="388"/>
      <c r="R49" s="388"/>
      <c r="S49" s="388">
        <f t="shared" si="18"/>
        <v>0</v>
      </c>
      <c r="T49" s="388">
        <f t="shared" si="14"/>
        <v>6033.93</v>
      </c>
      <c r="U49" s="390">
        <f t="shared" si="19"/>
        <v>1</v>
      </c>
      <c r="V49" s="394"/>
      <c r="W49" s="392">
        <f t="shared" ref="W49:W54" si="28">F49+14</f>
        <v>42838</v>
      </c>
      <c r="X49" s="383"/>
      <c r="Y49" s="393" t="s">
        <v>220</v>
      </c>
      <c r="Z49" s="392">
        <v>42691</v>
      </c>
      <c r="AA49" s="384">
        <v>42699</v>
      </c>
      <c r="AB49" s="394">
        <f t="shared" si="25"/>
        <v>8</v>
      </c>
      <c r="AC49" s="384">
        <v>42720</v>
      </c>
      <c r="AD49" s="395">
        <f t="shared" si="22"/>
        <v>21</v>
      </c>
      <c r="AG49" s="797" t="s">
        <v>229</v>
      </c>
      <c r="AH49" s="373">
        <v>943.43</v>
      </c>
      <c r="AI49" s="373">
        <v>3386.6000000000004</v>
      </c>
      <c r="AJ49" s="373">
        <v>1218.4299999999998</v>
      </c>
      <c r="AL49" s="415"/>
      <c r="AM49" s="372"/>
    </row>
    <row r="50" spans="2:39">
      <c r="B50" s="397" t="s">
        <v>190</v>
      </c>
      <c r="C50" s="383"/>
      <c r="D50" s="394"/>
      <c r="E50" s="394"/>
      <c r="F50" s="385">
        <v>42824</v>
      </c>
      <c r="G50" s="385"/>
      <c r="H50" s="397"/>
      <c r="I50" s="392" t="str">
        <f t="shared" si="23"/>
        <v>Mar-17</v>
      </c>
      <c r="J50" s="383" t="s">
        <v>678</v>
      </c>
      <c r="K50" s="445" t="s">
        <v>625</v>
      </c>
      <c r="L50" s="387">
        <v>4682.05</v>
      </c>
      <c r="M50" s="520"/>
      <c r="N50" s="387">
        <f t="shared" si="26"/>
        <v>4682.05</v>
      </c>
      <c r="O50" s="494">
        <f t="shared" si="27"/>
        <v>5150.255000000001</v>
      </c>
      <c r="P50" s="388"/>
      <c r="Q50" s="388" t="e">
        <f>GETPIVOTDATA("Debit",#REF!,"Type of Cost","DJC Internals","Project Cost","NBN Greenfields - AYCA-37LWLY - Backhouse Street","Month Incurred Credit or Debit","Dec-16")</f>
        <v>#REF!</v>
      </c>
      <c r="R50" s="388"/>
      <c r="S50" s="388" t="e">
        <f t="shared" si="18"/>
        <v>#REF!</v>
      </c>
      <c r="T50" s="388" t="e">
        <f t="shared" si="14"/>
        <v>#REF!</v>
      </c>
      <c r="U50" s="390" t="e">
        <f t="shared" si="19"/>
        <v>#REF!</v>
      </c>
      <c r="V50" s="394"/>
      <c r="W50" s="392">
        <f t="shared" si="28"/>
        <v>42838</v>
      </c>
      <c r="X50" s="383"/>
      <c r="Y50" s="393" t="s">
        <v>210</v>
      </c>
      <c r="Z50" s="392">
        <v>42688</v>
      </c>
      <c r="AA50" s="384">
        <v>42698</v>
      </c>
      <c r="AB50" s="394">
        <f t="shared" ref="AB50:AB57" si="29">AA50-Z50</f>
        <v>10</v>
      </c>
      <c r="AC50" s="384">
        <v>42721</v>
      </c>
      <c r="AD50" s="395">
        <f t="shared" ref="AD50:AD56" si="30">AC50-AA50</f>
        <v>23</v>
      </c>
      <c r="AG50" s="797" t="s">
        <v>230</v>
      </c>
      <c r="AH50" s="373">
        <v>0</v>
      </c>
      <c r="AI50" s="373">
        <v>1927.33</v>
      </c>
      <c r="AJ50" s="373">
        <v>241.34213621039655</v>
      </c>
      <c r="AL50" s="415"/>
      <c r="AM50" s="372"/>
    </row>
    <row r="51" spans="2:39">
      <c r="B51" s="397" t="s">
        <v>190</v>
      </c>
      <c r="C51" s="397" t="s">
        <v>704</v>
      </c>
      <c r="D51" s="384">
        <v>42794</v>
      </c>
      <c r="E51" s="384">
        <v>42791</v>
      </c>
      <c r="F51" s="385">
        <v>42765</v>
      </c>
      <c r="G51" s="385">
        <v>42794</v>
      </c>
      <c r="H51" s="386">
        <f>G51+14</f>
        <v>42808</v>
      </c>
      <c r="I51" s="392" t="str">
        <f t="shared" si="23"/>
        <v>Jan-17</v>
      </c>
      <c r="J51" s="397" t="s">
        <v>626</v>
      </c>
      <c r="K51" s="445" t="s">
        <v>385</v>
      </c>
      <c r="L51" s="387">
        <v>1137.5999999999999</v>
      </c>
      <c r="M51" s="520"/>
      <c r="N51" s="387">
        <f t="shared" ref="N51:N60" si="31">SUM(L51:M51)</f>
        <v>1137.5999999999999</v>
      </c>
      <c r="O51" s="494">
        <f>N51*1.1</f>
        <v>1251.3599999999999</v>
      </c>
      <c r="P51" s="388"/>
      <c r="Q51" s="388" t="e">
        <f>GETPIVOTDATA("Debit",#REF!,"Type of Cost","DJC Internals","Project Cost","NBN Greenfields - AYCA-2B2DZQ - Greenview Parade ","Month Incurred Credit or Debit","Dec-16")</f>
        <v>#REF!</v>
      </c>
      <c r="R51" s="388"/>
      <c r="S51" s="388" t="e">
        <f t="shared" si="18"/>
        <v>#REF!</v>
      </c>
      <c r="T51" s="388" t="e">
        <f t="shared" si="14"/>
        <v>#REF!</v>
      </c>
      <c r="U51" s="390" t="e">
        <f t="shared" si="19"/>
        <v>#REF!</v>
      </c>
      <c r="V51" s="394"/>
      <c r="W51" s="392">
        <f t="shared" si="28"/>
        <v>42779</v>
      </c>
      <c r="X51" s="383"/>
      <c r="Y51" s="393" t="s">
        <v>210</v>
      </c>
      <c r="Z51" s="392">
        <v>42705</v>
      </c>
      <c r="AA51" s="384">
        <v>42712</v>
      </c>
      <c r="AB51" s="394">
        <f t="shared" si="29"/>
        <v>7</v>
      </c>
      <c r="AC51" s="384">
        <v>42726</v>
      </c>
      <c r="AD51" s="395">
        <f t="shared" si="30"/>
        <v>14</v>
      </c>
      <c r="AG51" s="797" t="s">
        <v>183</v>
      </c>
      <c r="AH51" s="373">
        <v>0</v>
      </c>
      <c r="AI51" s="373">
        <v>24447.73</v>
      </c>
      <c r="AJ51" s="373" t="e">
        <v>#REF!</v>
      </c>
      <c r="AL51" s="415"/>
      <c r="AM51" s="372"/>
    </row>
    <row r="52" spans="2:39">
      <c r="B52" s="397" t="s">
        <v>190</v>
      </c>
      <c r="C52" s="383" t="s">
        <v>633</v>
      </c>
      <c r="D52" s="384">
        <v>42719</v>
      </c>
      <c r="E52" s="384">
        <v>42710</v>
      </c>
      <c r="F52" s="385">
        <v>42711</v>
      </c>
      <c r="G52" s="385">
        <f>F52+14</f>
        <v>42725</v>
      </c>
      <c r="H52" s="386">
        <f>G52+14</f>
        <v>42739</v>
      </c>
      <c r="I52" s="392" t="str">
        <f t="shared" si="23"/>
        <v>Dec-16</v>
      </c>
      <c r="J52" s="383" t="s">
        <v>571</v>
      </c>
      <c r="K52" s="445" t="s">
        <v>385</v>
      </c>
      <c r="L52" s="387">
        <v>478.8</v>
      </c>
      <c r="M52" s="387">
        <v>1045.5</v>
      </c>
      <c r="N52" s="387">
        <f t="shared" si="31"/>
        <v>1524.3</v>
      </c>
      <c r="O52" s="494">
        <f>N52*1.1</f>
        <v>1676.73</v>
      </c>
      <c r="P52" s="388"/>
      <c r="Q52" s="388"/>
      <c r="R52" s="388">
        <f>G149</f>
        <v>0</v>
      </c>
      <c r="S52" s="388">
        <f t="shared" si="18"/>
        <v>0</v>
      </c>
      <c r="T52" s="388">
        <f t="shared" ref="T52:T74" si="32">L52-S52</f>
        <v>478.8</v>
      </c>
      <c r="U52" s="390">
        <f t="shared" si="19"/>
        <v>1</v>
      </c>
      <c r="V52" s="391" t="s">
        <v>199</v>
      </c>
      <c r="W52" s="392">
        <f t="shared" si="28"/>
        <v>42725</v>
      </c>
      <c r="X52" s="383" t="s">
        <v>200</v>
      </c>
      <c r="Y52" s="393" t="s">
        <v>210</v>
      </c>
      <c r="Z52" s="392">
        <v>42681</v>
      </c>
      <c r="AA52" s="384">
        <v>42691</v>
      </c>
      <c r="AB52" s="394">
        <f t="shared" si="29"/>
        <v>10</v>
      </c>
      <c r="AC52" s="384">
        <v>42702</v>
      </c>
      <c r="AD52" s="395">
        <f t="shared" si="30"/>
        <v>11</v>
      </c>
      <c r="AG52" s="797" t="s">
        <v>241</v>
      </c>
      <c r="AH52" s="373">
        <v>0</v>
      </c>
      <c r="AI52" s="373">
        <v>45167.689999999995</v>
      </c>
      <c r="AJ52" s="373" t="e">
        <v>#REF!</v>
      </c>
      <c r="AL52" s="415"/>
      <c r="AM52" s="372"/>
    </row>
    <row r="53" spans="2:39">
      <c r="B53" s="397" t="s">
        <v>190</v>
      </c>
      <c r="C53" s="397" t="s">
        <v>707</v>
      </c>
      <c r="D53" s="392">
        <v>42793</v>
      </c>
      <c r="E53" s="392">
        <v>42774</v>
      </c>
      <c r="F53" s="386">
        <v>42765</v>
      </c>
      <c r="G53" s="386">
        <v>42787</v>
      </c>
      <c r="H53" s="397"/>
      <c r="I53" s="392" t="str">
        <f t="shared" si="23"/>
        <v>Jan-17</v>
      </c>
      <c r="J53" s="397" t="s">
        <v>631</v>
      </c>
      <c r="K53" s="445" t="s">
        <v>698</v>
      </c>
      <c r="L53" s="387">
        <v>6769.08</v>
      </c>
      <c r="M53" s="567">
        <v>-2073.29</v>
      </c>
      <c r="N53" s="387">
        <f t="shared" si="31"/>
        <v>4695.79</v>
      </c>
      <c r="O53" s="494">
        <f>N53*1.1</f>
        <v>5165.3690000000006</v>
      </c>
      <c r="P53" s="388"/>
      <c r="Q53" s="388"/>
      <c r="R53" s="388"/>
      <c r="S53" s="388">
        <f t="shared" si="18"/>
        <v>0</v>
      </c>
      <c r="T53" s="388">
        <f t="shared" si="32"/>
        <v>6769.08</v>
      </c>
      <c r="U53" s="390">
        <f t="shared" si="19"/>
        <v>1</v>
      </c>
      <c r="V53" s="391" t="s">
        <v>199</v>
      </c>
      <c r="W53" s="392">
        <f t="shared" si="28"/>
        <v>42779</v>
      </c>
      <c r="X53" s="383" t="s">
        <v>200</v>
      </c>
      <c r="Y53" s="393" t="s">
        <v>223</v>
      </c>
      <c r="Z53" s="392">
        <v>42701</v>
      </c>
      <c r="AA53" s="384">
        <v>42712</v>
      </c>
      <c r="AB53" s="394">
        <f t="shared" si="29"/>
        <v>11</v>
      </c>
      <c r="AC53" s="384">
        <v>42720</v>
      </c>
      <c r="AD53" s="395">
        <f t="shared" si="30"/>
        <v>8</v>
      </c>
      <c r="AG53" s="797" t="s">
        <v>356</v>
      </c>
      <c r="AH53" s="373">
        <v>0</v>
      </c>
      <c r="AI53" s="373">
        <v>9654.0299999999988</v>
      </c>
      <c r="AJ53" s="373" t="e">
        <v>#REF!</v>
      </c>
    </row>
    <row r="54" spans="2:39">
      <c r="B54" s="397" t="s">
        <v>190</v>
      </c>
      <c r="C54" s="383" t="s">
        <v>666</v>
      </c>
      <c r="D54" s="384">
        <v>42755</v>
      </c>
      <c r="E54" s="384">
        <v>42738</v>
      </c>
      <c r="F54" s="385">
        <v>42755</v>
      </c>
      <c r="G54" s="385">
        <v>42754</v>
      </c>
      <c r="H54" s="386">
        <v>42765</v>
      </c>
      <c r="I54" s="392" t="str">
        <f t="shared" si="23"/>
        <v>Jan-17</v>
      </c>
      <c r="J54" s="383" t="s">
        <v>635</v>
      </c>
      <c r="K54" s="445" t="s">
        <v>636</v>
      </c>
      <c r="L54" s="387">
        <v>248.14</v>
      </c>
      <c r="M54" s="520"/>
      <c r="N54" s="387">
        <f t="shared" si="31"/>
        <v>248.14</v>
      </c>
      <c r="O54" s="494"/>
      <c r="P54" s="388"/>
      <c r="Q54" s="388"/>
      <c r="R54" s="388"/>
      <c r="S54" s="388">
        <f t="shared" si="18"/>
        <v>0</v>
      </c>
      <c r="T54" s="388">
        <f t="shared" si="32"/>
        <v>248.14</v>
      </c>
      <c r="U54" s="390">
        <f t="shared" si="19"/>
        <v>1</v>
      </c>
      <c r="V54" s="391" t="s">
        <v>199</v>
      </c>
      <c r="W54" s="392">
        <f t="shared" si="28"/>
        <v>42769</v>
      </c>
      <c r="X54" s="383" t="s">
        <v>200</v>
      </c>
      <c r="Y54" s="393" t="s">
        <v>201</v>
      </c>
      <c r="Z54" s="392">
        <v>42712</v>
      </c>
      <c r="AA54" s="384">
        <v>42718</v>
      </c>
      <c r="AB54" s="394">
        <f t="shared" si="29"/>
        <v>6</v>
      </c>
      <c r="AC54" s="384">
        <v>42727</v>
      </c>
      <c r="AD54" s="395">
        <f t="shared" si="30"/>
        <v>9</v>
      </c>
      <c r="AG54" s="797" t="s">
        <v>404</v>
      </c>
      <c r="AH54" s="373">
        <v>0</v>
      </c>
      <c r="AI54" s="373">
        <v>53199.970000000008</v>
      </c>
      <c r="AJ54" s="373" t="e">
        <v>#REF!</v>
      </c>
    </row>
    <row r="55" spans="2:39">
      <c r="B55" s="397" t="s">
        <v>190</v>
      </c>
      <c r="C55" s="397" t="s">
        <v>705</v>
      </c>
      <c r="D55" s="384">
        <v>42793</v>
      </c>
      <c r="E55" s="384">
        <v>42782</v>
      </c>
      <c r="F55" s="385">
        <v>42782</v>
      </c>
      <c r="G55" s="385">
        <f>F55+14</f>
        <v>42796</v>
      </c>
      <c r="H55" s="386">
        <f>G55+14</f>
        <v>42810</v>
      </c>
      <c r="I55" s="392" t="str">
        <f t="shared" si="23"/>
        <v>Feb-17</v>
      </c>
      <c r="J55" s="397" t="s">
        <v>676</v>
      </c>
      <c r="K55" s="445" t="s">
        <v>208</v>
      </c>
      <c r="L55" s="387">
        <v>3746.75</v>
      </c>
      <c r="M55" s="418">
        <v>4519.1499999999996</v>
      </c>
      <c r="N55" s="387">
        <f t="shared" si="31"/>
        <v>8265.9</v>
      </c>
      <c r="O55" s="494"/>
      <c r="P55" s="388"/>
      <c r="Q55" s="388"/>
      <c r="R55" s="388"/>
      <c r="S55" s="388">
        <f t="shared" si="18"/>
        <v>0</v>
      </c>
      <c r="T55" s="388">
        <f t="shared" si="32"/>
        <v>3746.75</v>
      </c>
      <c r="U55" s="390">
        <f t="shared" si="19"/>
        <v>1</v>
      </c>
      <c r="V55" s="391" t="s">
        <v>199</v>
      </c>
      <c r="W55" s="392">
        <f t="shared" ref="W55:W62" si="33">F55+14</f>
        <v>42796</v>
      </c>
      <c r="X55" s="383" t="s">
        <v>200</v>
      </c>
      <c r="Y55" s="393" t="s">
        <v>518</v>
      </c>
      <c r="Z55" s="392">
        <v>42717</v>
      </c>
      <c r="AA55" s="384">
        <v>42738</v>
      </c>
      <c r="AB55" s="394">
        <f t="shared" si="29"/>
        <v>21</v>
      </c>
      <c r="AC55" s="384">
        <v>42688</v>
      </c>
      <c r="AD55" s="395">
        <f t="shared" si="30"/>
        <v>-50</v>
      </c>
      <c r="AG55" s="797" t="s">
        <v>496</v>
      </c>
      <c r="AH55" s="373">
        <v>0</v>
      </c>
      <c r="AI55" s="373">
        <v>23053.922857142858</v>
      </c>
      <c r="AJ55" s="373" t="e">
        <v>#REF!</v>
      </c>
    </row>
    <row r="56" spans="2:39">
      <c r="B56" s="397" t="s">
        <v>190</v>
      </c>
      <c r="C56" s="383"/>
      <c r="D56" s="394"/>
      <c r="E56" s="394"/>
      <c r="F56" s="385">
        <v>42824</v>
      </c>
      <c r="G56" s="385"/>
      <c r="H56" s="397"/>
      <c r="I56" s="392" t="str">
        <f t="shared" si="23"/>
        <v>Mar-17</v>
      </c>
      <c r="J56" s="383" t="s">
        <v>642</v>
      </c>
      <c r="K56" s="445" t="s">
        <v>458</v>
      </c>
      <c r="L56" s="387">
        <v>25638.28</v>
      </c>
      <c r="M56" s="418">
        <v>51038.22</v>
      </c>
      <c r="N56" s="387">
        <f t="shared" si="31"/>
        <v>76676.5</v>
      </c>
      <c r="O56" s="494"/>
      <c r="P56" s="388"/>
      <c r="Q56" s="388"/>
      <c r="R56" s="388"/>
      <c r="S56" s="388">
        <f t="shared" ref="S56:S74" si="34">SUM(P56:R56)</f>
        <v>0</v>
      </c>
      <c r="T56" s="388">
        <f t="shared" si="32"/>
        <v>25638.28</v>
      </c>
      <c r="U56" s="390">
        <f t="shared" ref="U56:U74" si="35">T56/L56</f>
        <v>1</v>
      </c>
      <c r="V56" s="394"/>
      <c r="W56" s="392">
        <f t="shared" si="33"/>
        <v>42838</v>
      </c>
      <c r="X56" s="383"/>
      <c r="Y56" s="393" t="s">
        <v>220</v>
      </c>
      <c r="Z56" s="392">
        <v>42725</v>
      </c>
      <c r="AA56" s="384">
        <v>42758</v>
      </c>
      <c r="AB56" s="394">
        <f t="shared" si="29"/>
        <v>33</v>
      </c>
      <c r="AC56" s="384">
        <v>42787</v>
      </c>
      <c r="AD56" s="395">
        <f t="shared" si="30"/>
        <v>29</v>
      </c>
      <c r="AG56" s="797" t="s">
        <v>559</v>
      </c>
      <c r="AH56" s="373">
        <v>0</v>
      </c>
      <c r="AI56" s="373">
        <v>7400.9491200000002</v>
      </c>
      <c r="AJ56" s="373" t="e">
        <v>#REF!</v>
      </c>
    </row>
    <row r="57" spans="2:39">
      <c r="B57" s="397" t="s">
        <v>190</v>
      </c>
      <c r="C57" s="383"/>
      <c r="D57" s="394"/>
      <c r="E57" s="394"/>
      <c r="F57" s="385">
        <v>42824</v>
      </c>
      <c r="G57" s="385"/>
      <c r="H57" s="397"/>
      <c r="I57" s="392" t="str">
        <f t="shared" si="23"/>
        <v>Mar-17</v>
      </c>
      <c r="J57" s="383" t="s">
        <v>638</v>
      </c>
      <c r="K57" s="445" t="s">
        <v>208</v>
      </c>
      <c r="L57" s="387">
        <v>8771.68</v>
      </c>
      <c r="M57" s="520"/>
      <c r="N57" s="387">
        <f t="shared" si="31"/>
        <v>8771.68</v>
      </c>
      <c r="O57" s="494"/>
      <c r="P57" s="388"/>
      <c r="Q57" s="388"/>
      <c r="R57" s="388"/>
      <c r="S57" s="388">
        <f t="shared" si="34"/>
        <v>0</v>
      </c>
      <c r="T57" s="388">
        <f t="shared" si="32"/>
        <v>8771.68</v>
      </c>
      <c r="U57" s="390">
        <f t="shared" si="35"/>
        <v>1</v>
      </c>
      <c r="V57" s="394"/>
      <c r="W57" s="392">
        <f t="shared" si="33"/>
        <v>42838</v>
      </c>
      <c r="X57" s="383"/>
      <c r="Y57" s="393" t="s">
        <v>367</v>
      </c>
      <c r="Z57" s="392">
        <v>42725</v>
      </c>
      <c r="AA57" s="384">
        <v>42745</v>
      </c>
      <c r="AB57" s="394">
        <f t="shared" si="29"/>
        <v>20</v>
      </c>
      <c r="AC57" s="384">
        <v>42765</v>
      </c>
      <c r="AD57" s="395">
        <f>AC57-AA57</f>
        <v>20</v>
      </c>
      <c r="AG57" s="797" t="s">
        <v>623</v>
      </c>
      <c r="AH57" s="373"/>
      <c r="AI57" s="373">
        <v>25265.559999999998</v>
      </c>
      <c r="AJ57" s="373" t="e">
        <v>#REF!</v>
      </c>
    </row>
    <row r="58" spans="2:39">
      <c r="B58" s="397" t="s">
        <v>190</v>
      </c>
      <c r="C58" s="383" t="s">
        <v>667</v>
      </c>
      <c r="D58" s="384">
        <v>42755</v>
      </c>
      <c r="E58" s="384">
        <v>42755</v>
      </c>
      <c r="F58" s="385">
        <v>42755</v>
      </c>
      <c r="G58" s="385">
        <f>F58+14</f>
        <v>42769</v>
      </c>
      <c r="H58" s="386">
        <v>42783</v>
      </c>
      <c r="I58" s="392" t="str">
        <f t="shared" si="23"/>
        <v>Jan-17</v>
      </c>
      <c r="J58" s="383" t="s">
        <v>657</v>
      </c>
      <c r="K58" s="445" t="s">
        <v>658</v>
      </c>
      <c r="L58" s="387">
        <v>3140.26</v>
      </c>
      <c r="M58" s="418">
        <v>1255.23</v>
      </c>
      <c r="N58" s="387">
        <f t="shared" si="31"/>
        <v>4395.49</v>
      </c>
      <c r="O58" s="494"/>
      <c r="P58" s="388"/>
      <c r="Q58" s="388" t="e">
        <f>GETPIVOTDATA("Debit",#REF!,"Type of Cost","DJC Internals","Project Cost","NBN Greenfields - AYCA-32OUIO - 5-7 Wonga Street, Canterbury","Month Incurred Credit or Debit","Dec-16")</f>
        <v>#REF!</v>
      </c>
      <c r="R58" s="388"/>
      <c r="S58" s="388" t="e">
        <f t="shared" si="34"/>
        <v>#REF!</v>
      </c>
      <c r="T58" s="388" t="e">
        <f t="shared" si="32"/>
        <v>#REF!</v>
      </c>
      <c r="U58" s="390" t="e">
        <f t="shared" si="35"/>
        <v>#REF!</v>
      </c>
      <c r="V58" s="391" t="s">
        <v>199</v>
      </c>
      <c r="W58" s="392">
        <f t="shared" si="33"/>
        <v>42769</v>
      </c>
      <c r="X58" s="383" t="s">
        <v>200</v>
      </c>
      <c r="Y58" s="393" t="s">
        <v>518</v>
      </c>
      <c r="Z58" s="392">
        <v>42711</v>
      </c>
      <c r="AA58" s="384">
        <v>42719</v>
      </c>
      <c r="AB58" s="394">
        <f t="shared" ref="AB58:AB71" si="36">AA58-Z58</f>
        <v>8</v>
      </c>
      <c r="AC58" s="384">
        <v>42718</v>
      </c>
      <c r="AD58" s="395">
        <f t="shared" ref="AD58:AD71" si="37">AC58-AA58</f>
        <v>-1</v>
      </c>
      <c r="AG58" s="797" t="s">
        <v>665</v>
      </c>
      <c r="AH58" s="373"/>
      <c r="AI58" s="373">
        <v>163250.48000000001</v>
      </c>
      <c r="AJ58" s="373" t="e">
        <v>#REF!</v>
      </c>
    </row>
    <row r="59" spans="2:39">
      <c r="B59" s="397" t="s">
        <v>190</v>
      </c>
      <c r="C59" s="397" t="s">
        <v>701</v>
      </c>
      <c r="D59" s="384">
        <v>46441</v>
      </c>
      <c r="E59" s="384">
        <v>42775</v>
      </c>
      <c r="F59" s="385">
        <v>42787</v>
      </c>
      <c r="G59" s="385">
        <v>42787</v>
      </c>
      <c r="H59" s="386">
        <f>G59+14</f>
        <v>42801</v>
      </c>
      <c r="I59" s="392" t="str">
        <f t="shared" si="23"/>
        <v>Feb-17</v>
      </c>
      <c r="J59" s="383" t="s">
        <v>639</v>
      </c>
      <c r="K59" s="445" t="s">
        <v>663</v>
      </c>
      <c r="L59" s="387">
        <v>2782.38</v>
      </c>
      <c r="M59" s="520"/>
      <c r="N59" s="387">
        <f t="shared" si="31"/>
        <v>2782.38</v>
      </c>
      <c r="O59" s="494"/>
      <c r="P59" s="388"/>
      <c r="Q59" s="388"/>
      <c r="R59" s="388"/>
      <c r="S59" s="388">
        <f t="shared" si="34"/>
        <v>0</v>
      </c>
      <c r="T59" s="388">
        <f t="shared" si="32"/>
        <v>2782.38</v>
      </c>
      <c r="U59" s="390">
        <f t="shared" si="35"/>
        <v>1</v>
      </c>
      <c r="V59" s="391" t="s">
        <v>199</v>
      </c>
      <c r="W59" s="392">
        <f t="shared" si="33"/>
        <v>42801</v>
      </c>
      <c r="X59" s="383" t="s">
        <v>200</v>
      </c>
      <c r="Y59" s="393" t="s">
        <v>223</v>
      </c>
      <c r="Z59" s="392">
        <v>42726</v>
      </c>
      <c r="AA59" s="384">
        <v>42755</v>
      </c>
      <c r="AB59" s="394">
        <f t="shared" si="36"/>
        <v>29</v>
      </c>
      <c r="AC59" s="384">
        <v>42784</v>
      </c>
      <c r="AD59" s="395">
        <f t="shared" si="37"/>
        <v>29</v>
      </c>
      <c r="AG59" s="797" t="s">
        <v>664</v>
      </c>
      <c r="AH59" s="373"/>
      <c r="AI59" s="373">
        <v>35647.79</v>
      </c>
      <c r="AJ59" s="373" t="e">
        <v>#REF!</v>
      </c>
    </row>
    <row r="60" spans="2:39">
      <c r="B60" s="397" t="s">
        <v>190</v>
      </c>
      <c r="C60" s="385"/>
      <c r="D60" s="385"/>
      <c r="E60" s="384"/>
      <c r="F60" s="385">
        <v>42824</v>
      </c>
      <c r="G60" s="385"/>
      <c r="H60" s="397"/>
      <c r="I60" s="392" t="str">
        <f t="shared" si="23"/>
        <v>Mar-17</v>
      </c>
      <c r="J60" s="383" t="s">
        <v>661</v>
      </c>
      <c r="K60" s="445" t="s">
        <v>662</v>
      </c>
      <c r="L60" s="387">
        <v>3620.18</v>
      </c>
      <c r="M60" s="520"/>
      <c r="N60" s="387">
        <f t="shared" si="31"/>
        <v>3620.18</v>
      </c>
      <c r="O60" s="494"/>
      <c r="P60" s="388"/>
      <c r="Q60" s="388"/>
      <c r="R60" s="388"/>
      <c r="S60" s="388">
        <f t="shared" si="34"/>
        <v>0</v>
      </c>
      <c r="T60" s="388">
        <f t="shared" si="32"/>
        <v>3620.18</v>
      </c>
      <c r="U60" s="390">
        <f t="shared" si="35"/>
        <v>1</v>
      </c>
      <c r="V60" s="394"/>
      <c r="W60" s="392">
        <f t="shared" si="33"/>
        <v>42838</v>
      </c>
      <c r="X60" s="383"/>
      <c r="Y60" s="393" t="s">
        <v>223</v>
      </c>
      <c r="Z60" s="392">
        <v>42726</v>
      </c>
      <c r="AA60" s="384">
        <v>42755</v>
      </c>
      <c r="AB60" s="394">
        <f t="shared" si="36"/>
        <v>29</v>
      </c>
      <c r="AC60" s="384">
        <v>42756</v>
      </c>
      <c r="AD60" s="395">
        <f t="shared" si="37"/>
        <v>1</v>
      </c>
      <c r="AG60" s="797" t="s">
        <v>719</v>
      </c>
      <c r="AH60" s="373"/>
      <c r="AI60" s="373">
        <v>2444.5700000000002</v>
      </c>
      <c r="AJ60" s="373">
        <v>0</v>
      </c>
    </row>
    <row r="61" spans="2:39">
      <c r="B61" s="397" t="s">
        <v>190</v>
      </c>
      <c r="C61" s="385"/>
      <c r="D61" s="385"/>
      <c r="E61" s="384"/>
      <c r="F61" s="385">
        <v>42824</v>
      </c>
      <c r="G61" s="385"/>
      <c r="H61" s="397"/>
      <c r="I61" s="392" t="str">
        <f t="shared" si="23"/>
        <v>Mar-17</v>
      </c>
      <c r="J61" s="383" t="s">
        <v>668</v>
      </c>
      <c r="K61" s="445" t="s">
        <v>205</v>
      </c>
      <c r="L61" s="387">
        <v>4236.0600000000004</v>
      </c>
      <c r="M61" s="520"/>
      <c r="N61" s="387">
        <f t="shared" ref="N61:N72" si="38">SUM(L61:M61)</f>
        <v>4236.0600000000004</v>
      </c>
      <c r="O61" s="494"/>
      <c r="P61" s="388"/>
      <c r="Q61" s="388"/>
      <c r="R61" s="388"/>
      <c r="S61" s="388">
        <f t="shared" si="34"/>
        <v>0</v>
      </c>
      <c r="T61" s="388">
        <f t="shared" si="32"/>
        <v>4236.0600000000004</v>
      </c>
      <c r="U61" s="390">
        <f t="shared" si="35"/>
        <v>1</v>
      </c>
      <c r="V61" s="394"/>
      <c r="W61" s="392">
        <f t="shared" si="33"/>
        <v>42838</v>
      </c>
      <c r="X61" s="383"/>
      <c r="Y61" s="393" t="s">
        <v>206</v>
      </c>
      <c r="Z61" s="392">
        <v>42727</v>
      </c>
      <c r="AA61" s="384">
        <v>42758</v>
      </c>
      <c r="AB61" s="394">
        <f t="shared" si="36"/>
        <v>31</v>
      </c>
      <c r="AC61" s="384">
        <v>42762</v>
      </c>
      <c r="AD61" s="395">
        <f t="shared" si="37"/>
        <v>4</v>
      </c>
      <c r="AG61" s="217" t="s">
        <v>28</v>
      </c>
      <c r="AH61" s="373">
        <v>943.43</v>
      </c>
      <c r="AI61" s="373">
        <v>394846.62197714287</v>
      </c>
      <c r="AJ61" s="373" t="e">
        <v>#REF!</v>
      </c>
    </row>
    <row r="62" spans="2:39" ht="14.35">
      <c r="B62" s="397" t="s">
        <v>190</v>
      </c>
      <c r="C62" s="385"/>
      <c r="D62" s="385"/>
      <c r="E62" s="384"/>
      <c r="F62" s="385">
        <v>42824</v>
      </c>
      <c r="G62" s="385"/>
      <c r="H62" s="397"/>
      <c r="I62" s="392" t="str">
        <f t="shared" si="23"/>
        <v>Mar-17</v>
      </c>
      <c r="J62" s="383" t="s">
        <v>659</v>
      </c>
      <c r="K62" s="445" t="s">
        <v>205</v>
      </c>
      <c r="L62" s="387">
        <v>4004.35</v>
      </c>
      <c r="M62" s="520"/>
      <c r="N62" s="387">
        <f t="shared" si="38"/>
        <v>4004.35</v>
      </c>
      <c r="O62" s="494"/>
      <c r="P62" s="388"/>
      <c r="Q62" s="388"/>
      <c r="R62" s="388"/>
      <c r="S62" s="388">
        <f t="shared" si="34"/>
        <v>0</v>
      </c>
      <c r="T62" s="388">
        <f t="shared" si="32"/>
        <v>4004.35</v>
      </c>
      <c r="U62" s="390">
        <f t="shared" si="35"/>
        <v>1</v>
      </c>
      <c r="V62" s="394"/>
      <c r="W62" s="392">
        <f t="shared" si="33"/>
        <v>42838</v>
      </c>
      <c r="X62" s="383"/>
      <c r="Y62" s="393" t="s">
        <v>220</v>
      </c>
      <c r="Z62" s="392">
        <v>42728</v>
      </c>
      <c r="AA62" s="384">
        <v>42766</v>
      </c>
      <c r="AB62" s="394">
        <f t="shared" si="36"/>
        <v>38</v>
      </c>
      <c r="AC62" s="384">
        <v>42776</v>
      </c>
      <c r="AD62" s="395">
        <f t="shared" si="37"/>
        <v>10</v>
      </c>
      <c r="AG62"/>
      <c r="AH62"/>
      <c r="AI62"/>
      <c r="AJ62"/>
    </row>
    <row r="63" spans="2:39" ht="14.35">
      <c r="B63" s="397" t="s">
        <v>190</v>
      </c>
      <c r="C63" s="386" t="s">
        <v>696</v>
      </c>
      <c r="D63" s="384">
        <v>42783</v>
      </c>
      <c r="E63" s="384">
        <v>42772</v>
      </c>
      <c r="F63" s="385">
        <v>42772</v>
      </c>
      <c r="G63" s="385">
        <v>42781</v>
      </c>
      <c r="H63" s="386">
        <v>42789</v>
      </c>
      <c r="I63" s="392" t="str">
        <f t="shared" si="23"/>
        <v>Feb-17</v>
      </c>
      <c r="J63" s="383" t="s">
        <v>674</v>
      </c>
      <c r="K63" s="445" t="s">
        <v>458</v>
      </c>
      <c r="L63" s="387">
        <v>3842.62</v>
      </c>
      <c r="M63" s="520"/>
      <c r="N63" s="387">
        <f t="shared" si="38"/>
        <v>3842.62</v>
      </c>
      <c r="O63" s="494"/>
      <c r="P63" s="388"/>
      <c r="Q63" s="388"/>
      <c r="R63" s="388"/>
      <c r="S63" s="388">
        <f t="shared" si="34"/>
        <v>0</v>
      </c>
      <c r="T63" s="388">
        <f t="shared" si="32"/>
        <v>3842.62</v>
      </c>
      <c r="U63" s="390">
        <f t="shared" si="35"/>
        <v>1</v>
      </c>
      <c r="V63" s="391" t="s">
        <v>199</v>
      </c>
      <c r="W63" s="392">
        <f t="shared" ref="W63:W74" si="39">F63+14</f>
        <v>42786</v>
      </c>
      <c r="X63" s="383" t="s">
        <v>200</v>
      </c>
      <c r="Y63" s="393" t="s">
        <v>220</v>
      </c>
      <c r="Z63" s="392">
        <v>42753</v>
      </c>
      <c r="AA63" s="384">
        <v>42758</v>
      </c>
      <c r="AB63" s="394">
        <f t="shared" si="36"/>
        <v>5</v>
      </c>
      <c r="AC63" s="384">
        <v>42773</v>
      </c>
      <c r="AD63" s="395">
        <f t="shared" si="37"/>
        <v>15</v>
      </c>
      <c r="AG63"/>
      <c r="AH63"/>
      <c r="AI63"/>
      <c r="AJ63"/>
    </row>
    <row r="64" spans="2:39">
      <c r="B64" s="397" t="s">
        <v>190</v>
      </c>
      <c r="C64" s="385"/>
      <c r="D64" s="385"/>
      <c r="E64" s="384"/>
      <c r="F64" s="385">
        <v>42795</v>
      </c>
      <c r="G64" s="385"/>
      <c r="H64" s="397"/>
      <c r="I64" s="392" t="str">
        <f t="shared" si="23"/>
        <v>Mar-17</v>
      </c>
      <c r="J64" s="383" t="s">
        <v>677</v>
      </c>
      <c r="K64" s="445" t="s">
        <v>675</v>
      </c>
      <c r="L64" s="387">
        <v>2081.7600000000002</v>
      </c>
      <c r="M64" s="520"/>
      <c r="N64" s="387">
        <f t="shared" si="38"/>
        <v>2081.7600000000002</v>
      </c>
      <c r="O64" s="494"/>
      <c r="P64" s="388"/>
      <c r="Q64" s="388"/>
      <c r="R64" s="388"/>
      <c r="S64" s="388">
        <f t="shared" si="34"/>
        <v>0</v>
      </c>
      <c r="T64" s="388">
        <f t="shared" si="32"/>
        <v>2081.7600000000002</v>
      </c>
      <c r="U64" s="390">
        <f t="shared" si="35"/>
        <v>1</v>
      </c>
      <c r="V64" s="394"/>
      <c r="W64" s="392">
        <f t="shared" si="39"/>
        <v>42809</v>
      </c>
      <c r="X64" s="383"/>
      <c r="Y64" s="393" t="s">
        <v>367</v>
      </c>
      <c r="Z64" s="392">
        <v>42758</v>
      </c>
      <c r="AA64" s="384">
        <v>42772</v>
      </c>
      <c r="AB64" s="394">
        <f t="shared" si="36"/>
        <v>14</v>
      </c>
      <c r="AC64" s="384">
        <v>42787</v>
      </c>
      <c r="AD64" s="395">
        <f t="shared" si="37"/>
        <v>15</v>
      </c>
    </row>
    <row r="65" spans="2:30">
      <c r="B65" s="397" t="s">
        <v>190</v>
      </c>
      <c r="C65" s="385"/>
      <c r="D65" s="385"/>
      <c r="E65" s="384"/>
      <c r="F65" s="385">
        <v>42796</v>
      </c>
      <c r="G65" s="385"/>
      <c r="H65" s="397"/>
      <c r="I65" s="392" t="str">
        <f t="shared" si="23"/>
        <v>Mar-17</v>
      </c>
      <c r="J65" s="383" t="s">
        <v>672</v>
      </c>
      <c r="K65" s="445" t="s">
        <v>354</v>
      </c>
      <c r="L65" s="387">
        <v>6008.19</v>
      </c>
      <c r="M65" s="520"/>
      <c r="N65" s="387">
        <f t="shared" si="38"/>
        <v>6008.19</v>
      </c>
      <c r="O65" s="494"/>
      <c r="P65" s="388"/>
      <c r="Q65" s="388"/>
      <c r="R65" s="388"/>
      <c r="S65" s="388">
        <f t="shared" si="34"/>
        <v>0</v>
      </c>
      <c r="T65" s="388">
        <f t="shared" si="32"/>
        <v>6008.19</v>
      </c>
      <c r="U65" s="390">
        <f t="shared" si="35"/>
        <v>1</v>
      </c>
      <c r="V65" s="394"/>
      <c r="W65" s="392">
        <f t="shared" si="39"/>
        <v>42810</v>
      </c>
      <c r="X65" s="383"/>
      <c r="Y65" s="393" t="s">
        <v>518</v>
      </c>
      <c r="Z65" s="392">
        <v>42765</v>
      </c>
      <c r="AA65" s="384">
        <v>42776</v>
      </c>
      <c r="AB65" s="394">
        <f t="shared" si="36"/>
        <v>11</v>
      </c>
      <c r="AC65" s="384" t="s">
        <v>703</v>
      </c>
      <c r="AD65" s="395" t="e">
        <f t="shared" si="37"/>
        <v>#VALUE!</v>
      </c>
    </row>
    <row r="66" spans="2:30">
      <c r="B66" s="397" t="s">
        <v>190</v>
      </c>
      <c r="C66" s="385"/>
      <c r="D66" s="385"/>
      <c r="E66" s="384"/>
      <c r="F66" s="385">
        <v>42797</v>
      </c>
      <c r="G66" s="385"/>
      <c r="H66" s="397"/>
      <c r="I66" s="392" t="str">
        <f t="shared" si="23"/>
        <v>Mar-17</v>
      </c>
      <c r="J66" s="383" t="s">
        <v>670</v>
      </c>
      <c r="K66" s="445" t="s">
        <v>687</v>
      </c>
      <c r="L66" s="387">
        <v>3869.46</v>
      </c>
      <c r="M66" s="520"/>
      <c r="N66" s="387">
        <f t="shared" si="38"/>
        <v>3869.46</v>
      </c>
      <c r="O66" s="494"/>
      <c r="P66" s="388"/>
      <c r="Q66" s="388"/>
      <c r="R66" s="388"/>
      <c r="S66" s="388">
        <f t="shared" si="34"/>
        <v>0</v>
      </c>
      <c r="T66" s="388">
        <f t="shared" si="32"/>
        <v>3869.46</v>
      </c>
      <c r="U66" s="390">
        <f t="shared" si="35"/>
        <v>1</v>
      </c>
      <c r="V66" s="394"/>
      <c r="W66" s="392">
        <f t="shared" si="39"/>
        <v>42811</v>
      </c>
      <c r="X66" s="383"/>
      <c r="Y66" s="393" t="s">
        <v>223</v>
      </c>
      <c r="Z66" s="392">
        <v>42762</v>
      </c>
      <c r="AA66" s="384">
        <v>42776</v>
      </c>
      <c r="AB66" s="394">
        <f t="shared" si="36"/>
        <v>14</v>
      </c>
      <c r="AC66" s="384">
        <v>42794</v>
      </c>
      <c r="AD66" s="395">
        <f t="shared" si="37"/>
        <v>18</v>
      </c>
    </row>
    <row r="67" spans="2:30">
      <c r="B67" s="397" t="s">
        <v>190</v>
      </c>
      <c r="C67" s="385"/>
      <c r="D67" s="385"/>
      <c r="E67" s="384"/>
      <c r="F67" s="385">
        <v>42798</v>
      </c>
      <c r="G67" s="385"/>
      <c r="H67" s="397"/>
      <c r="I67" s="392" t="str">
        <f t="shared" si="23"/>
        <v>Mar-17</v>
      </c>
      <c r="J67" s="383" t="s">
        <v>669</v>
      </c>
      <c r="K67" s="445" t="s">
        <v>690</v>
      </c>
      <c r="L67" s="387">
        <v>1466.16</v>
      </c>
      <c r="M67" s="520"/>
      <c r="N67" s="387">
        <f t="shared" si="38"/>
        <v>1466.16</v>
      </c>
      <c r="O67" s="494"/>
      <c r="P67" s="388"/>
      <c r="Q67" s="388"/>
      <c r="R67" s="388"/>
      <c r="S67" s="388">
        <f t="shared" si="34"/>
        <v>0</v>
      </c>
      <c r="T67" s="388">
        <f t="shared" si="32"/>
        <v>1466.16</v>
      </c>
      <c r="U67" s="390">
        <f t="shared" si="35"/>
        <v>1</v>
      </c>
      <c r="V67" s="394"/>
      <c r="W67" s="392">
        <f t="shared" si="39"/>
        <v>42812</v>
      </c>
      <c r="X67" s="383"/>
      <c r="Y67" s="393" t="s">
        <v>223</v>
      </c>
      <c r="Z67" s="392">
        <v>42766</v>
      </c>
      <c r="AA67" s="384">
        <v>42780</v>
      </c>
      <c r="AB67" s="394">
        <f t="shared" si="36"/>
        <v>14</v>
      </c>
      <c r="AC67" s="384">
        <v>42794</v>
      </c>
      <c r="AD67" s="395">
        <f t="shared" si="37"/>
        <v>14</v>
      </c>
    </row>
    <row r="68" spans="2:30">
      <c r="B68" s="397" t="s">
        <v>190</v>
      </c>
      <c r="C68" s="385"/>
      <c r="D68" s="385"/>
      <c r="E68" s="384"/>
      <c r="F68" s="385">
        <v>42799</v>
      </c>
      <c r="G68" s="385"/>
      <c r="H68" s="397"/>
      <c r="I68" s="392" t="str">
        <f t="shared" si="23"/>
        <v>Mar-17</v>
      </c>
      <c r="J68" s="383" t="s">
        <v>671</v>
      </c>
      <c r="K68" s="445" t="s">
        <v>695</v>
      </c>
      <c r="L68" s="387">
        <v>3524.54</v>
      </c>
      <c r="M68" s="520"/>
      <c r="N68" s="387">
        <f t="shared" si="38"/>
        <v>3524.54</v>
      </c>
      <c r="O68" s="494"/>
      <c r="P68" s="388"/>
      <c r="Q68" s="388"/>
      <c r="R68" s="388"/>
      <c r="S68" s="388">
        <f t="shared" si="34"/>
        <v>0</v>
      </c>
      <c r="T68" s="388">
        <f t="shared" si="32"/>
        <v>3524.54</v>
      </c>
      <c r="U68" s="390">
        <f t="shared" si="35"/>
        <v>1</v>
      </c>
      <c r="V68" s="394"/>
      <c r="W68" s="392">
        <f t="shared" si="39"/>
        <v>42813</v>
      </c>
      <c r="X68" s="383"/>
      <c r="Y68" s="393" t="s">
        <v>223</v>
      </c>
      <c r="Z68" s="392">
        <v>42766</v>
      </c>
      <c r="AA68" s="384">
        <v>42781</v>
      </c>
      <c r="AB68" s="394">
        <f t="shared" si="36"/>
        <v>15</v>
      </c>
      <c r="AC68" s="384">
        <v>42794</v>
      </c>
      <c r="AD68" s="395">
        <f t="shared" si="37"/>
        <v>13</v>
      </c>
    </row>
    <row r="69" spans="2:30" ht="15.45" customHeight="1">
      <c r="B69" s="397" t="s">
        <v>190</v>
      </c>
      <c r="C69" s="385"/>
      <c r="D69" s="385"/>
      <c r="E69" s="384"/>
      <c r="F69" s="385">
        <v>42800</v>
      </c>
      <c r="G69" s="385"/>
      <c r="H69" s="397"/>
      <c r="I69" s="392" t="str">
        <f t="shared" si="23"/>
        <v>Mar-17</v>
      </c>
      <c r="J69" s="383" t="s">
        <v>686</v>
      </c>
      <c r="K69" s="445" t="s">
        <v>208</v>
      </c>
      <c r="L69" s="387">
        <v>2708.34</v>
      </c>
      <c r="M69" s="520"/>
      <c r="N69" s="387">
        <f t="shared" si="38"/>
        <v>2708.34</v>
      </c>
      <c r="O69" s="494"/>
      <c r="P69" s="388"/>
      <c r="Q69" s="388"/>
      <c r="R69" s="388"/>
      <c r="S69" s="388">
        <f t="shared" si="34"/>
        <v>0</v>
      </c>
      <c r="T69" s="388">
        <f t="shared" si="32"/>
        <v>2708.34</v>
      </c>
      <c r="U69" s="390">
        <f t="shared" si="35"/>
        <v>1</v>
      </c>
      <c r="V69" s="394"/>
      <c r="W69" s="392">
        <f t="shared" si="39"/>
        <v>42814</v>
      </c>
      <c r="X69" s="383"/>
      <c r="Y69" s="393" t="s">
        <v>201</v>
      </c>
      <c r="Z69" s="392">
        <v>42775</v>
      </c>
      <c r="AA69" s="384">
        <v>42788</v>
      </c>
      <c r="AB69" s="394">
        <f t="shared" si="36"/>
        <v>13</v>
      </c>
      <c r="AC69" s="384">
        <v>42790</v>
      </c>
      <c r="AD69" s="395">
        <f t="shared" si="37"/>
        <v>2</v>
      </c>
    </row>
    <row r="70" spans="2:30" ht="15.45" customHeight="1">
      <c r="B70" s="397" t="s">
        <v>190</v>
      </c>
      <c r="C70" s="385"/>
      <c r="D70" s="385"/>
      <c r="E70" s="384"/>
      <c r="F70" s="385">
        <v>42801</v>
      </c>
      <c r="G70" s="385"/>
      <c r="H70" s="397"/>
      <c r="I70" s="392" t="str">
        <f t="shared" si="23"/>
        <v>Mar-17</v>
      </c>
      <c r="J70" s="354" t="s">
        <v>691</v>
      </c>
      <c r="K70" s="445" t="s">
        <v>702</v>
      </c>
      <c r="L70" s="387">
        <v>8606.7099999999991</v>
      </c>
      <c r="M70" s="520"/>
      <c r="N70" s="387">
        <f t="shared" si="38"/>
        <v>8606.7099999999991</v>
      </c>
      <c r="O70" s="494"/>
      <c r="P70" s="388"/>
      <c r="Q70" s="388"/>
      <c r="R70" s="388"/>
      <c r="S70" s="388">
        <f t="shared" si="34"/>
        <v>0</v>
      </c>
      <c r="T70" s="388">
        <f t="shared" si="32"/>
        <v>8606.7099999999991</v>
      </c>
      <c r="U70" s="390">
        <f t="shared" si="35"/>
        <v>1</v>
      </c>
      <c r="V70" s="394"/>
      <c r="W70" s="392">
        <f t="shared" si="39"/>
        <v>42815</v>
      </c>
      <c r="X70" s="383"/>
      <c r="Y70" s="393" t="s">
        <v>220</v>
      </c>
      <c r="Z70" s="392">
        <v>42787</v>
      </c>
      <c r="AA70" s="384"/>
      <c r="AB70" s="394">
        <f t="shared" si="36"/>
        <v>-42787</v>
      </c>
      <c r="AC70" s="384">
        <v>42797</v>
      </c>
      <c r="AD70" s="395">
        <f t="shared" si="37"/>
        <v>42797</v>
      </c>
    </row>
    <row r="71" spans="2:30" ht="15.45" customHeight="1">
      <c r="B71" s="397" t="s">
        <v>190</v>
      </c>
      <c r="C71" s="385"/>
      <c r="D71" s="385"/>
      <c r="E71" s="384"/>
      <c r="F71" s="385">
        <v>42802</v>
      </c>
      <c r="G71" s="385"/>
      <c r="H71" s="397"/>
      <c r="I71" s="392" t="str">
        <f t="shared" si="23"/>
        <v>Mar-17</v>
      </c>
      <c r="J71" s="383" t="s">
        <v>688</v>
      </c>
      <c r="K71" s="445" t="s">
        <v>254</v>
      </c>
      <c r="L71" s="387">
        <v>3693.46</v>
      </c>
      <c r="M71" s="520"/>
      <c r="N71" s="387">
        <f t="shared" si="38"/>
        <v>3693.46</v>
      </c>
      <c r="O71" s="494"/>
      <c r="P71" s="388"/>
      <c r="Q71" s="388"/>
      <c r="R71" s="388"/>
      <c r="S71" s="388">
        <f t="shared" si="34"/>
        <v>0</v>
      </c>
      <c r="T71" s="388">
        <f t="shared" si="32"/>
        <v>3693.46</v>
      </c>
      <c r="U71" s="390">
        <f t="shared" si="35"/>
        <v>1</v>
      </c>
      <c r="V71" s="394"/>
      <c r="W71" s="392">
        <f t="shared" si="39"/>
        <v>42816</v>
      </c>
      <c r="X71" s="383"/>
      <c r="Y71" s="393" t="s">
        <v>210</v>
      </c>
      <c r="Z71" s="392">
        <v>42775</v>
      </c>
      <c r="AA71" s="384">
        <v>42788</v>
      </c>
      <c r="AB71" s="394">
        <f t="shared" si="36"/>
        <v>13</v>
      </c>
      <c r="AC71" s="384">
        <v>42804</v>
      </c>
      <c r="AD71" s="395">
        <f t="shared" si="37"/>
        <v>16</v>
      </c>
    </row>
    <row r="72" spans="2:30" ht="15.45" customHeight="1">
      <c r="B72" s="397" t="s">
        <v>190</v>
      </c>
      <c r="C72" s="397" t="s">
        <v>710</v>
      </c>
      <c r="D72" s="385">
        <v>42794</v>
      </c>
      <c r="E72" s="384">
        <v>42793</v>
      </c>
      <c r="F72" s="385">
        <v>42794</v>
      </c>
      <c r="G72" s="385">
        <f>F72+14</f>
        <v>42808</v>
      </c>
      <c r="H72" s="386">
        <f>G72+14</f>
        <v>42822</v>
      </c>
      <c r="I72" s="392" t="str">
        <f t="shared" si="23"/>
        <v>Feb-17</v>
      </c>
      <c r="J72" s="397" t="s">
        <v>700</v>
      </c>
      <c r="K72" s="445" t="s">
        <v>208</v>
      </c>
      <c r="L72" s="387">
        <v>7729.07</v>
      </c>
      <c r="M72" s="418">
        <f>9077.53-L72</f>
        <v>1348.4600000000009</v>
      </c>
      <c r="N72" s="387">
        <f t="shared" si="38"/>
        <v>9077.5300000000007</v>
      </c>
      <c r="O72" s="494"/>
      <c r="P72" s="388"/>
      <c r="Q72" s="388"/>
      <c r="R72" s="388"/>
      <c r="S72" s="388">
        <f t="shared" si="34"/>
        <v>0</v>
      </c>
      <c r="T72" s="388">
        <f t="shared" si="32"/>
        <v>7729.07</v>
      </c>
      <c r="U72" s="390">
        <f t="shared" si="35"/>
        <v>1</v>
      </c>
      <c r="V72" s="391" t="s">
        <v>199</v>
      </c>
      <c r="W72" s="392">
        <f t="shared" si="39"/>
        <v>42808</v>
      </c>
      <c r="X72" s="383" t="s">
        <v>200</v>
      </c>
      <c r="Y72" s="393" t="s">
        <v>201</v>
      </c>
      <c r="Z72" s="392"/>
      <c r="AA72" s="384"/>
      <c r="AB72" s="394"/>
      <c r="AC72" s="384"/>
      <c r="AD72" s="395"/>
    </row>
    <row r="73" spans="2:30" ht="15.45" customHeight="1">
      <c r="B73" s="397" t="s">
        <v>190</v>
      </c>
      <c r="C73" s="385"/>
      <c r="D73" s="385"/>
      <c r="E73" s="384"/>
      <c r="F73" s="385">
        <v>42804</v>
      </c>
      <c r="G73" s="385"/>
      <c r="H73" s="397"/>
      <c r="I73" s="392" t="str">
        <f t="shared" si="23"/>
        <v>Mar-17</v>
      </c>
      <c r="J73" s="383" t="s">
        <v>694</v>
      </c>
      <c r="K73" s="445" t="s">
        <v>458</v>
      </c>
      <c r="L73" s="387">
        <v>6766.23</v>
      </c>
      <c r="M73" s="520"/>
      <c r="N73" s="387">
        <f>SUM(L73:M73)</f>
        <v>6766.23</v>
      </c>
      <c r="O73" s="387">
        <f>SUM(M73:N73)</f>
        <v>6766.23</v>
      </c>
      <c r="P73" s="388"/>
      <c r="Q73" s="388"/>
      <c r="R73" s="388"/>
      <c r="S73" s="388">
        <f t="shared" si="34"/>
        <v>0</v>
      </c>
      <c r="T73" s="388">
        <f t="shared" si="32"/>
        <v>6766.23</v>
      </c>
      <c r="U73" s="390">
        <f t="shared" si="35"/>
        <v>1</v>
      </c>
      <c r="V73" s="394"/>
      <c r="W73" s="392">
        <f t="shared" si="39"/>
        <v>42818</v>
      </c>
      <c r="X73" s="383"/>
      <c r="Y73" s="393" t="s">
        <v>206</v>
      </c>
      <c r="Z73" s="392"/>
      <c r="AA73" s="384"/>
      <c r="AB73" s="394"/>
      <c r="AC73" s="384"/>
      <c r="AD73" s="395"/>
    </row>
    <row r="74" spans="2:30" ht="15.45" customHeight="1">
      <c r="B74" s="397" t="s">
        <v>190</v>
      </c>
      <c r="C74" s="385"/>
      <c r="D74" s="385"/>
      <c r="E74" s="384"/>
      <c r="F74" s="385">
        <v>42805</v>
      </c>
      <c r="G74" s="385"/>
      <c r="H74" s="397"/>
      <c r="I74" s="392" t="str">
        <f t="shared" si="23"/>
        <v>Mar-17</v>
      </c>
      <c r="J74" s="383" t="s">
        <v>689</v>
      </c>
      <c r="K74" s="445" t="s">
        <v>709</v>
      </c>
      <c r="L74" s="387">
        <v>2943.37</v>
      </c>
      <c r="M74" s="520"/>
      <c r="N74" s="387">
        <f>SUM(L74:M74)</f>
        <v>2943.37</v>
      </c>
      <c r="O74" s="494"/>
      <c r="P74" s="388"/>
      <c r="Q74" s="388"/>
      <c r="R74" s="388"/>
      <c r="S74" s="388">
        <f t="shared" si="34"/>
        <v>0</v>
      </c>
      <c r="T74" s="388">
        <f t="shared" si="32"/>
        <v>2943.37</v>
      </c>
      <c r="U74" s="390">
        <f t="shared" si="35"/>
        <v>1</v>
      </c>
      <c r="V74" s="394"/>
      <c r="W74" s="392">
        <f t="shared" si="39"/>
        <v>42819</v>
      </c>
      <c r="X74" s="383"/>
      <c r="Y74" s="393" t="s">
        <v>201</v>
      </c>
      <c r="Z74" s="392"/>
      <c r="AA74" s="384"/>
      <c r="AB74" s="394"/>
      <c r="AC74" s="384"/>
      <c r="AD74" s="395"/>
    </row>
    <row r="75" spans="2:30" ht="15.45" customHeight="1">
      <c r="B75" s="216"/>
      <c r="C75" s="399"/>
      <c r="D75" s="399"/>
      <c r="E75" s="420"/>
      <c r="F75" s="399"/>
      <c r="G75" s="399"/>
      <c r="H75" s="216"/>
      <c r="I75" s="440"/>
      <c r="J75" s="429"/>
      <c r="K75" s="219"/>
      <c r="L75" s="438"/>
      <c r="M75" s="568"/>
      <c r="N75" s="438"/>
      <c r="O75" s="569"/>
      <c r="P75" s="431"/>
      <c r="Q75" s="431"/>
      <c r="R75" s="431"/>
      <c r="S75" s="431"/>
      <c r="T75" s="431"/>
      <c r="U75" s="432"/>
      <c r="V75" s="421"/>
      <c r="W75" s="440"/>
      <c r="X75" s="429"/>
      <c r="Y75" s="433"/>
      <c r="Z75" s="440"/>
      <c r="AA75" s="420"/>
      <c r="AB75" s="421"/>
      <c r="AC75" s="420"/>
      <c r="AD75" s="492"/>
    </row>
    <row r="76" spans="2:30" ht="15.45" customHeight="1">
      <c r="B76" s="216"/>
      <c r="C76" s="399"/>
      <c r="D76" s="399"/>
      <c r="E76" s="420"/>
      <c r="F76" s="399"/>
      <c r="G76" s="399"/>
      <c r="H76" s="216"/>
      <c r="I76" s="440"/>
      <c r="J76" s="429"/>
      <c r="K76" s="219"/>
      <c r="L76" s="438"/>
      <c r="M76" s="568"/>
      <c r="N76" s="438"/>
      <c r="O76" s="569"/>
      <c r="P76" s="431"/>
      <c r="Q76" s="431"/>
      <c r="R76" s="431"/>
      <c r="S76" s="431"/>
      <c r="T76" s="431"/>
      <c r="U76" s="432"/>
      <c r="V76" s="421"/>
      <c r="W76" s="440"/>
      <c r="X76" s="429"/>
      <c r="Y76" s="433"/>
      <c r="Z76" s="440"/>
      <c r="AA76" s="420"/>
      <c r="AB76" s="421"/>
      <c r="AC76" s="420"/>
      <c r="AD76" s="492"/>
    </row>
    <row r="77" spans="2:30" ht="14.35" thickBot="1">
      <c r="B77" s="216"/>
      <c r="C77" s="429"/>
      <c r="D77" s="421"/>
      <c r="E77" s="421"/>
      <c r="F77" s="399"/>
      <c r="G77" s="399"/>
      <c r="H77" s="216"/>
      <c r="I77" s="440"/>
      <c r="J77" s="429"/>
      <c r="K77" s="219"/>
      <c r="L77" s="540">
        <f>SUM(L2:L69)</f>
        <v>298064.57999999996</v>
      </c>
      <c r="M77" s="540">
        <f>SUM(M2:M73)</f>
        <v>67043.20197714286</v>
      </c>
      <c r="N77" s="540">
        <f>SUM(N2:N69)</f>
        <v>363759.32197714283</v>
      </c>
      <c r="O77" s="540">
        <f t="shared" ref="O77:T77" si="40">SUM(O2:O69)</f>
        <v>249944.82917485715</v>
      </c>
      <c r="P77" s="540" t="e">
        <f t="shared" si="40"/>
        <v>#REF!</v>
      </c>
      <c r="Q77" s="540" t="e">
        <f t="shared" si="40"/>
        <v>#REF!</v>
      </c>
      <c r="R77" s="540">
        <f t="shared" si="40"/>
        <v>943.43</v>
      </c>
      <c r="S77" s="540" t="e">
        <f t="shared" si="40"/>
        <v>#REF!</v>
      </c>
      <c r="T77" s="540" t="e">
        <f t="shared" si="40"/>
        <v>#REF!</v>
      </c>
      <c r="U77" s="432" t="e">
        <f>T77/N77</f>
        <v>#REF!</v>
      </c>
      <c r="V77" s="421"/>
      <c r="W77" s="440"/>
      <c r="X77" s="429"/>
      <c r="Y77" s="433"/>
      <c r="Z77" s="420"/>
      <c r="AA77" s="420"/>
      <c r="AB77" s="421"/>
      <c r="AC77" s="420"/>
      <c r="AD77" s="492"/>
    </row>
    <row r="78" spans="2:30" ht="14.35" thickTop="1">
      <c r="B78" s="216"/>
      <c r="C78" s="429"/>
      <c r="D78" s="421"/>
      <c r="E78" s="420"/>
      <c r="F78" s="399"/>
      <c r="G78" s="216"/>
      <c r="H78" s="440"/>
      <c r="I78" s="216"/>
      <c r="J78" s="216"/>
      <c r="K78" s="438"/>
      <c r="L78" s="439"/>
      <c r="M78" s="439"/>
      <c r="N78" s="439"/>
      <c r="O78" s="431"/>
      <c r="P78" s="431"/>
      <c r="Q78" s="431"/>
      <c r="R78" s="431"/>
      <c r="S78" s="431"/>
      <c r="T78" s="432"/>
      <c r="V78" s="440"/>
      <c r="W78" s="429"/>
      <c r="X78" s="429"/>
      <c r="Y78" s="449"/>
      <c r="Z78" s="420"/>
      <c r="AA78" s="420"/>
      <c r="AB78" s="421"/>
      <c r="AC78" s="420"/>
      <c r="AD78" s="492"/>
    </row>
    <row r="79" spans="2:30" ht="42">
      <c r="G79" s="450" t="s">
        <v>317</v>
      </c>
      <c r="J79" s="354" t="s">
        <v>16</v>
      </c>
      <c r="S79" s="502"/>
      <c r="Y79" s="449"/>
      <c r="Z79" s="421"/>
      <c r="AA79" s="421"/>
      <c r="AB79" s="420"/>
      <c r="AC79" s="420"/>
    </row>
    <row r="80" spans="2:30">
      <c r="D80" s="451" t="s">
        <v>320</v>
      </c>
      <c r="E80" s="502">
        <f>SUBTOTAL(9,E82:E89)</f>
        <v>35303.360000000001</v>
      </c>
      <c r="F80" s="373"/>
      <c r="G80" s="373"/>
      <c r="J80" s="354" t="s">
        <v>321</v>
      </c>
      <c r="K80" s="380">
        <f>Overhead!C14</f>
        <v>0</v>
      </c>
      <c r="Y80" s="449"/>
    </row>
    <row r="81" spans="4:29" ht="14.35">
      <c r="D81" s="451" t="s">
        <v>319</v>
      </c>
      <c r="E81" s="502">
        <f>K80</f>
        <v>0</v>
      </c>
      <c r="F81" s="373"/>
      <c r="J81" s="354" t="s">
        <v>322</v>
      </c>
      <c r="K81" s="380">
        <f>Overhead!D14</f>
        <v>0</v>
      </c>
      <c r="Q81" s="354"/>
      <c r="R81" s="354"/>
      <c r="S81"/>
      <c r="AB81" s="356"/>
      <c r="AC81" s="356"/>
    </row>
    <row r="82" spans="4:29" ht="14.35">
      <c r="D82" s="537" t="s">
        <v>614</v>
      </c>
      <c r="E82" s="356">
        <v>5541.7</v>
      </c>
      <c r="F82" s="372">
        <f>E82/$E$80</f>
        <v>0.1569737271466512</v>
      </c>
      <c r="G82" s="373">
        <f>$E$81*F82</f>
        <v>0</v>
      </c>
      <c r="J82" s="354" t="s">
        <v>323</v>
      </c>
      <c r="K82" s="380">
        <f>Overhead!E14</f>
        <v>0</v>
      </c>
      <c r="Q82" s="354"/>
      <c r="R82" s="354"/>
      <c r="S82"/>
      <c r="AB82" s="356"/>
      <c r="AC82" s="356"/>
    </row>
    <row r="83" spans="4:29" ht="14.35">
      <c r="D83" s="537" t="s">
        <v>349</v>
      </c>
      <c r="E83" s="356">
        <v>3386.6</v>
      </c>
      <c r="F83" s="372">
        <f t="shared" ref="F83:F89" si="41">E83/$E$80</f>
        <v>9.5928546178040836E-2</v>
      </c>
      <c r="G83" s="373">
        <f t="shared" ref="G83:G89" si="42">$E$81*F83</f>
        <v>0</v>
      </c>
      <c r="J83" s="354" t="s">
        <v>324</v>
      </c>
      <c r="K83" s="380">
        <f>Overhead!F14</f>
        <v>0</v>
      </c>
      <c r="Q83" s="354"/>
      <c r="R83" s="354"/>
      <c r="S83"/>
      <c r="AB83" s="356"/>
      <c r="AC83" s="356"/>
    </row>
    <row r="84" spans="4:29" ht="14.35">
      <c r="D84" s="563" t="s">
        <v>350</v>
      </c>
      <c r="E84" s="356">
        <v>3361.26</v>
      </c>
      <c r="F84" s="372">
        <f t="shared" si="41"/>
        <v>9.5210767473690894E-2</v>
      </c>
      <c r="G84" s="373">
        <f t="shared" si="42"/>
        <v>0</v>
      </c>
      <c r="J84" s="354" t="s">
        <v>629</v>
      </c>
      <c r="K84" s="380">
        <f>Overhead!G14</f>
        <v>0</v>
      </c>
      <c r="Q84" s="354"/>
      <c r="R84" s="354"/>
      <c r="S84"/>
      <c r="AB84" s="356"/>
      <c r="AC84" s="356"/>
    </row>
    <row r="85" spans="4:29" ht="14.35">
      <c r="D85" s="537" t="s">
        <v>351</v>
      </c>
      <c r="E85" s="356">
        <v>6815.55</v>
      </c>
      <c r="F85" s="372">
        <f t="shared" si="41"/>
        <v>0.1930566948868323</v>
      </c>
      <c r="G85" s="373">
        <f t="shared" si="42"/>
        <v>0</v>
      </c>
      <c r="J85" s="354" t="s">
        <v>630</v>
      </c>
      <c r="K85" s="380">
        <f>Overhead!H14</f>
        <v>0</v>
      </c>
      <c r="Q85" s="354"/>
      <c r="R85" s="354"/>
      <c r="S85"/>
      <c r="AB85" s="356"/>
      <c r="AC85" s="356"/>
    </row>
    <row r="86" spans="4:29" ht="14.35">
      <c r="D86" s="537" t="s">
        <v>357</v>
      </c>
      <c r="E86" s="356">
        <v>11071.89</v>
      </c>
      <c r="F86" s="372">
        <f t="shared" si="41"/>
        <v>0.31362142300336282</v>
      </c>
      <c r="G86" s="373">
        <f t="shared" si="42"/>
        <v>0</v>
      </c>
      <c r="J86" s="354" t="s">
        <v>680</v>
      </c>
      <c r="K86" s="380">
        <f>Overhead!I14</f>
        <v>0</v>
      </c>
      <c r="Q86" s="354"/>
      <c r="R86" s="354"/>
      <c r="S86"/>
      <c r="AB86" s="356"/>
      <c r="AC86" s="356"/>
    </row>
    <row r="87" spans="4:29" ht="14.35">
      <c r="D87" s="537" t="s">
        <v>360</v>
      </c>
      <c r="E87" s="356">
        <v>3199.03</v>
      </c>
      <c r="F87" s="372">
        <f t="shared" si="41"/>
        <v>9.0615454166402293E-2</v>
      </c>
      <c r="G87" s="373">
        <f t="shared" si="42"/>
        <v>0</v>
      </c>
      <c r="J87" s="354" t="s">
        <v>681</v>
      </c>
      <c r="K87" s="380">
        <f>Overhead!J14</f>
        <v>0</v>
      </c>
      <c r="Q87" s="354"/>
      <c r="R87" s="354"/>
      <c r="S87"/>
      <c r="AB87" s="452"/>
      <c r="AC87" s="452"/>
    </row>
    <row r="88" spans="4:29" ht="14.35">
      <c r="D88" s="537" t="s">
        <v>358</v>
      </c>
      <c r="E88" s="356">
        <v>671.14</v>
      </c>
      <c r="F88" s="372">
        <f t="shared" si="41"/>
        <v>1.9010655076457311E-2</v>
      </c>
      <c r="G88" s="373">
        <f t="shared" si="42"/>
        <v>0</v>
      </c>
      <c r="Q88" s="354" t="s">
        <v>16</v>
      </c>
      <c r="R88" s="354"/>
      <c r="S88"/>
      <c r="AB88" s="452"/>
      <c r="AC88" s="452"/>
    </row>
    <row r="89" spans="4:29" ht="14.35">
      <c r="D89" s="537" t="s">
        <v>359</v>
      </c>
      <c r="E89" s="356">
        <v>1256.19</v>
      </c>
      <c r="F89" s="372">
        <f t="shared" si="41"/>
        <v>3.5582732068562314E-2</v>
      </c>
      <c r="G89" s="373">
        <f t="shared" si="42"/>
        <v>0</v>
      </c>
      <c r="Q89" s="354"/>
      <c r="R89" s="354"/>
      <c r="S89"/>
      <c r="AB89" s="452"/>
      <c r="AC89" s="452"/>
    </row>
    <row r="90" spans="4:29" ht="14.35">
      <c r="D90" s="537"/>
      <c r="E90" s="356"/>
      <c r="F90" s="372"/>
      <c r="G90" s="373"/>
      <c r="I90" s="356"/>
      <c r="Q90" s="354"/>
      <c r="R90" s="354"/>
      <c r="S90"/>
      <c r="AB90" s="452"/>
      <c r="AC90" s="452"/>
    </row>
    <row r="91" spans="4:29" ht="14.35">
      <c r="E91" s="356"/>
      <c r="F91" s="372"/>
      <c r="G91" s="373"/>
      <c r="Q91" s="354"/>
      <c r="R91" s="354"/>
      <c r="S91"/>
      <c r="AB91" s="452"/>
      <c r="AC91" s="452"/>
    </row>
    <row r="92" spans="4:29" ht="14.35">
      <c r="S92"/>
      <c r="AB92" s="452"/>
      <c r="AC92" s="452"/>
    </row>
    <row r="93" spans="4:29" ht="14.35">
      <c r="D93" s="451" t="s">
        <v>343</v>
      </c>
      <c r="E93" s="502">
        <f>SUBTOTAL(9,E95:E108)</f>
        <v>45167.689999999995</v>
      </c>
      <c r="Q93" s="354"/>
      <c r="R93" s="354"/>
      <c r="S93"/>
    </row>
    <row r="94" spans="4:29" ht="14.35">
      <c r="D94" s="451" t="s">
        <v>344</v>
      </c>
      <c r="E94" s="502">
        <f>K81</f>
        <v>0</v>
      </c>
      <c r="Q94" s="354"/>
      <c r="R94" s="354"/>
      <c r="S94"/>
    </row>
    <row r="95" spans="4:29" ht="14.35">
      <c r="D95" s="537" t="s">
        <v>362</v>
      </c>
      <c r="E95" s="356">
        <v>3313.85</v>
      </c>
      <c r="F95" s="372">
        <f>E95/$E$93</f>
        <v>7.3367710414236384E-2</v>
      </c>
      <c r="G95" s="373">
        <f>$E$94*F95</f>
        <v>0</v>
      </c>
      <c r="Q95" s="354"/>
      <c r="R95" s="354"/>
      <c r="S95"/>
    </row>
    <row r="96" spans="4:29" ht="14.35">
      <c r="D96" s="537" t="s">
        <v>426</v>
      </c>
      <c r="E96" s="356">
        <v>4006.99</v>
      </c>
      <c r="F96" s="372">
        <f t="shared" ref="F96:F108" si="43">E96/$E$93</f>
        <v>8.87136357869973E-2</v>
      </c>
      <c r="G96" s="373">
        <f t="shared" ref="G96:G108" si="44">$E$94*F96</f>
        <v>0</v>
      </c>
      <c r="Q96" s="354"/>
      <c r="R96" s="354"/>
      <c r="S96"/>
      <c r="AB96" s="452"/>
      <c r="AC96" s="452"/>
    </row>
    <row r="97" spans="4:29" ht="14.35">
      <c r="D97" s="537" t="s">
        <v>427</v>
      </c>
      <c r="E97" s="356">
        <v>966.94</v>
      </c>
      <c r="F97" s="372">
        <f t="shared" si="43"/>
        <v>2.1407780650283426E-2</v>
      </c>
      <c r="G97" s="373">
        <f t="shared" si="44"/>
        <v>0</v>
      </c>
      <c r="Q97" s="354"/>
      <c r="R97" s="354"/>
      <c r="S97"/>
      <c r="AB97" s="452"/>
      <c r="AC97" s="452"/>
    </row>
    <row r="98" spans="4:29" ht="14.35">
      <c r="D98" s="537" t="s">
        <v>430</v>
      </c>
      <c r="E98" s="356">
        <v>7731.44</v>
      </c>
      <c r="F98" s="372">
        <f t="shared" si="43"/>
        <v>0.17117191514553878</v>
      </c>
      <c r="G98" s="373">
        <f t="shared" si="44"/>
        <v>0</v>
      </c>
      <c r="Q98" s="354"/>
      <c r="R98" s="354"/>
      <c r="S98"/>
      <c r="AB98" s="452"/>
      <c r="AC98" s="452"/>
    </row>
    <row r="99" spans="4:29">
      <c r="D99" s="537" t="s">
        <v>273</v>
      </c>
      <c r="E99" s="356">
        <v>2348.67</v>
      </c>
      <c r="F99" s="372">
        <f t="shared" si="43"/>
        <v>5.1998895670777062E-2</v>
      </c>
      <c r="G99" s="373">
        <f t="shared" si="44"/>
        <v>0</v>
      </c>
      <c r="Q99" s="354"/>
      <c r="R99" s="354"/>
      <c r="AB99" s="452"/>
      <c r="AC99" s="452"/>
    </row>
    <row r="100" spans="4:29">
      <c r="D100" s="537" t="s">
        <v>431</v>
      </c>
      <c r="E100" s="356">
        <v>5884.1</v>
      </c>
      <c r="F100" s="372">
        <f t="shared" si="43"/>
        <v>0.13027232519528895</v>
      </c>
      <c r="G100" s="373">
        <f t="shared" si="44"/>
        <v>0</v>
      </c>
      <c r="Q100" s="354"/>
      <c r="R100" s="354"/>
      <c r="AB100" s="452"/>
      <c r="AC100" s="452"/>
    </row>
    <row r="101" spans="4:29" ht="14.35">
      <c r="D101" s="537" t="s">
        <v>432</v>
      </c>
      <c r="E101" s="356">
        <v>2736.89</v>
      </c>
      <c r="F101" s="372">
        <f t="shared" si="43"/>
        <v>6.059397768626202E-2</v>
      </c>
      <c r="G101" s="373">
        <f t="shared" si="44"/>
        <v>0</v>
      </c>
      <c r="J101" s="561"/>
      <c r="K101"/>
      <c r="L101"/>
      <c r="Q101" s="354"/>
      <c r="R101" s="354"/>
      <c r="AB101" s="452"/>
      <c r="AC101" s="452"/>
    </row>
    <row r="102" spans="4:29" ht="14.35">
      <c r="D102" s="537" t="s">
        <v>433</v>
      </c>
      <c r="E102" s="356">
        <v>771.34</v>
      </c>
      <c r="F102" s="372">
        <f t="shared" si="43"/>
        <v>1.7077251460059173E-2</v>
      </c>
      <c r="G102" s="373">
        <f t="shared" si="44"/>
        <v>0</v>
      </c>
      <c r="J102" s="6"/>
      <c r="K102" s="31"/>
      <c r="L102"/>
      <c r="Q102" s="354"/>
      <c r="R102" s="354"/>
      <c r="AB102" s="452"/>
      <c r="AC102" s="452"/>
    </row>
    <row r="103" spans="4:29" ht="14.35">
      <c r="D103" s="537" t="s">
        <v>272</v>
      </c>
      <c r="E103" s="356">
        <v>2241.84</v>
      </c>
      <c r="F103" s="372">
        <f t="shared" si="43"/>
        <v>4.9633709405993542E-2</v>
      </c>
      <c r="G103" s="373">
        <f t="shared" si="44"/>
        <v>0</v>
      </c>
      <c r="J103" s="562"/>
      <c r="K103" s="31"/>
      <c r="L103"/>
      <c r="Q103" s="354"/>
      <c r="R103" s="354"/>
      <c r="AB103" s="452"/>
      <c r="AC103" s="452"/>
    </row>
    <row r="104" spans="4:29" ht="14.35">
      <c r="D104" s="537" t="s">
        <v>434</v>
      </c>
      <c r="E104" s="356">
        <v>2499.02</v>
      </c>
      <c r="F104" s="372">
        <f t="shared" si="43"/>
        <v>5.5327602540665689E-2</v>
      </c>
      <c r="G104" s="373">
        <f t="shared" si="44"/>
        <v>0</v>
      </c>
      <c r="J104" s="25"/>
      <c r="K104" s="31"/>
      <c r="L104"/>
      <c r="Q104" s="354"/>
      <c r="R104" s="354"/>
      <c r="AB104" s="452"/>
      <c r="AC104" s="452"/>
    </row>
    <row r="105" spans="4:29" ht="14.35">
      <c r="D105" s="537" t="s">
        <v>271</v>
      </c>
      <c r="E105" s="356">
        <v>2528.1</v>
      </c>
      <c r="F105" s="372">
        <f t="shared" si="43"/>
        <v>5.5971425592054855E-2</v>
      </c>
      <c r="G105" s="373">
        <f t="shared" si="44"/>
        <v>0</v>
      </c>
      <c r="J105" s="562"/>
      <c r="K105" s="31"/>
      <c r="L105"/>
      <c r="Q105" s="354"/>
      <c r="R105" s="354"/>
      <c r="AB105" s="452"/>
      <c r="AC105" s="452"/>
    </row>
    <row r="106" spans="4:29" ht="14.35">
      <c r="D106" s="537" t="s">
        <v>435</v>
      </c>
      <c r="E106" s="356">
        <v>1033.8900000000001</v>
      </c>
      <c r="F106" s="372">
        <f t="shared" si="43"/>
        <v>2.2890034889984416E-2</v>
      </c>
      <c r="G106" s="373">
        <f t="shared" si="44"/>
        <v>0</v>
      </c>
      <c r="J106" s="25"/>
      <c r="K106" s="31"/>
      <c r="L106"/>
      <c r="Q106" s="354"/>
      <c r="R106" s="354"/>
      <c r="AB106" s="452"/>
      <c r="AC106" s="452"/>
    </row>
    <row r="107" spans="4:29" ht="14.35">
      <c r="D107" s="537" t="s">
        <v>275</v>
      </c>
      <c r="E107" s="356">
        <v>4704.7</v>
      </c>
      <c r="F107" s="372">
        <f t="shared" si="43"/>
        <v>0.10416073967918218</v>
      </c>
      <c r="G107" s="373">
        <f t="shared" si="44"/>
        <v>0</v>
      </c>
      <c r="J107" s="6"/>
      <c r="K107" s="31"/>
      <c r="L107"/>
      <c r="Q107" s="354"/>
      <c r="R107" s="354"/>
      <c r="AB107" s="452"/>
      <c r="AC107" s="452"/>
    </row>
    <row r="108" spans="4:29" ht="14.35">
      <c r="D108" s="537" t="s">
        <v>420</v>
      </c>
      <c r="E108" s="356">
        <v>4399.92</v>
      </c>
      <c r="F108" s="372">
        <f t="shared" si="43"/>
        <v>9.7412995882676323E-2</v>
      </c>
      <c r="G108" s="373">
        <f t="shared" si="44"/>
        <v>0</v>
      </c>
      <c r="J108" s="562"/>
      <c r="K108" s="31"/>
      <c r="L108"/>
      <c r="Q108" s="354"/>
      <c r="R108" s="354"/>
      <c r="AB108" s="452"/>
      <c r="AC108" s="452"/>
    </row>
    <row r="109" spans="4:29" ht="14.35">
      <c r="E109" s="356"/>
      <c r="F109" s="372"/>
      <c r="G109" s="373"/>
      <c r="J109" s="25"/>
      <c r="K109" s="31"/>
      <c r="L109"/>
      <c r="Q109" s="354"/>
      <c r="R109" s="354"/>
      <c r="AB109" s="452"/>
      <c r="AC109" s="452"/>
    </row>
    <row r="110" spans="4:29" ht="14.35">
      <c r="J110" s="562"/>
      <c r="K110" s="31"/>
      <c r="L110"/>
      <c r="Q110" s="354"/>
      <c r="R110" s="354"/>
      <c r="AB110" s="452"/>
      <c r="AC110" s="452"/>
    </row>
    <row r="111" spans="4:29" ht="14.35">
      <c r="J111" s="25"/>
      <c r="K111" s="31"/>
      <c r="L111"/>
    </row>
    <row r="112" spans="4:29" ht="14.35">
      <c r="D112" s="451" t="s">
        <v>380</v>
      </c>
      <c r="E112" s="564">
        <f>SUBTOTAL(9,E114:E117)</f>
        <v>6481.51</v>
      </c>
      <c r="J112" s="562"/>
      <c r="K112" s="31"/>
      <c r="L112"/>
      <c r="Q112" s="354"/>
      <c r="R112" s="354"/>
    </row>
    <row r="113" spans="4:18" ht="14.35">
      <c r="D113" s="451" t="s">
        <v>381</v>
      </c>
      <c r="E113" s="564">
        <f>K82</f>
        <v>0</v>
      </c>
      <c r="J113" s="25"/>
      <c r="K113" s="31"/>
      <c r="L113"/>
      <c r="Q113" s="354"/>
      <c r="R113" s="354"/>
    </row>
    <row r="114" spans="4:18" ht="14.35">
      <c r="D114" s="537" t="s">
        <v>436</v>
      </c>
      <c r="E114" s="376">
        <v>3287.77</v>
      </c>
      <c r="F114" s="372">
        <f>E114/$E$112</f>
        <v>0.50725371094081473</v>
      </c>
      <c r="G114" s="373">
        <f>$E$113*F114</f>
        <v>0</v>
      </c>
      <c r="I114" s="453"/>
      <c r="J114" s="6"/>
      <c r="K114" s="31"/>
      <c r="L114"/>
      <c r="Q114" s="354"/>
      <c r="R114" s="354"/>
    </row>
    <row r="115" spans="4:18" ht="14.35">
      <c r="D115" s="537" t="s">
        <v>537</v>
      </c>
      <c r="E115" s="376">
        <v>966.94</v>
      </c>
      <c r="F115" s="372">
        <f>E115/$E$112</f>
        <v>0.14918437216019106</v>
      </c>
      <c r="G115" s="373">
        <f>$E$113*F115</f>
        <v>0</v>
      </c>
      <c r="J115" s="562"/>
      <c r="K115" s="31"/>
      <c r="L115"/>
      <c r="Q115" s="354"/>
      <c r="R115" s="354"/>
    </row>
    <row r="116" spans="4:18" ht="14.35">
      <c r="D116" s="537" t="s">
        <v>535</v>
      </c>
      <c r="E116" s="376">
        <v>2226.8000000000002</v>
      </c>
      <c r="F116" s="372">
        <f>E116/$E$112</f>
        <v>0.34356191689899424</v>
      </c>
      <c r="G116" s="373">
        <f>$E$113*F116</f>
        <v>0</v>
      </c>
      <c r="J116" s="25"/>
      <c r="K116" s="31"/>
      <c r="L116"/>
      <c r="Q116" s="354"/>
      <c r="R116" s="354"/>
    </row>
    <row r="117" spans="4:18" ht="14.35">
      <c r="E117" s="356"/>
      <c r="F117" s="372"/>
      <c r="G117" s="373"/>
      <c r="J117" s="562"/>
      <c r="K117" s="31"/>
      <c r="L117"/>
      <c r="Q117" s="354"/>
      <c r="R117" s="354"/>
    </row>
    <row r="118" spans="4:18" ht="14.35">
      <c r="E118" s="356"/>
      <c r="J118" s="25"/>
      <c r="K118" s="31"/>
      <c r="L118"/>
      <c r="Q118" s="354"/>
      <c r="R118" s="354"/>
    </row>
    <row r="119" spans="4:18" ht="14.35">
      <c r="J119" s="562"/>
      <c r="K119" s="31"/>
      <c r="L119"/>
      <c r="Q119" s="354"/>
      <c r="R119" s="354"/>
    </row>
    <row r="120" spans="4:18" ht="14.35">
      <c r="D120" s="451" t="s">
        <v>460</v>
      </c>
      <c r="E120" s="356">
        <f>SUBTOTAL(9,E122:E135)</f>
        <v>61145.760000000002</v>
      </c>
      <c r="J120" s="25"/>
      <c r="K120" s="31"/>
      <c r="L120"/>
      <c r="Q120" s="354"/>
      <c r="R120" s="354"/>
    </row>
    <row r="121" spans="4:18" ht="14.35">
      <c r="D121" s="451" t="s">
        <v>461</v>
      </c>
      <c r="E121" s="564">
        <f>K83</f>
        <v>0</v>
      </c>
      <c r="J121" s="6"/>
      <c r="K121" s="31"/>
      <c r="L121"/>
      <c r="Q121" s="354"/>
      <c r="R121" s="354"/>
    </row>
    <row r="122" spans="4:18" ht="14.35">
      <c r="D122" s="537" t="s">
        <v>536</v>
      </c>
      <c r="E122" s="356">
        <v>1458.73</v>
      </c>
      <c r="F122" s="372">
        <f>E122/$E$120</f>
        <v>2.3856601013708883E-2</v>
      </c>
      <c r="G122" s="373">
        <f>$E$121*F122</f>
        <v>0</v>
      </c>
      <c r="J122" s="562"/>
      <c r="K122" s="31"/>
      <c r="L122"/>
      <c r="Q122" s="354"/>
      <c r="R122" s="354"/>
    </row>
    <row r="123" spans="4:18" ht="14.35">
      <c r="D123" s="537" t="s">
        <v>598</v>
      </c>
      <c r="E123" s="356">
        <v>951.94</v>
      </c>
      <c r="F123" s="372">
        <f t="shared" ref="F123:F135" si="45">E123/$E$120</f>
        <v>1.5568373015561505E-2</v>
      </c>
      <c r="G123" s="373">
        <f t="shared" ref="G123:G135" si="46">$E$121*F123</f>
        <v>0</v>
      </c>
      <c r="J123" s="25"/>
      <c r="K123" s="31"/>
      <c r="L123"/>
      <c r="Q123" s="354"/>
      <c r="R123" s="354"/>
    </row>
    <row r="124" spans="4:18" ht="14.35">
      <c r="D124" s="537" t="s">
        <v>583</v>
      </c>
      <c r="E124" s="356">
        <v>4454.72</v>
      </c>
      <c r="F124" s="372">
        <f t="shared" si="45"/>
        <v>7.2854111225373594E-2</v>
      </c>
      <c r="G124" s="373">
        <f t="shared" si="46"/>
        <v>0</v>
      </c>
      <c r="J124" s="562"/>
      <c r="K124" s="31"/>
      <c r="L124"/>
      <c r="Q124" s="354"/>
      <c r="R124" s="354"/>
    </row>
    <row r="125" spans="4:18" ht="14.35">
      <c r="D125" s="537" t="s">
        <v>274</v>
      </c>
      <c r="E125" s="356">
        <v>3438.46</v>
      </c>
      <c r="F125" s="372">
        <f t="shared" si="45"/>
        <v>5.6233825534264356E-2</v>
      </c>
      <c r="G125" s="373">
        <f t="shared" si="46"/>
        <v>0</v>
      </c>
      <c r="J125" s="25"/>
      <c r="K125" s="31"/>
      <c r="L125"/>
      <c r="Q125" s="354"/>
      <c r="R125" s="354"/>
    </row>
    <row r="126" spans="4:18" ht="14.35">
      <c r="D126" s="537" t="s">
        <v>584</v>
      </c>
      <c r="E126" s="356">
        <v>3430.64</v>
      </c>
      <c r="F126" s="372">
        <f t="shared" si="45"/>
        <v>5.6105934409842968E-2</v>
      </c>
      <c r="G126" s="373">
        <f t="shared" si="46"/>
        <v>0</v>
      </c>
      <c r="J126" s="562"/>
      <c r="K126" s="31"/>
      <c r="L126"/>
      <c r="Q126" s="354"/>
      <c r="R126" s="354"/>
    </row>
    <row r="127" spans="4:18" ht="14.35">
      <c r="D127" s="537" t="s">
        <v>585</v>
      </c>
      <c r="E127" s="356">
        <v>5464.56</v>
      </c>
      <c r="F127" s="372">
        <f t="shared" si="45"/>
        <v>8.9369401901292916E-2</v>
      </c>
      <c r="G127" s="373">
        <f t="shared" si="46"/>
        <v>0</v>
      </c>
      <c r="J127" s="25"/>
      <c r="K127" s="31"/>
      <c r="L127"/>
      <c r="Q127" s="354"/>
      <c r="R127" s="354"/>
    </row>
    <row r="128" spans="4:18" ht="14.35">
      <c r="D128" s="537" t="s">
        <v>586</v>
      </c>
      <c r="E128" s="356">
        <v>9048.0400000000009</v>
      </c>
      <c r="F128" s="372">
        <f t="shared" si="45"/>
        <v>0.14797493726466071</v>
      </c>
      <c r="G128" s="373">
        <f t="shared" si="46"/>
        <v>0</v>
      </c>
      <c r="J128" s="6"/>
      <c r="K128" s="31"/>
      <c r="L128"/>
      <c r="Q128" s="354"/>
      <c r="R128" s="354"/>
    </row>
    <row r="129" spans="4:18" ht="14.35">
      <c r="D129" s="537" t="s">
        <v>587</v>
      </c>
      <c r="E129" s="356">
        <v>7931.68</v>
      </c>
      <c r="F129" s="372">
        <f t="shared" si="45"/>
        <v>0.12971757976350282</v>
      </c>
      <c r="G129" s="373">
        <f t="shared" si="46"/>
        <v>0</v>
      </c>
      <c r="J129" s="562"/>
      <c r="K129" s="31"/>
      <c r="L129"/>
      <c r="Q129" s="354"/>
      <c r="R129" s="354"/>
    </row>
    <row r="130" spans="4:18" ht="14.35">
      <c r="D130" s="537" t="s">
        <v>588</v>
      </c>
      <c r="E130" s="356">
        <v>3768.8</v>
      </c>
      <c r="F130" s="372">
        <f t="shared" si="45"/>
        <v>6.163632605106225E-2</v>
      </c>
      <c r="G130" s="373">
        <f t="shared" si="46"/>
        <v>0</v>
      </c>
      <c r="J130" s="25"/>
      <c r="K130" s="31"/>
      <c r="L130"/>
      <c r="Q130" s="354"/>
      <c r="R130" s="354"/>
    </row>
    <row r="131" spans="4:18" ht="14.35">
      <c r="D131" s="563" t="s">
        <v>589</v>
      </c>
      <c r="E131" s="356">
        <v>3514.09</v>
      </c>
      <c r="F131" s="372">
        <f t="shared" si="45"/>
        <v>5.7470706063674735E-2</v>
      </c>
      <c r="G131" s="373">
        <f t="shared" si="46"/>
        <v>0</v>
      </c>
      <c r="J131" s="562"/>
      <c r="K131" s="31"/>
      <c r="L131"/>
      <c r="Q131" s="354"/>
      <c r="R131" s="354"/>
    </row>
    <row r="132" spans="4:18" ht="14.35">
      <c r="D132" s="537" t="s">
        <v>590</v>
      </c>
      <c r="E132" s="356">
        <v>4450.93</v>
      </c>
      <c r="F132" s="372">
        <f t="shared" si="45"/>
        <v>7.2792128186811314E-2</v>
      </c>
      <c r="G132" s="373">
        <f t="shared" si="46"/>
        <v>0</v>
      </c>
      <c r="J132" s="25"/>
      <c r="K132" s="31"/>
      <c r="L132"/>
      <c r="Q132" s="354"/>
      <c r="R132" s="354"/>
    </row>
    <row r="133" spans="4:18" ht="14.35">
      <c r="D133" s="537" t="s">
        <v>591</v>
      </c>
      <c r="E133" s="356">
        <v>1278.97</v>
      </c>
      <c r="F133" s="372">
        <f t="shared" si="45"/>
        <v>2.0916740588390756E-2</v>
      </c>
      <c r="G133" s="373">
        <f t="shared" si="46"/>
        <v>0</v>
      </c>
      <c r="J133" s="562"/>
      <c r="K133" s="31"/>
      <c r="L133"/>
      <c r="Q133" s="354"/>
      <c r="R133" s="354"/>
    </row>
    <row r="134" spans="4:18" ht="14.35">
      <c r="D134" s="537" t="s">
        <v>592</v>
      </c>
      <c r="E134" s="356">
        <v>7275.03</v>
      </c>
      <c r="F134" s="372">
        <f t="shared" si="45"/>
        <v>0.11897848681576612</v>
      </c>
      <c r="G134" s="373">
        <f t="shared" si="46"/>
        <v>0</v>
      </c>
      <c r="J134" s="25"/>
      <c r="K134" s="31"/>
      <c r="L134"/>
      <c r="Q134" s="354"/>
      <c r="R134" s="354"/>
    </row>
    <row r="135" spans="4:18" ht="14.35">
      <c r="D135" s="537" t="s">
        <v>593</v>
      </c>
      <c r="E135" s="356">
        <v>4679.17</v>
      </c>
      <c r="F135" s="372">
        <f t="shared" si="45"/>
        <v>7.6524848166087067E-2</v>
      </c>
      <c r="G135" s="373">
        <f t="shared" si="46"/>
        <v>0</v>
      </c>
      <c r="J135" s="562"/>
      <c r="K135" s="31"/>
      <c r="L135"/>
    </row>
    <row r="136" spans="4:18" ht="14.35">
      <c r="J136" s="25"/>
      <c r="K136" s="31"/>
      <c r="L136"/>
    </row>
    <row r="137" spans="4:18" ht="14.35">
      <c r="J137" s="6"/>
      <c r="K137" s="31"/>
      <c r="L137"/>
    </row>
    <row r="138" spans="4:18" ht="14.35">
      <c r="D138" s="451" t="s">
        <v>627</v>
      </c>
      <c r="E138" s="356">
        <f>SUBTOTAL(9,E140:E143)</f>
        <v>14421.5</v>
      </c>
      <c r="J138" s="562"/>
      <c r="K138" s="31"/>
      <c r="L138"/>
    </row>
    <row r="139" spans="4:18" ht="14.35">
      <c r="D139" s="451" t="s">
        <v>628</v>
      </c>
      <c r="E139" s="564">
        <f>K84</f>
        <v>0</v>
      </c>
      <c r="J139" s="25"/>
      <c r="K139" s="31"/>
      <c r="L139"/>
    </row>
    <row r="140" spans="4:18" ht="14.35">
      <c r="D140" s="537" t="s">
        <v>527</v>
      </c>
      <c r="E140" s="564">
        <v>6345.14</v>
      </c>
      <c r="F140" s="372">
        <f>E140/$E$138</f>
        <v>0.43997781090732591</v>
      </c>
      <c r="G140" s="373">
        <f>$E$139*F140</f>
        <v>0</v>
      </c>
      <c r="J140" s="6"/>
      <c r="K140" s="31"/>
      <c r="L140"/>
    </row>
    <row r="141" spans="4:18" ht="14.35">
      <c r="D141" s="537" t="s">
        <v>555</v>
      </c>
      <c r="E141" s="564">
        <v>4576.8599999999997</v>
      </c>
      <c r="F141" s="372">
        <f>E141/$E$138</f>
        <v>0.31736365842665465</v>
      </c>
      <c r="G141" s="373">
        <f>$E$139*F141</f>
        <v>0</v>
      </c>
      <c r="J141" s="562"/>
      <c r="K141" s="31"/>
      <c r="L141"/>
    </row>
    <row r="142" spans="4:18" ht="14.35">
      <c r="D142" s="537" t="s">
        <v>579</v>
      </c>
      <c r="E142" s="564">
        <v>1975.2</v>
      </c>
      <c r="F142" s="372">
        <f>E142/$E$138</f>
        <v>0.13696217453108206</v>
      </c>
      <c r="G142" s="373">
        <f>$E$139*F142</f>
        <v>0</v>
      </c>
      <c r="J142" s="25"/>
      <c r="K142" s="31"/>
      <c r="L142"/>
    </row>
    <row r="143" spans="4:18" ht="14.35">
      <c r="D143" s="537" t="s">
        <v>571</v>
      </c>
      <c r="E143" s="564">
        <v>1524.3</v>
      </c>
      <c r="F143" s="372">
        <f>E143/$E$138</f>
        <v>0.10569635613493741</v>
      </c>
      <c r="G143" s="373">
        <f>$E$139*F143</f>
        <v>0</v>
      </c>
      <c r="J143" s="6"/>
      <c r="K143" s="31"/>
      <c r="L143"/>
    </row>
    <row r="144" spans="4:18" ht="14.35">
      <c r="J144" s="562"/>
      <c r="K144" s="31"/>
      <c r="L144"/>
    </row>
    <row r="145" spans="4:18" ht="14.35">
      <c r="J145" s="25"/>
      <c r="K145" s="31"/>
      <c r="L145"/>
    </row>
    <row r="146" spans="4:18" ht="14.35">
      <c r="D146" s="451" t="s">
        <v>682</v>
      </c>
      <c r="E146" s="565">
        <f>SUBTOTAL(9,E148:E149)</f>
        <v>7400.9491200000002</v>
      </c>
      <c r="J146" s="6"/>
      <c r="K146" s="31"/>
      <c r="L146"/>
    </row>
    <row r="147" spans="4:18" ht="14.35">
      <c r="D147" s="451" t="s">
        <v>683</v>
      </c>
      <c r="E147" s="564">
        <f>K85</f>
        <v>0</v>
      </c>
      <c r="J147" s="562"/>
      <c r="K147" s="31"/>
      <c r="L147"/>
    </row>
    <row r="148" spans="4:18" ht="14.35">
      <c r="D148" s="537" t="s">
        <v>555</v>
      </c>
      <c r="E148" s="565">
        <v>5876.64912</v>
      </c>
      <c r="F148" s="372">
        <f>E148/$E$146</f>
        <v>0.79403992984078231</v>
      </c>
      <c r="G148" s="373">
        <f>$E$147*F148</f>
        <v>0</v>
      </c>
      <c r="J148" s="25"/>
      <c r="K148" s="31"/>
      <c r="L148"/>
    </row>
    <row r="149" spans="4:18" ht="14.35">
      <c r="D149" s="537" t="s">
        <v>571</v>
      </c>
      <c r="E149" s="565">
        <v>1524.3</v>
      </c>
      <c r="F149" s="372">
        <f>E149/$E$146</f>
        <v>0.20596007015921763</v>
      </c>
      <c r="G149" s="373">
        <f>$E$147*F149</f>
        <v>0</v>
      </c>
      <c r="J149" s="6"/>
      <c r="K149" s="31"/>
      <c r="L149"/>
    </row>
    <row r="150" spans="4:18" ht="14.35">
      <c r="J150" s="562"/>
      <c r="K150" s="31"/>
      <c r="L150"/>
    </row>
    <row r="151" spans="4:18" ht="14.35">
      <c r="D151" s="451" t="s">
        <v>685</v>
      </c>
      <c r="E151" s="565">
        <f>SUBTOTAL(9,E153:E158)</f>
        <v>27667.379999999997</v>
      </c>
      <c r="J151" s="25"/>
      <c r="K151" s="31"/>
      <c r="L151"/>
    </row>
    <row r="152" spans="4:18" ht="14.35">
      <c r="D152" s="451" t="s">
        <v>684</v>
      </c>
      <c r="E152" s="565">
        <f>K86</f>
        <v>0</v>
      </c>
      <c r="J152" s="6"/>
      <c r="K152" s="31"/>
      <c r="L152"/>
    </row>
    <row r="153" spans="4:18" ht="14.35">
      <c r="D153" s="537" t="s">
        <v>352</v>
      </c>
      <c r="E153" s="565">
        <v>5985.51</v>
      </c>
      <c r="F153" s="372">
        <f t="shared" ref="F153:F158" si="47">E153/$E$151</f>
        <v>0.21633815706438414</v>
      </c>
      <c r="G153" s="373">
        <f t="shared" ref="G153:G158" si="48">$E$152*F153</f>
        <v>0</v>
      </c>
      <c r="J153" s="562"/>
      <c r="K153" s="31"/>
      <c r="L153"/>
    </row>
    <row r="154" spans="4:18" ht="14.35">
      <c r="D154" s="537" t="s">
        <v>560</v>
      </c>
      <c r="E154" s="565">
        <v>9131.56</v>
      </c>
      <c r="F154" s="372">
        <f t="shared" si="47"/>
        <v>0.33004787587404372</v>
      </c>
      <c r="G154" s="373">
        <f t="shared" si="48"/>
        <v>0</v>
      </c>
      <c r="J154" s="25"/>
      <c r="K154" s="31"/>
      <c r="L154"/>
    </row>
    <row r="155" spans="4:18" ht="14.35">
      <c r="D155" s="537" t="s">
        <v>626</v>
      </c>
      <c r="E155" s="565">
        <v>1137.5999999999999</v>
      </c>
      <c r="F155" s="372">
        <f t="shared" si="47"/>
        <v>4.1117012163782767E-2</v>
      </c>
      <c r="G155" s="373">
        <f t="shared" si="48"/>
        <v>0</v>
      </c>
      <c r="J155" s="562"/>
      <c r="K155" s="31"/>
      <c r="L155"/>
      <c r="Q155"/>
      <c r="R155"/>
    </row>
    <row r="156" spans="4:18" ht="14.35">
      <c r="D156" s="537" t="s">
        <v>631</v>
      </c>
      <c r="E156" s="565">
        <v>6769.08</v>
      </c>
      <c r="F156" s="372">
        <f t="shared" si="47"/>
        <v>0.24465923408721754</v>
      </c>
      <c r="G156" s="373">
        <f t="shared" si="48"/>
        <v>0</v>
      </c>
      <c r="J156" s="25"/>
      <c r="K156" s="31"/>
      <c r="L156"/>
      <c r="Q156"/>
      <c r="R156"/>
    </row>
    <row r="157" spans="4:18" ht="14.35">
      <c r="D157" s="537" t="s">
        <v>635</v>
      </c>
      <c r="E157" s="565">
        <v>248.14</v>
      </c>
      <c r="F157" s="372">
        <f t="shared" si="47"/>
        <v>8.9686844218715336E-3</v>
      </c>
      <c r="G157" s="373">
        <f t="shared" si="48"/>
        <v>0</v>
      </c>
      <c r="J157" s="562"/>
      <c r="K157" s="31"/>
      <c r="L157"/>
      <c r="Q157"/>
      <c r="R157"/>
    </row>
    <row r="158" spans="4:18" ht="14.35">
      <c r="D158" s="537" t="s">
        <v>657</v>
      </c>
      <c r="E158" s="565">
        <v>4395.49</v>
      </c>
      <c r="F158" s="372">
        <f t="shared" si="47"/>
        <v>0.15886903638870034</v>
      </c>
      <c r="G158" s="373">
        <f t="shared" si="48"/>
        <v>0</v>
      </c>
      <c r="J158" s="25"/>
      <c r="K158" s="31"/>
      <c r="L158"/>
      <c r="Q158"/>
      <c r="R158"/>
    </row>
    <row r="159" spans="4:18" ht="14.35">
      <c r="J159" s="6"/>
      <c r="K159" s="31"/>
      <c r="L159"/>
      <c r="Q159"/>
      <c r="R159"/>
    </row>
    <row r="160" spans="4:18" ht="14.35">
      <c r="J160" s="562"/>
      <c r="K160" s="31"/>
      <c r="L160"/>
      <c r="Q160"/>
      <c r="R160"/>
    </row>
    <row r="161" spans="10:18" ht="14.35">
      <c r="J161" s="25"/>
      <c r="K161" s="31"/>
      <c r="L161"/>
      <c r="Q161"/>
      <c r="R161"/>
    </row>
    <row r="162" spans="10:18" ht="14.35">
      <c r="J162" s="6"/>
      <c r="K162" s="31"/>
      <c r="L162"/>
      <c r="Q162"/>
      <c r="R162"/>
    </row>
    <row r="163" spans="10:18" ht="14.35">
      <c r="J163" s="562"/>
      <c r="K163" s="31"/>
      <c r="L163"/>
      <c r="Q163"/>
      <c r="R163"/>
    </row>
    <row r="164" spans="10:18" ht="14.35">
      <c r="J164" s="25"/>
      <c r="K164" s="31"/>
      <c r="L164"/>
      <c r="Q164"/>
      <c r="R164"/>
    </row>
    <row r="165" spans="10:18" ht="14.35">
      <c r="J165" s="6"/>
      <c r="K165" s="31"/>
      <c r="L165"/>
      <c r="Q165"/>
      <c r="R165"/>
    </row>
    <row r="166" spans="10:18" ht="14.35">
      <c r="J166" s="562"/>
      <c r="K166" s="31"/>
      <c r="L166"/>
      <c r="Q166"/>
      <c r="R166"/>
    </row>
    <row r="167" spans="10:18" ht="14.35">
      <c r="J167" s="25"/>
      <c r="K167" s="31"/>
      <c r="L167"/>
      <c r="Q167"/>
      <c r="R167"/>
    </row>
    <row r="168" spans="10:18" ht="14.35">
      <c r="J168" s="6"/>
      <c r="K168" s="31"/>
      <c r="L168"/>
      <c r="Q168"/>
      <c r="R168"/>
    </row>
    <row r="169" spans="10:18" ht="14.35">
      <c r="J169" s="562"/>
      <c r="K169" s="31"/>
      <c r="L169"/>
      <c r="Q169"/>
      <c r="R169"/>
    </row>
    <row r="170" spans="10:18" ht="14.35">
      <c r="J170" s="25"/>
      <c r="K170" s="31"/>
      <c r="L170"/>
      <c r="Q170"/>
      <c r="R170"/>
    </row>
    <row r="171" spans="10:18" ht="14.35">
      <c r="J171" s="562"/>
      <c r="K171" s="31"/>
      <c r="L171"/>
      <c r="Q171"/>
      <c r="R171"/>
    </row>
    <row r="172" spans="10:18" ht="14.35">
      <c r="J172" s="25"/>
      <c r="K172" s="31"/>
      <c r="L172"/>
      <c r="Q172"/>
      <c r="R172"/>
    </row>
    <row r="173" spans="10:18" ht="14.35">
      <c r="J173" s="562"/>
      <c r="K173" s="31"/>
      <c r="L173"/>
      <c r="Q173"/>
      <c r="R173"/>
    </row>
    <row r="174" spans="10:18" ht="14.35">
      <c r="J174" s="25"/>
      <c r="K174" s="31"/>
      <c r="L174"/>
      <c r="Q174"/>
      <c r="R174"/>
    </row>
    <row r="175" spans="10:18" ht="14.35">
      <c r="J175" s="562"/>
      <c r="K175" s="31"/>
      <c r="L175"/>
      <c r="Q175"/>
      <c r="R175"/>
    </row>
    <row r="176" spans="10:18" ht="14.35">
      <c r="J176" s="25"/>
      <c r="K176" s="31"/>
      <c r="L176"/>
      <c r="Q176"/>
      <c r="R176"/>
    </row>
    <row r="177" spans="10:18" ht="14.35">
      <c r="J177" s="562"/>
      <c r="K177" s="31"/>
      <c r="L177"/>
      <c r="Q177"/>
      <c r="R177"/>
    </row>
    <row r="178" spans="10:18" ht="14.35">
      <c r="J178" s="25"/>
      <c r="K178" s="31"/>
      <c r="L178"/>
      <c r="Q178"/>
      <c r="R178"/>
    </row>
    <row r="179" spans="10:18" ht="14.35">
      <c r="J179" s="562"/>
      <c r="K179" s="31"/>
      <c r="L179"/>
      <c r="Q179"/>
      <c r="R179"/>
    </row>
    <row r="180" spans="10:18" ht="14.35">
      <c r="J180" s="25"/>
      <c r="K180" s="31"/>
      <c r="L180"/>
      <c r="Q180"/>
      <c r="R180"/>
    </row>
    <row r="181" spans="10:18" ht="14.35">
      <c r="J181" s="562"/>
      <c r="K181" s="31"/>
      <c r="L181"/>
      <c r="Q181"/>
      <c r="R181"/>
    </row>
    <row r="182" spans="10:18" ht="14.35">
      <c r="J182" s="25"/>
      <c r="K182" s="31"/>
      <c r="L182"/>
      <c r="Q182"/>
      <c r="R182"/>
    </row>
    <row r="183" spans="10:18" ht="14.35">
      <c r="J183" s="6"/>
      <c r="K183" s="31"/>
      <c r="L183"/>
      <c r="Q183"/>
      <c r="R183"/>
    </row>
    <row r="184" spans="10:18" ht="14.35">
      <c r="J184" s="562"/>
      <c r="K184" s="31"/>
      <c r="L184"/>
      <c r="Q184"/>
      <c r="R184"/>
    </row>
    <row r="185" spans="10:18" ht="14.35">
      <c r="J185" s="25"/>
      <c r="K185" s="31"/>
      <c r="L185"/>
      <c r="Q185"/>
      <c r="R185"/>
    </row>
    <row r="186" spans="10:18" ht="14.35">
      <c r="J186" s="562"/>
      <c r="K186" s="31"/>
      <c r="L186"/>
      <c r="Q186"/>
      <c r="R186"/>
    </row>
    <row r="187" spans="10:18" ht="14.35">
      <c r="J187" s="25"/>
      <c r="K187" s="31"/>
      <c r="L187"/>
      <c r="Q187"/>
      <c r="R187"/>
    </row>
    <row r="188" spans="10:18" ht="14.35">
      <c r="J188" s="6"/>
      <c r="K188" s="31"/>
      <c r="L188"/>
      <c r="Q188"/>
      <c r="R188"/>
    </row>
    <row r="189" spans="10:18" ht="14.35">
      <c r="J189" s="562"/>
      <c r="K189" s="31"/>
      <c r="L189"/>
      <c r="Q189"/>
      <c r="R189"/>
    </row>
    <row r="190" spans="10:18" ht="14.35">
      <c r="J190" s="25"/>
      <c r="K190" s="31"/>
      <c r="L190"/>
      <c r="Q190"/>
      <c r="R190"/>
    </row>
    <row r="191" spans="10:18" ht="14.35">
      <c r="J191" s="562"/>
      <c r="K191" s="31"/>
      <c r="L191"/>
      <c r="Q191"/>
      <c r="R191"/>
    </row>
    <row r="192" spans="10:18" ht="14.35">
      <c r="J192" s="25"/>
      <c r="K192" s="31"/>
      <c r="L192"/>
      <c r="Q192"/>
      <c r="R192"/>
    </row>
    <row r="193" spans="10:18" ht="14.35">
      <c r="J193" s="6"/>
      <c r="K193" s="31"/>
      <c r="L193"/>
      <c r="Q193"/>
      <c r="R193"/>
    </row>
    <row r="194" spans="10:18" ht="14.35">
      <c r="J194" s="562"/>
      <c r="K194" s="31"/>
      <c r="L194"/>
      <c r="Q194"/>
      <c r="R194"/>
    </row>
    <row r="195" spans="10:18" ht="14.35">
      <c r="J195" s="25"/>
      <c r="K195" s="31"/>
      <c r="L195"/>
      <c r="Q195"/>
      <c r="R195"/>
    </row>
    <row r="196" spans="10:18" ht="14.35">
      <c r="J196" s="562"/>
      <c r="K196" s="31"/>
      <c r="L196"/>
      <c r="Q196"/>
      <c r="R196"/>
    </row>
    <row r="197" spans="10:18" ht="14.35">
      <c r="J197" s="25"/>
      <c r="K197" s="31"/>
      <c r="L197"/>
      <c r="Q197"/>
      <c r="R197"/>
    </row>
    <row r="198" spans="10:18" ht="14.35">
      <c r="J198" s="6"/>
      <c r="K198" s="31"/>
      <c r="L198"/>
      <c r="Q198"/>
      <c r="R198"/>
    </row>
    <row r="199" spans="10:18" ht="14.35">
      <c r="J199" s="562"/>
      <c r="K199" s="31"/>
      <c r="L199"/>
      <c r="Q199"/>
      <c r="R199"/>
    </row>
    <row r="200" spans="10:18" ht="14.35">
      <c r="J200" s="25"/>
      <c r="K200" s="31"/>
      <c r="L200"/>
      <c r="Q200"/>
      <c r="R200"/>
    </row>
    <row r="201" spans="10:18" ht="14.35">
      <c r="J201" s="562"/>
      <c r="K201" s="31"/>
      <c r="L201"/>
      <c r="Q201"/>
      <c r="R201"/>
    </row>
    <row r="202" spans="10:18" ht="14.35">
      <c r="J202" s="25"/>
      <c r="K202" s="31"/>
      <c r="L202"/>
      <c r="Q202"/>
      <c r="R202"/>
    </row>
    <row r="203" spans="10:18" ht="14.35">
      <c r="J203" s="562"/>
      <c r="K203" s="31"/>
      <c r="L203"/>
      <c r="Q203"/>
      <c r="R203"/>
    </row>
    <row r="204" spans="10:18" ht="14.35">
      <c r="J204" s="25"/>
      <c r="K204" s="31"/>
      <c r="L204"/>
      <c r="Q204"/>
      <c r="R204"/>
    </row>
    <row r="205" spans="10:18" ht="14.35">
      <c r="J205" s="6"/>
      <c r="K205" s="31"/>
      <c r="L205"/>
      <c r="Q205"/>
      <c r="R205"/>
    </row>
    <row r="206" spans="10:18" ht="14.35">
      <c r="J206" s="562"/>
      <c r="K206" s="31"/>
      <c r="L206"/>
      <c r="Q206"/>
      <c r="R206"/>
    </row>
    <row r="207" spans="10:18" ht="14.35">
      <c r="J207" s="25"/>
      <c r="K207" s="31"/>
      <c r="L207"/>
      <c r="Q207"/>
      <c r="R207"/>
    </row>
    <row r="208" spans="10:18" ht="14.35">
      <c r="J208" s="562"/>
      <c r="K208" s="31"/>
      <c r="L208"/>
      <c r="Q208"/>
      <c r="R208"/>
    </row>
    <row r="209" spans="10:18" ht="14.35">
      <c r="J209" s="25"/>
      <c r="K209" s="31"/>
      <c r="L209"/>
      <c r="Q209"/>
      <c r="R209"/>
    </row>
    <row r="210" spans="10:18" ht="14.35">
      <c r="J210" s="562"/>
      <c r="K210" s="31"/>
      <c r="L210"/>
      <c r="Q210"/>
      <c r="R210"/>
    </row>
    <row r="211" spans="10:18" ht="14.35">
      <c r="J211" s="25"/>
      <c r="K211" s="31"/>
      <c r="L211"/>
      <c r="Q211"/>
      <c r="R211"/>
    </row>
    <row r="212" spans="10:18" ht="14.35">
      <c r="J212" s="562"/>
      <c r="K212" s="31"/>
      <c r="L212"/>
      <c r="Q212"/>
      <c r="R212"/>
    </row>
    <row r="213" spans="10:18" ht="14.35">
      <c r="J213" s="25"/>
      <c r="K213" s="31"/>
      <c r="L213"/>
      <c r="Q213"/>
      <c r="R213"/>
    </row>
    <row r="214" spans="10:18" ht="14.35">
      <c r="J214" s="562"/>
      <c r="K214" s="31"/>
      <c r="L214"/>
      <c r="Q214"/>
      <c r="R214"/>
    </row>
    <row r="215" spans="10:18" ht="14.35">
      <c r="J215" s="25"/>
      <c r="K215" s="31"/>
      <c r="L215"/>
    </row>
    <row r="216" spans="10:18" ht="14.35">
      <c r="J216" s="562"/>
      <c r="K216" s="31"/>
      <c r="L216"/>
    </row>
    <row r="217" spans="10:18" ht="14.35">
      <c r="J217" s="25"/>
      <c r="K217" s="31"/>
      <c r="L217"/>
    </row>
    <row r="218" spans="10:18" ht="14.35">
      <c r="J218" s="562"/>
      <c r="K218" s="31"/>
      <c r="L218"/>
    </row>
    <row r="219" spans="10:18" ht="14.35">
      <c r="J219" s="25"/>
      <c r="K219" s="31"/>
      <c r="L219"/>
    </row>
    <row r="220" spans="10:18" ht="14.35">
      <c r="J220" s="6"/>
      <c r="K220" s="31"/>
      <c r="L220"/>
    </row>
    <row r="221" spans="10:18" ht="14.35">
      <c r="J221" s="562"/>
      <c r="K221" s="31"/>
      <c r="L221"/>
    </row>
    <row r="222" spans="10:18" ht="14.35">
      <c r="J222" s="25"/>
      <c r="K222" s="31"/>
      <c r="L222"/>
    </row>
    <row r="223" spans="10:18" ht="14.35">
      <c r="J223" s="562"/>
      <c r="K223" s="31"/>
      <c r="L223"/>
    </row>
    <row r="224" spans="10:18" ht="14.35">
      <c r="J224" s="25"/>
      <c r="K224" s="31"/>
      <c r="L224"/>
    </row>
    <row r="225" spans="10:12" ht="14.35">
      <c r="J225" s="6"/>
      <c r="K225" s="31"/>
      <c r="L225"/>
    </row>
    <row r="226" spans="10:12" ht="14.35">
      <c r="J226" s="562"/>
      <c r="K226" s="31"/>
      <c r="L226"/>
    </row>
    <row r="227" spans="10:12" ht="14.35">
      <c r="J227" s="25"/>
      <c r="K227" s="31"/>
      <c r="L227"/>
    </row>
    <row r="228" spans="10:12" ht="14.35">
      <c r="J228" s="6"/>
      <c r="K228" s="31"/>
      <c r="L228"/>
    </row>
    <row r="229" spans="10:12" ht="14.35">
      <c r="J229" s="562"/>
      <c r="K229" s="31"/>
      <c r="L229"/>
    </row>
    <row r="230" spans="10:12" ht="14.35">
      <c r="J230" s="25"/>
      <c r="K230" s="31"/>
      <c r="L230"/>
    </row>
    <row r="231" spans="10:12" ht="14.35">
      <c r="J231" s="562"/>
      <c r="K231" s="31"/>
      <c r="L231"/>
    </row>
    <row r="232" spans="10:12" ht="14.35">
      <c r="J232" s="25"/>
      <c r="K232" s="31"/>
      <c r="L232"/>
    </row>
    <row r="233" spans="10:12" ht="14.35">
      <c r="J233" s="562"/>
      <c r="K233" s="31"/>
      <c r="L233"/>
    </row>
    <row r="234" spans="10:12" ht="14.35">
      <c r="J234" s="25"/>
      <c r="K234" s="31"/>
      <c r="L234"/>
    </row>
    <row r="235" spans="10:12" ht="14.35">
      <c r="J235" s="562"/>
      <c r="K235" s="31"/>
      <c r="L235"/>
    </row>
    <row r="236" spans="10:12" ht="14.35">
      <c r="J236" s="25"/>
      <c r="K236" s="31"/>
      <c r="L236"/>
    </row>
    <row r="237" spans="10:12" ht="14.35">
      <c r="J237" s="562"/>
      <c r="K237" s="31"/>
      <c r="L237"/>
    </row>
    <row r="238" spans="10:12" ht="14.35">
      <c r="J238" s="25"/>
      <c r="K238" s="31"/>
      <c r="L238"/>
    </row>
    <row r="239" spans="10:12" ht="14.35">
      <c r="J239" s="562"/>
      <c r="K239" s="31"/>
      <c r="L239"/>
    </row>
    <row r="240" spans="10:12" ht="14.35">
      <c r="J240" s="25"/>
      <c r="K240" s="31"/>
      <c r="L240"/>
    </row>
    <row r="241" spans="10:12" ht="14.35">
      <c r="J241" s="6"/>
      <c r="K241" s="31"/>
      <c r="L241"/>
    </row>
    <row r="242" spans="10:12" ht="14.35">
      <c r="J242" s="562"/>
      <c r="K242" s="31"/>
      <c r="L242"/>
    </row>
    <row r="243" spans="10:12" ht="14.35">
      <c r="J243" s="25"/>
      <c r="K243" s="31"/>
      <c r="L243"/>
    </row>
    <row r="244" spans="10:12" ht="14.35">
      <c r="J244" s="562"/>
      <c r="K244" s="31"/>
      <c r="L244"/>
    </row>
    <row r="245" spans="10:12" ht="14.35">
      <c r="J245" s="25"/>
      <c r="K245" s="31"/>
      <c r="L245"/>
    </row>
    <row r="246" spans="10:12" ht="14.35">
      <c r="J246" s="562"/>
      <c r="K246" s="31"/>
      <c r="L246"/>
    </row>
    <row r="247" spans="10:12" ht="14.35">
      <c r="J247" s="25"/>
      <c r="K247" s="31"/>
      <c r="L247"/>
    </row>
    <row r="248" spans="10:12" ht="14.35">
      <c r="J248" s="562"/>
      <c r="K248" s="31"/>
      <c r="L248"/>
    </row>
    <row r="249" spans="10:12" ht="14.35">
      <c r="J249" s="25"/>
      <c r="K249" s="31"/>
      <c r="L249"/>
    </row>
    <row r="250" spans="10:12" ht="14.35">
      <c r="J250" s="562"/>
      <c r="K250" s="31"/>
      <c r="L250"/>
    </row>
    <row r="251" spans="10:12" ht="14.35">
      <c r="J251" s="25"/>
      <c r="K251" s="31"/>
      <c r="L251"/>
    </row>
    <row r="252" spans="10:12" ht="14.35">
      <c r="J252" s="6"/>
      <c r="K252" s="31"/>
      <c r="L252"/>
    </row>
    <row r="253" spans="10:12" ht="14.35">
      <c r="J253" s="562"/>
      <c r="K253" s="31"/>
      <c r="L253"/>
    </row>
    <row r="254" spans="10:12" ht="14.35">
      <c r="J254" s="25"/>
      <c r="K254" s="31"/>
      <c r="L254"/>
    </row>
    <row r="255" spans="10:12" ht="14.35">
      <c r="J255" s="562"/>
      <c r="K255" s="31"/>
      <c r="L255"/>
    </row>
    <row r="256" spans="10:12" ht="14.35">
      <c r="J256" s="25"/>
      <c r="K256" s="31"/>
      <c r="L256"/>
    </row>
    <row r="257" spans="10:12" ht="14.35">
      <c r="J257" s="562"/>
      <c r="K257" s="31"/>
      <c r="L257"/>
    </row>
    <row r="258" spans="10:12" ht="14.35">
      <c r="J258" s="25"/>
      <c r="K258" s="31"/>
      <c r="L258"/>
    </row>
    <row r="259" spans="10:12" ht="14.35">
      <c r="J259" s="562"/>
      <c r="K259" s="31"/>
      <c r="L259"/>
    </row>
    <row r="260" spans="10:12" ht="14.35">
      <c r="J260" s="25"/>
      <c r="K260" s="31"/>
      <c r="L260"/>
    </row>
    <row r="261" spans="10:12" ht="14.35">
      <c r="J261" s="6"/>
      <c r="K261" s="31"/>
      <c r="L261"/>
    </row>
    <row r="262" spans="10:12" ht="14.35">
      <c r="J262" s="562"/>
      <c r="K262" s="31"/>
      <c r="L262"/>
    </row>
    <row r="263" spans="10:12" ht="14.35">
      <c r="J263" s="25"/>
      <c r="K263" s="31"/>
      <c r="L263"/>
    </row>
    <row r="264" spans="10:12" ht="14.35">
      <c r="J264" s="6"/>
      <c r="K264" s="31"/>
      <c r="L264"/>
    </row>
    <row r="265" spans="10:12" ht="14.35">
      <c r="J265" s="562"/>
      <c r="K265" s="31"/>
      <c r="L265"/>
    </row>
    <row r="266" spans="10:12" ht="14.35">
      <c r="J266" s="25"/>
      <c r="K266" s="31"/>
      <c r="L266"/>
    </row>
    <row r="267" spans="10:12" ht="14.35">
      <c r="J267" s="562"/>
      <c r="K267" s="31"/>
      <c r="L267"/>
    </row>
    <row r="268" spans="10:12" ht="14.35">
      <c r="J268" s="25"/>
      <c r="K268" s="31"/>
      <c r="L268"/>
    </row>
    <row r="269" spans="10:12" ht="14.35">
      <c r="J269" s="562"/>
      <c r="K269" s="31"/>
      <c r="L269"/>
    </row>
    <row r="270" spans="10:12" ht="14.35">
      <c r="J270" s="25"/>
      <c r="K270" s="31"/>
      <c r="L270"/>
    </row>
    <row r="271" spans="10:12" ht="14.35">
      <c r="J271" s="562"/>
      <c r="K271" s="31"/>
      <c r="L271"/>
    </row>
    <row r="272" spans="10:12" ht="14.35">
      <c r="J272" s="25"/>
      <c r="K272" s="31"/>
      <c r="L272"/>
    </row>
    <row r="273" spans="10:12" ht="14.35">
      <c r="J273" s="562"/>
      <c r="K273" s="31"/>
      <c r="L273"/>
    </row>
    <row r="274" spans="10:12" ht="14.35">
      <c r="J274" s="25"/>
      <c r="K274" s="31"/>
      <c r="L274"/>
    </row>
    <row r="275" spans="10:12" ht="14.35">
      <c r="J275" s="6"/>
      <c r="K275" s="31"/>
      <c r="L275"/>
    </row>
    <row r="276" spans="10:12" ht="14.35">
      <c r="J276" s="562"/>
      <c r="K276" s="31"/>
      <c r="L276"/>
    </row>
    <row r="277" spans="10:12" ht="14.35">
      <c r="J277" s="25"/>
      <c r="K277" s="31"/>
      <c r="L277"/>
    </row>
    <row r="278" spans="10:12" ht="14.35">
      <c r="J278" s="562"/>
      <c r="K278" s="31"/>
      <c r="L278"/>
    </row>
    <row r="279" spans="10:12" ht="14.35">
      <c r="J279" s="25"/>
      <c r="K279" s="31"/>
      <c r="L279"/>
    </row>
    <row r="280" spans="10:12" ht="14.35">
      <c r="J280" s="562"/>
      <c r="K280" s="31"/>
      <c r="L280"/>
    </row>
    <row r="281" spans="10:12" ht="14.35">
      <c r="J281" s="25"/>
      <c r="K281" s="31"/>
      <c r="L281"/>
    </row>
    <row r="282" spans="10:12" ht="14.35">
      <c r="J282" s="6"/>
      <c r="K282" s="31"/>
      <c r="L282"/>
    </row>
    <row r="283" spans="10:12" ht="14.35">
      <c r="J283" s="562"/>
      <c r="K283" s="31"/>
      <c r="L283"/>
    </row>
    <row r="284" spans="10:12" ht="14.35">
      <c r="J284" s="25"/>
      <c r="K284" s="31"/>
      <c r="L284"/>
    </row>
    <row r="285" spans="10:12" ht="14.35">
      <c r="J285" s="562"/>
      <c r="K285" s="31"/>
      <c r="L285"/>
    </row>
    <row r="286" spans="10:12" ht="14.35">
      <c r="J286" s="25"/>
      <c r="K286" s="31"/>
      <c r="L286"/>
    </row>
    <row r="287" spans="10:12" ht="14.35">
      <c r="J287" s="562"/>
      <c r="K287" s="31"/>
      <c r="L287"/>
    </row>
    <row r="288" spans="10:12" ht="14.35">
      <c r="J288" s="25"/>
      <c r="K288" s="31"/>
      <c r="L288"/>
    </row>
    <row r="289" spans="10:12" ht="14.35">
      <c r="J289" s="6"/>
      <c r="K289" s="31"/>
      <c r="L289"/>
    </row>
    <row r="290" spans="10:12" ht="14.35">
      <c r="J290"/>
      <c r="K290"/>
      <c r="L290"/>
    </row>
  </sheetData>
  <autoFilter ref="B1:AM77"/>
  <pageMargins left="0.7" right="0.7" top="0.75" bottom="0.75" header="0.3" footer="0.3"/>
  <pageSetup orientation="portrait"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235"/>
  <sheetViews>
    <sheetView zoomScale="80" zoomScaleNormal="80" workbookViewId="0">
      <pane ySplit="2" topLeftCell="A114" activePane="bottomLeft" state="frozen"/>
      <selection pane="bottomLeft" activeCell="A148" sqref="A148"/>
    </sheetView>
  </sheetViews>
  <sheetFormatPr defaultColWidth="9" defaultRowHeight="14"/>
  <cols>
    <col min="1" max="1" width="9" style="354"/>
    <col min="2" max="2" width="14.87890625" style="354" customWidth="1"/>
    <col min="3" max="3" width="55.17578125" style="354" customWidth="1"/>
    <col min="4" max="4" width="13" style="369" customWidth="1"/>
    <col min="5" max="5" width="12" style="356" customWidth="1"/>
    <col min="6" max="6" width="38.234375" style="354" customWidth="1"/>
    <col min="7" max="7" width="12" style="369" customWidth="1"/>
    <col min="8" max="8" width="12.703125" style="369" customWidth="1"/>
    <col min="9" max="9" width="8.703125" style="369" customWidth="1"/>
    <col min="10" max="10" width="14.41015625" style="369" customWidth="1"/>
    <col min="11" max="11" width="14.5859375" style="369" customWidth="1"/>
    <col min="12" max="13" width="12.234375" style="356" customWidth="1"/>
    <col min="14" max="14" width="11.41015625" style="356" customWidth="1"/>
    <col min="15" max="15" width="11.41015625" style="371" customWidth="1"/>
    <col min="16" max="16" width="11.41015625" style="356" customWidth="1"/>
    <col min="17" max="17" width="1.87890625" style="218" customWidth="1"/>
    <col min="18" max="19" width="1.87890625" style="354" customWidth="1"/>
    <col min="20" max="20" width="13.05859375" style="354" customWidth="1"/>
    <col min="21" max="21" width="20.29296875" style="354" customWidth="1"/>
    <col min="22" max="22" width="22.17578125" style="354" customWidth="1"/>
    <col min="23" max="23" width="27.76171875" style="354" customWidth="1"/>
    <col min="24" max="24" width="12.46875" style="354" customWidth="1"/>
    <col min="25" max="25" width="6.87890625" style="354" customWidth="1"/>
    <col min="26" max="16384" width="9" style="354"/>
  </cols>
  <sheetData>
    <row r="1" spans="1:29">
      <c r="D1" s="355">
        <f>SUM(D3:D251)</f>
        <v>116745.60392857145</v>
      </c>
      <c r="E1" s="355">
        <f>SUM(E3:E251)</f>
        <v>735167.77771428553</v>
      </c>
      <c r="F1" s="356"/>
      <c r="G1" s="356"/>
      <c r="H1" s="356"/>
      <c r="I1" s="357" t="e">
        <f>AVERAGE(#REF!)</f>
        <v>#REF!</v>
      </c>
      <c r="J1" s="847" t="s">
        <v>502</v>
      </c>
      <c r="K1" s="847"/>
      <c r="L1" s="355">
        <f>SUM(L3:L251)</f>
        <v>169644.79265714285</v>
      </c>
      <c r="M1" s="355">
        <f>SUM(M3:M251)</f>
        <v>0</v>
      </c>
      <c r="N1" s="358"/>
      <c r="O1" s="359"/>
      <c r="P1" s="358"/>
    </row>
    <row r="2" spans="1:29" s="366" customFormat="1" ht="56">
      <c r="A2" s="360" t="s">
        <v>22</v>
      </c>
      <c r="B2" s="360" t="s">
        <v>503</v>
      </c>
      <c r="C2" s="360" t="s">
        <v>504</v>
      </c>
      <c r="D2" s="361" t="s">
        <v>505</v>
      </c>
      <c r="E2" s="362" t="s">
        <v>506</v>
      </c>
      <c r="F2" s="361" t="s">
        <v>79</v>
      </c>
      <c r="G2" s="361" t="s">
        <v>507</v>
      </c>
      <c r="H2" s="361" t="s">
        <v>508</v>
      </c>
      <c r="I2" s="361" t="s">
        <v>509</v>
      </c>
      <c r="J2" s="361" t="s">
        <v>510</v>
      </c>
      <c r="K2" s="361" t="s">
        <v>511</v>
      </c>
      <c r="L2" s="363" t="s">
        <v>512</v>
      </c>
      <c r="M2" s="363" t="s">
        <v>734</v>
      </c>
      <c r="N2" s="361" t="s">
        <v>513</v>
      </c>
      <c r="O2" s="364" t="s">
        <v>514</v>
      </c>
      <c r="P2" s="361" t="s">
        <v>515</v>
      </c>
      <c r="Q2" s="365"/>
      <c r="T2" s="795" t="s">
        <v>29</v>
      </c>
      <c r="U2" s="366" t="s">
        <v>516</v>
      </c>
      <c r="V2" s="366" t="s">
        <v>519</v>
      </c>
      <c r="W2" s="366" t="s">
        <v>520</v>
      </c>
      <c r="X2" s="366" t="s">
        <v>521</v>
      </c>
      <c r="Y2" s="367" t="s">
        <v>546</v>
      </c>
      <c r="Z2" s="367" t="s">
        <v>545</v>
      </c>
      <c r="AA2" s="368"/>
      <c r="AB2" s="368"/>
      <c r="AC2" s="368"/>
    </row>
    <row r="3" spans="1:29">
      <c r="A3" s="560">
        <v>42815</v>
      </c>
      <c r="B3" s="354" t="s">
        <v>758</v>
      </c>
      <c r="C3" s="354" t="s">
        <v>730</v>
      </c>
      <c r="D3" s="375">
        <v>4127.45</v>
      </c>
      <c r="N3" s="371"/>
      <c r="P3" s="371"/>
      <c r="T3" s="217" t="s">
        <v>210</v>
      </c>
      <c r="U3" s="796">
        <v>10</v>
      </c>
      <c r="V3" s="796"/>
      <c r="W3" s="796"/>
      <c r="X3" s="796"/>
      <c r="Y3" s="354">
        <f>SUM(V3:X3)</f>
        <v>0</v>
      </c>
      <c r="Z3" s="372">
        <f>Y3/U3</f>
        <v>0</v>
      </c>
      <c r="AA3" s="372"/>
      <c r="AB3" s="372"/>
      <c r="AC3" s="372"/>
    </row>
    <row r="4" spans="1:29">
      <c r="A4" s="560">
        <v>42816</v>
      </c>
      <c r="B4" s="354" t="s">
        <v>758</v>
      </c>
      <c r="C4" s="354" t="s">
        <v>735</v>
      </c>
      <c r="D4" s="375">
        <v>6742.66</v>
      </c>
      <c r="N4" s="371"/>
      <c r="P4" s="371"/>
      <c r="T4" s="217" t="s">
        <v>517</v>
      </c>
      <c r="U4" s="796">
        <v>9</v>
      </c>
      <c r="V4" s="796"/>
      <c r="W4" s="796"/>
      <c r="X4" s="796"/>
      <c r="Y4" s="354">
        <f>SUM(V4:X4)</f>
        <v>0</v>
      </c>
      <c r="Z4" s="372">
        <f>Y4/U4</f>
        <v>0</v>
      </c>
      <c r="AA4" s="372"/>
      <c r="AB4" s="372"/>
    </row>
    <row r="5" spans="1:29">
      <c r="A5" s="560">
        <v>42828</v>
      </c>
      <c r="B5" s="354" t="s">
        <v>727</v>
      </c>
      <c r="C5" s="354" t="s">
        <v>746</v>
      </c>
      <c r="D5" s="375">
        <v>5142.3900000000003</v>
      </c>
      <c r="N5" s="371"/>
      <c r="P5" s="371"/>
      <c r="T5" s="217" t="s">
        <v>201</v>
      </c>
      <c r="U5" s="796">
        <v>12</v>
      </c>
      <c r="V5" s="796"/>
      <c r="W5" s="796"/>
      <c r="X5" s="796"/>
      <c r="Y5" s="354">
        <f>SUM(V5:X5)</f>
        <v>0</v>
      </c>
      <c r="Z5" s="372">
        <f>Y5/U5</f>
        <v>0</v>
      </c>
      <c r="AA5" s="372"/>
    </row>
    <row r="6" spans="1:29">
      <c r="A6" s="560">
        <v>42828</v>
      </c>
      <c r="B6" s="354" t="s">
        <v>727</v>
      </c>
      <c r="C6" s="354" t="s">
        <v>747</v>
      </c>
      <c r="D6" s="375">
        <v>3109.73</v>
      </c>
      <c r="N6" s="371"/>
      <c r="P6" s="371"/>
      <c r="T6" s="217" t="s">
        <v>223</v>
      </c>
      <c r="U6" s="796">
        <v>3</v>
      </c>
      <c r="V6" s="796"/>
      <c r="W6" s="796">
        <v>1</v>
      </c>
      <c r="X6" s="796"/>
      <c r="Y6" s="354">
        <f t="shared" ref="Y6:Y14" si="0">SUM(V6:X6)</f>
        <v>1</v>
      </c>
      <c r="Z6" s="372">
        <f t="shared" ref="Z6:Z14" si="1">Y6/U6</f>
        <v>0.33333333333333331</v>
      </c>
      <c r="AA6" s="372"/>
      <c r="AB6" s="366"/>
      <c r="AC6" s="366"/>
    </row>
    <row r="7" spans="1:29">
      <c r="A7" s="560">
        <v>42851</v>
      </c>
      <c r="B7" s="354" t="s">
        <v>201</v>
      </c>
      <c r="C7" s="354" t="s">
        <v>762</v>
      </c>
      <c r="D7" s="375">
        <v>2563.91</v>
      </c>
      <c r="N7" s="371"/>
      <c r="P7" s="371"/>
      <c r="T7" s="217" t="s">
        <v>220</v>
      </c>
      <c r="U7" s="796">
        <v>18</v>
      </c>
      <c r="V7" s="796"/>
      <c r="W7" s="796"/>
      <c r="X7" s="796"/>
      <c r="Y7" s="354">
        <f t="shared" si="0"/>
        <v>0</v>
      </c>
      <c r="Z7" s="372">
        <f t="shared" si="1"/>
        <v>0</v>
      </c>
      <c r="AA7" s="372"/>
    </row>
    <row r="8" spans="1:29">
      <c r="A8" s="560">
        <v>42863</v>
      </c>
      <c r="B8" s="354" t="s">
        <v>201</v>
      </c>
      <c r="C8" s="354" t="s">
        <v>779</v>
      </c>
      <c r="D8" s="375">
        <v>2010</v>
      </c>
      <c r="N8" s="371"/>
      <c r="P8" s="371"/>
      <c r="T8" s="217" t="s">
        <v>693</v>
      </c>
      <c r="U8" s="796">
        <v>2</v>
      </c>
      <c r="V8" s="796"/>
      <c r="W8" s="796"/>
      <c r="X8" s="796">
        <v>1</v>
      </c>
      <c r="Y8" s="354">
        <f t="shared" si="0"/>
        <v>1</v>
      </c>
      <c r="Z8" s="372">
        <f t="shared" si="1"/>
        <v>0.5</v>
      </c>
      <c r="AA8" s="372"/>
    </row>
    <row r="9" spans="1:29">
      <c r="A9" s="560">
        <v>42874</v>
      </c>
      <c r="B9" s="354" t="s">
        <v>223</v>
      </c>
      <c r="C9" s="354" t="s">
        <v>812</v>
      </c>
      <c r="E9" s="378">
        <v>2139.2800000000002</v>
      </c>
      <c r="N9" s="371"/>
      <c r="O9" s="371">
        <v>1</v>
      </c>
      <c r="P9" s="371"/>
      <c r="T9" s="217" t="s">
        <v>727</v>
      </c>
      <c r="U9" s="796">
        <v>6</v>
      </c>
      <c r="V9" s="796"/>
      <c r="W9" s="796"/>
      <c r="X9" s="796"/>
      <c r="Y9" s="354">
        <f t="shared" si="0"/>
        <v>0</v>
      </c>
      <c r="Z9" s="372">
        <f t="shared" si="1"/>
        <v>0</v>
      </c>
      <c r="AA9" s="372"/>
    </row>
    <row r="10" spans="1:29">
      <c r="A10" s="560">
        <v>42877</v>
      </c>
      <c r="B10" s="354" t="s">
        <v>210</v>
      </c>
      <c r="C10" s="354" t="s">
        <v>832</v>
      </c>
      <c r="D10" s="375">
        <v>12795.53</v>
      </c>
      <c r="N10" s="371"/>
      <c r="P10" s="371"/>
      <c r="T10" s="217" t="s">
        <v>758</v>
      </c>
      <c r="U10" s="796">
        <v>2</v>
      </c>
      <c r="V10" s="796"/>
      <c r="W10" s="796"/>
      <c r="X10" s="796"/>
      <c r="Y10" s="354">
        <f t="shared" si="0"/>
        <v>0</v>
      </c>
      <c r="Z10" s="372">
        <f t="shared" si="1"/>
        <v>0</v>
      </c>
      <c r="AA10" s="372"/>
    </row>
    <row r="11" spans="1:29">
      <c r="A11" s="560">
        <v>42878</v>
      </c>
      <c r="B11" s="354" t="s">
        <v>210</v>
      </c>
      <c r="C11" s="354" t="s">
        <v>797</v>
      </c>
      <c r="D11" s="375">
        <v>14978.69</v>
      </c>
      <c r="N11" s="371"/>
      <c r="P11" s="371"/>
      <c r="T11" s="217" t="s">
        <v>28</v>
      </c>
      <c r="U11" s="796">
        <v>62</v>
      </c>
      <c r="V11" s="796"/>
      <c r="W11" s="796">
        <v>1</v>
      </c>
      <c r="X11" s="796">
        <v>1</v>
      </c>
      <c r="Y11" s="354">
        <f t="shared" si="0"/>
        <v>2</v>
      </c>
      <c r="Z11" s="372">
        <f t="shared" si="1"/>
        <v>3.2258064516129031E-2</v>
      </c>
      <c r="AA11" s="372"/>
    </row>
    <row r="12" spans="1:29" ht="14.35" hidden="1">
      <c r="A12" s="560">
        <v>42884</v>
      </c>
      <c r="B12" s="354" t="s">
        <v>210</v>
      </c>
      <c r="C12" s="354" t="s">
        <v>798</v>
      </c>
      <c r="L12" s="375">
        <v>6899.94</v>
      </c>
      <c r="N12" s="371"/>
      <c r="P12" s="371"/>
      <c r="T12"/>
      <c r="U12"/>
      <c r="V12"/>
      <c r="W12"/>
      <c r="X12"/>
      <c r="Y12" s="354">
        <f t="shared" si="0"/>
        <v>0</v>
      </c>
      <c r="Z12" s="372" t="e">
        <f t="shared" si="1"/>
        <v>#DIV/0!</v>
      </c>
      <c r="AA12" s="372"/>
    </row>
    <row r="13" spans="1:29" ht="14.35">
      <c r="A13" s="560">
        <v>42884</v>
      </c>
      <c r="B13" s="354" t="s">
        <v>693</v>
      </c>
      <c r="C13" s="354" t="s">
        <v>809</v>
      </c>
      <c r="E13" s="375">
        <v>6073.6875</v>
      </c>
      <c r="N13" s="371"/>
      <c r="P13" s="371">
        <v>1</v>
      </c>
      <c r="T13"/>
      <c r="U13"/>
      <c r="V13"/>
      <c r="W13"/>
      <c r="X13"/>
      <c r="Y13" s="354">
        <f t="shared" si="0"/>
        <v>0</v>
      </c>
      <c r="Z13" s="372" t="e">
        <f t="shared" si="1"/>
        <v>#DIV/0!</v>
      </c>
      <c r="AA13" s="372"/>
    </row>
    <row r="14" spans="1:29" ht="14.35">
      <c r="A14" s="560">
        <v>42895</v>
      </c>
      <c r="B14" s="354" t="s">
        <v>220</v>
      </c>
      <c r="C14" s="354" t="s">
        <v>833</v>
      </c>
      <c r="D14" s="375">
        <v>5672.4624999999996</v>
      </c>
      <c r="N14" s="371"/>
      <c r="P14" s="371"/>
      <c r="T14"/>
      <c r="U14"/>
      <c r="V14"/>
      <c r="W14"/>
      <c r="X14"/>
      <c r="Y14" s="354">
        <f t="shared" si="0"/>
        <v>0</v>
      </c>
      <c r="Z14" s="372" t="e">
        <f t="shared" si="1"/>
        <v>#DIV/0!</v>
      </c>
    </row>
    <row r="15" spans="1:29" ht="14.35" hidden="1">
      <c r="A15" s="560">
        <v>42902</v>
      </c>
      <c r="B15" s="354" t="s">
        <v>660</v>
      </c>
      <c r="C15" s="354" t="s">
        <v>834</v>
      </c>
      <c r="L15" s="375">
        <v>3420.28</v>
      </c>
      <c r="N15" s="371"/>
      <c r="P15" s="371"/>
      <c r="T15"/>
      <c r="U15"/>
      <c r="V15"/>
      <c r="W15"/>
      <c r="X15"/>
      <c r="Z15" s="372"/>
    </row>
    <row r="16" spans="1:29" ht="14.35" hidden="1">
      <c r="A16" s="560">
        <v>42902</v>
      </c>
      <c r="B16" s="354" t="s">
        <v>660</v>
      </c>
      <c r="C16" s="354" t="s">
        <v>835</v>
      </c>
      <c r="L16" s="375">
        <v>7963.08</v>
      </c>
      <c r="N16" s="371"/>
      <c r="P16" s="371"/>
      <c r="T16"/>
      <c r="U16"/>
      <c r="V16"/>
      <c r="W16"/>
      <c r="X16"/>
      <c r="Z16" s="372"/>
      <c r="AA16" s="218"/>
    </row>
    <row r="17" spans="1:26" ht="14.35" hidden="1">
      <c r="A17" s="560">
        <v>42900</v>
      </c>
      <c r="B17" s="560" t="s">
        <v>517</v>
      </c>
      <c r="C17" s="354" t="s">
        <v>843</v>
      </c>
      <c r="L17" s="375">
        <v>35421.440000000002</v>
      </c>
      <c r="N17" s="371"/>
      <c r="P17" s="371"/>
      <c r="T17"/>
      <c r="U17"/>
      <c r="V17"/>
      <c r="W17"/>
      <c r="X17"/>
      <c r="Z17" s="372"/>
    </row>
    <row r="18" spans="1:26" ht="14.35" hidden="1">
      <c r="A18" s="560">
        <v>42914</v>
      </c>
      <c r="B18" s="354" t="s">
        <v>868</v>
      </c>
      <c r="C18" s="354" t="s">
        <v>866</v>
      </c>
      <c r="L18" s="375">
        <v>6611.96</v>
      </c>
      <c r="T18"/>
      <c r="U18"/>
      <c r="V18"/>
      <c r="W18"/>
      <c r="X18"/>
    </row>
    <row r="19" spans="1:26" ht="14.25" customHeight="1">
      <c r="A19" s="560">
        <v>42915</v>
      </c>
      <c r="B19" s="354" t="s">
        <v>660</v>
      </c>
      <c r="C19" s="354" t="s">
        <v>867</v>
      </c>
      <c r="E19" s="375">
        <v>6869.87</v>
      </c>
    </row>
    <row r="20" spans="1:26" hidden="1">
      <c r="A20" s="560">
        <v>42927</v>
      </c>
      <c r="B20" s="354" t="s">
        <v>660</v>
      </c>
      <c r="C20" s="354" t="s">
        <v>924</v>
      </c>
      <c r="L20" s="375">
        <v>8146.11</v>
      </c>
      <c r="T20" s="794" t="s">
        <v>29</v>
      </c>
      <c r="U20" s="354" t="s">
        <v>525</v>
      </c>
    </row>
    <row r="21" spans="1:26">
      <c r="A21" s="560">
        <v>42927</v>
      </c>
      <c r="B21" s="354" t="s">
        <v>220</v>
      </c>
      <c r="C21" s="354" t="s">
        <v>925</v>
      </c>
      <c r="D21" s="354"/>
      <c r="E21" s="375">
        <v>1430</v>
      </c>
      <c r="T21" s="217" t="s">
        <v>210</v>
      </c>
      <c r="U21" s="373">
        <v>78952.994000000006</v>
      </c>
    </row>
    <row r="22" spans="1:26">
      <c r="A22" s="560">
        <v>42927</v>
      </c>
      <c r="B22" s="354" t="s">
        <v>446</v>
      </c>
      <c r="C22" s="354" t="s">
        <v>926</v>
      </c>
      <c r="E22" s="375">
        <v>1906.5</v>
      </c>
      <c r="T22" s="217" t="s">
        <v>517</v>
      </c>
      <c r="U22" s="373">
        <v>54237.689999999995</v>
      </c>
    </row>
    <row r="23" spans="1:26" hidden="1">
      <c r="A23" s="560">
        <v>42927</v>
      </c>
      <c r="B23" s="354" t="s">
        <v>446</v>
      </c>
      <c r="C23" s="354" t="s">
        <v>927</v>
      </c>
      <c r="L23" s="375">
        <v>7214.44</v>
      </c>
      <c r="T23" s="217" t="s">
        <v>201</v>
      </c>
      <c r="U23" s="373">
        <v>112550.80499999999</v>
      </c>
    </row>
    <row r="24" spans="1:26">
      <c r="A24" s="560">
        <v>42928</v>
      </c>
      <c r="B24" s="354" t="s">
        <v>210</v>
      </c>
      <c r="C24" s="354" t="s">
        <v>928</v>
      </c>
      <c r="D24" s="375"/>
      <c r="T24" s="217" t="s">
        <v>223</v>
      </c>
      <c r="U24" s="373">
        <v>13347.455428571429</v>
      </c>
    </row>
    <row r="25" spans="1:26" hidden="1">
      <c r="A25" s="560">
        <v>42930</v>
      </c>
      <c r="B25" s="354" t="s">
        <v>446</v>
      </c>
      <c r="C25" s="354" t="s">
        <v>931</v>
      </c>
      <c r="L25" s="375">
        <v>4933.1099999999997</v>
      </c>
      <c r="T25" s="217" t="s">
        <v>220</v>
      </c>
      <c r="U25" s="373">
        <v>109401.90249999998</v>
      </c>
    </row>
    <row r="26" spans="1:26" hidden="1">
      <c r="A26" s="560">
        <v>42929</v>
      </c>
      <c r="B26" s="354" t="s">
        <v>727</v>
      </c>
      <c r="C26" s="354" t="s">
        <v>932</v>
      </c>
      <c r="D26" s="375">
        <v>6352.1914285714283</v>
      </c>
      <c r="L26" s="375">
        <v>0</v>
      </c>
      <c r="T26" s="217" t="s">
        <v>27</v>
      </c>
      <c r="U26" s="373"/>
    </row>
    <row r="27" spans="1:26">
      <c r="A27" s="560">
        <v>42940</v>
      </c>
      <c r="B27" s="354" t="s">
        <v>693</v>
      </c>
      <c r="C27" s="354" t="s">
        <v>948</v>
      </c>
      <c r="E27" s="375">
        <v>37391.760000000002</v>
      </c>
      <c r="T27" s="217" t="s">
        <v>758</v>
      </c>
      <c r="U27" s="373">
        <v>7666.29</v>
      </c>
    </row>
    <row r="28" spans="1:26" hidden="1">
      <c r="A28" s="560">
        <v>42940</v>
      </c>
      <c r="B28" s="354" t="s">
        <v>210</v>
      </c>
      <c r="C28" s="354" t="s">
        <v>970</v>
      </c>
      <c r="L28" s="375">
        <v>1427.5</v>
      </c>
      <c r="T28" s="217" t="s">
        <v>693</v>
      </c>
      <c r="U28" s="373">
        <v>43465.447500000002</v>
      </c>
    </row>
    <row r="29" spans="1:26">
      <c r="A29" s="560">
        <v>42942</v>
      </c>
      <c r="B29" s="354" t="s">
        <v>210</v>
      </c>
      <c r="C29" s="354" t="s">
        <v>971</v>
      </c>
      <c r="D29" s="354"/>
      <c r="E29" s="375">
        <v>18063.68</v>
      </c>
      <c r="T29" s="217" t="s">
        <v>727</v>
      </c>
      <c r="U29" s="373">
        <v>16565.589285714286</v>
      </c>
    </row>
    <row r="30" spans="1:26">
      <c r="A30" s="560">
        <v>42578</v>
      </c>
      <c r="B30" s="354" t="s">
        <v>660</v>
      </c>
      <c r="C30" s="354" t="s">
        <v>974</v>
      </c>
      <c r="D30" s="375">
        <v>4240.51</v>
      </c>
      <c r="T30" s="217" t="s">
        <v>28</v>
      </c>
      <c r="U30" s="373">
        <v>436188.17371428566</v>
      </c>
    </row>
    <row r="31" spans="1:26" ht="14.35">
      <c r="A31" s="560">
        <v>42942</v>
      </c>
      <c r="B31" s="354" t="s">
        <v>868</v>
      </c>
      <c r="C31" s="354" t="s">
        <v>975</v>
      </c>
      <c r="D31" s="354"/>
      <c r="E31" s="375">
        <v>8099.36</v>
      </c>
      <c r="T31"/>
      <c r="U31"/>
    </row>
    <row r="32" spans="1:26" ht="14.35">
      <c r="A32" s="560">
        <v>42951</v>
      </c>
      <c r="B32" s="354" t="s">
        <v>210</v>
      </c>
      <c r="C32" s="354" t="s">
        <v>982</v>
      </c>
      <c r="E32" s="375">
        <v>17870.099999999999</v>
      </c>
      <c r="T32"/>
      <c r="U32"/>
    </row>
    <row r="33" spans="1:23" ht="14.35">
      <c r="A33" s="560">
        <v>42951</v>
      </c>
      <c r="B33" s="354" t="s">
        <v>1171</v>
      </c>
      <c r="C33" s="354" t="s">
        <v>999</v>
      </c>
      <c r="E33" s="375">
        <v>7731.53</v>
      </c>
      <c r="T33"/>
      <c r="U33"/>
    </row>
    <row r="34" spans="1:23" ht="14.35">
      <c r="A34" s="560">
        <v>42951</v>
      </c>
      <c r="B34" s="354" t="s">
        <v>1171</v>
      </c>
      <c r="C34" s="354" t="s">
        <v>1000</v>
      </c>
      <c r="E34" s="375">
        <v>6447.82</v>
      </c>
      <c r="T34"/>
      <c r="U34"/>
    </row>
    <row r="35" spans="1:23" ht="14.35">
      <c r="A35" s="560">
        <v>42951</v>
      </c>
      <c r="B35" s="354" t="s">
        <v>1171</v>
      </c>
      <c r="C35" s="354" t="s">
        <v>1001</v>
      </c>
      <c r="E35" s="375">
        <v>5449.38</v>
      </c>
      <c r="T35"/>
      <c r="U35"/>
    </row>
    <row r="36" spans="1:23" ht="14.35" hidden="1">
      <c r="A36" s="560">
        <v>42956</v>
      </c>
      <c r="B36" s="354" t="s">
        <v>868</v>
      </c>
      <c r="C36" s="354" t="s">
        <v>1002</v>
      </c>
      <c r="L36" s="375">
        <v>8264</v>
      </c>
      <c r="T36"/>
      <c r="U36"/>
    </row>
    <row r="37" spans="1:23" ht="14.25" customHeight="1">
      <c r="A37" s="560">
        <v>42958</v>
      </c>
      <c r="B37" s="354" t="s">
        <v>210</v>
      </c>
      <c r="C37" s="354" t="s">
        <v>1009</v>
      </c>
      <c r="E37" s="375">
        <v>8773.94</v>
      </c>
    </row>
    <row r="38" spans="1:23">
      <c r="A38" s="560">
        <v>42976</v>
      </c>
      <c r="B38" s="354" t="s">
        <v>868</v>
      </c>
      <c r="C38" s="354" t="s">
        <v>1035</v>
      </c>
      <c r="D38" s="375"/>
      <c r="E38" s="356">
        <v>8291.4699999999993</v>
      </c>
      <c r="R38" s="218"/>
      <c r="T38" s="354" t="s">
        <v>522</v>
      </c>
      <c r="U38" s="354" t="s">
        <v>523</v>
      </c>
      <c r="V38" s="354" t="s">
        <v>516</v>
      </c>
      <c r="W38" s="354" t="s">
        <v>524</v>
      </c>
    </row>
    <row r="39" spans="1:23">
      <c r="A39" s="560">
        <v>42977</v>
      </c>
      <c r="B39" s="354" t="s">
        <v>201</v>
      </c>
      <c r="C39" s="354" t="s">
        <v>1052</v>
      </c>
      <c r="E39" s="375">
        <v>8598.36</v>
      </c>
      <c r="R39" s="218"/>
      <c r="T39" s="796">
        <v>127</v>
      </c>
      <c r="U39" s="796">
        <v>24</v>
      </c>
      <c r="V39" s="796">
        <v>85</v>
      </c>
      <c r="W39" s="796">
        <v>18</v>
      </c>
    </row>
    <row r="40" spans="1:23" ht="14.25" hidden="1" customHeight="1">
      <c r="A40" s="560">
        <v>42977</v>
      </c>
      <c r="B40" s="354" t="s">
        <v>868</v>
      </c>
      <c r="C40" s="354" t="s">
        <v>1053</v>
      </c>
      <c r="L40" s="375">
        <v>7010.18</v>
      </c>
      <c r="U40" s="372">
        <f>GETPIVOTDATA("Count of Quoted Sum Loss",$T$38)/GETPIVOTDATA("Count of Site Name",$T$38)</f>
        <v>0.1889763779527559</v>
      </c>
      <c r="V40" s="372">
        <f>GETPIVOTDATA("Count of Quoted Sum Won",$T$38)/GETPIVOTDATA("Count of Site Name",$T$38)</f>
        <v>0.6692913385826772</v>
      </c>
      <c r="W40" s="372">
        <f>GETPIVOTDATA("Count of Pending on Outcome",$T$38)/GETPIVOTDATA("Count of Site Name",$T$38)</f>
        <v>0.14173228346456693</v>
      </c>
    </row>
    <row r="41" spans="1:23" ht="14.25" customHeight="1">
      <c r="A41" s="560">
        <v>42985</v>
      </c>
      <c r="B41" s="354" t="s">
        <v>220</v>
      </c>
      <c r="C41" s="354" t="s">
        <v>1108</v>
      </c>
      <c r="E41" s="375">
        <v>1430</v>
      </c>
    </row>
    <row r="42" spans="1:23" ht="14.25" customHeight="1">
      <c r="A42" s="560">
        <v>42983</v>
      </c>
      <c r="B42" s="354" t="s">
        <v>868</v>
      </c>
      <c r="C42" s="354" t="s">
        <v>1109</v>
      </c>
      <c r="E42" s="375">
        <v>6664.39</v>
      </c>
    </row>
    <row r="43" spans="1:23" ht="14.25" customHeight="1">
      <c r="A43" s="560">
        <v>42985</v>
      </c>
      <c r="B43" s="354" t="s">
        <v>201</v>
      </c>
      <c r="C43" s="354" t="s">
        <v>1110</v>
      </c>
      <c r="E43" s="375">
        <v>13338.48</v>
      </c>
    </row>
    <row r="44" spans="1:23" ht="14.25" hidden="1" customHeight="1">
      <c r="A44" s="560">
        <v>42984</v>
      </c>
      <c r="B44" s="354" t="s">
        <v>201</v>
      </c>
      <c r="C44" s="354" t="s">
        <v>1111</v>
      </c>
      <c r="L44" s="375">
        <v>4809.3526571428565</v>
      </c>
    </row>
    <row r="45" spans="1:23" ht="14.25" customHeight="1">
      <c r="A45" s="560">
        <v>42972</v>
      </c>
      <c r="B45" s="354" t="s">
        <v>868</v>
      </c>
      <c r="C45" s="354" t="s">
        <v>1112</v>
      </c>
      <c r="E45" s="375">
        <v>6516</v>
      </c>
    </row>
    <row r="46" spans="1:23" ht="14.25" customHeight="1">
      <c r="A46" s="560">
        <v>42985</v>
      </c>
      <c r="B46" s="354" t="s">
        <v>693</v>
      </c>
      <c r="C46" s="354" t="s">
        <v>1118</v>
      </c>
      <c r="D46" s="356">
        <v>10817.41</v>
      </c>
    </row>
    <row r="47" spans="1:23" ht="14.25" customHeight="1">
      <c r="A47" s="560">
        <v>42986</v>
      </c>
      <c r="B47" s="354" t="s">
        <v>446</v>
      </c>
      <c r="C47" s="354" t="s">
        <v>1119</v>
      </c>
      <c r="E47" s="375">
        <v>1760</v>
      </c>
    </row>
    <row r="48" spans="1:23" ht="14.25" hidden="1" customHeight="1">
      <c r="A48" s="560">
        <v>42990</v>
      </c>
      <c r="B48" s="354" t="s">
        <v>517</v>
      </c>
      <c r="C48" s="354" t="s">
        <v>1156</v>
      </c>
      <c r="L48" s="375">
        <v>5602.7</v>
      </c>
    </row>
    <row r="49" spans="1:12" ht="14.25" customHeight="1">
      <c r="A49" s="560">
        <v>42990</v>
      </c>
      <c r="B49" s="354" t="s">
        <v>1171</v>
      </c>
      <c r="C49" s="354" t="s">
        <v>1157</v>
      </c>
      <c r="E49" s="375">
        <v>4895.03</v>
      </c>
    </row>
    <row r="50" spans="1:12" ht="14.25" hidden="1" customHeight="1">
      <c r="A50" s="560">
        <v>42991</v>
      </c>
      <c r="B50" s="354" t="s">
        <v>1171</v>
      </c>
      <c r="C50" s="354" t="s">
        <v>1158</v>
      </c>
      <c r="L50" s="375">
        <v>4356.7700000000004</v>
      </c>
    </row>
    <row r="51" spans="1:12" ht="14.25" customHeight="1">
      <c r="A51" s="560">
        <v>42990</v>
      </c>
      <c r="B51" s="354" t="s">
        <v>1171</v>
      </c>
      <c r="C51" s="354" t="s">
        <v>1161</v>
      </c>
      <c r="E51" s="375">
        <v>4882.83</v>
      </c>
    </row>
    <row r="52" spans="1:12" ht="14.25" hidden="1" customHeight="1">
      <c r="A52" s="560">
        <v>42990</v>
      </c>
      <c r="B52" s="354" t="s">
        <v>1171</v>
      </c>
      <c r="C52" s="354" t="s">
        <v>1159</v>
      </c>
      <c r="L52" s="375">
        <v>3905.54</v>
      </c>
    </row>
    <row r="53" spans="1:12" ht="14.25" customHeight="1">
      <c r="A53" s="560">
        <v>42990</v>
      </c>
      <c r="B53" s="354" t="s">
        <v>1171</v>
      </c>
      <c r="C53" s="354" t="s">
        <v>1160</v>
      </c>
      <c r="E53" s="375">
        <v>12652.97</v>
      </c>
    </row>
    <row r="54" spans="1:12" ht="14.25" customHeight="1">
      <c r="A54" s="560">
        <v>42993</v>
      </c>
      <c r="B54" s="354" t="s">
        <v>868</v>
      </c>
      <c r="C54" s="354" t="s">
        <v>1165</v>
      </c>
      <c r="E54" s="375">
        <v>2751.085</v>
      </c>
    </row>
    <row r="55" spans="1:12" ht="14.25" customHeight="1">
      <c r="A55" s="560">
        <v>42992</v>
      </c>
      <c r="B55" s="354" t="s">
        <v>220</v>
      </c>
      <c r="C55" s="354" t="s">
        <v>1166</v>
      </c>
      <c r="E55" s="375">
        <v>1670</v>
      </c>
    </row>
    <row r="56" spans="1:12" ht="14.25" customHeight="1">
      <c r="A56" s="560">
        <v>42992</v>
      </c>
      <c r="B56" s="354" t="s">
        <v>1171</v>
      </c>
      <c r="C56" s="354" t="s">
        <v>1169</v>
      </c>
      <c r="E56" s="375">
        <v>5689.31</v>
      </c>
    </row>
    <row r="57" spans="1:12" ht="14.25" hidden="1" customHeight="1">
      <c r="A57" s="560">
        <v>42992</v>
      </c>
      <c r="B57" s="354" t="s">
        <v>1171</v>
      </c>
      <c r="C57" s="354" t="s">
        <v>1170</v>
      </c>
      <c r="L57" s="375">
        <v>8721.4699999999993</v>
      </c>
    </row>
    <row r="58" spans="1:12" ht="14.25" customHeight="1">
      <c r="A58" s="560">
        <v>42996</v>
      </c>
      <c r="B58" s="354" t="s">
        <v>1171</v>
      </c>
      <c r="C58" s="354" t="s">
        <v>1252</v>
      </c>
      <c r="E58" s="375">
        <v>5773.02</v>
      </c>
    </row>
    <row r="59" spans="1:12" ht="14.25" customHeight="1">
      <c r="A59" s="560">
        <v>43000</v>
      </c>
      <c r="B59" s="354" t="s">
        <v>201</v>
      </c>
      <c r="C59" s="354" t="s">
        <v>1253</v>
      </c>
      <c r="E59" s="375">
        <v>12059.12</v>
      </c>
    </row>
    <row r="60" spans="1:12" ht="14.25" customHeight="1">
      <c r="A60" s="560">
        <v>42998</v>
      </c>
      <c r="B60" s="354" t="s">
        <v>727</v>
      </c>
      <c r="C60" s="354" t="s">
        <v>1254</v>
      </c>
      <c r="E60" s="375">
        <v>2322.6892857142852</v>
      </c>
    </row>
    <row r="61" spans="1:12" ht="14.25" customHeight="1">
      <c r="A61" s="560">
        <v>43000</v>
      </c>
      <c r="B61" s="354" t="s">
        <v>223</v>
      </c>
      <c r="C61" s="354" t="s">
        <v>1255</v>
      </c>
      <c r="E61" s="375">
        <v>5336.9454285714291</v>
      </c>
    </row>
    <row r="62" spans="1:12" ht="14.25" customHeight="1">
      <c r="A62" s="560">
        <v>42907</v>
      </c>
      <c r="B62" s="354" t="s">
        <v>220</v>
      </c>
      <c r="C62" s="354" t="s">
        <v>1145</v>
      </c>
      <c r="D62" s="375"/>
      <c r="E62" s="356">
        <v>5557.33</v>
      </c>
    </row>
    <row r="63" spans="1:12" ht="14.25" customHeight="1">
      <c r="A63" s="560">
        <v>43003</v>
      </c>
      <c r="B63" s="354" t="s">
        <v>727</v>
      </c>
      <c r="C63" s="354" t="s">
        <v>1187</v>
      </c>
      <c r="E63" s="375">
        <v>2044.5</v>
      </c>
    </row>
    <row r="64" spans="1:12" ht="14.25" customHeight="1">
      <c r="A64" s="560">
        <v>43004</v>
      </c>
      <c r="B64" s="354" t="s">
        <v>210</v>
      </c>
      <c r="C64" s="354" t="s">
        <v>1256</v>
      </c>
      <c r="E64" s="375">
        <v>900</v>
      </c>
    </row>
    <row r="65" spans="1:12" ht="14.25" customHeight="1">
      <c r="A65" s="560">
        <v>43004</v>
      </c>
      <c r="B65" s="354" t="s">
        <v>201</v>
      </c>
      <c r="C65" s="354" t="s">
        <v>1244</v>
      </c>
      <c r="E65" s="375">
        <v>6328.8649999999998</v>
      </c>
    </row>
    <row r="66" spans="1:12" ht="14.25" customHeight="1">
      <c r="A66" s="560">
        <v>43004</v>
      </c>
      <c r="B66" s="354" t="s">
        <v>201</v>
      </c>
      <c r="C66" s="354" t="s">
        <v>1245</v>
      </c>
      <c r="E66" s="375">
        <v>8670.86</v>
      </c>
    </row>
    <row r="67" spans="1:12" ht="14.25" customHeight="1">
      <c r="A67" s="560">
        <v>43004</v>
      </c>
      <c r="B67" s="354" t="s">
        <v>201</v>
      </c>
      <c r="C67" s="354" t="s">
        <v>1192</v>
      </c>
      <c r="E67" s="375">
        <v>4802.3678571428572</v>
      </c>
    </row>
    <row r="68" spans="1:12" ht="14.25" hidden="1" customHeight="1">
      <c r="A68" s="560">
        <v>43005</v>
      </c>
      <c r="B68" s="354" t="s">
        <v>1171</v>
      </c>
      <c r="C68" s="354" t="s">
        <v>1257</v>
      </c>
      <c r="L68" s="375">
        <v>8708.2000000000007</v>
      </c>
    </row>
    <row r="69" spans="1:12" ht="14.25" customHeight="1">
      <c r="A69" s="560">
        <v>43005</v>
      </c>
      <c r="B69" s="354" t="s">
        <v>220</v>
      </c>
      <c r="C69" s="354" t="s">
        <v>1258</v>
      </c>
      <c r="E69" s="375">
        <v>8637.2000000000007</v>
      </c>
    </row>
    <row r="70" spans="1:12" ht="14.25" customHeight="1">
      <c r="A70" s="560">
        <v>43021</v>
      </c>
      <c r="B70" s="354" t="s">
        <v>201</v>
      </c>
      <c r="C70" s="354" t="s">
        <v>1270</v>
      </c>
      <c r="E70" s="375">
        <v>1698</v>
      </c>
    </row>
    <row r="71" spans="1:12" ht="14.25" customHeight="1">
      <c r="A71" s="560">
        <v>43018</v>
      </c>
      <c r="B71" s="354" t="s">
        <v>220</v>
      </c>
      <c r="C71" s="354" t="s">
        <v>1265</v>
      </c>
      <c r="E71" s="375">
        <v>5568.32</v>
      </c>
    </row>
    <row r="72" spans="1:12" ht="14.25" customHeight="1">
      <c r="A72" s="560">
        <v>43026</v>
      </c>
      <c r="B72" s="354" t="s">
        <v>220</v>
      </c>
      <c r="C72" s="354" t="s">
        <v>1268</v>
      </c>
      <c r="E72" s="375">
        <v>8488.5</v>
      </c>
    </row>
    <row r="73" spans="1:12" ht="14.25" hidden="1" customHeight="1">
      <c r="A73" s="560">
        <v>43025</v>
      </c>
      <c r="B73" s="354" t="s">
        <v>201</v>
      </c>
      <c r="C73" s="354" t="s">
        <v>1269</v>
      </c>
      <c r="L73" s="375">
        <v>1606</v>
      </c>
    </row>
    <row r="74" spans="1:12" ht="14.25" customHeight="1">
      <c r="A74" s="560">
        <v>43025</v>
      </c>
      <c r="B74" s="354" t="s">
        <v>210</v>
      </c>
      <c r="C74" s="354" t="s">
        <v>1594</v>
      </c>
      <c r="E74" s="375">
        <v>800</v>
      </c>
    </row>
    <row r="75" spans="1:12" ht="14.25" customHeight="1">
      <c r="A75" s="560">
        <v>43025</v>
      </c>
      <c r="B75" s="354" t="s">
        <v>220</v>
      </c>
      <c r="C75" s="354" t="s">
        <v>1312</v>
      </c>
      <c r="E75" s="375">
        <v>22553.22</v>
      </c>
    </row>
    <row r="76" spans="1:12" ht="13.5" customHeight="1">
      <c r="A76" s="560">
        <v>43035</v>
      </c>
      <c r="B76" s="354" t="s">
        <v>727</v>
      </c>
      <c r="C76" s="354" t="s">
        <v>1311</v>
      </c>
      <c r="E76" s="375">
        <v>4263.5600000000004</v>
      </c>
    </row>
    <row r="77" spans="1:12" ht="13.5" customHeight="1">
      <c r="A77" s="560">
        <v>43032</v>
      </c>
      <c r="B77" s="354" t="s">
        <v>220</v>
      </c>
      <c r="C77" s="354" t="s">
        <v>1310</v>
      </c>
      <c r="E77" s="375">
        <v>13975.962500000001</v>
      </c>
    </row>
    <row r="78" spans="1:12">
      <c r="A78" s="560">
        <v>43035</v>
      </c>
      <c r="B78" s="354" t="s">
        <v>517</v>
      </c>
      <c r="C78" s="354" t="s">
        <v>1313</v>
      </c>
      <c r="D78" s="375"/>
      <c r="E78" s="375">
        <v>6634.97</v>
      </c>
    </row>
    <row r="79" spans="1:12" ht="13.5" customHeight="1">
      <c r="A79" s="560">
        <v>43035</v>
      </c>
      <c r="B79" s="354" t="s">
        <v>517</v>
      </c>
      <c r="C79" s="354" t="s">
        <v>1314</v>
      </c>
      <c r="E79" s="375">
        <v>5531.99</v>
      </c>
    </row>
    <row r="80" spans="1:12">
      <c r="A80" s="560">
        <v>43039</v>
      </c>
      <c r="B80" s="354" t="s">
        <v>210</v>
      </c>
      <c r="C80" s="354" t="s">
        <v>1325</v>
      </c>
      <c r="E80" s="375">
        <v>2284.9699999999998</v>
      </c>
    </row>
    <row r="81" spans="1:12">
      <c r="A81" s="560">
        <v>43040</v>
      </c>
      <c r="B81" s="354" t="s">
        <v>758</v>
      </c>
      <c r="C81" s="354" t="s">
        <v>1326</v>
      </c>
      <c r="E81" s="375">
        <v>741.95</v>
      </c>
    </row>
    <row r="82" spans="1:12" ht="13.5" customHeight="1">
      <c r="A82" s="560">
        <v>43041</v>
      </c>
      <c r="B82" s="354" t="s">
        <v>210</v>
      </c>
      <c r="C82" s="354" t="s">
        <v>1334</v>
      </c>
      <c r="E82" s="375">
        <v>1350</v>
      </c>
    </row>
    <row r="83" spans="1:12" ht="13.5" customHeight="1">
      <c r="A83" s="560">
        <v>43047</v>
      </c>
      <c r="B83" s="354" t="s">
        <v>727</v>
      </c>
      <c r="C83" s="354" t="s">
        <v>1340</v>
      </c>
      <c r="E83" s="375">
        <v>3800.34</v>
      </c>
    </row>
    <row r="84" spans="1:12">
      <c r="A84" s="560">
        <v>43042</v>
      </c>
      <c r="B84" s="354" t="s">
        <v>660</v>
      </c>
      <c r="C84" s="354" t="s">
        <v>1342</v>
      </c>
      <c r="E84" s="375">
        <v>8838.48</v>
      </c>
    </row>
    <row r="85" spans="1:12" ht="13.5" customHeight="1">
      <c r="A85" s="560">
        <v>43048</v>
      </c>
      <c r="B85" s="354" t="s">
        <v>727</v>
      </c>
      <c r="C85" s="354" t="s">
        <v>1343</v>
      </c>
      <c r="E85" s="375">
        <v>3069.5</v>
      </c>
    </row>
    <row r="86" spans="1:12">
      <c r="A86" s="560">
        <v>43049</v>
      </c>
      <c r="B86" s="354" t="s">
        <v>758</v>
      </c>
      <c r="C86" s="354" t="s">
        <v>1352</v>
      </c>
      <c r="E86" s="375">
        <v>6924.34</v>
      </c>
    </row>
    <row r="87" spans="1:12">
      <c r="A87" s="560">
        <v>43055</v>
      </c>
      <c r="B87" s="354" t="s">
        <v>223</v>
      </c>
      <c r="C87" s="354" t="s">
        <v>1359</v>
      </c>
      <c r="E87" s="375">
        <v>5871.23</v>
      </c>
    </row>
    <row r="88" spans="1:12" ht="13.5" hidden="1" customHeight="1">
      <c r="A88" s="560">
        <v>43056</v>
      </c>
      <c r="B88" s="354" t="s">
        <v>1593</v>
      </c>
      <c r="C88" s="354" t="s">
        <v>1591</v>
      </c>
      <c r="L88" s="375">
        <v>5195.0600000000004</v>
      </c>
    </row>
    <row r="89" spans="1:12" hidden="1">
      <c r="A89" s="560">
        <v>43056</v>
      </c>
      <c r="B89" s="354" t="s">
        <v>1593</v>
      </c>
      <c r="C89" s="354" t="s">
        <v>1592</v>
      </c>
      <c r="L89" s="375">
        <v>10085.700000000001</v>
      </c>
    </row>
    <row r="90" spans="1:12">
      <c r="A90" s="560">
        <v>43056</v>
      </c>
      <c r="B90" s="354" t="s">
        <v>1593</v>
      </c>
      <c r="C90" s="354" t="s">
        <v>1779</v>
      </c>
      <c r="E90" s="375">
        <v>2107.06</v>
      </c>
    </row>
    <row r="91" spans="1:12" ht="14.25" hidden="1" customHeight="1">
      <c r="A91" s="560">
        <v>43070</v>
      </c>
      <c r="B91" s="354" t="s">
        <v>1593</v>
      </c>
      <c r="C91" s="354" t="s">
        <v>1663</v>
      </c>
      <c r="L91" s="375">
        <v>17083.599999999999</v>
      </c>
    </row>
    <row r="92" spans="1:12" ht="14.25" customHeight="1">
      <c r="A92" s="560">
        <v>43077</v>
      </c>
      <c r="B92" s="354" t="s">
        <v>660</v>
      </c>
      <c r="C92" s="354" t="s">
        <v>1664</v>
      </c>
      <c r="E92" s="375">
        <v>1919</v>
      </c>
    </row>
    <row r="93" spans="1:12" ht="14.25" hidden="1" customHeight="1">
      <c r="A93" s="560">
        <v>43122</v>
      </c>
      <c r="B93" s="354" t="s">
        <v>1593</v>
      </c>
      <c r="C93" s="354" t="s">
        <v>1840</v>
      </c>
      <c r="L93" s="375">
        <v>1578</v>
      </c>
    </row>
    <row r="94" spans="1:12" ht="14.25" customHeight="1">
      <c r="A94" s="560">
        <v>43115</v>
      </c>
      <c r="B94" s="354" t="s">
        <v>1593</v>
      </c>
      <c r="C94" s="354" t="s">
        <v>1853</v>
      </c>
      <c r="E94" s="375">
        <v>21847.48</v>
      </c>
    </row>
    <row r="95" spans="1:12" ht="14.25" customHeight="1">
      <c r="A95" s="560">
        <v>43118</v>
      </c>
      <c r="B95" s="354" t="s">
        <v>1593</v>
      </c>
      <c r="C95" s="354" t="s">
        <v>2154</v>
      </c>
      <c r="D95" s="375"/>
      <c r="E95" s="356">
        <v>1404.18</v>
      </c>
    </row>
    <row r="96" spans="1:12" ht="14.25" customHeight="1">
      <c r="A96" s="560">
        <v>43137</v>
      </c>
      <c r="B96" s="354" t="s">
        <v>201</v>
      </c>
      <c r="C96" s="354" t="s">
        <v>2155</v>
      </c>
      <c r="E96" s="375">
        <v>7704.13</v>
      </c>
    </row>
    <row r="97" spans="1:12" ht="14.25" hidden="1" customHeight="1">
      <c r="A97" s="560">
        <v>42778</v>
      </c>
      <c r="B97" s="354" t="s">
        <v>660</v>
      </c>
      <c r="C97" s="354" t="s">
        <v>2162</v>
      </c>
      <c r="L97" s="375">
        <v>680.36</v>
      </c>
    </row>
    <row r="98" spans="1:12" ht="14.25" customHeight="1">
      <c r="A98" s="560">
        <v>43150</v>
      </c>
      <c r="B98" s="354" t="s">
        <v>210</v>
      </c>
      <c r="C98" s="354" t="s">
        <v>2181</v>
      </c>
      <c r="D98" s="375"/>
      <c r="E98" s="375">
        <v>9706.1</v>
      </c>
    </row>
    <row r="99" spans="1:12" ht="14.25" customHeight="1">
      <c r="A99" s="560">
        <v>43157</v>
      </c>
      <c r="B99" s="354" t="s">
        <v>220</v>
      </c>
      <c r="C99" s="354" t="s">
        <v>2246</v>
      </c>
      <c r="D99" s="375"/>
      <c r="E99" s="375">
        <v>2191.88</v>
      </c>
    </row>
    <row r="100" spans="1:12" ht="14.25" customHeight="1">
      <c r="A100" s="560">
        <v>43157</v>
      </c>
      <c r="B100" s="354" t="s">
        <v>220</v>
      </c>
      <c r="C100" s="354" t="s">
        <v>2247</v>
      </c>
      <c r="D100" s="375"/>
      <c r="E100" s="375">
        <v>3519</v>
      </c>
    </row>
    <row r="101" spans="1:12" ht="14.25" customHeight="1">
      <c r="A101" s="560">
        <v>43158</v>
      </c>
      <c r="B101" s="354" t="s">
        <v>220</v>
      </c>
      <c r="C101" s="354" t="s">
        <v>2240</v>
      </c>
      <c r="D101" s="375"/>
      <c r="E101" s="375">
        <v>8001.45</v>
      </c>
    </row>
    <row r="102" spans="1:12" ht="14.25" customHeight="1">
      <c r="A102" s="560">
        <v>43158</v>
      </c>
      <c r="B102" s="354" t="s">
        <v>517</v>
      </c>
      <c r="C102" s="354" t="s">
        <v>2462</v>
      </c>
      <c r="D102" s="375"/>
      <c r="E102" s="356">
        <v>6077.33</v>
      </c>
    </row>
    <row r="103" spans="1:12" ht="14.25" customHeight="1">
      <c r="A103" s="560">
        <v>43158</v>
      </c>
      <c r="B103" s="354" t="s">
        <v>517</v>
      </c>
      <c r="C103" s="354" t="s">
        <v>2391</v>
      </c>
      <c r="E103" s="356">
        <v>8506.73</v>
      </c>
    </row>
    <row r="104" spans="1:12" ht="14.25" customHeight="1">
      <c r="A104" s="560">
        <v>43158</v>
      </c>
      <c r="B104" s="354" t="s">
        <v>517</v>
      </c>
      <c r="C104" s="354" t="s">
        <v>2461</v>
      </c>
      <c r="E104" s="356">
        <v>4859.5</v>
      </c>
    </row>
    <row r="105" spans="1:12" ht="14.25" customHeight="1">
      <c r="A105" s="560">
        <v>43158</v>
      </c>
      <c r="B105" s="354" t="s">
        <v>517</v>
      </c>
      <c r="C105" s="354" t="s">
        <v>2385</v>
      </c>
      <c r="E105" s="356">
        <v>2191.88</v>
      </c>
    </row>
    <row r="106" spans="1:12" ht="14.25" customHeight="1">
      <c r="A106" s="560">
        <v>43187</v>
      </c>
      <c r="B106" s="354" t="s">
        <v>517</v>
      </c>
      <c r="C106" s="354" t="s">
        <v>2460</v>
      </c>
      <c r="E106" s="356">
        <v>5003.75</v>
      </c>
    </row>
    <row r="107" spans="1:12" ht="14.25" customHeight="1">
      <c r="A107" s="560">
        <v>43189</v>
      </c>
      <c r="B107" s="354" t="s">
        <v>220</v>
      </c>
      <c r="C107" s="354" t="s">
        <v>2515</v>
      </c>
      <c r="E107" s="375">
        <v>2772.3999999999996</v>
      </c>
    </row>
    <row r="108" spans="1:12" ht="14.25" customHeight="1">
      <c r="A108" s="560">
        <v>43196</v>
      </c>
      <c r="B108" s="354" t="s">
        <v>517</v>
      </c>
      <c r="C108" s="354" t="s">
        <v>2516</v>
      </c>
      <c r="E108" s="375">
        <v>6657.74</v>
      </c>
    </row>
    <row r="109" spans="1:12" ht="13.5" customHeight="1">
      <c r="A109" s="560">
        <v>43196</v>
      </c>
      <c r="B109" s="354" t="s">
        <v>201</v>
      </c>
      <c r="C109" s="354" t="s">
        <v>2517</v>
      </c>
      <c r="E109" s="375">
        <v>789.43</v>
      </c>
    </row>
    <row r="110" spans="1:12">
      <c r="A110" s="560">
        <v>43196</v>
      </c>
      <c r="B110" s="354" t="s">
        <v>201</v>
      </c>
      <c r="C110" s="354" t="s">
        <v>2520</v>
      </c>
      <c r="E110" s="375">
        <v>3090.0625</v>
      </c>
    </row>
    <row r="111" spans="1:12" ht="13.5" customHeight="1">
      <c r="A111" s="560">
        <v>43196</v>
      </c>
      <c r="B111" s="354" t="s">
        <v>201</v>
      </c>
      <c r="C111" s="354" t="s">
        <v>2521</v>
      </c>
      <c r="E111" s="375">
        <v>4057.47</v>
      </c>
    </row>
    <row r="112" spans="1:12">
      <c r="A112" s="560">
        <v>43196</v>
      </c>
      <c r="B112" s="354" t="s">
        <v>201</v>
      </c>
      <c r="C112" s="354" t="s">
        <v>2522</v>
      </c>
      <c r="E112" s="375">
        <v>41413.659642857143</v>
      </c>
    </row>
    <row r="113" spans="1:5">
      <c r="A113" s="560">
        <v>43200</v>
      </c>
      <c r="B113" s="354" t="s">
        <v>2528</v>
      </c>
      <c r="C113" s="354" t="s">
        <v>2524</v>
      </c>
      <c r="E113" s="375">
        <v>7979.71</v>
      </c>
    </row>
    <row r="114" spans="1:5" ht="13.5" customHeight="1">
      <c r="A114" s="560">
        <v>43203</v>
      </c>
      <c r="B114" s="354" t="s">
        <v>2528</v>
      </c>
      <c r="C114" s="354" t="s">
        <v>2541</v>
      </c>
      <c r="E114" s="375">
        <v>4434.76</v>
      </c>
    </row>
    <row r="115" spans="1:5">
      <c r="A115" s="560">
        <v>43200</v>
      </c>
      <c r="B115" s="354" t="s">
        <v>2528</v>
      </c>
      <c r="C115" s="354" t="s">
        <v>2542</v>
      </c>
      <c r="E115" s="375">
        <v>7615.85</v>
      </c>
    </row>
    <row r="116" spans="1:5" ht="13.5" customHeight="1">
      <c r="A116" s="560">
        <v>43208</v>
      </c>
      <c r="B116" s="354" t="s">
        <v>727</v>
      </c>
      <c r="C116" s="354" t="s">
        <v>2563</v>
      </c>
      <c r="E116" s="375">
        <v>1065</v>
      </c>
    </row>
    <row r="117" spans="1:5" ht="13.5" customHeight="1">
      <c r="A117" s="560">
        <v>43208</v>
      </c>
      <c r="B117" s="354" t="s">
        <v>210</v>
      </c>
      <c r="C117" s="354" t="s">
        <v>2564</v>
      </c>
      <c r="E117" s="375">
        <v>8639.27</v>
      </c>
    </row>
    <row r="118" spans="1:5">
      <c r="A118" s="560">
        <v>43217</v>
      </c>
      <c r="B118" s="354" t="s">
        <v>517</v>
      </c>
      <c r="C118" s="354" t="s">
        <v>2829</v>
      </c>
      <c r="E118" s="375">
        <v>8773.7999999999993</v>
      </c>
    </row>
    <row r="119" spans="1:5">
      <c r="A119" s="560">
        <v>43215</v>
      </c>
      <c r="B119" s="354" t="s">
        <v>220</v>
      </c>
      <c r="C119" s="720" t="s">
        <v>2672</v>
      </c>
      <c r="E119" s="375">
        <v>7769.35</v>
      </c>
    </row>
    <row r="120" spans="1:5">
      <c r="A120" s="560">
        <v>43215</v>
      </c>
      <c r="B120" s="354" t="s">
        <v>220</v>
      </c>
      <c r="C120" s="354" t="s">
        <v>2673</v>
      </c>
      <c r="E120" s="375">
        <v>4540.0600000000004</v>
      </c>
    </row>
    <row r="121" spans="1:5" ht="13.5" customHeight="1">
      <c r="A121" s="560">
        <v>43221</v>
      </c>
      <c r="B121" s="354" t="s">
        <v>210</v>
      </c>
      <c r="C121" s="354" t="s">
        <v>2724</v>
      </c>
      <c r="D121" s="375"/>
      <c r="E121" s="375">
        <v>10564.933999999999</v>
      </c>
    </row>
    <row r="122" spans="1:5">
      <c r="A122" s="560">
        <v>43227</v>
      </c>
      <c r="B122" s="354" t="s">
        <v>220</v>
      </c>
      <c r="C122" s="354" t="s">
        <v>2757</v>
      </c>
      <c r="E122" s="375">
        <v>7630.73</v>
      </c>
    </row>
    <row r="123" spans="1:5" ht="13.5" customHeight="1">
      <c r="A123" s="560">
        <v>43227</v>
      </c>
      <c r="B123" s="354" t="s">
        <v>517</v>
      </c>
      <c r="C123" s="354" t="s">
        <v>2920</v>
      </c>
      <c r="E123" s="375">
        <v>2549.4500000000003</v>
      </c>
    </row>
    <row r="124" spans="1:5">
      <c r="A124" s="560">
        <v>43235</v>
      </c>
      <c r="B124" s="354" t="s">
        <v>2528</v>
      </c>
      <c r="C124" s="354" t="s">
        <v>2782</v>
      </c>
      <c r="E124" s="375">
        <v>4404.1400000000003</v>
      </c>
    </row>
    <row r="125" spans="1:5">
      <c r="C125" s="354" t="s">
        <v>2801</v>
      </c>
      <c r="E125" s="375">
        <v>7140.73</v>
      </c>
    </row>
    <row r="126" spans="1:5" ht="13.5" customHeight="1">
      <c r="C126" s="354" t="s">
        <v>2822</v>
      </c>
      <c r="E126" s="780">
        <v>6677.56</v>
      </c>
    </row>
    <row r="127" spans="1:5">
      <c r="A127" s="560">
        <v>43242</v>
      </c>
      <c r="B127" s="354" t="s">
        <v>210</v>
      </c>
      <c r="C127" s="354" t="s">
        <v>2823</v>
      </c>
      <c r="E127" s="375">
        <v>7574.8</v>
      </c>
    </row>
    <row r="128" spans="1:5">
      <c r="A128" s="560">
        <v>43241</v>
      </c>
      <c r="B128" s="354" t="s">
        <v>517</v>
      </c>
      <c r="C128" s="354" t="s">
        <v>2831</v>
      </c>
      <c r="E128" s="375">
        <v>3239.95</v>
      </c>
    </row>
    <row r="129" spans="1:5">
      <c r="A129" s="560">
        <v>43243</v>
      </c>
      <c r="B129" s="354" t="s">
        <v>517</v>
      </c>
      <c r="C129" s="354" t="s">
        <v>2848</v>
      </c>
      <c r="E129" s="375">
        <v>4293.8739999999998</v>
      </c>
    </row>
    <row r="130" spans="1:5" ht="13.5" customHeight="1">
      <c r="B130" s="354" t="s">
        <v>517</v>
      </c>
      <c r="C130" s="354" t="s">
        <v>2915</v>
      </c>
      <c r="E130" s="375">
        <v>24022.7</v>
      </c>
    </row>
    <row r="131" spans="1:5">
      <c r="A131" s="560">
        <v>43251</v>
      </c>
      <c r="B131" s="354" t="s">
        <v>517</v>
      </c>
      <c r="C131" s="354" t="s">
        <v>2958</v>
      </c>
      <c r="E131" s="375">
        <v>3012.97</v>
      </c>
    </row>
    <row r="132" spans="1:5" ht="13.5" customHeight="1">
      <c r="A132" s="560">
        <v>43251</v>
      </c>
      <c r="B132" s="354" t="s">
        <v>517</v>
      </c>
      <c r="C132" s="354" t="s">
        <v>2959</v>
      </c>
      <c r="E132" s="375">
        <v>9249</v>
      </c>
    </row>
    <row r="133" spans="1:5" ht="13.5" customHeight="1">
      <c r="A133" s="560">
        <v>43251</v>
      </c>
      <c r="B133" s="354" t="s">
        <v>201</v>
      </c>
      <c r="C133" s="354" t="s">
        <v>2968</v>
      </c>
      <c r="E133" s="375">
        <v>9332.5300000000007</v>
      </c>
    </row>
    <row r="134" spans="1:5">
      <c r="C134" s="354" t="s">
        <v>2972</v>
      </c>
    </row>
    <row r="135" spans="1:5">
      <c r="B135" s="354" t="s">
        <v>517</v>
      </c>
      <c r="C135" s="354" t="s">
        <v>2975</v>
      </c>
      <c r="E135" s="375">
        <v>6603.4140000000007</v>
      </c>
    </row>
    <row r="136" spans="1:5" ht="13.5" customHeight="1">
      <c r="B136" s="354" t="s">
        <v>517</v>
      </c>
      <c r="C136" s="354" t="s">
        <v>2976</v>
      </c>
      <c r="E136" s="375">
        <v>16470.774000000001</v>
      </c>
    </row>
    <row r="137" spans="1:5" ht="13.5" customHeight="1">
      <c r="B137" s="354" t="s">
        <v>517</v>
      </c>
      <c r="C137" s="354" t="s">
        <v>2977</v>
      </c>
      <c r="E137" s="375">
        <v>5031.188000000001</v>
      </c>
    </row>
    <row r="138" spans="1:5">
      <c r="B138" s="354" t="s">
        <v>517</v>
      </c>
      <c r="C138" s="354" t="s">
        <v>2972</v>
      </c>
      <c r="E138" s="375">
        <v>7206.99</v>
      </c>
    </row>
    <row r="139" spans="1:5">
      <c r="B139" s="354" t="s">
        <v>517</v>
      </c>
      <c r="C139" s="354" t="s">
        <v>2831</v>
      </c>
      <c r="E139" s="375">
        <v>3239.95</v>
      </c>
    </row>
    <row r="140" spans="1:5">
      <c r="B140" s="354" t="s">
        <v>2528</v>
      </c>
      <c r="C140" s="354" t="s">
        <v>2990</v>
      </c>
      <c r="E140" s="375">
        <v>7622.0489999999991</v>
      </c>
    </row>
    <row r="141" spans="1:5">
      <c r="B141" s="354" t="s">
        <v>517</v>
      </c>
      <c r="C141" s="354" t="s">
        <v>3035</v>
      </c>
      <c r="E141" s="375">
        <v>9674.98</v>
      </c>
    </row>
    <row r="142" spans="1:5">
      <c r="B142" s="354" t="s">
        <v>517</v>
      </c>
      <c r="C142" s="354" t="s">
        <v>3091</v>
      </c>
      <c r="D142" s="375">
        <v>15828.41</v>
      </c>
    </row>
    <row r="143" spans="1:5" ht="13.5" customHeight="1">
      <c r="A143" s="560">
        <v>43237</v>
      </c>
      <c r="B143" s="354" t="s">
        <v>2528</v>
      </c>
      <c r="C143" s="354" t="s">
        <v>3110</v>
      </c>
      <c r="E143" s="356">
        <v>2717.54</v>
      </c>
    </row>
    <row r="144" spans="1:5">
      <c r="A144" s="560">
        <v>43277</v>
      </c>
      <c r="B144" s="354" t="s">
        <v>201</v>
      </c>
      <c r="C144" s="354" t="s">
        <v>3149</v>
      </c>
      <c r="E144" s="356">
        <v>2717.54</v>
      </c>
    </row>
    <row r="145" spans="1:5">
      <c r="A145" s="560">
        <v>43277</v>
      </c>
      <c r="B145" s="354" t="s">
        <v>201</v>
      </c>
      <c r="C145" s="354" t="s">
        <v>3230</v>
      </c>
      <c r="D145" s="356">
        <v>12959.63</v>
      </c>
    </row>
    <row r="146" spans="1:5">
      <c r="A146" s="560">
        <v>43286</v>
      </c>
      <c r="B146" s="354" t="s">
        <v>201</v>
      </c>
      <c r="C146" s="354" t="s">
        <v>3279</v>
      </c>
      <c r="D146" s="375">
        <v>9404.6299999999992</v>
      </c>
    </row>
    <row r="147" spans="1:5">
      <c r="A147" s="560">
        <v>43287</v>
      </c>
      <c r="B147" s="354" t="s">
        <v>220</v>
      </c>
      <c r="C147" s="354" t="s">
        <v>3286</v>
      </c>
      <c r="E147" s="375">
        <v>7336.89</v>
      </c>
    </row>
    <row r="148" spans="1:5">
      <c r="C148" s="354" t="s">
        <v>3325</v>
      </c>
    </row>
    <row r="152" spans="1:5" ht="13.5" customHeight="1"/>
    <row r="153" spans="1:5" ht="13.5" customHeight="1"/>
    <row r="154" spans="1:5" ht="13.5" customHeight="1"/>
    <row r="155" spans="1:5" ht="13.5" customHeight="1"/>
    <row r="156" spans="1:5" ht="13.5" customHeight="1"/>
    <row r="158" spans="1:5" ht="13.5" customHeight="1"/>
    <row r="159" spans="1:5" ht="13.5" customHeight="1"/>
    <row r="160" spans="1:5" ht="13.5" customHeight="1"/>
    <row r="161" ht="13.5" customHeight="1"/>
    <row r="163" ht="13.5" customHeight="1"/>
    <row r="167" ht="13.5" customHeight="1"/>
    <row r="169" ht="13.5" customHeight="1"/>
    <row r="171" ht="13.5" customHeight="1"/>
    <row r="174" ht="13.5" customHeight="1"/>
    <row r="175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6" ht="13.5" customHeight="1"/>
    <row r="187" ht="13.5" customHeight="1"/>
    <row r="188" ht="13.5" customHeight="1"/>
    <row r="190" ht="13.5" customHeight="1"/>
    <row r="191" ht="13.5" customHeight="1"/>
    <row r="192" ht="13.5" customHeight="1"/>
    <row r="193" ht="13.5" customHeight="1"/>
    <row r="196" ht="13.5" customHeight="1"/>
    <row r="201" ht="13.5" customHeight="1"/>
    <row r="202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1" ht="13.5" customHeight="1"/>
    <row r="214" ht="13.5" customHeight="1"/>
    <row r="215" ht="13.5" customHeight="1"/>
    <row r="218" ht="13.5" customHeight="1"/>
    <row r="220" ht="13.5" customHeight="1"/>
    <row r="222" ht="13.5" customHeight="1"/>
    <row r="223" ht="13.5" customHeight="1"/>
    <row r="226" ht="13.5" customHeight="1"/>
    <row r="230" ht="13.5" customHeight="1"/>
    <row r="235" ht="13.5" customHeight="1"/>
  </sheetData>
  <autoFilter ref="A2:P124">
    <filterColumn colId="11">
      <filters blank="1"/>
    </filterColumn>
  </autoFilter>
  <mergeCells count="1">
    <mergeCell ref="J1:K1"/>
  </mergeCells>
  <pageMargins left="0.7" right="0.7" top="0.75" bottom="0.75" header="0.3" footer="0.3"/>
  <pageSetup orientation="portrait"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3"/>
  <sheetViews>
    <sheetView zoomScale="90" zoomScaleNormal="90" workbookViewId="0">
      <pane ySplit="1" topLeftCell="A2" activePane="bottomLeft" state="frozen"/>
      <selection activeCell="C1" sqref="C1"/>
      <selection pane="bottomLeft" activeCell="J36" sqref="J36"/>
    </sheetView>
  </sheetViews>
  <sheetFormatPr defaultColWidth="9" defaultRowHeight="14.35"/>
  <cols>
    <col min="1" max="1" width="0.87890625" style="175" customWidth="1"/>
    <col min="2" max="2" width="10.1171875" style="175" customWidth="1"/>
    <col min="3" max="3" width="9.5859375" style="13" customWidth="1"/>
    <col min="4" max="4" width="18.234375" style="13" customWidth="1"/>
    <col min="5" max="5" width="84.703125" style="175" customWidth="1"/>
    <col min="6" max="6" width="12.1171875" style="175" customWidth="1"/>
    <col min="7" max="7" width="11.87890625" style="175" customWidth="1"/>
    <col min="8" max="8" width="12.234375" style="108" customWidth="1"/>
    <col min="9" max="9" width="12.234375" style="108" bestFit="1" customWidth="1"/>
    <col min="10" max="10" width="10.87890625" style="31" customWidth="1"/>
    <col min="11" max="11" width="9.1171875" style="13" customWidth="1"/>
    <col min="12" max="13" width="10.234375" style="13" customWidth="1"/>
    <col min="14" max="14" width="20" style="13" customWidth="1"/>
    <col min="15" max="15" width="12.29296875" style="175" customWidth="1"/>
    <col min="16" max="16" width="14.05859375" style="175" customWidth="1"/>
    <col min="17" max="17" width="17.87890625" style="175" customWidth="1"/>
    <col min="18" max="18" width="17.8203125" style="175" customWidth="1"/>
    <col min="19" max="19" width="12.76171875" style="175" customWidth="1"/>
    <col min="20" max="20" width="17.87890625" style="175" bestFit="1" customWidth="1"/>
    <col min="21" max="21" width="9" style="175"/>
    <col min="22" max="22" width="9.703125" style="175" bestFit="1" customWidth="1"/>
    <col min="23" max="16384" width="9" style="175"/>
  </cols>
  <sheetData>
    <row r="1" spans="1:59" s="36" customFormat="1" ht="43">
      <c r="B1" s="40" t="s">
        <v>65</v>
      </c>
      <c r="C1" s="109" t="s">
        <v>53</v>
      </c>
      <c r="D1" s="109" t="s">
        <v>66</v>
      </c>
      <c r="E1" s="109" t="s">
        <v>56</v>
      </c>
      <c r="F1" s="109" t="s">
        <v>99</v>
      </c>
      <c r="G1" s="109" t="s">
        <v>67</v>
      </c>
      <c r="H1" s="110" t="s">
        <v>68</v>
      </c>
      <c r="I1" s="110" t="s">
        <v>17</v>
      </c>
      <c r="J1" s="38" t="s">
        <v>62</v>
      </c>
      <c r="K1" s="109" t="s">
        <v>63</v>
      </c>
      <c r="L1" s="40" t="s">
        <v>64</v>
      </c>
      <c r="M1" s="40" t="s">
        <v>3</v>
      </c>
      <c r="N1" s="40" t="s">
        <v>69</v>
      </c>
      <c r="O1" s="111"/>
      <c r="P1" s="111"/>
      <c r="Q1" s="111"/>
      <c r="R1" s="111"/>
      <c r="S1" s="111"/>
      <c r="T1" s="111"/>
      <c r="U1" s="111"/>
      <c r="V1" s="111"/>
    </row>
    <row r="2" spans="1:59">
      <c r="A2" s="44"/>
      <c r="B2" s="312"/>
      <c r="C2" s="42"/>
      <c r="D2" s="42"/>
      <c r="E2" s="44"/>
      <c r="F2" s="44"/>
      <c r="G2" s="116"/>
      <c r="H2" s="116"/>
      <c r="J2" s="113"/>
      <c r="K2" s="114"/>
      <c r="L2" s="115"/>
      <c r="M2" s="115"/>
      <c r="O2" s="44"/>
      <c r="P2" s="97"/>
      <c r="Q2" s="97"/>
      <c r="R2" s="44"/>
      <c r="S2" s="88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</row>
    <row r="3" spans="1:59" ht="14.7" customHeight="1">
      <c r="A3" s="44"/>
      <c r="B3" s="312"/>
      <c r="C3" s="42"/>
      <c r="D3" s="42"/>
      <c r="E3" s="44"/>
      <c r="F3" s="44"/>
      <c r="G3" s="116"/>
      <c r="H3" s="116"/>
      <c r="J3" s="113"/>
      <c r="K3" s="114"/>
      <c r="L3" s="115"/>
      <c r="M3" s="115"/>
      <c r="O3" s="5" t="s">
        <v>29</v>
      </c>
      <c r="P3" s="704" t="s">
        <v>113</v>
      </c>
      <c r="Q3" s="704" t="s">
        <v>118</v>
      </c>
      <c r="R3" s="704" t="s">
        <v>115</v>
      </c>
      <c r="S3" s="704" t="s">
        <v>114</v>
      </c>
      <c r="T3" s="704" t="s">
        <v>117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</row>
    <row r="4" spans="1:59" ht="15" customHeight="1">
      <c r="A4" s="44"/>
      <c r="B4" s="312"/>
      <c r="C4" s="42"/>
      <c r="D4" s="42"/>
      <c r="E4" s="44"/>
      <c r="F4" s="44"/>
      <c r="G4" s="116"/>
      <c r="H4" s="116"/>
      <c r="J4" s="113"/>
      <c r="K4" s="114"/>
      <c r="L4" s="115"/>
      <c r="M4" s="115"/>
      <c r="O4" s="6" t="s">
        <v>27</v>
      </c>
      <c r="P4" s="4"/>
      <c r="Q4" s="4"/>
      <c r="R4" s="4"/>
      <c r="S4" s="158"/>
      <c r="T4" s="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</row>
    <row r="5" spans="1:59">
      <c r="A5" s="44"/>
      <c r="B5" s="312"/>
      <c r="C5" s="42"/>
      <c r="D5" s="42"/>
      <c r="E5" s="44"/>
      <c r="F5" s="44"/>
      <c r="G5" s="116"/>
      <c r="H5" s="116"/>
      <c r="J5" s="113"/>
      <c r="K5" s="114"/>
      <c r="L5" s="115"/>
      <c r="M5" s="115"/>
      <c r="O5" s="6" t="s">
        <v>28</v>
      </c>
      <c r="P5" s="22"/>
      <c r="Q5" s="22"/>
      <c r="R5" s="22"/>
      <c r="S5" s="158"/>
      <c r="T5" s="22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</row>
    <row r="6" spans="1:59">
      <c r="A6" s="44"/>
      <c r="B6" s="312"/>
      <c r="C6" s="42"/>
      <c r="D6" s="42"/>
      <c r="E6" s="44"/>
      <c r="F6" s="44"/>
      <c r="G6" s="116"/>
      <c r="H6" s="116"/>
      <c r="J6" s="113"/>
      <c r="K6" s="114"/>
      <c r="L6" s="115"/>
      <c r="M6" s="115"/>
      <c r="O6"/>
      <c r="P6"/>
      <c r="Q6"/>
      <c r="R6"/>
      <c r="S6"/>
      <c r="T6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</row>
    <row r="7" spans="1:59">
      <c r="A7" s="44"/>
      <c r="B7" s="312"/>
      <c r="C7" s="42"/>
      <c r="D7" s="42"/>
      <c r="E7" s="44"/>
      <c r="F7" s="95"/>
      <c r="G7" s="116"/>
      <c r="H7" s="116"/>
      <c r="J7" s="113"/>
      <c r="K7" s="114"/>
      <c r="L7" s="115"/>
      <c r="M7" s="115"/>
      <c r="O7"/>
      <c r="P7"/>
      <c r="Q7"/>
      <c r="R7"/>
      <c r="S7"/>
      <c r="T7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</row>
    <row r="8" spans="1:59">
      <c r="A8" s="44"/>
      <c r="B8" s="312"/>
      <c r="C8" s="42"/>
      <c r="D8" s="42"/>
      <c r="E8" s="44"/>
      <c r="F8" s="44"/>
      <c r="G8" s="116"/>
      <c r="H8" s="116"/>
      <c r="J8" s="113"/>
      <c r="K8" s="114"/>
      <c r="L8" s="115"/>
      <c r="M8" s="115"/>
      <c r="O8"/>
      <c r="P8"/>
      <c r="Q8"/>
      <c r="R8"/>
      <c r="S8"/>
      <c r="T8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</row>
    <row r="9" spans="1:59">
      <c r="A9" s="44"/>
      <c r="B9" s="312"/>
      <c r="C9" s="42"/>
      <c r="D9" s="42"/>
      <c r="E9" s="44"/>
      <c r="F9" s="44"/>
      <c r="G9" s="116"/>
      <c r="H9" s="116"/>
      <c r="J9" s="113"/>
      <c r="K9" s="114"/>
      <c r="L9" s="115"/>
      <c r="M9" s="115"/>
      <c r="O9"/>
      <c r="P9"/>
      <c r="Q9"/>
      <c r="R9"/>
      <c r="S9"/>
      <c r="T9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</row>
    <row r="10" spans="1:59">
      <c r="A10" s="44"/>
      <c r="B10" s="312"/>
      <c r="C10" s="42"/>
      <c r="D10" s="42"/>
      <c r="E10" s="44"/>
      <c r="F10" s="95"/>
      <c r="G10" s="116"/>
      <c r="H10" s="116"/>
      <c r="J10" s="113"/>
      <c r="K10" s="114"/>
      <c r="L10" s="115"/>
      <c r="M10" s="115"/>
      <c r="O10"/>
      <c r="P10"/>
      <c r="Q10"/>
      <c r="R10"/>
      <c r="S10"/>
      <c r="T10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</row>
    <row r="11" spans="1:59">
      <c r="A11" s="44"/>
      <c r="B11" s="312"/>
      <c r="C11" s="42"/>
      <c r="D11" s="42"/>
      <c r="E11" s="44"/>
      <c r="F11" s="44"/>
      <c r="G11" s="116"/>
      <c r="H11" s="116"/>
      <c r="J11" s="113"/>
      <c r="K11" s="114"/>
      <c r="L11" s="115"/>
      <c r="M11" s="115"/>
      <c r="O11"/>
      <c r="P11"/>
      <c r="Q11"/>
      <c r="R11"/>
      <c r="S11"/>
      <c r="T11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</row>
    <row r="12" spans="1:59">
      <c r="A12" s="44"/>
      <c r="B12" s="312"/>
      <c r="C12" s="42"/>
      <c r="D12" s="42"/>
      <c r="E12" s="44"/>
      <c r="F12" s="44"/>
      <c r="G12" s="116"/>
      <c r="H12" s="116"/>
      <c r="J12" s="113"/>
      <c r="K12" s="114"/>
      <c r="L12" s="115"/>
      <c r="M12" s="115"/>
      <c r="O12"/>
      <c r="P12"/>
      <c r="Q12"/>
      <c r="R12"/>
      <c r="S12"/>
      <c r="T12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</row>
    <row r="13" spans="1:59">
      <c r="A13" s="44"/>
      <c r="B13" s="312"/>
      <c r="C13" s="42"/>
      <c r="D13" s="42"/>
      <c r="E13" s="44"/>
      <c r="F13" s="44"/>
      <c r="G13" s="116"/>
      <c r="H13" s="116"/>
      <c r="J13" s="113"/>
      <c r="K13" s="114"/>
      <c r="L13" s="115"/>
      <c r="M13" s="115"/>
      <c r="O13"/>
      <c r="P13"/>
      <c r="Q13"/>
      <c r="R13"/>
      <c r="S13"/>
      <c r="T13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</row>
    <row r="14" spans="1:59">
      <c r="A14" s="44"/>
      <c r="B14" s="312"/>
      <c r="C14" s="42"/>
      <c r="D14" s="42"/>
      <c r="E14" s="44"/>
      <c r="F14" s="95"/>
      <c r="G14" s="116"/>
      <c r="H14" s="116"/>
      <c r="J14" s="113"/>
      <c r="K14" s="114"/>
      <c r="L14" s="115"/>
      <c r="M14" s="115"/>
      <c r="O14"/>
      <c r="P14"/>
      <c r="Q14"/>
      <c r="R14"/>
      <c r="S14"/>
      <c r="T1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</row>
    <row r="15" spans="1:59">
      <c r="A15" s="44"/>
      <c r="B15" s="312"/>
      <c r="C15" s="42"/>
      <c r="D15" s="42"/>
      <c r="E15" s="44"/>
      <c r="F15" s="44"/>
      <c r="G15" s="116"/>
      <c r="H15" s="116"/>
      <c r="J15" s="113"/>
      <c r="K15" s="114"/>
      <c r="L15" s="115"/>
      <c r="M15" s="115"/>
      <c r="O15"/>
      <c r="P15"/>
      <c r="Q15"/>
      <c r="T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</row>
    <row r="16" spans="1:59">
      <c r="A16" s="44"/>
      <c r="B16" s="312"/>
      <c r="C16" s="42"/>
      <c r="D16" s="42"/>
      <c r="E16" s="44"/>
      <c r="F16" s="44"/>
      <c r="G16" s="116"/>
      <c r="H16" s="116"/>
      <c r="J16" s="113"/>
      <c r="K16" s="114"/>
      <c r="L16" s="115"/>
      <c r="M16" s="115"/>
      <c r="O16"/>
      <c r="P16"/>
      <c r="Q16"/>
      <c r="T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</row>
    <row r="17" spans="1:59">
      <c r="A17" s="44"/>
      <c r="B17" s="312"/>
      <c r="C17" s="42"/>
      <c r="D17" s="42"/>
      <c r="E17" s="44"/>
      <c r="F17" s="95"/>
      <c r="G17" s="108"/>
      <c r="J17" s="113"/>
      <c r="K17" s="114"/>
      <c r="L17" s="115"/>
      <c r="M17" s="115"/>
      <c r="O17"/>
      <c r="P17"/>
      <c r="Q17"/>
      <c r="T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</row>
    <row r="18" spans="1:59">
      <c r="A18" s="44"/>
      <c r="B18" s="312"/>
      <c r="C18" s="42"/>
      <c r="D18" s="42"/>
      <c r="E18" s="44"/>
      <c r="F18" s="95"/>
      <c r="G18" s="108"/>
      <c r="J18" s="113"/>
      <c r="K18" s="114"/>
      <c r="L18" s="115"/>
      <c r="M18" s="115"/>
      <c r="O18"/>
      <c r="P18"/>
      <c r="Q18"/>
      <c r="T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</row>
    <row r="19" spans="1:59">
      <c r="A19" s="44"/>
      <c r="B19" s="312"/>
      <c r="C19" s="42"/>
      <c r="D19" s="42"/>
      <c r="E19" s="44"/>
      <c r="F19" s="95"/>
      <c r="G19" s="108"/>
      <c r="J19" s="113"/>
      <c r="K19" s="114"/>
      <c r="L19" s="115"/>
      <c r="M19" s="115"/>
      <c r="O19"/>
      <c r="P19"/>
      <c r="Q19"/>
      <c r="T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</row>
    <row r="20" spans="1:59">
      <c r="B20" s="112"/>
      <c r="F20" s="95"/>
      <c r="G20" s="108"/>
      <c r="J20" s="113"/>
      <c r="K20" s="114"/>
      <c r="L20" s="115"/>
      <c r="M20" s="115"/>
      <c r="O20"/>
      <c r="P20"/>
      <c r="Q20"/>
      <c r="T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</row>
    <row r="21" spans="1:59">
      <c r="B21" s="112"/>
      <c r="F21" s="95"/>
      <c r="G21" s="108"/>
      <c r="J21" s="113"/>
      <c r="K21" s="114"/>
      <c r="L21" s="115"/>
      <c r="M21" s="115"/>
      <c r="T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</row>
    <row r="22" spans="1:59">
      <c r="B22" s="112"/>
      <c r="F22" s="95"/>
      <c r="G22" s="108"/>
      <c r="J22" s="113"/>
      <c r="K22" s="114"/>
      <c r="L22" s="115"/>
      <c r="M22" s="115"/>
      <c r="T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</row>
    <row r="23" spans="1:59">
      <c r="B23" s="112"/>
      <c r="F23" s="95"/>
      <c r="G23" s="108"/>
      <c r="J23" s="113"/>
      <c r="K23" s="114"/>
      <c r="L23" s="115"/>
      <c r="M23" s="115"/>
      <c r="T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</row>
    <row r="24" spans="1:59">
      <c r="B24" s="112"/>
      <c r="F24" s="95"/>
      <c r="G24" s="108"/>
      <c r="J24" s="113"/>
      <c r="K24" s="114"/>
      <c r="L24" s="115"/>
      <c r="M24" s="115"/>
      <c r="T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</row>
    <row r="25" spans="1:59">
      <c r="B25" s="112"/>
      <c r="F25" s="95"/>
      <c r="G25" s="108"/>
      <c r="J25" s="113"/>
      <c r="K25" s="114"/>
      <c r="L25" s="115"/>
      <c r="M25" s="115"/>
      <c r="T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</row>
    <row r="26" spans="1:59">
      <c r="B26" s="112"/>
      <c r="F26" s="95"/>
      <c r="G26" s="108"/>
      <c r="J26" s="113"/>
      <c r="K26" s="114"/>
      <c r="L26" s="115"/>
      <c r="M26" s="115"/>
      <c r="O26" s="44"/>
      <c r="P26" s="44"/>
      <c r="Q26" s="44"/>
      <c r="R26" s="42"/>
      <c r="S26" s="88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</row>
    <row r="27" spans="1:59">
      <c r="B27" s="112"/>
      <c r="F27" s="95"/>
      <c r="G27" s="108"/>
      <c r="J27" s="113"/>
      <c r="K27" s="114"/>
      <c r="L27" s="115"/>
      <c r="M27" s="115"/>
      <c r="O27" s="44"/>
      <c r="P27" s="44"/>
      <c r="Q27" s="44"/>
      <c r="R27" s="42"/>
      <c r="S27" s="88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</row>
    <row r="28" spans="1:59">
      <c r="B28" s="112"/>
      <c r="F28" s="95"/>
      <c r="G28" s="108"/>
      <c r="J28" s="113"/>
      <c r="K28" s="114"/>
      <c r="L28" s="115"/>
      <c r="M28" s="115"/>
      <c r="O28" s="44"/>
      <c r="P28" s="44"/>
      <c r="Q28" s="44"/>
      <c r="R28" s="42"/>
      <c r="S28" s="88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</row>
    <row r="29" spans="1:59">
      <c r="B29" s="112"/>
      <c r="F29" s="95"/>
      <c r="G29" s="108"/>
      <c r="J29" s="113"/>
      <c r="K29" s="114"/>
      <c r="L29" s="115"/>
      <c r="M29" s="115"/>
      <c r="O29" s="44"/>
      <c r="P29" s="44"/>
      <c r="Q29" s="44"/>
      <c r="R29" s="42"/>
      <c r="S29" s="88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</row>
    <row r="30" spans="1:59">
      <c r="B30" s="112"/>
      <c r="E30" s="169"/>
      <c r="F30" s="95"/>
      <c r="G30" s="108"/>
      <c r="H30" s="168"/>
      <c r="J30" s="113"/>
      <c r="K30" s="114"/>
      <c r="L30" s="115"/>
      <c r="M30" s="115"/>
      <c r="O30" s="260" t="s">
        <v>100</v>
      </c>
      <c r="P30" s="44"/>
      <c r="Q30" s="44"/>
      <c r="R30" s="42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</row>
    <row r="31" spans="1:59">
      <c r="B31" s="112"/>
      <c r="C31" s="184"/>
      <c r="E31" s="168"/>
      <c r="F31" s="95"/>
      <c r="G31" s="108"/>
      <c r="H31" s="168"/>
      <c r="J31" s="113"/>
      <c r="K31" s="114"/>
      <c r="L31" s="115"/>
      <c r="M31" s="115"/>
      <c r="O31" s="42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</row>
    <row r="32" spans="1:59">
      <c r="B32" s="112"/>
      <c r="C32" s="184"/>
      <c r="E32" s="168"/>
      <c r="F32" s="95"/>
      <c r="G32" s="108"/>
      <c r="H32" s="168"/>
      <c r="J32" s="113"/>
      <c r="K32" s="114"/>
      <c r="L32" s="115"/>
      <c r="M32" s="115"/>
      <c r="O32" s="5" t="s">
        <v>29</v>
      </c>
      <c r="P32" s="704" t="s">
        <v>113</v>
      </c>
      <c r="Q32" s="704" t="s">
        <v>117</v>
      </c>
      <c r="R32" s="704" t="s">
        <v>114</v>
      </c>
      <c r="S32" s="704" t="s">
        <v>115</v>
      </c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</row>
    <row r="33" spans="2:56">
      <c r="B33" s="112"/>
      <c r="C33" s="184"/>
      <c r="E33" s="168"/>
      <c r="F33" s="95"/>
      <c r="G33" s="108"/>
      <c r="H33" s="168"/>
      <c r="J33" s="113"/>
      <c r="K33" s="114"/>
      <c r="L33" s="115"/>
      <c r="M33" s="115"/>
      <c r="O33" s="6" t="s">
        <v>27</v>
      </c>
      <c r="P33" s="31"/>
      <c r="Q33" s="31"/>
      <c r="R33" s="4"/>
      <c r="S33" s="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</row>
    <row r="34" spans="2:56">
      <c r="B34" s="112"/>
      <c r="C34" s="184"/>
      <c r="E34" s="168"/>
      <c r="F34" s="95"/>
      <c r="G34" s="108"/>
      <c r="H34" s="168"/>
      <c r="J34" s="113"/>
      <c r="K34" s="114"/>
      <c r="L34" s="115"/>
      <c r="M34" s="115"/>
      <c r="O34" s="20" t="s">
        <v>27</v>
      </c>
      <c r="P34" s="31"/>
      <c r="Q34" s="31"/>
      <c r="R34" s="4"/>
      <c r="S34" s="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</row>
    <row r="35" spans="2:56">
      <c r="B35" s="112"/>
      <c r="C35" s="184"/>
      <c r="E35" s="168"/>
      <c r="F35" s="95"/>
      <c r="G35" s="108"/>
      <c r="H35" s="168"/>
      <c r="J35" s="113"/>
      <c r="K35" s="114"/>
      <c r="L35" s="115"/>
      <c r="M35" s="115"/>
      <c r="O35" s="6" t="s">
        <v>28</v>
      </c>
      <c r="P35" s="31"/>
      <c r="Q35" s="31"/>
      <c r="R35" s="158"/>
      <c r="S35" s="31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</row>
    <row r="36" spans="2:56">
      <c r="B36" s="112"/>
      <c r="C36" s="184"/>
      <c r="E36" s="168"/>
      <c r="F36" s="95"/>
      <c r="G36" s="108"/>
      <c r="H36" s="168"/>
      <c r="J36" s="113"/>
      <c r="K36" s="114"/>
      <c r="L36" s="115"/>
      <c r="M36" s="115"/>
      <c r="O36"/>
      <c r="P36"/>
      <c r="Q36"/>
      <c r="R36"/>
      <c r="S36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</row>
    <row r="37" spans="2:56">
      <c r="B37" s="112"/>
      <c r="C37" s="184"/>
      <c r="E37" s="168"/>
      <c r="F37" s="95"/>
      <c r="G37" s="108"/>
      <c r="H37" s="168"/>
      <c r="J37" s="113"/>
      <c r="K37" s="114"/>
      <c r="L37" s="115"/>
      <c r="M37" s="115"/>
      <c r="O37"/>
      <c r="P37"/>
      <c r="Q37"/>
      <c r="R37"/>
      <c r="S37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</row>
    <row r="38" spans="2:56">
      <c r="B38" s="112"/>
      <c r="C38" s="184"/>
      <c r="E38" s="168"/>
      <c r="F38" s="95"/>
      <c r="G38" s="108"/>
      <c r="H38" s="168"/>
      <c r="J38" s="113"/>
      <c r="K38" s="114"/>
      <c r="L38" s="115"/>
      <c r="M38" s="115"/>
      <c r="O38"/>
      <c r="P38"/>
      <c r="Q38"/>
      <c r="R38"/>
      <c r="S38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</row>
    <row r="39" spans="2:56">
      <c r="B39" s="112"/>
      <c r="C39" s="184"/>
      <c r="E39" s="168"/>
      <c r="F39" s="95"/>
      <c r="G39" s="108"/>
      <c r="H39" s="168"/>
      <c r="J39" s="113"/>
      <c r="K39" s="114"/>
      <c r="L39" s="115"/>
      <c r="M39" s="115"/>
      <c r="O39"/>
      <c r="P39"/>
      <c r="Q39"/>
      <c r="R39"/>
      <c r="S39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</row>
    <row r="40" spans="2:56">
      <c r="B40" s="112"/>
      <c r="C40" s="184"/>
      <c r="E40" s="168"/>
      <c r="F40" s="95"/>
      <c r="G40" s="108"/>
      <c r="H40" s="168"/>
      <c r="J40" s="113"/>
      <c r="K40" s="114"/>
      <c r="L40" s="115"/>
      <c r="M40" s="115"/>
      <c r="O40"/>
      <c r="P40"/>
      <c r="Q40"/>
      <c r="R40"/>
      <c r="S40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</row>
    <row r="41" spans="2:56">
      <c r="B41" s="112"/>
      <c r="C41" s="184"/>
      <c r="E41" s="168"/>
      <c r="F41" s="95"/>
      <c r="G41" s="108"/>
      <c r="H41" s="168"/>
      <c r="J41" s="113"/>
      <c r="K41" s="114"/>
      <c r="L41" s="115"/>
      <c r="M41" s="115"/>
      <c r="O41"/>
      <c r="P41"/>
      <c r="Q41"/>
      <c r="R41"/>
      <c r="S41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</row>
    <row r="42" spans="2:56">
      <c r="B42" s="112"/>
      <c r="C42" s="184"/>
      <c r="E42" s="168"/>
      <c r="F42" s="95"/>
      <c r="G42" s="108"/>
      <c r="H42" s="168"/>
      <c r="J42" s="113"/>
      <c r="K42" s="114"/>
      <c r="L42" s="115"/>
      <c r="M42" s="115"/>
      <c r="O42"/>
      <c r="P42"/>
      <c r="Q42"/>
      <c r="R42"/>
      <c r="S42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</row>
    <row r="43" spans="2:56">
      <c r="B43" s="112"/>
      <c r="C43" s="184"/>
      <c r="E43" s="169"/>
      <c r="F43" s="95"/>
      <c r="G43" s="108"/>
      <c r="H43" s="168"/>
      <c r="J43" s="113"/>
      <c r="K43" s="114"/>
      <c r="L43" s="115"/>
      <c r="M43" s="115"/>
      <c r="O43"/>
      <c r="P43"/>
      <c r="Q43"/>
      <c r="R43"/>
      <c r="S43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</row>
    <row r="44" spans="2:56">
      <c r="B44" s="112"/>
      <c r="C44" s="184"/>
      <c r="E44" s="168"/>
      <c r="F44" s="95"/>
      <c r="G44" s="108"/>
      <c r="H44" s="168"/>
      <c r="J44" s="113"/>
      <c r="K44" s="114"/>
      <c r="L44" s="115"/>
      <c r="M44" s="115"/>
      <c r="O44"/>
      <c r="P44"/>
      <c r="Q44"/>
      <c r="R44"/>
      <c r="S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</row>
    <row r="45" spans="2:56">
      <c r="B45" s="112"/>
      <c r="C45" s="184"/>
      <c r="E45" s="168"/>
      <c r="F45" s="95"/>
      <c r="G45" s="108"/>
      <c r="H45" s="168"/>
      <c r="J45" s="113"/>
      <c r="K45" s="114"/>
      <c r="L45" s="115"/>
      <c r="M45" s="115"/>
      <c r="O45"/>
      <c r="P45"/>
      <c r="Q45"/>
      <c r="R45"/>
      <c r="S45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</row>
    <row r="46" spans="2:56">
      <c r="B46" s="112"/>
      <c r="C46" s="184"/>
      <c r="E46" s="168"/>
      <c r="F46" s="95"/>
      <c r="G46" s="108"/>
      <c r="H46" s="168"/>
      <c r="J46" s="113"/>
      <c r="K46" s="114"/>
      <c r="L46" s="115"/>
      <c r="M46" s="115"/>
      <c r="O46"/>
      <c r="P46"/>
      <c r="Q46"/>
      <c r="R46"/>
      <c r="S46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</row>
    <row r="47" spans="2:56">
      <c r="B47" s="112"/>
      <c r="C47" s="184"/>
      <c r="E47" s="168"/>
      <c r="F47" s="95"/>
      <c r="G47" s="108"/>
      <c r="H47" s="168"/>
      <c r="J47" s="113"/>
      <c r="K47" s="114"/>
      <c r="L47" s="115"/>
      <c r="M47" s="115"/>
      <c r="O47"/>
      <c r="P47"/>
      <c r="Q47"/>
      <c r="R47"/>
      <c r="S47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</row>
    <row r="48" spans="2:56">
      <c r="B48" s="112"/>
      <c r="C48" s="42"/>
      <c r="D48" s="42"/>
      <c r="E48" s="206"/>
      <c r="F48" s="95"/>
      <c r="G48" s="116"/>
      <c r="H48" s="116"/>
      <c r="I48" s="116"/>
      <c r="J48" s="113"/>
      <c r="K48" s="114"/>
      <c r="L48" s="115"/>
      <c r="M48" s="115"/>
      <c r="O48"/>
      <c r="P48"/>
      <c r="Q48"/>
      <c r="R48"/>
      <c r="S48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</row>
    <row r="49" spans="2:59">
      <c r="B49" s="112"/>
      <c r="C49" s="42"/>
      <c r="D49" s="42"/>
      <c r="E49" s="206"/>
      <c r="F49" s="95"/>
      <c r="G49" s="116"/>
      <c r="H49" s="116"/>
      <c r="I49" s="116"/>
      <c r="J49" s="113"/>
      <c r="K49" s="114"/>
      <c r="L49" s="115"/>
      <c r="M49" s="115"/>
      <c r="O49"/>
      <c r="P49"/>
      <c r="Q49"/>
      <c r="R49"/>
      <c r="S49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</row>
    <row r="50" spans="2:59" ht="13.5" customHeight="1">
      <c r="B50" s="112"/>
      <c r="C50" s="42"/>
      <c r="D50" s="42"/>
      <c r="E50" s="206"/>
      <c r="F50" s="95"/>
      <c r="G50" s="116"/>
      <c r="H50" s="116"/>
      <c r="I50" s="116"/>
      <c r="J50" s="113"/>
      <c r="K50" s="114"/>
      <c r="L50" s="115"/>
      <c r="M50" s="115"/>
      <c r="O50"/>
      <c r="P50"/>
      <c r="Q50"/>
      <c r="R50"/>
      <c r="S50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</row>
    <row r="51" spans="2:59">
      <c r="B51" s="112"/>
      <c r="C51" s="42"/>
      <c r="D51" s="42"/>
      <c r="E51" s="206"/>
      <c r="F51" s="95"/>
      <c r="G51" s="116"/>
      <c r="H51" s="116"/>
      <c r="I51" s="116"/>
      <c r="J51" s="113"/>
      <c r="K51" s="114"/>
      <c r="L51" s="115"/>
      <c r="M51" s="115"/>
      <c r="O51"/>
      <c r="P51"/>
      <c r="Q51"/>
      <c r="R51"/>
      <c r="S51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</row>
    <row r="52" spans="2:59">
      <c r="B52" s="112"/>
      <c r="C52" s="42"/>
      <c r="D52" s="42"/>
      <c r="E52" s="206"/>
      <c r="F52" s="95"/>
      <c r="G52" s="116"/>
      <c r="H52" s="116"/>
      <c r="I52" s="116"/>
      <c r="J52" s="113"/>
      <c r="K52" s="114"/>
      <c r="L52" s="115"/>
      <c r="M52" s="115"/>
      <c r="O52"/>
      <c r="P52"/>
      <c r="Q52"/>
      <c r="R52"/>
      <c r="S52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</row>
    <row r="53" spans="2:59" ht="13.95" customHeight="1">
      <c r="B53" s="112"/>
      <c r="C53" s="42"/>
      <c r="D53" s="211"/>
      <c r="E53" s="206"/>
      <c r="F53" s="95"/>
      <c r="G53" s="116"/>
      <c r="H53" s="116"/>
      <c r="I53" s="116"/>
      <c r="J53" s="113"/>
      <c r="K53" s="114"/>
      <c r="L53" s="115"/>
      <c r="M53" s="115"/>
      <c r="O53"/>
      <c r="P53"/>
      <c r="Q53"/>
      <c r="R53"/>
      <c r="S53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</row>
    <row r="54" spans="2:59">
      <c r="B54" s="112"/>
      <c r="C54" s="42"/>
      <c r="D54" s="42"/>
      <c r="E54" s="206"/>
      <c r="F54" s="95"/>
      <c r="G54" s="116"/>
      <c r="H54" s="116"/>
      <c r="I54" s="116"/>
      <c r="J54" s="113"/>
      <c r="K54" s="114"/>
      <c r="L54" s="115"/>
      <c r="M54" s="115"/>
      <c r="O54"/>
      <c r="P54"/>
      <c r="Q54"/>
      <c r="R54"/>
      <c r="S5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</row>
    <row r="55" spans="2:59" ht="15" customHeight="1">
      <c r="B55" s="112"/>
      <c r="C55" s="42"/>
      <c r="D55" s="210"/>
      <c r="E55" s="206"/>
      <c r="F55" s="95"/>
      <c r="G55" s="116"/>
      <c r="H55" s="116"/>
      <c r="I55" s="116"/>
      <c r="J55" s="113"/>
      <c r="K55" s="114"/>
      <c r="L55" s="115"/>
      <c r="M55" s="115"/>
      <c r="O55"/>
      <c r="P55"/>
      <c r="Q55"/>
      <c r="R55"/>
      <c r="S55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</row>
    <row r="56" spans="2:59">
      <c r="B56" s="112"/>
      <c r="C56" s="42"/>
      <c r="D56" s="211"/>
      <c r="E56" s="206"/>
      <c r="F56" s="95"/>
      <c r="G56" s="116"/>
      <c r="H56" s="116"/>
      <c r="I56" s="116"/>
      <c r="J56" s="113"/>
      <c r="K56" s="114"/>
      <c r="L56" s="115"/>
      <c r="M56" s="115"/>
      <c r="O56"/>
      <c r="P56"/>
      <c r="Q56"/>
      <c r="R56"/>
      <c r="S56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</row>
    <row r="57" spans="2:59">
      <c r="B57" s="112"/>
      <c r="C57" s="42"/>
      <c r="D57" s="211"/>
      <c r="E57" s="206"/>
      <c r="F57" s="95"/>
      <c r="G57" s="116"/>
      <c r="H57" s="116"/>
      <c r="I57" s="116"/>
      <c r="J57" s="113"/>
      <c r="K57" s="114"/>
      <c r="L57" s="115"/>
      <c r="M57" s="115"/>
      <c r="O57"/>
      <c r="P57"/>
      <c r="Q57"/>
      <c r="R57"/>
      <c r="S57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</row>
    <row r="58" spans="2:59">
      <c r="B58" s="112"/>
      <c r="C58" s="42"/>
      <c r="D58" s="211"/>
      <c r="E58" s="206"/>
      <c r="F58" s="95"/>
      <c r="G58" s="116"/>
      <c r="H58" s="116"/>
      <c r="I58" s="116"/>
      <c r="J58" s="113"/>
      <c r="K58" s="114"/>
      <c r="L58" s="115"/>
      <c r="M58" s="115"/>
      <c r="O58" s="44"/>
      <c r="P58" s="44"/>
      <c r="Q58" s="44"/>
      <c r="R58" s="95"/>
      <c r="S58" s="96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</row>
    <row r="59" spans="2:59">
      <c r="B59" s="112"/>
      <c r="C59" s="42"/>
      <c r="D59" s="42"/>
      <c r="E59" s="44"/>
      <c r="F59" s="95"/>
      <c r="G59" s="116"/>
      <c r="H59" s="116"/>
      <c r="I59" s="116"/>
      <c r="J59" s="113"/>
      <c r="K59" s="114"/>
      <c r="L59" s="115"/>
      <c r="M59" s="115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</row>
    <row r="60" spans="2:59">
      <c r="B60" s="112"/>
      <c r="F60" s="95"/>
      <c r="G60" s="116"/>
      <c r="J60" s="113"/>
      <c r="K60" s="114"/>
      <c r="L60" s="115"/>
      <c r="M60" s="115"/>
    </row>
    <row r="61" spans="2:59">
      <c r="B61" s="112"/>
      <c r="F61" s="95"/>
      <c r="G61" s="116"/>
      <c r="J61" s="113"/>
      <c r="K61" s="114"/>
      <c r="L61" s="115"/>
      <c r="M61" s="115"/>
    </row>
    <row r="62" spans="2:59">
      <c r="B62" s="112"/>
      <c r="F62" s="95"/>
      <c r="G62" s="116"/>
      <c r="J62" s="113"/>
      <c r="K62" s="114"/>
      <c r="L62" s="115"/>
      <c r="M62" s="115"/>
    </row>
    <row r="63" spans="2:59">
      <c r="B63" s="112"/>
      <c r="F63" s="95"/>
      <c r="G63" s="116"/>
      <c r="J63" s="113"/>
      <c r="K63" s="114"/>
      <c r="L63" s="115"/>
      <c r="M63" s="115"/>
    </row>
    <row r="64" spans="2:59">
      <c r="B64" s="112"/>
      <c r="F64" s="95"/>
      <c r="G64" s="116"/>
      <c r="J64" s="113"/>
      <c r="K64" s="114"/>
      <c r="L64" s="115"/>
      <c r="M64" s="115"/>
    </row>
    <row r="65" spans="2:15">
      <c r="B65" s="112"/>
      <c r="F65" s="95"/>
      <c r="G65" s="116"/>
      <c r="J65" s="113"/>
      <c r="K65" s="114"/>
      <c r="L65" s="115"/>
      <c r="M65" s="115"/>
    </row>
    <row r="66" spans="2:15">
      <c r="B66" s="112"/>
      <c r="C66" s="42"/>
      <c r="E66" s="29"/>
      <c r="F66" s="95"/>
      <c r="G66" s="116"/>
      <c r="I66" s="116"/>
      <c r="J66" s="113"/>
      <c r="K66" s="114"/>
      <c r="L66" s="115"/>
      <c r="M66" s="115"/>
      <c r="O66" s="135"/>
    </row>
    <row r="67" spans="2:15">
      <c r="B67" s="112"/>
      <c r="F67" s="95"/>
      <c r="G67" s="116"/>
      <c r="J67" s="113"/>
      <c r="K67" s="114"/>
      <c r="L67" s="115"/>
      <c r="M67" s="115"/>
    </row>
    <row r="68" spans="2:15">
      <c r="B68" s="112"/>
      <c r="F68" s="95"/>
      <c r="G68" s="116"/>
      <c r="J68" s="113"/>
      <c r="K68" s="114"/>
      <c r="L68" s="115"/>
      <c r="M68" s="115"/>
    </row>
    <row r="69" spans="2:15">
      <c r="B69" s="112"/>
      <c r="F69" s="95"/>
      <c r="G69" s="116"/>
      <c r="J69" s="113"/>
      <c r="K69" s="114"/>
      <c r="L69" s="115"/>
      <c r="M69" s="115"/>
    </row>
    <row r="70" spans="2:15">
      <c r="B70" s="112"/>
      <c r="F70" s="95"/>
      <c r="G70" s="116"/>
      <c r="J70" s="113"/>
      <c r="K70" s="114"/>
      <c r="L70" s="115"/>
      <c r="M70" s="115"/>
    </row>
    <row r="71" spans="2:15">
      <c r="B71" s="112"/>
      <c r="F71" s="95"/>
      <c r="G71" s="116"/>
      <c r="J71" s="113"/>
      <c r="K71" s="114"/>
      <c r="L71" s="115"/>
      <c r="M71" s="115"/>
    </row>
    <row r="72" spans="2:15">
      <c r="B72" s="112"/>
      <c r="F72" s="95"/>
      <c r="G72" s="116"/>
      <c r="J72" s="113"/>
      <c r="K72" s="114"/>
      <c r="L72" s="115"/>
      <c r="M72" s="115"/>
    </row>
    <row r="73" spans="2:15">
      <c r="B73" s="112"/>
      <c r="F73" s="95"/>
      <c r="G73" s="116"/>
      <c r="J73" s="113"/>
      <c r="K73" s="114"/>
      <c r="L73" s="115"/>
      <c r="M73" s="115"/>
    </row>
    <row r="74" spans="2:15">
      <c r="B74" s="112"/>
      <c r="F74" s="95"/>
      <c r="G74" s="116"/>
      <c r="J74" s="113"/>
      <c r="K74" s="114"/>
      <c r="L74" s="115"/>
      <c r="M74" s="115"/>
    </row>
    <row r="75" spans="2:15">
      <c r="B75" s="112"/>
      <c r="F75" s="95"/>
      <c r="G75" s="116"/>
      <c r="J75" s="113"/>
      <c r="K75" s="114"/>
      <c r="L75" s="115"/>
      <c r="M75" s="115"/>
    </row>
    <row r="76" spans="2:15">
      <c r="B76" s="112"/>
      <c r="E76" s="29"/>
      <c r="F76" s="95"/>
      <c r="G76" s="116"/>
      <c r="J76" s="113"/>
      <c r="K76" s="114"/>
      <c r="L76" s="115"/>
      <c r="M76" s="115"/>
    </row>
    <row r="77" spans="2:15">
      <c r="B77" s="112"/>
      <c r="F77" s="95"/>
      <c r="G77" s="116"/>
      <c r="J77" s="113"/>
      <c r="K77" s="114"/>
      <c r="L77" s="115"/>
      <c r="M77" s="115"/>
    </row>
    <row r="78" spans="2:15">
      <c r="B78" s="112"/>
      <c r="F78" s="95"/>
      <c r="G78" s="116"/>
      <c r="J78" s="113"/>
      <c r="K78" s="114"/>
      <c r="L78" s="115"/>
      <c r="M78" s="115"/>
    </row>
    <row r="79" spans="2:15">
      <c r="B79" s="112"/>
      <c r="F79" s="95"/>
      <c r="G79" s="116"/>
      <c r="J79" s="113"/>
      <c r="K79" s="114"/>
      <c r="L79" s="115"/>
      <c r="M79" s="115"/>
    </row>
    <row r="80" spans="2:15">
      <c r="B80" s="112"/>
      <c r="F80" s="95"/>
      <c r="G80" s="116"/>
      <c r="J80" s="113"/>
      <c r="K80" s="114"/>
      <c r="L80" s="115"/>
      <c r="M80" s="115"/>
    </row>
    <row r="81" spans="2:13">
      <c r="B81" s="112"/>
      <c r="F81" s="95"/>
      <c r="G81" s="116"/>
      <c r="J81" s="113"/>
      <c r="K81" s="114"/>
      <c r="L81" s="115"/>
      <c r="M81" s="115"/>
    </row>
    <row r="82" spans="2:13">
      <c r="B82" s="112"/>
      <c r="F82" s="95"/>
      <c r="G82" s="116"/>
      <c r="I82" s="116"/>
      <c r="J82" s="113"/>
      <c r="K82" s="114"/>
      <c r="L82" s="115"/>
      <c r="M82" s="115"/>
    </row>
    <row r="83" spans="2:13">
      <c r="B83" s="112"/>
      <c r="F83" s="95"/>
      <c r="G83" s="116"/>
      <c r="J83" s="113"/>
      <c r="K83" s="114"/>
      <c r="L83" s="115"/>
      <c r="M83" s="115"/>
    </row>
    <row r="84" spans="2:13">
      <c r="B84" s="112"/>
      <c r="F84" s="95"/>
      <c r="G84" s="116"/>
      <c r="J84" s="113"/>
      <c r="K84" s="114"/>
      <c r="L84" s="115"/>
      <c r="M84" s="115"/>
    </row>
    <row r="85" spans="2:13">
      <c r="B85" s="112"/>
      <c r="E85" s="29"/>
      <c r="F85" s="95"/>
      <c r="G85" s="116"/>
      <c r="J85" s="113"/>
      <c r="K85" s="114"/>
      <c r="L85" s="115"/>
      <c r="M85" s="115"/>
    </row>
    <row r="86" spans="2:13">
      <c r="B86" s="112"/>
      <c r="E86" s="29"/>
      <c r="F86" s="95"/>
      <c r="G86" s="116"/>
      <c r="J86" s="113"/>
      <c r="K86" s="114"/>
      <c r="L86" s="115"/>
      <c r="M86" s="115"/>
    </row>
    <row r="87" spans="2:13">
      <c r="B87" s="112"/>
      <c r="E87" s="29"/>
      <c r="F87" s="95"/>
      <c r="G87" s="116"/>
      <c r="J87" s="113"/>
      <c r="K87" s="114"/>
      <c r="L87" s="115"/>
      <c r="M87" s="115"/>
    </row>
    <row r="88" spans="2:13">
      <c r="B88" s="112"/>
      <c r="E88" s="29"/>
      <c r="F88" s="95"/>
      <c r="G88" s="116"/>
      <c r="J88" s="113"/>
      <c r="K88" s="114"/>
      <c r="L88" s="115"/>
      <c r="M88" s="115"/>
    </row>
    <row r="89" spans="2:13">
      <c r="B89" s="112"/>
      <c r="E89" s="29"/>
      <c r="F89" s="95"/>
      <c r="G89" s="116"/>
      <c r="J89" s="113"/>
      <c r="K89" s="114"/>
      <c r="L89" s="115"/>
      <c r="M89" s="115"/>
    </row>
    <row r="90" spans="2:13">
      <c r="B90" s="112"/>
      <c r="E90" s="29"/>
      <c r="F90" s="95"/>
      <c r="G90" s="116"/>
      <c r="J90" s="113"/>
      <c r="K90" s="114"/>
      <c r="L90" s="115"/>
      <c r="M90" s="115"/>
    </row>
    <row r="91" spans="2:13">
      <c r="B91" s="112"/>
      <c r="F91" s="95"/>
      <c r="G91" s="116"/>
      <c r="J91" s="113"/>
      <c r="K91" s="114"/>
      <c r="L91" s="115"/>
      <c r="M91" s="115"/>
    </row>
    <row r="92" spans="2:13">
      <c r="B92" s="112"/>
      <c r="F92" s="117"/>
      <c r="G92" s="116"/>
      <c r="H92" s="116"/>
      <c r="J92" s="113"/>
      <c r="K92" s="114"/>
      <c r="L92" s="115"/>
      <c r="M92" s="115"/>
    </row>
    <row r="93" spans="2:13">
      <c r="B93" s="112"/>
      <c r="F93" s="95"/>
      <c r="G93" s="116"/>
      <c r="H93" s="116"/>
      <c r="J93" s="113"/>
      <c r="K93" s="114"/>
      <c r="L93" s="115"/>
      <c r="M93" s="115"/>
    </row>
    <row r="94" spans="2:13">
      <c r="B94" s="112"/>
      <c r="E94" s="29"/>
      <c r="F94" s="117"/>
      <c r="G94" s="116"/>
      <c r="H94" s="116"/>
      <c r="J94" s="113"/>
      <c r="K94" s="114"/>
      <c r="L94" s="115"/>
      <c r="M94" s="115"/>
    </row>
    <row r="95" spans="2:13">
      <c r="B95" s="112"/>
      <c r="E95" s="29"/>
      <c r="F95" s="95"/>
      <c r="G95" s="116"/>
      <c r="H95" s="116"/>
      <c r="J95" s="113"/>
      <c r="K95" s="114"/>
      <c r="L95" s="115"/>
      <c r="M95" s="115"/>
    </row>
    <row r="96" spans="2:13">
      <c r="B96" s="112"/>
      <c r="D96" s="164"/>
      <c r="E96" s="29"/>
      <c r="F96" s="117"/>
      <c r="G96" s="116"/>
      <c r="H96" s="116"/>
      <c r="J96" s="113"/>
      <c r="K96" s="114"/>
      <c r="L96" s="115"/>
      <c r="M96" s="115"/>
    </row>
    <row r="97" spans="2:14">
      <c r="B97" s="112"/>
      <c r="D97" s="164"/>
      <c r="E97" s="29"/>
      <c r="F97" s="117"/>
      <c r="G97" s="116"/>
      <c r="H97" s="116"/>
      <c r="J97" s="113"/>
      <c r="K97" s="114"/>
      <c r="L97" s="115"/>
      <c r="M97" s="115"/>
    </row>
    <row r="98" spans="2:14">
      <c r="B98" s="112"/>
      <c r="D98" s="164"/>
      <c r="E98" s="29"/>
      <c r="F98" s="117"/>
      <c r="G98" s="116"/>
      <c r="H98" s="116"/>
      <c r="J98" s="113"/>
      <c r="K98" s="114"/>
      <c r="L98" s="115"/>
      <c r="M98" s="115"/>
    </row>
    <row r="99" spans="2:14">
      <c r="B99" s="112"/>
      <c r="D99" s="164"/>
      <c r="E99" s="29"/>
      <c r="F99" s="117"/>
      <c r="G99" s="116"/>
      <c r="H99" s="116"/>
      <c r="J99" s="113"/>
      <c r="K99" s="114"/>
      <c r="L99" s="115"/>
      <c r="M99" s="115"/>
    </row>
    <row r="100" spans="2:14">
      <c r="B100" s="112"/>
      <c r="D100" s="164"/>
      <c r="E100" s="29"/>
      <c r="F100" s="117"/>
      <c r="G100" s="116"/>
      <c r="H100" s="116"/>
      <c r="J100" s="113"/>
      <c r="K100" s="114"/>
      <c r="L100" s="115"/>
      <c r="M100" s="115"/>
    </row>
    <row r="101" spans="2:14">
      <c r="B101" s="112"/>
      <c r="E101" s="29"/>
      <c r="F101" s="95"/>
      <c r="J101" s="113"/>
      <c r="K101" s="114"/>
      <c r="L101" s="115"/>
      <c r="M101" s="115"/>
    </row>
    <row r="102" spans="2:14">
      <c r="B102" s="112"/>
      <c r="E102" s="29"/>
      <c r="F102" s="117"/>
      <c r="G102" s="303"/>
      <c r="H102" s="303"/>
      <c r="I102" s="209"/>
      <c r="J102" s="164"/>
      <c r="K102" s="164"/>
      <c r="L102" s="304"/>
      <c r="M102" s="304"/>
      <c r="N102" s="135"/>
    </row>
    <row r="103" spans="2:14">
      <c r="B103" s="112"/>
      <c r="E103" s="29"/>
      <c r="F103" s="117"/>
      <c r="G103" s="305"/>
      <c r="H103" s="303"/>
      <c r="I103" s="303"/>
      <c r="J103" s="209"/>
      <c r="K103" s="164"/>
      <c r="L103" s="304"/>
      <c r="M103" s="304"/>
      <c r="N103" s="135"/>
    </row>
  </sheetData>
  <autoFilter ref="B1:BG101">
    <sortState ref="B2:BI48">
      <sortCondition ref="B3:B31"/>
    </sortState>
  </autoFilter>
  <pageMargins left="0.7" right="0.7" top="0.75" bottom="0.75" header="0.3" footer="0.3"/>
  <pageSetup orientation="portrait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309"/>
  <sheetViews>
    <sheetView topLeftCell="G1" workbookViewId="0">
      <selection activeCell="H3" sqref="H3"/>
    </sheetView>
  </sheetViews>
  <sheetFormatPr defaultRowHeight="14.35"/>
  <cols>
    <col min="2" max="2" width="80.703125" bestFit="1" customWidth="1"/>
    <col min="3" max="3" width="18.5859375" bestFit="1" customWidth="1"/>
    <col min="8" max="8" width="55.41015625" customWidth="1"/>
    <col min="9" max="9" width="11.3515625" customWidth="1"/>
    <col min="10" max="10" width="18.41015625" customWidth="1"/>
    <col min="11" max="11" width="15.05859375" customWidth="1"/>
  </cols>
  <sheetData>
    <row r="3" spans="2:11">
      <c r="B3" s="5" t="s">
        <v>29</v>
      </c>
      <c r="C3" t="s">
        <v>706</v>
      </c>
      <c r="H3" s="5" t="s">
        <v>29</v>
      </c>
      <c r="I3" t="s">
        <v>50</v>
      </c>
      <c r="K3" s="561"/>
    </row>
    <row r="4" spans="2:11">
      <c r="B4" s="6" t="s">
        <v>718</v>
      </c>
      <c r="C4" s="31">
        <v>640.69999999999993</v>
      </c>
      <c r="H4" s="6" t="s">
        <v>576</v>
      </c>
      <c r="I4" s="31">
        <v>6108.91</v>
      </c>
      <c r="K4" s="31"/>
    </row>
    <row r="5" spans="2:11">
      <c r="B5" s="20" t="s">
        <v>2269</v>
      </c>
      <c r="C5" s="31">
        <v>512.55999999999995</v>
      </c>
      <c r="H5" s="20" t="s">
        <v>332</v>
      </c>
      <c r="I5" s="31">
        <v>5973.7</v>
      </c>
      <c r="K5" s="31"/>
    </row>
    <row r="6" spans="2:11">
      <c r="B6" s="20" t="s">
        <v>2270</v>
      </c>
      <c r="C6" s="31">
        <v>128.13999999999999</v>
      </c>
      <c r="H6" s="20" t="s">
        <v>361</v>
      </c>
      <c r="I6" s="31">
        <v>135.21</v>
      </c>
      <c r="K6" s="31"/>
    </row>
    <row r="7" spans="2:11">
      <c r="B7" s="6" t="s">
        <v>719</v>
      </c>
      <c r="C7" s="31">
        <v>122363.30964285713</v>
      </c>
      <c r="H7" s="20" t="s">
        <v>17</v>
      </c>
      <c r="I7" s="31"/>
      <c r="K7" s="31"/>
    </row>
    <row r="8" spans="2:11">
      <c r="B8" s="20" t="s">
        <v>1074</v>
      </c>
      <c r="C8" s="31">
        <v>6033.93</v>
      </c>
      <c r="H8" s="6" t="s">
        <v>653</v>
      </c>
      <c r="I8" s="31">
        <v>336.12310606060612</v>
      </c>
      <c r="K8" s="31"/>
    </row>
    <row r="9" spans="2:11">
      <c r="B9" s="20" t="s">
        <v>2285</v>
      </c>
      <c r="C9" s="31">
        <v>766.97</v>
      </c>
      <c r="H9" s="20" t="s">
        <v>361</v>
      </c>
      <c r="I9" s="31">
        <v>336.12310606060612</v>
      </c>
      <c r="K9" s="31"/>
    </row>
    <row r="10" spans="2:11">
      <c r="B10" s="20" t="s">
        <v>1084</v>
      </c>
      <c r="C10" s="31">
        <v>20426.45</v>
      </c>
      <c r="H10" s="6" t="s">
        <v>575</v>
      </c>
      <c r="I10" s="31">
        <v>6284.5639191919181</v>
      </c>
      <c r="K10" s="31"/>
    </row>
    <row r="11" spans="2:11">
      <c r="B11" s="20" t="s">
        <v>1163</v>
      </c>
      <c r="C11" s="31">
        <v>10233.06</v>
      </c>
      <c r="H11" s="20" t="s">
        <v>332</v>
      </c>
      <c r="I11" s="31">
        <v>5626.5769999999993</v>
      </c>
      <c r="K11" s="31"/>
    </row>
    <row r="12" spans="2:11">
      <c r="B12" s="20" t="s">
        <v>1086</v>
      </c>
      <c r="C12" s="31">
        <v>3116.8528571428569</v>
      </c>
      <c r="H12" s="20" t="s">
        <v>361</v>
      </c>
      <c r="I12" s="31">
        <v>657.98691919191913</v>
      </c>
      <c r="K12" s="31"/>
    </row>
    <row r="13" spans="2:11">
      <c r="B13" s="20" t="s">
        <v>1075</v>
      </c>
      <c r="C13" s="31">
        <v>6909.29</v>
      </c>
      <c r="H13" s="20" t="s">
        <v>17</v>
      </c>
      <c r="I13" s="31"/>
      <c r="K13" s="31"/>
    </row>
    <row r="14" spans="2:11">
      <c r="B14" s="20" t="s">
        <v>1085</v>
      </c>
      <c r="C14" s="31">
        <v>5010.5667857142853</v>
      </c>
      <c r="H14" s="6" t="s">
        <v>652</v>
      </c>
      <c r="I14" s="31">
        <v>3122.870606060606</v>
      </c>
      <c r="K14" s="31"/>
    </row>
    <row r="15" spans="2:11">
      <c r="B15" s="20" t="s">
        <v>1071</v>
      </c>
      <c r="C15" s="31">
        <v>4400.38</v>
      </c>
      <c r="H15" s="20" t="s">
        <v>332</v>
      </c>
      <c r="I15" s="31">
        <v>1264.3699999999999</v>
      </c>
      <c r="K15" s="31"/>
    </row>
    <row r="16" spans="2:11">
      <c r="B16" s="20" t="s">
        <v>1072</v>
      </c>
      <c r="C16" s="31">
        <v>2943.37</v>
      </c>
      <c r="H16" s="20" t="s">
        <v>361</v>
      </c>
      <c r="I16" s="31">
        <v>1858.5006060606061</v>
      </c>
      <c r="K16" s="31"/>
    </row>
    <row r="17" spans="2:11">
      <c r="B17" s="20" t="s">
        <v>1023</v>
      </c>
      <c r="C17" s="31">
        <v>1134.2699999999998</v>
      </c>
      <c r="H17" s="20" t="s">
        <v>17</v>
      </c>
      <c r="I17" s="31"/>
      <c r="K17" s="31"/>
    </row>
    <row r="18" spans="2:11">
      <c r="B18" s="20" t="s">
        <v>1088</v>
      </c>
      <c r="C18" s="31">
        <v>2760</v>
      </c>
      <c r="H18" s="6" t="s">
        <v>651</v>
      </c>
      <c r="I18" s="31">
        <v>4288.3285166666665</v>
      </c>
      <c r="K18" s="31"/>
    </row>
    <row r="19" spans="2:11">
      <c r="B19" s="20" t="s">
        <v>853</v>
      </c>
      <c r="C19" s="31">
        <v>465.57</v>
      </c>
      <c r="H19" s="20" t="s">
        <v>332</v>
      </c>
      <c r="I19" s="31">
        <v>3430.42</v>
      </c>
      <c r="K19" s="31"/>
    </row>
    <row r="20" spans="2:11">
      <c r="B20" s="20" t="s">
        <v>793</v>
      </c>
      <c r="C20" s="31">
        <v>39403.65</v>
      </c>
      <c r="H20" s="20" t="s">
        <v>361</v>
      </c>
      <c r="I20" s="31">
        <v>857.90851666666686</v>
      </c>
      <c r="K20" s="31"/>
    </row>
    <row r="21" spans="2:11">
      <c r="B21" s="20" t="s">
        <v>805</v>
      </c>
      <c r="C21" s="31">
        <v>18758.95</v>
      </c>
      <c r="H21" s="20" t="s">
        <v>17</v>
      </c>
      <c r="I21" s="31"/>
      <c r="K21" s="31"/>
    </row>
    <row r="22" spans="2:11">
      <c r="B22" s="6" t="s">
        <v>27</v>
      </c>
      <c r="C22" s="31">
        <v>2038789.3030756549</v>
      </c>
      <c r="H22" s="6" t="s">
        <v>655</v>
      </c>
      <c r="I22" s="31">
        <v>1326.6922727272729</v>
      </c>
      <c r="K22" s="31"/>
    </row>
    <row r="23" spans="2:11">
      <c r="B23" s="20" t="s">
        <v>27</v>
      </c>
      <c r="C23" s="31">
        <v>2016887.663075655</v>
      </c>
      <c r="H23" s="20" t="s">
        <v>361</v>
      </c>
      <c r="I23" s="31">
        <v>1326.6922727272729</v>
      </c>
      <c r="K23" s="31"/>
    </row>
    <row r="24" spans="2:11">
      <c r="B24" s="20" t="s">
        <v>2284</v>
      </c>
      <c r="C24" s="31">
        <v>21901.64</v>
      </c>
      <c r="H24" s="20" t="s">
        <v>17</v>
      </c>
      <c r="I24" s="31"/>
      <c r="K24" s="31"/>
    </row>
    <row r="25" spans="2:11">
      <c r="B25" s="6" t="s">
        <v>918</v>
      </c>
      <c r="C25" s="31">
        <v>89983.786111367634</v>
      </c>
      <c r="H25" s="6" t="s">
        <v>654</v>
      </c>
      <c r="I25" s="31">
        <v>7574.3389393939397</v>
      </c>
      <c r="K25" s="31"/>
    </row>
    <row r="26" spans="2:11">
      <c r="B26" s="20" t="s">
        <v>1076</v>
      </c>
      <c r="C26" s="31">
        <v>9077.23</v>
      </c>
      <c r="H26" s="20" t="s">
        <v>361</v>
      </c>
      <c r="I26" s="31">
        <v>2892.288939393939</v>
      </c>
      <c r="K26" s="31"/>
    </row>
    <row r="27" spans="2:11">
      <c r="B27" s="20" t="s">
        <v>1064</v>
      </c>
      <c r="C27" s="31">
        <v>13519.919999999998</v>
      </c>
      <c r="H27" s="20" t="s">
        <v>17</v>
      </c>
      <c r="I27" s="31">
        <v>4682.05</v>
      </c>
      <c r="K27" s="31"/>
    </row>
    <row r="28" spans="2:11">
      <c r="B28" s="20" t="s">
        <v>1073</v>
      </c>
      <c r="C28" s="31">
        <v>9569.9861113676525</v>
      </c>
      <c r="H28" s="6" t="s">
        <v>656</v>
      </c>
      <c r="I28" s="31">
        <v>1649.6042727272727</v>
      </c>
      <c r="K28" s="31"/>
    </row>
    <row r="29" spans="2:11">
      <c r="B29" s="20" t="s">
        <v>1070</v>
      </c>
      <c r="C29" s="31">
        <v>8461.32</v>
      </c>
      <c r="H29" s="20" t="s">
        <v>361</v>
      </c>
      <c r="I29" s="31">
        <v>1649.6042727272727</v>
      </c>
      <c r="K29" s="31"/>
    </row>
    <row r="30" spans="2:11">
      <c r="B30" s="20" t="s">
        <v>1087</v>
      </c>
      <c r="C30" s="31">
        <v>10207.91</v>
      </c>
      <c r="H30" s="20" t="s">
        <v>17</v>
      </c>
      <c r="I30" s="31"/>
      <c r="K30" s="31"/>
    </row>
    <row r="31" spans="2:11">
      <c r="B31" s="20" t="s">
        <v>1162</v>
      </c>
      <c r="C31" s="31">
        <v>4929.2</v>
      </c>
      <c r="H31" s="6" t="s">
        <v>577</v>
      </c>
      <c r="I31" s="31">
        <v>2123.7033333333334</v>
      </c>
      <c r="K31" s="31"/>
    </row>
    <row r="32" spans="2:11">
      <c r="B32" s="20" t="s">
        <v>1079</v>
      </c>
      <c r="C32" s="31">
        <v>10229.42</v>
      </c>
      <c r="H32" s="20" t="s">
        <v>332</v>
      </c>
      <c r="I32" s="31">
        <v>1268.73</v>
      </c>
      <c r="K32" s="31"/>
    </row>
    <row r="33" spans="2:11">
      <c r="B33" s="20" t="s">
        <v>1077</v>
      </c>
      <c r="C33" s="31">
        <v>961.63000000000011</v>
      </c>
      <c r="H33" s="20" t="s">
        <v>361</v>
      </c>
      <c r="I33" s="31">
        <v>854.97333333333324</v>
      </c>
      <c r="K33" s="31"/>
    </row>
    <row r="34" spans="2:11">
      <c r="B34" s="20" t="s">
        <v>881</v>
      </c>
      <c r="C34" s="31">
        <v>6993.76</v>
      </c>
      <c r="H34" s="20" t="s">
        <v>17</v>
      </c>
      <c r="I34" s="31"/>
      <c r="K34" s="31"/>
    </row>
    <row r="35" spans="2:11">
      <c r="B35" s="20" t="s">
        <v>1330</v>
      </c>
      <c r="C35" s="31">
        <v>485.33</v>
      </c>
      <c r="H35" s="6" t="s">
        <v>720</v>
      </c>
      <c r="I35" s="31">
        <v>2529.02</v>
      </c>
      <c r="K35" s="31"/>
    </row>
    <row r="36" spans="2:11">
      <c r="B36" s="20" t="s">
        <v>1329</v>
      </c>
      <c r="C36" s="31">
        <v>8954.48</v>
      </c>
      <c r="H36" s="20" t="s">
        <v>333</v>
      </c>
      <c r="I36" s="31">
        <v>2529.02</v>
      </c>
      <c r="K36" s="31"/>
    </row>
    <row r="37" spans="2:11">
      <c r="B37" s="20" t="s">
        <v>989</v>
      </c>
      <c r="C37" s="31">
        <v>1034.28</v>
      </c>
      <c r="H37" s="20" t="s">
        <v>17</v>
      </c>
      <c r="I37" s="31"/>
      <c r="K37" s="31"/>
    </row>
    <row r="38" spans="2:11">
      <c r="B38" s="20" t="s">
        <v>1365</v>
      </c>
      <c r="C38" s="31">
        <v>2100</v>
      </c>
      <c r="H38" s="6" t="s">
        <v>28</v>
      </c>
      <c r="I38" s="31">
        <v>35344.154966161615</v>
      </c>
      <c r="K38" s="31"/>
    </row>
    <row r="39" spans="2:11">
      <c r="B39" s="20" t="s">
        <v>1364</v>
      </c>
      <c r="C39" s="31">
        <v>2100</v>
      </c>
      <c r="K39" s="31"/>
    </row>
    <row r="40" spans="2:11">
      <c r="B40" s="20" t="s">
        <v>784</v>
      </c>
      <c r="C40" s="31">
        <v>1359.3199999999997</v>
      </c>
      <c r="K40" s="31"/>
    </row>
    <row r="41" spans="2:11">
      <c r="B41" s="6" t="s">
        <v>1786</v>
      </c>
      <c r="C41" s="31">
        <v>221741.17857142855</v>
      </c>
      <c r="K41" s="31"/>
    </row>
    <row r="42" spans="2:11">
      <c r="B42" s="20" t="s">
        <v>1186</v>
      </c>
      <c r="C42" s="31">
        <v>34300.339999999997</v>
      </c>
      <c r="K42" s="31"/>
    </row>
    <row r="43" spans="2:11">
      <c r="B43" s="20" t="s">
        <v>2228</v>
      </c>
      <c r="C43" s="31">
        <v>15395.84</v>
      </c>
      <c r="K43" s="31"/>
    </row>
    <row r="44" spans="2:11">
      <c r="B44" s="20" t="s">
        <v>952</v>
      </c>
      <c r="C44" s="31">
        <v>288</v>
      </c>
      <c r="K44" s="31"/>
    </row>
    <row r="45" spans="2:11">
      <c r="B45" s="20" t="s">
        <v>1167</v>
      </c>
      <c r="C45" s="31">
        <v>8778.7899999999991</v>
      </c>
      <c r="K45" s="31"/>
    </row>
    <row r="46" spans="2:11">
      <c r="B46" s="20" t="s">
        <v>1241</v>
      </c>
      <c r="C46" s="31">
        <v>2733.92</v>
      </c>
      <c r="K46" s="31"/>
    </row>
    <row r="47" spans="2:11">
      <c r="B47" s="20" t="s">
        <v>1276</v>
      </c>
      <c r="C47" s="31">
        <v>6337.84</v>
      </c>
      <c r="K47" s="31"/>
    </row>
    <row r="48" spans="2:11">
      <c r="B48" s="20" t="s">
        <v>1278</v>
      </c>
      <c r="C48" s="31">
        <v>14529.22</v>
      </c>
      <c r="K48" s="31"/>
    </row>
    <row r="49" spans="2:11">
      <c r="B49" s="20" t="s">
        <v>2184</v>
      </c>
      <c r="C49" s="31">
        <v>25231.185714285715</v>
      </c>
      <c r="K49" s="31"/>
    </row>
    <row r="50" spans="2:11">
      <c r="B50" s="20" t="s">
        <v>1253</v>
      </c>
      <c r="C50" s="31">
        <v>15192.945714285714</v>
      </c>
      <c r="K50" s="31"/>
    </row>
    <row r="51" spans="2:11">
      <c r="B51" s="20" t="s">
        <v>1662</v>
      </c>
      <c r="C51" s="31">
        <v>12745.04</v>
      </c>
      <c r="K51" s="31"/>
    </row>
    <row r="52" spans="2:11">
      <c r="B52" s="20" t="s">
        <v>1754</v>
      </c>
      <c r="C52" s="31">
        <v>5563.66</v>
      </c>
      <c r="K52" s="31"/>
    </row>
    <row r="53" spans="2:11">
      <c r="B53" s="20" t="s">
        <v>1765</v>
      </c>
      <c r="C53" s="31">
        <v>11973.66</v>
      </c>
      <c r="K53" s="31"/>
    </row>
    <row r="54" spans="2:11">
      <c r="B54" s="20" t="s">
        <v>1766</v>
      </c>
      <c r="C54" s="31">
        <v>3069.5</v>
      </c>
      <c r="K54" s="31"/>
    </row>
    <row r="55" spans="2:11">
      <c r="B55" s="20" t="s">
        <v>1774</v>
      </c>
      <c r="C55" s="31">
        <v>2505.8599999999997</v>
      </c>
      <c r="K55" s="31"/>
    </row>
    <row r="56" spans="2:11">
      <c r="B56" s="20" t="s">
        <v>1802</v>
      </c>
      <c r="C56" s="31">
        <v>9751.0014285714278</v>
      </c>
      <c r="K56" s="31"/>
    </row>
    <row r="57" spans="2:11">
      <c r="B57" s="20" t="s">
        <v>1803</v>
      </c>
      <c r="C57" s="31">
        <v>10804.11</v>
      </c>
      <c r="K57" s="31"/>
    </row>
    <row r="58" spans="2:11">
      <c r="B58" s="20" t="s">
        <v>2147</v>
      </c>
      <c r="C58" s="31">
        <v>15636.25</v>
      </c>
      <c r="K58" s="31"/>
    </row>
    <row r="59" spans="2:11">
      <c r="B59" s="20" t="s">
        <v>2154</v>
      </c>
      <c r="C59" s="31">
        <v>1404.18</v>
      </c>
      <c r="K59" s="31"/>
    </row>
    <row r="60" spans="2:11">
      <c r="B60" s="20" t="s">
        <v>2160</v>
      </c>
      <c r="C60" s="31">
        <v>6237.77</v>
      </c>
      <c r="K60" s="31"/>
    </row>
    <row r="61" spans="2:11">
      <c r="B61" s="20" t="s">
        <v>2164</v>
      </c>
      <c r="C61" s="31">
        <v>10338.380000000001</v>
      </c>
      <c r="K61" s="31"/>
    </row>
    <row r="62" spans="2:11">
      <c r="B62" s="20" t="s">
        <v>2191</v>
      </c>
      <c r="C62" s="31">
        <v>1197.6428571428571</v>
      </c>
      <c r="K62" s="31"/>
    </row>
    <row r="63" spans="2:11">
      <c r="B63" s="20" t="s">
        <v>2194</v>
      </c>
      <c r="C63" s="31">
        <v>512.57000000000005</v>
      </c>
      <c r="K63" s="31"/>
    </row>
    <row r="64" spans="2:11">
      <c r="B64" s="20" t="s">
        <v>2195</v>
      </c>
      <c r="C64" s="31">
        <v>128.14285714285717</v>
      </c>
      <c r="K64" s="31"/>
    </row>
    <row r="65" spans="2:11">
      <c r="B65" s="20" t="s">
        <v>2197</v>
      </c>
      <c r="C65" s="31">
        <v>256.29000000000002</v>
      </c>
      <c r="K65" s="31"/>
    </row>
    <row r="66" spans="2:11">
      <c r="B66" s="20" t="s">
        <v>2199</v>
      </c>
      <c r="C66" s="31">
        <v>768.86</v>
      </c>
      <c r="K66" s="31"/>
    </row>
    <row r="67" spans="2:11">
      <c r="B67" s="20" t="s">
        <v>2204</v>
      </c>
      <c r="C67" s="31">
        <v>1153.29</v>
      </c>
      <c r="K67" s="31"/>
    </row>
    <row r="68" spans="2:11">
      <c r="B68" s="20" t="s">
        <v>2207</v>
      </c>
      <c r="C68" s="31">
        <v>640.71</v>
      </c>
      <c r="K68" s="31"/>
    </row>
    <row r="69" spans="2:11">
      <c r="B69" s="20" t="s">
        <v>2213</v>
      </c>
      <c r="C69" s="31">
        <v>320.36</v>
      </c>
      <c r="K69" s="31"/>
    </row>
    <row r="70" spans="2:11">
      <c r="B70" s="20" t="s">
        <v>2211</v>
      </c>
      <c r="C70" s="31">
        <v>320.36</v>
      </c>
      <c r="K70" s="31"/>
    </row>
    <row r="71" spans="2:11">
      <c r="B71" s="20" t="s">
        <v>2222</v>
      </c>
      <c r="C71" s="31">
        <v>3625.46</v>
      </c>
      <c r="K71" s="31"/>
    </row>
    <row r="72" spans="2:11">
      <c r="B72" s="6" t="s">
        <v>919</v>
      </c>
      <c r="C72" s="31">
        <v>183054.79428571428</v>
      </c>
      <c r="K72" s="31"/>
    </row>
    <row r="73" spans="2:11">
      <c r="B73" s="20" t="s">
        <v>763</v>
      </c>
      <c r="C73" s="31">
        <v>1505.23</v>
      </c>
      <c r="K73" s="31"/>
    </row>
    <row r="74" spans="2:11">
      <c r="B74" s="20" t="s">
        <v>1182</v>
      </c>
      <c r="C74" s="31">
        <v>15871.58</v>
      </c>
      <c r="K74" s="31"/>
    </row>
    <row r="75" spans="2:11">
      <c r="B75" s="20" t="s">
        <v>1103</v>
      </c>
      <c r="C75" s="31">
        <v>1120</v>
      </c>
      <c r="K75" s="31"/>
    </row>
    <row r="76" spans="2:11">
      <c r="B76" s="20" t="s">
        <v>1090</v>
      </c>
      <c r="C76" s="31">
        <v>4672.3500000000004</v>
      </c>
      <c r="K76" s="31"/>
    </row>
    <row r="77" spans="2:11">
      <c r="B77" s="20" t="s">
        <v>828</v>
      </c>
      <c r="C77" s="31">
        <v>3982.2300000000005</v>
      </c>
      <c r="K77" s="31"/>
    </row>
    <row r="78" spans="2:11">
      <c r="B78" s="20" t="s">
        <v>1054</v>
      </c>
      <c r="C78" s="31">
        <v>2090.71</v>
      </c>
      <c r="K78" s="31"/>
    </row>
    <row r="79" spans="2:11">
      <c r="B79" s="20" t="s">
        <v>900</v>
      </c>
      <c r="C79" s="31">
        <v>8107.4000000000005</v>
      </c>
      <c r="K79" s="31"/>
    </row>
    <row r="80" spans="2:11">
      <c r="B80" s="20" t="s">
        <v>903</v>
      </c>
      <c r="C80" s="31">
        <v>9590.4</v>
      </c>
      <c r="K80" s="31"/>
    </row>
    <row r="81" spans="2:11">
      <c r="B81" s="20" t="s">
        <v>941</v>
      </c>
      <c r="C81" s="31">
        <v>3984.8599999999997</v>
      </c>
      <c r="K81" s="31"/>
    </row>
    <row r="82" spans="2:11">
      <c r="B82" s="20" t="s">
        <v>946</v>
      </c>
      <c r="C82" s="31">
        <v>5992.76</v>
      </c>
      <c r="K82" s="31"/>
    </row>
    <row r="83" spans="2:11">
      <c r="B83" s="20" t="s">
        <v>945</v>
      </c>
      <c r="C83" s="31">
        <v>10627.34</v>
      </c>
      <c r="K83" s="31"/>
    </row>
    <row r="84" spans="2:11">
      <c r="B84" s="20" t="s">
        <v>968</v>
      </c>
      <c r="C84" s="31">
        <v>15478.344285714284</v>
      </c>
      <c r="K84" s="31"/>
    </row>
    <row r="85" spans="2:11">
      <c r="B85" s="20" t="s">
        <v>976</v>
      </c>
      <c r="C85" s="31">
        <v>23218.05</v>
      </c>
      <c r="K85" s="31"/>
    </row>
    <row r="86" spans="2:11">
      <c r="B86" s="20" t="s">
        <v>997</v>
      </c>
      <c r="C86" s="31">
        <v>665.54</v>
      </c>
      <c r="K86" s="31"/>
    </row>
    <row r="87" spans="2:11">
      <c r="B87" s="20" t="s">
        <v>1091</v>
      </c>
      <c r="C87" s="31">
        <v>560</v>
      </c>
      <c r="K87" s="31"/>
    </row>
    <row r="88" spans="2:11">
      <c r="B88" s="20" t="s">
        <v>1029</v>
      </c>
      <c r="C88" s="31">
        <v>17686.009999999998</v>
      </c>
      <c r="K88" s="31"/>
    </row>
    <row r="89" spans="2:11">
      <c r="B89" s="20" t="s">
        <v>1034</v>
      </c>
      <c r="C89" s="31">
        <v>8291.4699999999993</v>
      </c>
      <c r="K89" s="31"/>
    </row>
    <row r="90" spans="2:11">
      <c r="B90" s="20" t="s">
        <v>1051</v>
      </c>
      <c r="C90" s="31">
        <v>13426.1</v>
      </c>
      <c r="K90" s="31"/>
    </row>
    <row r="91" spans="2:11">
      <c r="B91" s="20" t="s">
        <v>1094</v>
      </c>
      <c r="C91" s="31">
        <v>28193.42</v>
      </c>
      <c r="K91" s="31"/>
    </row>
    <row r="92" spans="2:11">
      <c r="B92" s="20" t="s">
        <v>1112</v>
      </c>
      <c r="C92" s="31">
        <v>6516</v>
      </c>
      <c r="K92" s="31"/>
    </row>
    <row r="93" spans="2:11">
      <c r="B93" s="20" t="s">
        <v>1188</v>
      </c>
      <c r="C93" s="31">
        <v>1475</v>
      </c>
      <c r="K93" s="31"/>
    </row>
    <row r="94" spans="2:11">
      <c r="B94" s="6" t="s">
        <v>916</v>
      </c>
      <c r="C94" s="31">
        <v>158329.45928571431</v>
      </c>
      <c r="K94" s="31"/>
    </row>
    <row r="95" spans="2:11">
      <c r="B95" s="20" t="s">
        <v>1327</v>
      </c>
      <c r="C95" s="31">
        <v>8027.19</v>
      </c>
      <c r="K95" s="31"/>
    </row>
    <row r="96" spans="2:11">
      <c r="B96" s="20" t="s">
        <v>1092</v>
      </c>
      <c r="C96" s="31">
        <v>3449.71</v>
      </c>
      <c r="K96" s="31"/>
    </row>
    <row r="97" spans="2:11">
      <c r="B97" s="20" t="s">
        <v>1328</v>
      </c>
      <c r="C97" s="31">
        <v>3408.92</v>
      </c>
      <c r="K97" s="31"/>
    </row>
    <row r="98" spans="2:11">
      <c r="B98" s="20" t="s">
        <v>1078</v>
      </c>
      <c r="C98" s="31">
        <v>7925.5749999999998</v>
      </c>
      <c r="K98" s="31"/>
    </row>
    <row r="99" spans="2:11">
      <c r="B99" s="20" t="s">
        <v>754</v>
      </c>
      <c r="C99" s="31">
        <v>23006.15</v>
      </c>
      <c r="K99" s="31"/>
    </row>
    <row r="100" spans="2:11">
      <c r="B100" s="20" t="s">
        <v>1093</v>
      </c>
      <c r="C100" s="31">
        <v>9071.062857142857</v>
      </c>
      <c r="K100" s="31"/>
    </row>
    <row r="101" spans="2:11">
      <c r="B101" s="20" t="s">
        <v>1137</v>
      </c>
      <c r="C101" s="31">
        <v>3787.6</v>
      </c>
      <c r="K101" s="31"/>
    </row>
    <row r="102" spans="2:11">
      <c r="B102" s="20" t="s">
        <v>1133</v>
      </c>
      <c r="C102" s="31">
        <v>4065.8900000000003</v>
      </c>
      <c r="K102" s="31"/>
    </row>
    <row r="103" spans="2:11">
      <c r="B103" s="20" t="s">
        <v>1331</v>
      </c>
      <c r="C103" s="31">
        <v>558.04</v>
      </c>
      <c r="K103" s="31"/>
    </row>
    <row r="104" spans="2:11">
      <c r="B104" s="20" t="s">
        <v>1012</v>
      </c>
      <c r="C104" s="31">
        <v>3932.0600000000004</v>
      </c>
      <c r="K104" s="31"/>
    </row>
    <row r="105" spans="2:11">
      <c r="B105" s="20" t="s">
        <v>1045</v>
      </c>
      <c r="C105" s="31">
        <v>6272.99</v>
      </c>
      <c r="K105" s="31"/>
    </row>
    <row r="106" spans="2:11">
      <c r="B106" s="20" t="s">
        <v>1089</v>
      </c>
      <c r="C106" s="31">
        <v>7996.1314285714288</v>
      </c>
      <c r="K106" s="31"/>
    </row>
    <row r="107" spans="2:11">
      <c r="B107" s="20" t="s">
        <v>1044</v>
      </c>
      <c r="C107" s="31">
        <v>6113.71</v>
      </c>
      <c r="K107" s="31"/>
    </row>
    <row r="108" spans="2:11">
      <c r="B108" s="20" t="s">
        <v>1024</v>
      </c>
      <c r="C108" s="31">
        <v>10471.540000000001</v>
      </c>
      <c r="K108" s="31"/>
    </row>
    <row r="109" spans="2:11">
      <c r="B109" s="20" t="s">
        <v>1037</v>
      </c>
      <c r="C109" s="31">
        <v>1430</v>
      </c>
      <c r="K109" s="31"/>
    </row>
    <row r="110" spans="2:11">
      <c r="B110" s="20" t="s">
        <v>1041</v>
      </c>
      <c r="C110" s="31">
        <v>5183.5200000000004</v>
      </c>
      <c r="K110" s="31"/>
    </row>
    <row r="111" spans="2:11">
      <c r="B111" s="20" t="s">
        <v>954</v>
      </c>
      <c r="C111" s="31">
        <v>8991.9</v>
      </c>
      <c r="K111" s="31"/>
    </row>
    <row r="112" spans="2:11">
      <c r="B112" s="20" t="s">
        <v>1040</v>
      </c>
      <c r="C112" s="31">
        <v>4559.3599999999997</v>
      </c>
      <c r="K112" s="31"/>
    </row>
    <row r="113" spans="2:11">
      <c r="B113" s="20" t="s">
        <v>957</v>
      </c>
      <c r="C113" s="31">
        <v>1095.0500000000002</v>
      </c>
      <c r="K113" s="31"/>
    </row>
    <row r="114" spans="2:11">
      <c r="B114" s="20" t="s">
        <v>958</v>
      </c>
      <c r="C114" s="31">
        <v>2812.1</v>
      </c>
      <c r="K114" s="31"/>
    </row>
    <row r="115" spans="2:11">
      <c r="B115" s="20" t="s">
        <v>966</v>
      </c>
      <c r="C115" s="31">
        <v>2259.38</v>
      </c>
    </row>
    <row r="116" spans="2:11">
      <c r="B116" s="20" t="s">
        <v>972</v>
      </c>
      <c r="C116" s="31">
        <v>2374.96</v>
      </c>
    </row>
    <row r="117" spans="2:11">
      <c r="B117" s="20" t="s">
        <v>1021</v>
      </c>
      <c r="C117" s="31">
        <v>1905.5</v>
      </c>
    </row>
    <row r="118" spans="2:11">
      <c r="B118" s="20" t="s">
        <v>1048</v>
      </c>
      <c r="C118" s="31">
        <v>23551.72</v>
      </c>
    </row>
    <row r="119" spans="2:11">
      <c r="B119" s="20" t="s">
        <v>1050</v>
      </c>
      <c r="C119" s="31">
        <v>254.28000000000003</v>
      </c>
    </row>
    <row r="120" spans="2:11">
      <c r="B120" s="20" t="s">
        <v>1104</v>
      </c>
      <c r="C120" s="31">
        <v>5825.12</v>
      </c>
    </row>
    <row r="121" spans="2:11">
      <c r="B121" s="6" t="s">
        <v>917</v>
      </c>
      <c r="C121" s="31">
        <v>159688.90192857143</v>
      </c>
    </row>
    <row r="122" spans="2:11">
      <c r="B122" s="20" t="s">
        <v>934</v>
      </c>
      <c r="C122" s="31">
        <v>8685.35</v>
      </c>
    </row>
    <row r="123" spans="2:11">
      <c r="B123" s="20" t="s">
        <v>973</v>
      </c>
      <c r="C123" s="31">
        <v>25019.768571428573</v>
      </c>
    </row>
    <row r="124" spans="2:11">
      <c r="B124" s="20" t="s">
        <v>1056</v>
      </c>
      <c r="C124" s="31">
        <v>1535.1</v>
      </c>
    </row>
    <row r="125" spans="2:11">
      <c r="B125" s="20" t="s">
        <v>1055</v>
      </c>
      <c r="C125" s="31">
        <v>4979.0999999999995</v>
      </c>
    </row>
    <row r="126" spans="2:11">
      <c r="B126" s="20" t="s">
        <v>1177</v>
      </c>
      <c r="C126" s="31">
        <v>8551.8799999999992</v>
      </c>
    </row>
    <row r="127" spans="2:11">
      <c r="B127" s="20" t="s">
        <v>1215</v>
      </c>
      <c r="C127" s="31">
        <v>19912.220428571425</v>
      </c>
    </row>
    <row r="128" spans="2:11">
      <c r="B128" s="20" t="s">
        <v>935</v>
      </c>
      <c r="C128" s="31">
        <v>3471.5</v>
      </c>
    </row>
    <row r="129" spans="2:3">
      <c r="B129" s="20" t="s">
        <v>1100</v>
      </c>
      <c r="C129" s="31">
        <v>3479.3999999999996</v>
      </c>
    </row>
    <row r="130" spans="2:3">
      <c r="B130" s="20" t="s">
        <v>1057</v>
      </c>
      <c r="C130" s="31">
        <v>2460.4699999999998</v>
      </c>
    </row>
    <row r="131" spans="2:3">
      <c r="B131" s="20" t="s">
        <v>1058</v>
      </c>
      <c r="C131" s="31">
        <v>9099.61</v>
      </c>
    </row>
    <row r="132" spans="2:3">
      <c r="B132" s="20" t="s">
        <v>1022</v>
      </c>
      <c r="C132" s="31">
        <v>13306.27</v>
      </c>
    </row>
    <row r="133" spans="2:3">
      <c r="B133" s="20" t="s">
        <v>1059</v>
      </c>
      <c r="C133" s="31">
        <v>5508.2146428571423</v>
      </c>
    </row>
    <row r="134" spans="2:3">
      <c r="B134" s="20" t="s">
        <v>1062</v>
      </c>
      <c r="C134" s="31">
        <v>1493.4099999999999</v>
      </c>
    </row>
    <row r="135" spans="2:3">
      <c r="B135" s="20" t="s">
        <v>985</v>
      </c>
      <c r="C135" s="31">
        <v>3684.78</v>
      </c>
    </row>
    <row r="136" spans="2:3">
      <c r="B136" s="20" t="s">
        <v>1065</v>
      </c>
      <c r="C136" s="31">
        <v>3135.04</v>
      </c>
    </row>
    <row r="137" spans="2:3">
      <c r="B137" s="20" t="s">
        <v>1066</v>
      </c>
      <c r="C137" s="31">
        <v>4344.42</v>
      </c>
    </row>
    <row r="138" spans="2:3">
      <c r="B138" s="20" t="s">
        <v>998</v>
      </c>
      <c r="C138" s="31">
        <v>957.28</v>
      </c>
    </row>
    <row r="139" spans="2:3">
      <c r="B139" s="20" t="s">
        <v>1067</v>
      </c>
      <c r="C139" s="31">
        <v>514.97</v>
      </c>
    </row>
    <row r="140" spans="2:3">
      <c r="B140" s="20" t="s">
        <v>1068</v>
      </c>
      <c r="C140" s="31">
        <v>980.54</v>
      </c>
    </row>
    <row r="141" spans="2:3">
      <c r="B141" s="20" t="s">
        <v>1069</v>
      </c>
      <c r="C141" s="31">
        <v>1138.7</v>
      </c>
    </row>
    <row r="142" spans="2:3">
      <c r="B142" s="20" t="s">
        <v>1043</v>
      </c>
      <c r="C142" s="31">
        <v>12365.6</v>
      </c>
    </row>
    <row r="143" spans="2:3">
      <c r="B143" s="20" t="s">
        <v>965</v>
      </c>
      <c r="C143" s="31">
        <v>9370.8799999999992</v>
      </c>
    </row>
    <row r="144" spans="2:3">
      <c r="B144" s="20" t="s">
        <v>937</v>
      </c>
      <c r="C144" s="31">
        <v>14329.398285714287</v>
      </c>
    </row>
    <row r="145" spans="2:3">
      <c r="B145" s="20" t="s">
        <v>1038</v>
      </c>
      <c r="C145" s="31">
        <v>1365</v>
      </c>
    </row>
    <row r="146" spans="2:3">
      <c r="B146" s="6" t="s">
        <v>1102</v>
      </c>
      <c r="C146" s="31">
        <v>220128.15724999999</v>
      </c>
    </row>
    <row r="147" spans="2:3">
      <c r="B147" s="20" t="s">
        <v>750</v>
      </c>
      <c r="C147" s="31">
        <v>68329.850000000006</v>
      </c>
    </row>
    <row r="148" spans="2:3">
      <c r="B148" s="20" t="s">
        <v>1042</v>
      </c>
      <c r="C148" s="31">
        <v>2738.31</v>
      </c>
    </row>
    <row r="149" spans="2:3">
      <c r="B149" s="20" t="s">
        <v>1046</v>
      </c>
      <c r="C149" s="31">
        <v>19825</v>
      </c>
    </row>
    <row r="150" spans="2:3">
      <c r="B150" s="20" t="s">
        <v>1267</v>
      </c>
      <c r="C150" s="31">
        <v>1725.75</v>
      </c>
    </row>
    <row r="151" spans="2:3">
      <c r="B151" s="20" t="s">
        <v>901</v>
      </c>
      <c r="C151" s="31">
        <v>3914.8599999999997</v>
      </c>
    </row>
    <row r="152" spans="2:3">
      <c r="B152" s="20" t="s">
        <v>2286</v>
      </c>
      <c r="C152" s="31">
        <v>13999.09</v>
      </c>
    </row>
    <row r="153" spans="2:3">
      <c r="B153" s="20" t="s">
        <v>947</v>
      </c>
      <c r="C153" s="31">
        <v>2349.73</v>
      </c>
    </row>
    <row r="154" spans="2:3">
      <c r="B154" s="20" t="s">
        <v>1082</v>
      </c>
      <c r="C154" s="31">
        <v>6235.2889285714282</v>
      </c>
    </row>
    <row r="155" spans="2:3">
      <c r="B155" s="20" t="s">
        <v>1095</v>
      </c>
      <c r="C155" s="31">
        <v>6777.1900000000005</v>
      </c>
    </row>
    <row r="156" spans="2:3">
      <c r="B156" s="20" t="s">
        <v>1096</v>
      </c>
      <c r="C156" s="31">
        <v>980.54</v>
      </c>
    </row>
    <row r="157" spans="2:3">
      <c r="B157" s="20" t="s">
        <v>1141</v>
      </c>
      <c r="C157" s="31">
        <v>9170.67</v>
      </c>
    </row>
    <row r="158" spans="2:3">
      <c r="B158" s="20" t="s">
        <v>1145</v>
      </c>
      <c r="C158" s="31">
        <v>11617.076000000001</v>
      </c>
    </row>
    <row r="159" spans="2:3">
      <c r="B159" s="20" t="s">
        <v>1148</v>
      </c>
      <c r="C159" s="31">
        <v>21131.11</v>
      </c>
    </row>
    <row r="160" spans="2:3">
      <c r="B160" s="20" t="s">
        <v>1052</v>
      </c>
      <c r="C160" s="31">
        <v>10692.61</v>
      </c>
    </row>
    <row r="161" spans="2:3">
      <c r="B161" s="20" t="s">
        <v>1180</v>
      </c>
      <c r="C161" s="31">
        <v>35475.032321428575</v>
      </c>
    </row>
    <row r="162" spans="2:3">
      <c r="B162" s="20" t="s">
        <v>1119</v>
      </c>
      <c r="C162" s="31">
        <v>1760</v>
      </c>
    </row>
    <row r="163" spans="2:3">
      <c r="B163" s="20" t="s">
        <v>1228</v>
      </c>
      <c r="C163" s="31">
        <v>1063.49</v>
      </c>
    </row>
    <row r="164" spans="2:3">
      <c r="B164" s="20" t="s">
        <v>1237</v>
      </c>
      <c r="C164" s="31">
        <v>697.93</v>
      </c>
    </row>
    <row r="165" spans="2:3">
      <c r="B165" s="20" t="s">
        <v>1266</v>
      </c>
      <c r="C165" s="31">
        <v>1644.6299999999999</v>
      </c>
    </row>
    <row r="166" spans="2:3">
      <c r="B166" s="6" t="s">
        <v>1787</v>
      </c>
      <c r="C166" s="31">
        <v>214955.02928571429</v>
      </c>
    </row>
    <row r="167" spans="2:3">
      <c r="B167" s="20" t="s">
        <v>1185</v>
      </c>
      <c r="C167" s="31">
        <v>12264.47</v>
      </c>
    </row>
    <row r="168" spans="2:3">
      <c r="B168" s="20" t="s">
        <v>1083</v>
      </c>
      <c r="C168" s="31">
        <v>6265.77</v>
      </c>
    </row>
    <row r="169" spans="2:3">
      <c r="B169" s="20" t="s">
        <v>1183</v>
      </c>
      <c r="C169" s="31">
        <v>1056.78</v>
      </c>
    </row>
    <row r="170" spans="2:3">
      <c r="B170" s="20" t="s">
        <v>1851</v>
      </c>
      <c r="C170" s="31">
        <v>1571.26</v>
      </c>
    </row>
    <row r="171" spans="2:3">
      <c r="B171" s="20" t="s">
        <v>1047</v>
      </c>
      <c r="C171" s="31">
        <v>1035.19</v>
      </c>
    </row>
    <row r="172" spans="2:3">
      <c r="B172" s="20" t="s">
        <v>953</v>
      </c>
      <c r="C172" s="31">
        <v>5760</v>
      </c>
    </row>
    <row r="173" spans="2:3">
      <c r="B173" s="20" t="s">
        <v>1098</v>
      </c>
      <c r="C173" s="31">
        <v>2240</v>
      </c>
    </row>
    <row r="174" spans="2:3">
      <c r="B174" s="20" t="s">
        <v>1147</v>
      </c>
      <c r="C174" s="31">
        <v>8773.94</v>
      </c>
    </row>
    <row r="175" spans="2:3">
      <c r="B175" s="20" t="s">
        <v>1193</v>
      </c>
      <c r="C175" s="31">
        <v>847</v>
      </c>
    </row>
    <row r="176" spans="2:3">
      <c r="B176" s="20" t="s">
        <v>1254</v>
      </c>
      <c r="C176" s="31">
        <v>2322.6892857142852</v>
      </c>
    </row>
    <row r="177" spans="2:3">
      <c r="B177" s="20" t="s">
        <v>1283</v>
      </c>
      <c r="C177" s="31">
        <v>82.91</v>
      </c>
    </row>
    <row r="178" spans="2:3">
      <c r="B178" s="20" t="s">
        <v>1287</v>
      </c>
      <c r="C178" s="31">
        <v>20312.55</v>
      </c>
    </row>
    <row r="179" spans="2:3">
      <c r="B179" s="20" t="s">
        <v>1192</v>
      </c>
      <c r="C179" s="31">
        <v>4802.37</v>
      </c>
    </row>
    <row r="180" spans="2:3">
      <c r="B180" s="20" t="s">
        <v>1657</v>
      </c>
      <c r="C180" s="31">
        <v>1252.5899999999999</v>
      </c>
    </row>
    <row r="181" spans="2:3">
      <c r="B181" s="20" t="s">
        <v>1659</v>
      </c>
      <c r="C181" s="31">
        <v>1711.6</v>
      </c>
    </row>
    <row r="182" spans="2:3">
      <c r="B182" s="20" t="s">
        <v>1751</v>
      </c>
      <c r="C182" s="31">
        <v>2066.42</v>
      </c>
    </row>
    <row r="183" spans="2:3">
      <c r="B183" s="20" t="s">
        <v>1752</v>
      </c>
      <c r="C183" s="31">
        <v>560</v>
      </c>
    </row>
    <row r="184" spans="2:3">
      <c r="B184" s="20" t="s">
        <v>2165</v>
      </c>
      <c r="C184" s="31">
        <v>5531.99</v>
      </c>
    </row>
    <row r="185" spans="2:3">
      <c r="B185" s="20" t="s">
        <v>1767</v>
      </c>
      <c r="C185" s="31">
        <v>6634.97</v>
      </c>
    </row>
    <row r="186" spans="2:3">
      <c r="B186" s="20" t="s">
        <v>1771</v>
      </c>
      <c r="C186" s="31">
        <v>1586.44</v>
      </c>
    </row>
    <row r="187" spans="2:3">
      <c r="B187" s="20" t="s">
        <v>1773</v>
      </c>
      <c r="C187" s="31">
        <v>2026.01</v>
      </c>
    </row>
    <row r="188" spans="2:3">
      <c r="B188" s="20" t="s">
        <v>1775</v>
      </c>
      <c r="C188" s="31">
        <v>582.23</v>
      </c>
    </row>
    <row r="189" spans="2:3">
      <c r="B189" s="20" t="s">
        <v>1776</v>
      </c>
      <c r="C189" s="31">
        <v>1338.12</v>
      </c>
    </row>
    <row r="190" spans="2:3">
      <c r="B190" s="20" t="s">
        <v>1779</v>
      </c>
      <c r="C190" s="31">
        <v>2107.06</v>
      </c>
    </row>
    <row r="191" spans="2:3">
      <c r="B191" s="20" t="s">
        <v>1782</v>
      </c>
      <c r="C191" s="31">
        <v>2761.16</v>
      </c>
    </row>
    <row r="192" spans="2:3">
      <c r="B192" s="20" t="s">
        <v>2151</v>
      </c>
      <c r="C192" s="31">
        <v>671.72</v>
      </c>
    </row>
    <row r="193" spans="2:3">
      <c r="B193" s="20" t="s">
        <v>2275</v>
      </c>
      <c r="C193" s="31">
        <v>1516.81</v>
      </c>
    </row>
    <row r="194" spans="2:3">
      <c r="B194" s="20" t="s">
        <v>1783</v>
      </c>
      <c r="C194" s="31">
        <v>3447.12</v>
      </c>
    </row>
    <row r="195" spans="2:3">
      <c r="B195" s="20" t="s">
        <v>1785</v>
      </c>
      <c r="C195" s="31">
        <v>1195.8499999999999</v>
      </c>
    </row>
    <row r="196" spans="2:3">
      <c r="B196" s="20" t="s">
        <v>1793</v>
      </c>
      <c r="C196" s="31">
        <v>4429.6000000000004</v>
      </c>
    </row>
    <row r="197" spans="2:3">
      <c r="B197" s="20" t="s">
        <v>1795</v>
      </c>
      <c r="C197" s="31">
        <v>5248.59</v>
      </c>
    </row>
    <row r="198" spans="2:3">
      <c r="B198" s="20" t="s">
        <v>1797</v>
      </c>
      <c r="C198" s="31">
        <v>731.99</v>
      </c>
    </row>
    <row r="199" spans="2:3">
      <c r="B199" s="20" t="s">
        <v>1854</v>
      </c>
      <c r="C199" s="31">
        <v>21847.48</v>
      </c>
    </row>
    <row r="200" spans="2:3">
      <c r="B200" s="20" t="s">
        <v>2146</v>
      </c>
      <c r="C200" s="31">
        <v>2209.46</v>
      </c>
    </row>
    <row r="201" spans="2:3">
      <c r="B201" s="20" t="s">
        <v>2150</v>
      </c>
      <c r="C201" s="31">
        <v>1400</v>
      </c>
    </row>
    <row r="202" spans="2:3">
      <c r="B202" s="20" t="s">
        <v>2152</v>
      </c>
      <c r="C202" s="31">
        <v>8383.48</v>
      </c>
    </row>
    <row r="203" spans="2:3">
      <c r="B203" s="20" t="s">
        <v>2155</v>
      </c>
      <c r="C203" s="31">
        <v>7704.13</v>
      </c>
    </row>
    <row r="204" spans="2:3">
      <c r="B204" s="20" t="s">
        <v>2177</v>
      </c>
      <c r="C204" s="31">
        <v>15585.13</v>
      </c>
    </row>
    <row r="205" spans="2:3">
      <c r="B205" s="20" t="s">
        <v>2178</v>
      </c>
      <c r="C205" s="31">
        <v>36173.660000000003</v>
      </c>
    </row>
    <row r="206" spans="2:3">
      <c r="B206" s="20" t="s">
        <v>2214</v>
      </c>
      <c r="C206" s="31">
        <v>640.71</v>
      </c>
    </row>
    <row r="207" spans="2:3">
      <c r="B207" s="20" t="s">
        <v>2217</v>
      </c>
      <c r="C207" s="31">
        <v>1919</v>
      </c>
    </row>
    <row r="208" spans="2:3">
      <c r="B208" s="20" t="s">
        <v>2249</v>
      </c>
      <c r="C208" s="31">
        <v>2498.79</v>
      </c>
    </row>
    <row r="209" spans="2:3">
      <c r="B209" s="20" t="s">
        <v>2264</v>
      </c>
      <c r="C209" s="31">
        <v>3281.35</v>
      </c>
    </row>
    <row r="210" spans="2:3">
      <c r="B210" s="20" t="s">
        <v>2266</v>
      </c>
      <c r="C210" s="31">
        <v>320.36</v>
      </c>
    </row>
    <row r="211" spans="2:3">
      <c r="B211" s="20" t="s">
        <v>2267</v>
      </c>
      <c r="C211" s="31">
        <v>256.27999999999997</v>
      </c>
    </row>
    <row r="212" spans="2:3">
      <c r="B212" s="6" t="s">
        <v>1101</v>
      </c>
      <c r="C212" s="31">
        <v>174131.97757142858</v>
      </c>
    </row>
    <row r="213" spans="2:3">
      <c r="B213" s="20" t="s">
        <v>1184</v>
      </c>
      <c r="C213" s="31">
        <v>10173.880000000001</v>
      </c>
    </row>
    <row r="214" spans="2:3">
      <c r="B214" s="20" t="s">
        <v>940</v>
      </c>
      <c r="C214" s="31">
        <v>13823.63</v>
      </c>
    </row>
    <row r="215" spans="2:3">
      <c r="B215" s="20" t="s">
        <v>993</v>
      </c>
      <c r="C215" s="31">
        <v>19422.12</v>
      </c>
    </row>
    <row r="216" spans="2:3">
      <c r="B216" s="20" t="s">
        <v>1195</v>
      </c>
      <c r="C216" s="31">
        <v>1554.1</v>
      </c>
    </row>
    <row r="217" spans="2:3">
      <c r="B217" s="20" t="s">
        <v>1238</v>
      </c>
      <c r="C217" s="31">
        <v>4331.3890000000001</v>
      </c>
    </row>
    <row r="218" spans="2:3">
      <c r="B218" s="20" t="s">
        <v>1243</v>
      </c>
      <c r="C218" s="31">
        <v>2092.35</v>
      </c>
    </row>
    <row r="219" spans="2:3">
      <c r="B219" s="20" t="s">
        <v>1169</v>
      </c>
      <c r="C219" s="31">
        <v>7077.4800000000005</v>
      </c>
    </row>
    <row r="220" spans="2:3">
      <c r="B220" s="20" t="s">
        <v>1244</v>
      </c>
      <c r="C220" s="31">
        <v>20693.188571428575</v>
      </c>
    </row>
    <row r="221" spans="2:3">
      <c r="B221" s="20" t="s">
        <v>1108</v>
      </c>
      <c r="C221" s="31">
        <v>1430</v>
      </c>
    </row>
    <row r="222" spans="2:3">
      <c r="B222" s="20" t="s">
        <v>1285</v>
      </c>
      <c r="C222" s="31">
        <v>9735.5500000000011</v>
      </c>
    </row>
    <row r="223" spans="2:3">
      <c r="B223" s="20" t="s">
        <v>1299</v>
      </c>
      <c r="C223" s="31">
        <v>8688.33</v>
      </c>
    </row>
    <row r="224" spans="2:3">
      <c r="B224" s="20" t="s">
        <v>1301</v>
      </c>
      <c r="C224" s="31">
        <v>4868.09</v>
      </c>
    </row>
    <row r="225" spans="2:3">
      <c r="B225" s="20" t="s">
        <v>1307</v>
      </c>
      <c r="C225" s="31">
        <v>14206.68</v>
      </c>
    </row>
    <row r="226" spans="2:3">
      <c r="B226" s="20" t="s">
        <v>1318</v>
      </c>
      <c r="C226" s="31">
        <v>7130.7100000000019</v>
      </c>
    </row>
    <row r="227" spans="2:3">
      <c r="B227" s="20" t="s">
        <v>1332</v>
      </c>
      <c r="C227" s="31">
        <v>5126.9399999999996</v>
      </c>
    </row>
    <row r="228" spans="2:3">
      <c r="B228" s="20" t="s">
        <v>1268</v>
      </c>
      <c r="C228" s="31">
        <v>8488.5</v>
      </c>
    </row>
    <row r="229" spans="2:3">
      <c r="B229" s="20" t="s">
        <v>1594</v>
      </c>
      <c r="C229" s="31">
        <v>800</v>
      </c>
    </row>
    <row r="230" spans="2:3">
      <c r="B230" s="20" t="s">
        <v>1166</v>
      </c>
      <c r="C230" s="31">
        <v>1670</v>
      </c>
    </row>
    <row r="231" spans="2:3">
      <c r="B231" s="20" t="s">
        <v>1585</v>
      </c>
      <c r="C231" s="31">
        <v>12629.08</v>
      </c>
    </row>
    <row r="232" spans="2:3">
      <c r="B232" s="20" t="s">
        <v>1586</v>
      </c>
      <c r="C232" s="31">
        <v>8851.2800000000007</v>
      </c>
    </row>
    <row r="233" spans="2:3">
      <c r="B233" s="20" t="s">
        <v>1587</v>
      </c>
      <c r="C233" s="31">
        <v>11338.68</v>
      </c>
    </row>
    <row r="234" spans="2:3">
      <c r="B234" s="6" t="s">
        <v>1341</v>
      </c>
      <c r="C234" s="31">
        <v>215654.19414285719</v>
      </c>
    </row>
    <row r="235" spans="2:3">
      <c r="B235" s="20" t="s">
        <v>942</v>
      </c>
      <c r="C235" s="31">
        <v>39299.64</v>
      </c>
    </row>
    <row r="236" spans="2:3">
      <c r="B236" s="20" t="s">
        <v>950</v>
      </c>
      <c r="C236" s="31">
        <v>3968.99</v>
      </c>
    </row>
    <row r="237" spans="2:3">
      <c r="B237" s="20" t="s">
        <v>955</v>
      </c>
      <c r="C237" s="31">
        <v>14190.7</v>
      </c>
    </row>
    <row r="238" spans="2:3">
      <c r="B238" s="20" t="s">
        <v>1648</v>
      </c>
      <c r="C238" s="31">
        <v>22887.65</v>
      </c>
    </row>
    <row r="239" spans="2:3">
      <c r="B239" s="20" t="s">
        <v>1020</v>
      </c>
      <c r="C239" s="31">
        <v>2014.6</v>
      </c>
    </row>
    <row r="240" spans="2:3">
      <c r="B240" s="20" t="s">
        <v>1080</v>
      </c>
      <c r="C240" s="31">
        <v>11955.349999999999</v>
      </c>
    </row>
    <row r="241" spans="2:3">
      <c r="B241" s="20" t="s">
        <v>1120</v>
      </c>
      <c r="C241" s="31">
        <v>6003.39</v>
      </c>
    </row>
    <row r="242" spans="2:3">
      <c r="B242" s="20" t="s">
        <v>1142</v>
      </c>
      <c r="C242" s="31">
        <v>1960</v>
      </c>
    </row>
    <row r="243" spans="2:3">
      <c r="B243" s="20" t="s">
        <v>1144</v>
      </c>
      <c r="C243" s="31">
        <v>2460.6857142857143</v>
      </c>
    </row>
    <row r="244" spans="2:3">
      <c r="B244" s="20" t="s">
        <v>1212</v>
      </c>
      <c r="C244" s="31">
        <v>5054.6500000000005</v>
      </c>
    </row>
    <row r="245" spans="2:3">
      <c r="B245" s="20" t="s">
        <v>1259</v>
      </c>
      <c r="C245" s="31">
        <v>514.9699999999998</v>
      </c>
    </row>
    <row r="246" spans="2:3">
      <c r="B246" s="20" t="s">
        <v>1165</v>
      </c>
      <c r="C246" s="31">
        <v>4631.8950000000004</v>
      </c>
    </row>
    <row r="247" spans="2:3">
      <c r="B247" s="20" t="s">
        <v>1109</v>
      </c>
      <c r="C247" s="31">
        <v>6664.39</v>
      </c>
    </row>
    <row r="248" spans="2:3">
      <c r="B248" s="20" t="s">
        <v>1279</v>
      </c>
      <c r="C248" s="31">
        <v>15319.758000000002</v>
      </c>
    </row>
    <row r="249" spans="2:3">
      <c r="B249" s="20" t="s">
        <v>1280</v>
      </c>
      <c r="C249" s="31">
        <v>3974.62</v>
      </c>
    </row>
    <row r="250" spans="2:3">
      <c r="B250" s="20" t="s">
        <v>1281</v>
      </c>
      <c r="C250" s="31">
        <v>15322.21542857143</v>
      </c>
    </row>
    <row r="251" spans="2:3">
      <c r="B251" s="20" t="s">
        <v>1187</v>
      </c>
      <c r="C251" s="31">
        <v>2044.5</v>
      </c>
    </row>
    <row r="252" spans="2:3">
      <c r="B252" s="20" t="s">
        <v>1252</v>
      </c>
      <c r="C252" s="31">
        <v>10126.73</v>
      </c>
    </row>
    <row r="253" spans="2:3">
      <c r="B253" s="20" t="s">
        <v>1258</v>
      </c>
      <c r="C253" s="31">
        <v>8637.2000000000007</v>
      </c>
    </row>
    <row r="254" spans="2:3">
      <c r="B254" s="20" t="s">
        <v>1265</v>
      </c>
      <c r="C254" s="31">
        <v>5568.32</v>
      </c>
    </row>
    <row r="255" spans="2:3">
      <c r="B255" s="20" t="s">
        <v>1335</v>
      </c>
      <c r="C255" s="31">
        <v>13975.96</v>
      </c>
    </row>
    <row r="256" spans="2:3">
      <c r="B256" s="20" t="s">
        <v>1337</v>
      </c>
      <c r="C256" s="31">
        <v>1866.03</v>
      </c>
    </row>
    <row r="257" spans="2:3">
      <c r="B257" s="20" t="s">
        <v>1345</v>
      </c>
      <c r="C257" s="31">
        <v>2284.9699999999998</v>
      </c>
    </row>
    <row r="258" spans="2:3">
      <c r="B258" s="20" t="s">
        <v>1363</v>
      </c>
      <c r="C258" s="31">
        <v>1350</v>
      </c>
    </row>
    <row r="259" spans="2:3">
      <c r="B259" s="20" t="s">
        <v>1770</v>
      </c>
      <c r="C259" s="31">
        <v>13576.98</v>
      </c>
    </row>
    <row r="260" spans="2:3">
      <c r="B260" s="6" t="s">
        <v>1630</v>
      </c>
      <c r="C260" s="31">
        <v>178246.90499999997</v>
      </c>
    </row>
    <row r="261" spans="2:3">
      <c r="B261" s="20" t="s">
        <v>995</v>
      </c>
      <c r="C261" s="31">
        <v>5919.71</v>
      </c>
    </row>
    <row r="262" spans="2:3">
      <c r="B262" s="20" t="s">
        <v>1007</v>
      </c>
      <c r="C262" s="31">
        <v>16804.629999999997</v>
      </c>
    </row>
    <row r="263" spans="2:3">
      <c r="B263" s="20" t="s">
        <v>1099</v>
      </c>
      <c r="C263" s="31">
        <v>1680</v>
      </c>
    </row>
    <row r="264" spans="2:3">
      <c r="B264" s="20" t="s">
        <v>1115</v>
      </c>
      <c r="C264" s="31">
        <v>280</v>
      </c>
    </row>
    <row r="265" spans="2:3">
      <c r="B265" s="20" t="s">
        <v>2163</v>
      </c>
      <c r="C265" s="31">
        <v>2188.67</v>
      </c>
    </row>
    <row r="266" spans="2:3">
      <c r="B266" s="20" t="s">
        <v>2237</v>
      </c>
      <c r="C266" s="31">
        <v>8554.09</v>
      </c>
    </row>
    <row r="267" spans="2:3">
      <c r="B267" s="20" t="s">
        <v>1213</v>
      </c>
      <c r="C267" s="31">
        <v>5186.67</v>
      </c>
    </row>
    <row r="268" spans="2:3">
      <c r="B268" s="20" t="s">
        <v>1236</v>
      </c>
      <c r="C268" s="31">
        <v>2614.25</v>
      </c>
    </row>
    <row r="269" spans="2:3">
      <c r="B269" s="20" t="s">
        <v>1245</v>
      </c>
      <c r="C269" s="31">
        <v>12686.400000000001</v>
      </c>
    </row>
    <row r="270" spans="2:3">
      <c r="B270" s="20" t="s">
        <v>1250</v>
      </c>
      <c r="C270" s="31">
        <v>70587.469999999987</v>
      </c>
    </row>
    <row r="271" spans="2:3">
      <c r="B271" s="20" t="s">
        <v>1161</v>
      </c>
      <c r="C271" s="31">
        <v>4882.83</v>
      </c>
    </row>
    <row r="272" spans="2:3">
      <c r="B272" s="20" t="s">
        <v>1297</v>
      </c>
      <c r="C272" s="31">
        <v>8727.17</v>
      </c>
    </row>
    <row r="273" spans="2:3">
      <c r="B273" s="20" t="s">
        <v>1320</v>
      </c>
      <c r="C273" s="31">
        <v>3609.62</v>
      </c>
    </row>
    <row r="274" spans="2:3">
      <c r="B274" s="20" t="s">
        <v>1311</v>
      </c>
      <c r="C274" s="31">
        <v>8608.9599999999991</v>
      </c>
    </row>
    <row r="275" spans="2:3">
      <c r="B275" s="20" t="s">
        <v>1753</v>
      </c>
      <c r="C275" s="31">
        <v>5169.83</v>
      </c>
    </row>
    <row r="276" spans="2:3">
      <c r="B276" s="20" t="s">
        <v>1833</v>
      </c>
      <c r="C276" s="31">
        <v>3019.7249999999999</v>
      </c>
    </row>
    <row r="277" spans="2:3">
      <c r="B277" s="20" t="s">
        <v>1755</v>
      </c>
      <c r="C277" s="31">
        <v>5209.1899999999996</v>
      </c>
    </row>
    <row r="278" spans="2:3">
      <c r="B278" s="20" t="s">
        <v>1759</v>
      </c>
      <c r="C278" s="31">
        <v>2245.75</v>
      </c>
    </row>
    <row r="279" spans="2:3">
      <c r="B279" s="20" t="s">
        <v>1763</v>
      </c>
      <c r="C279" s="31">
        <v>1120</v>
      </c>
    </row>
    <row r="280" spans="2:3">
      <c r="B280" s="20" t="s">
        <v>1778</v>
      </c>
      <c r="C280" s="31">
        <v>3819.4700000000003</v>
      </c>
    </row>
    <row r="281" spans="2:3">
      <c r="B281" s="20" t="s">
        <v>1781</v>
      </c>
      <c r="C281" s="31">
        <v>485.33</v>
      </c>
    </row>
    <row r="282" spans="2:3">
      <c r="B282" s="20" t="s">
        <v>1832</v>
      </c>
      <c r="C282" s="31">
        <v>1967.1399999999999</v>
      </c>
    </row>
    <row r="283" spans="2:3">
      <c r="B283" s="20" t="s">
        <v>1850</v>
      </c>
      <c r="C283" s="31">
        <v>2880</v>
      </c>
    </row>
    <row r="284" spans="2:3">
      <c r="B284" s="6" t="s">
        <v>2287</v>
      </c>
      <c r="C284" s="31">
        <v>1559.83</v>
      </c>
    </row>
    <row r="285" spans="2:3">
      <c r="B285" s="20" t="s">
        <v>1226</v>
      </c>
      <c r="C285" s="31">
        <v>1559.83</v>
      </c>
    </row>
    <row r="286" spans="2:3">
      <c r="B286" s="6" t="s">
        <v>2188</v>
      </c>
      <c r="C286" s="31">
        <v>48868.4</v>
      </c>
    </row>
    <row r="287" spans="2:3">
      <c r="B287" s="20" t="s">
        <v>2169</v>
      </c>
      <c r="C287" s="31">
        <v>1240.76</v>
      </c>
    </row>
    <row r="288" spans="2:3">
      <c r="B288" s="20" t="s">
        <v>2170</v>
      </c>
      <c r="C288" s="31">
        <v>8288.41</v>
      </c>
    </row>
    <row r="289" spans="2:3">
      <c r="B289" s="20" t="s">
        <v>2171</v>
      </c>
      <c r="C289" s="31">
        <v>857.61</v>
      </c>
    </row>
    <row r="290" spans="2:3">
      <c r="B290" s="20" t="s">
        <v>2172</v>
      </c>
      <c r="C290" s="31">
        <v>592.62</v>
      </c>
    </row>
    <row r="291" spans="2:3">
      <c r="B291" s="20" t="s">
        <v>2182</v>
      </c>
      <c r="C291" s="31">
        <v>1516.91</v>
      </c>
    </row>
    <row r="292" spans="2:3">
      <c r="B292" s="20" t="s">
        <v>2185</v>
      </c>
      <c r="C292" s="31">
        <v>5741.5</v>
      </c>
    </row>
    <row r="293" spans="2:3">
      <c r="B293" s="20" t="s">
        <v>2186</v>
      </c>
      <c r="C293" s="31">
        <v>1825.19</v>
      </c>
    </row>
    <row r="294" spans="2:3">
      <c r="B294" s="20" t="s">
        <v>2218</v>
      </c>
      <c r="C294" s="31">
        <v>2010.27</v>
      </c>
    </row>
    <row r="295" spans="2:3">
      <c r="B295" s="20" t="s">
        <v>2220</v>
      </c>
      <c r="C295" s="31">
        <v>515.58000000000004</v>
      </c>
    </row>
    <row r="296" spans="2:3">
      <c r="B296" s="20" t="s">
        <v>2181</v>
      </c>
      <c r="C296" s="31">
        <v>9706.1</v>
      </c>
    </row>
    <row r="297" spans="2:3">
      <c r="B297" s="20" t="s">
        <v>2225</v>
      </c>
      <c r="C297" s="31">
        <v>1924.61</v>
      </c>
    </row>
    <row r="298" spans="2:3">
      <c r="B298" s="20" t="s">
        <v>2243</v>
      </c>
      <c r="C298" s="31">
        <v>1568.02</v>
      </c>
    </row>
    <row r="299" spans="2:3">
      <c r="B299" s="20" t="s">
        <v>2245</v>
      </c>
      <c r="C299" s="31">
        <v>1400</v>
      </c>
    </row>
    <row r="300" spans="2:3">
      <c r="B300" s="20" t="s">
        <v>2251</v>
      </c>
      <c r="C300" s="31">
        <v>9706.1</v>
      </c>
    </row>
    <row r="301" spans="2:3">
      <c r="B301" s="20" t="s">
        <v>2252</v>
      </c>
      <c r="C301" s="31">
        <v>279.01</v>
      </c>
    </row>
    <row r="302" spans="2:3">
      <c r="B302" s="20" t="s">
        <v>2253</v>
      </c>
      <c r="C302" s="31">
        <v>674.33</v>
      </c>
    </row>
    <row r="303" spans="2:3">
      <c r="B303" s="20" t="s">
        <v>2274</v>
      </c>
      <c r="C303" s="31">
        <v>1021.38</v>
      </c>
    </row>
    <row r="304" spans="2:3">
      <c r="B304" s="6" t="s">
        <v>2189</v>
      </c>
      <c r="C304" s="31">
        <v>5639.4</v>
      </c>
    </row>
    <row r="305" spans="2:3">
      <c r="B305" s="20" t="s">
        <v>2187</v>
      </c>
      <c r="C305" s="31">
        <v>3241.78</v>
      </c>
    </row>
    <row r="306" spans="2:3">
      <c r="B306" s="20" t="s">
        <v>2276</v>
      </c>
      <c r="C306" s="31">
        <v>2397.62</v>
      </c>
    </row>
    <row r="307" spans="2:3">
      <c r="B307" s="6" t="s">
        <v>16</v>
      </c>
      <c r="C307" s="31"/>
    </row>
    <row r="308" spans="2:3">
      <c r="B308" s="20" t="s">
        <v>27</v>
      </c>
      <c r="C308" s="31"/>
    </row>
    <row r="309" spans="2:3">
      <c r="B309" s="6" t="s">
        <v>28</v>
      </c>
      <c r="C309" s="31">
        <v>4033775.3261513077</v>
      </c>
    </row>
  </sheetData>
  <pageMargins left="0.7" right="0.7" top="0.75" bottom="0.75" header="0.3" footer="0.3"/>
  <pageSetup orientation="portrait"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66"/>
  <sheetViews>
    <sheetView topLeftCell="E1" zoomScale="80" zoomScaleNormal="80" workbookViewId="0">
      <pane ySplit="1" topLeftCell="A2" activePane="bottomLeft" state="frozen"/>
      <selection activeCell="E1" sqref="E1"/>
      <selection pane="bottomLeft" activeCell="E1" sqref="E1:O8"/>
    </sheetView>
  </sheetViews>
  <sheetFormatPr defaultColWidth="9" defaultRowHeight="14.35"/>
  <cols>
    <col min="1" max="1" width="1" style="175" customWidth="1"/>
    <col min="2" max="2" width="9.5859375" style="175" customWidth="1"/>
    <col min="3" max="3" width="10" style="171" customWidth="1"/>
    <col min="4" max="4" width="11" style="13" customWidth="1"/>
    <col min="5" max="5" width="12.41015625" style="13" customWidth="1"/>
    <col min="6" max="6" width="20.46875" style="13" customWidth="1"/>
    <col min="7" max="7" width="10.1171875" style="175" customWidth="1"/>
    <col min="8" max="8" width="78.234375" style="175" customWidth="1"/>
    <col min="9" max="9" width="18.87890625" style="68" customWidth="1"/>
    <col min="10" max="14" width="14.1171875" style="68" customWidth="1"/>
    <col min="15" max="15" width="14.703125" style="13" customWidth="1"/>
    <col min="16" max="16" width="15.234375" style="13" customWidth="1"/>
    <col min="17" max="17" width="12.234375" style="13" customWidth="1"/>
    <col min="18" max="18" width="6" style="175" customWidth="1"/>
    <col min="19" max="19" width="19.1171875" style="175" customWidth="1"/>
    <col min="20" max="20" width="12.5859375" style="175" customWidth="1"/>
    <col min="21" max="16384" width="9" style="175"/>
  </cols>
  <sheetData>
    <row r="1" spans="1:20" ht="51" customHeight="1">
      <c r="B1" s="34"/>
      <c r="C1" s="35" t="s">
        <v>52</v>
      </c>
      <c r="D1" s="36" t="s">
        <v>53</v>
      </c>
      <c r="E1" s="36" t="s">
        <v>54</v>
      </c>
      <c r="F1" s="36" t="s">
        <v>365</v>
      </c>
      <c r="G1" s="36" t="s">
        <v>55</v>
      </c>
      <c r="H1" s="37" t="s">
        <v>56</v>
      </c>
      <c r="I1" s="37" t="s">
        <v>90</v>
      </c>
      <c r="J1" s="38" t="s">
        <v>57</v>
      </c>
      <c r="K1" s="38" t="s">
        <v>58</v>
      </c>
      <c r="L1" s="38" t="s">
        <v>59</v>
      </c>
      <c r="M1" s="38" t="s">
        <v>60</v>
      </c>
      <c r="N1" s="38" t="s">
        <v>92</v>
      </c>
      <c r="O1" s="38" t="s">
        <v>37</v>
      </c>
      <c r="P1" s="39" t="s">
        <v>61</v>
      </c>
      <c r="Q1" s="39" t="s">
        <v>62</v>
      </c>
      <c r="R1" s="39" t="s">
        <v>63</v>
      </c>
      <c r="S1" s="29"/>
    </row>
    <row r="2" spans="1:20">
      <c r="B2" s="52"/>
      <c r="C2" s="296">
        <v>64008</v>
      </c>
      <c r="D2" s="53" t="s">
        <v>466</v>
      </c>
      <c r="E2" s="54">
        <v>42643</v>
      </c>
      <c r="F2" s="54" t="str">
        <f t="shared" ref="F2:F7" si="0">TEXT(E2,"mmm-yy")</f>
        <v>Sep-16</v>
      </c>
      <c r="G2" s="54"/>
      <c r="H2" s="52" t="s">
        <v>178</v>
      </c>
      <c r="I2" s="52"/>
      <c r="J2" s="55">
        <v>48180.34</v>
      </c>
      <c r="K2" s="55"/>
      <c r="L2" s="55"/>
      <c r="M2" s="55"/>
      <c r="N2" s="55"/>
      <c r="O2" s="55">
        <f>SUM(J2:J3)</f>
        <v>50220.34</v>
      </c>
      <c r="P2" s="55"/>
      <c r="Q2" s="56"/>
      <c r="R2" s="57"/>
      <c r="S2" s="42"/>
    </row>
    <row r="3" spans="1:20">
      <c r="A3" s="314"/>
      <c r="B3" s="74"/>
      <c r="C3" s="299">
        <v>64642</v>
      </c>
      <c r="D3" s="75" t="s">
        <v>465</v>
      </c>
      <c r="E3" s="76">
        <v>42643</v>
      </c>
      <c r="F3" s="76" t="str">
        <f t="shared" si="0"/>
        <v>Sep-16</v>
      </c>
      <c r="G3" s="76"/>
      <c r="H3" s="74" t="s">
        <v>378</v>
      </c>
      <c r="I3" s="74"/>
      <c r="J3" s="78">
        <v>2040</v>
      </c>
      <c r="K3" s="78"/>
      <c r="L3" s="78"/>
      <c r="M3" s="78"/>
      <c r="N3" s="78"/>
      <c r="O3" s="78"/>
      <c r="P3" s="78"/>
      <c r="Q3" s="79"/>
      <c r="R3" s="80"/>
      <c r="S3" s="42"/>
    </row>
    <row r="4" spans="1:20">
      <c r="B4" s="44"/>
      <c r="C4" s="291">
        <v>64065</v>
      </c>
      <c r="D4" s="58" t="s">
        <v>556</v>
      </c>
      <c r="E4" s="50">
        <v>42673</v>
      </c>
      <c r="F4" s="50" t="str">
        <f t="shared" si="0"/>
        <v>Oct-16</v>
      </c>
      <c r="G4" s="43"/>
      <c r="H4" s="44" t="s">
        <v>363</v>
      </c>
      <c r="I4" s="69"/>
      <c r="J4" s="45">
        <v>26995.05</v>
      </c>
      <c r="K4" s="45"/>
      <c r="L4" s="45"/>
      <c r="M4" s="45"/>
      <c r="N4" s="45"/>
      <c r="O4" s="55">
        <f>J4</f>
        <v>26995.05</v>
      </c>
      <c r="P4" s="45"/>
      <c r="Q4" s="46"/>
      <c r="R4" s="47"/>
      <c r="S4" s="42"/>
    </row>
    <row r="5" spans="1:20">
      <c r="B5" s="52"/>
      <c r="C5" s="296">
        <v>64405</v>
      </c>
      <c r="D5" s="53" t="s">
        <v>424</v>
      </c>
      <c r="E5" s="54">
        <v>42614</v>
      </c>
      <c r="F5" s="54" t="str">
        <f t="shared" si="0"/>
        <v>Sep-16</v>
      </c>
      <c r="G5" s="54"/>
      <c r="H5" s="324" t="s">
        <v>383</v>
      </c>
      <c r="I5" s="52"/>
      <c r="J5" s="55">
        <v>640</v>
      </c>
      <c r="K5" s="55"/>
      <c r="L5" s="55"/>
      <c r="M5" s="55"/>
      <c r="N5" s="55"/>
      <c r="O5" s="55">
        <f>SUM(J5:J6)</f>
        <v>1120</v>
      </c>
      <c r="P5" s="55"/>
      <c r="Q5" s="56"/>
      <c r="R5" s="57"/>
      <c r="S5" s="42"/>
    </row>
    <row r="6" spans="1:20">
      <c r="B6" s="74"/>
      <c r="C6" s="299">
        <v>64787</v>
      </c>
      <c r="D6" s="75" t="s">
        <v>423</v>
      </c>
      <c r="E6" s="76">
        <v>42614</v>
      </c>
      <c r="F6" s="76" t="str">
        <f t="shared" si="0"/>
        <v>Sep-16</v>
      </c>
      <c r="G6" s="76"/>
      <c r="H6" s="323" t="s">
        <v>383</v>
      </c>
      <c r="I6" s="74"/>
      <c r="J6" s="78">
        <v>480</v>
      </c>
      <c r="K6" s="78"/>
      <c r="L6" s="78"/>
      <c r="M6" s="78"/>
      <c r="N6" s="78"/>
      <c r="O6" s="78"/>
      <c r="P6" s="78"/>
      <c r="Q6" s="79"/>
      <c r="R6" s="80"/>
      <c r="S6" s="42"/>
    </row>
    <row r="7" spans="1:20">
      <c r="B7" s="44"/>
      <c r="C7" s="107">
        <v>66187</v>
      </c>
      <c r="D7" s="42" t="s">
        <v>554</v>
      </c>
      <c r="E7" s="43">
        <v>42673</v>
      </c>
      <c r="F7" s="43" t="str">
        <f t="shared" si="0"/>
        <v>Oct-16</v>
      </c>
      <c r="G7" s="43"/>
      <c r="H7" s="51" t="s">
        <v>469</v>
      </c>
      <c r="I7" s="44"/>
      <c r="J7" s="45">
        <v>6659.3</v>
      </c>
      <c r="K7" s="45"/>
      <c r="L7" s="45"/>
      <c r="M7" s="45"/>
      <c r="N7" s="45"/>
      <c r="O7" s="45">
        <f>J7</f>
        <v>6659.3</v>
      </c>
      <c r="Q7" s="46"/>
      <c r="R7" s="47"/>
      <c r="S7" s="42"/>
      <c r="T7" s="30"/>
    </row>
    <row r="8" spans="1:20">
      <c r="B8" s="61"/>
      <c r="C8" s="297"/>
      <c r="D8" s="62"/>
      <c r="E8" s="65"/>
      <c r="F8" s="65"/>
      <c r="G8" s="65"/>
      <c r="H8" s="61"/>
      <c r="I8" s="61"/>
      <c r="J8" s="63"/>
      <c r="K8" s="63"/>
      <c r="L8" s="63"/>
      <c r="M8" s="63"/>
      <c r="N8" s="63"/>
      <c r="O8" s="63"/>
      <c r="P8" s="63"/>
      <c r="Q8" s="56"/>
      <c r="R8" s="64"/>
      <c r="S8" s="42"/>
    </row>
    <row r="9" spans="1:20">
      <c r="B9" s="52"/>
      <c r="C9" s="290"/>
      <c r="D9" s="53"/>
      <c r="E9" s="43"/>
      <c r="F9" s="43"/>
      <c r="G9" s="43"/>
      <c r="H9" s="52"/>
      <c r="I9" s="44"/>
      <c r="J9" s="55"/>
      <c r="K9" s="55"/>
      <c r="L9" s="55"/>
      <c r="M9" s="55"/>
      <c r="N9" s="45"/>
      <c r="O9" s="55"/>
      <c r="P9" s="66"/>
      <c r="Q9" s="56"/>
      <c r="R9" s="57"/>
      <c r="S9" s="42"/>
      <c r="T9" s="30"/>
    </row>
    <row r="10" spans="1:20">
      <c r="B10" s="44"/>
      <c r="C10" s="291"/>
      <c r="D10" s="42"/>
      <c r="E10" s="43"/>
      <c r="F10" s="43"/>
      <c r="G10" s="43"/>
      <c r="H10" s="44"/>
      <c r="I10" s="44"/>
      <c r="J10" s="45"/>
      <c r="K10" s="45"/>
      <c r="L10" s="45"/>
      <c r="M10" s="71"/>
      <c r="N10" s="45"/>
      <c r="O10" s="45"/>
      <c r="P10" s="45"/>
      <c r="Q10" s="46"/>
      <c r="R10" s="47"/>
      <c r="S10" s="42"/>
      <c r="T10" s="30"/>
    </row>
    <row r="11" spans="1:20">
      <c r="B11" s="44"/>
      <c r="C11" s="107"/>
      <c r="D11" s="42"/>
      <c r="E11" s="43"/>
      <c r="F11" s="43"/>
      <c r="G11" s="43"/>
      <c r="H11" s="44"/>
      <c r="I11" s="74"/>
      <c r="J11" s="45"/>
      <c r="K11" s="45"/>
      <c r="L11" s="45"/>
      <c r="M11" s="71"/>
      <c r="N11" s="45"/>
      <c r="O11" s="45"/>
      <c r="P11" s="45"/>
      <c r="Q11" s="46"/>
      <c r="R11" s="47"/>
      <c r="S11" s="42"/>
      <c r="T11" s="30"/>
    </row>
    <row r="12" spans="1:20">
      <c r="B12" s="52"/>
      <c r="C12" s="296"/>
      <c r="D12" s="53"/>
      <c r="E12" s="54"/>
      <c r="F12" s="54"/>
      <c r="G12" s="54"/>
      <c r="H12" s="67"/>
      <c r="I12" s="44"/>
      <c r="J12" s="55"/>
      <c r="K12" s="55"/>
      <c r="L12" s="55"/>
      <c r="M12" s="55"/>
      <c r="N12" s="55"/>
      <c r="O12" s="55"/>
      <c r="P12" s="55"/>
      <c r="Q12" s="56"/>
      <c r="R12" s="57"/>
      <c r="S12" s="42"/>
      <c r="T12" s="30"/>
    </row>
    <row r="13" spans="1:20">
      <c r="B13" s="44"/>
      <c r="C13" s="107"/>
      <c r="D13" s="42"/>
      <c r="E13" s="50"/>
      <c r="F13" s="50"/>
      <c r="G13" s="43"/>
      <c r="H13" s="49"/>
      <c r="I13" s="44"/>
      <c r="J13" s="45"/>
      <c r="K13" s="45"/>
      <c r="L13" s="45"/>
      <c r="M13" s="45"/>
      <c r="N13" s="45"/>
      <c r="O13" s="45"/>
      <c r="P13" s="45"/>
      <c r="Q13" s="46"/>
      <c r="R13" s="47"/>
      <c r="S13" s="42"/>
      <c r="T13" s="30"/>
    </row>
    <row r="14" spans="1:20">
      <c r="B14" s="44"/>
      <c r="C14" s="107"/>
      <c r="D14" s="42"/>
      <c r="E14" s="50"/>
      <c r="F14" s="50"/>
      <c r="G14" s="43"/>
      <c r="H14" s="49"/>
      <c r="I14" s="44"/>
      <c r="J14" s="45"/>
      <c r="K14" s="45"/>
      <c r="L14" s="45"/>
      <c r="M14" s="45"/>
      <c r="N14" s="45"/>
      <c r="O14" s="45"/>
      <c r="P14" s="45"/>
      <c r="Q14" s="46"/>
      <c r="R14" s="47"/>
      <c r="S14" s="42"/>
      <c r="T14" s="30"/>
    </row>
    <row r="15" spans="1:20">
      <c r="B15" s="44"/>
      <c r="C15" s="107"/>
      <c r="D15" s="42"/>
      <c r="E15" s="50"/>
      <c r="F15" s="50"/>
      <c r="G15" s="43"/>
      <c r="H15" s="49"/>
      <c r="I15" s="74"/>
      <c r="J15" s="45"/>
      <c r="K15" s="45"/>
      <c r="L15" s="45"/>
      <c r="M15" s="45"/>
      <c r="N15" s="45"/>
      <c r="O15" s="45"/>
      <c r="P15" s="45"/>
      <c r="Q15" s="46"/>
      <c r="R15" s="47"/>
      <c r="S15" s="42"/>
      <c r="T15" s="30"/>
    </row>
    <row r="16" spans="1:20">
      <c r="B16" s="52"/>
      <c r="C16" s="296"/>
      <c r="D16" s="53"/>
      <c r="E16" s="54"/>
      <c r="F16" s="54"/>
      <c r="G16" s="54"/>
      <c r="H16" s="67"/>
      <c r="I16" s="44"/>
      <c r="J16" s="55"/>
      <c r="K16" s="55"/>
      <c r="L16" s="55"/>
      <c r="M16" s="55"/>
      <c r="N16" s="55"/>
      <c r="O16" s="55"/>
      <c r="P16" s="55"/>
      <c r="Q16" s="56"/>
      <c r="R16" s="57"/>
      <c r="S16" s="42"/>
      <c r="T16" s="30"/>
    </row>
    <row r="17" spans="2:20">
      <c r="B17" s="69"/>
      <c r="C17" s="298"/>
      <c r="D17" s="58"/>
      <c r="E17" s="50"/>
      <c r="F17" s="50"/>
      <c r="G17" s="43"/>
      <c r="H17" s="70"/>
      <c r="I17" s="44"/>
      <c r="J17" s="71"/>
      <c r="K17" s="71"/>
      <c r="L17" s="71"/>
      <c r="M17" s="71"/>
      <c r="N17" s="71"/>
      <c r="O17" s="71"/>
      <c r="P17" s="71"/>
      <c r="Q17" s="72"/>
      <c r="R17" s="73"/>
      <c r="S17" s="42"/>
      <c r="T17" s="30"/>
    </row>
    <row r="18" spans="2:20">
      <c r="B18" s="44"/>
      <c r="C18" s="291"/>
      <c r="D18" s="42"/>
      <c r="E18" s="43"/>
      <c r="F18" s="43"/>
      <c r="G18" s="43"/>
      <c r="H18" s="49"/>
      <c r="I18" s="69"/>
      <c r="J18" s="45"/>
      <c r="K18" s="45"/>
      <c r="L18" s="45"/>
      <c r="M18" s="45"/>
      <c r="N18" s="71"/>
      <c r="O18" s="45"/>
      <c r="P18" s="45"/>
      <c r="Q18" s="46"/>
      <c r="R18" s="47"/>
      <c r="S18" s="42"/>
      <c r="T18" s="30"/>
    </row>
    <row r="19" spans="2:20">
      <c r="B19" s="44"/>
      <c r="C19" s="291"/>
      <c r="D19" s="42"/>
      <c r="E19" s="43"/>
      <c r="F19" s="43"/>
      <c r="G19" s="43"/>
      <c r="H19" s="213"/>
      <c r="I19" s="74"/>
      <c r="J19" s="170"/>
      <c r="K19" s="45"/>
      <c r="L19" s="45"/>
      <c r="M19" s="45"/>
      <c r="N19" s="71"/>
      <c r="O19" s="45"/>
      <c r="P19" s="45"/>
      <c r="Q19" s="46"/>
      <c r="R19" s="47"/>
      <c r="S19" s="42"/>
      <c r="T19" s="30"/>
    </row>
    <row r="20" spans="2:20">
      <c r="B20" s="52"/>
      <c r="C20" s="296"/>
      <c r="D20" s="53"/>
      <c r="E20" s="54"/>
      <c r="F20" s="54"/>
      <c r="G20" s="54"/>
      <c r="H20" s="67"/>
      <c r="I20" s="44"/>
      <c r="J20" s="55"/>
      <c r="K20" s="55"/>
      <c r="L20" s="55"/>
      <c r="M20" s="55"/>
      <c r="N20" s="55"/>
      <c r="O20" s="55"/>
      <c r="P20" s="56"/>
      <c r="Q20" s="56"/>
      <c r="R20" s="287"/>
      <c r="S20" s="42"/>
      <c r="T20" s="30"/>
    </row>
    <row r="21" spans="2:20">
      <c r="B21" s="69"/>
      <c r="C21" s="298"/>
      <c r="D21" s="229"/>
      <c r="E21" s="50"/>
      <c r="F21" s="50"/>
      <c r="G21" s="50"/>
      <c r="H21" s="70"/>
      <c r="I21" s="44"/>
      <c r="J21" s="71"/>
      <c r="K21" s="71"/>
      <c r="L21" s="71"/>
      <c r="M21" s="71"/>
      <c r="N21" s="71"/>
      <c r="O21" s="71"/>
      <c r="P21" s="72"/>
      <c r="Q21" s="72"/>
      <c r="R21" s="73"/>
      <c r="S21" s="42"/>
      <c r="T21" s="30"/>
    </row>
    <row r="22" spans="2:20">
      <c r="B22" s="69"/>
      <c r="C22" s="298"/>
      <c r="D22" s="229"/>
      <c r="E22" s="50"/>
      <c r="F22" s="50"/>
      <c r="G22" s="50"/>
      <c r="H22" s="70"/>
      <c r="I22" s="44"/>
      <c r="J22" s="71"/>
      <c r="K22" s="71"/>
      <c r="L22" s="71"/>
      <c r="M22" s="71"/>
      <c r="N22" s="71"/>
      <c r="O22" s="71"/>
      <c r="P22" s="72"/>
      <c r="Q22" s="72"/>
      <c r="R22" s="73"/>
      <c r="S22" s="42"/>
      <c r="T22" s="30"/>
    </row>
    <row r="23" spans="2:20">
      <c r="B23" s="74"/>
      <c r="C23" s="299"/>
      <c r="D23" s="75"/>
      <c r="E23" s="76"/>
      <c r="F23" s="76"/>
      <c r="G23" s="76"/>
      <c r="H23" s="77"/>
      <c r="I23" s="74"/>
      <c r="J23" s="78"/>
      <c r="K23" s="78"/>
      <c r="L23" s="78"/>
      <c r="M23" s="78"/>
      <c r="N23" s="78"/>
      <c r="O23" s="78"/>
      <c r="P23" s="79"/>
      <c r="Q23" s="79"/>
      <c r="R23" s="80"/>
      <c r="S23" s="42"/>
      <c r="T23" s="30"/>
    </row>
    <row r="24" spans="2:20">
      <c r="B24" s="69"/>
      <c r="C24" s="298"/>
      <c r="D24" s="58"/>
      <c r="E24" s="50"/>
      <c r="F24" s="50"/>
      <c r="G24" s="50"/>
      <c r="H24" s="70"/>
      <c r="I24" s="44"/>
      <c r="J24" s="71"/>
      <c r="K24" s="71"/>
      <c r="L24" s="71"/>
      <c r="M24" s="71"/>
      <c r="N24" s="71"/>
      <c r="O24" s="71"/>
      <c r="P24" s="71"/>
      <c r="Q24" s="72"/>
      <c r="R24" s="73"/>
      <c r="S24" s="42"/>
      <c r="T24" s="30"/>
    </row>
    <row r="25" spans="2:20">
      <c r="B25" s="69"/>
      <c r="C25" s="298"/>
      <c r="D25" s="58"/>
      <c r="E25" s="50"/>
      <c r="F25" s="50"/>
      <c r="G25" s="43"/>
      <c r="H25" s="81"/>
      <c r="I25" s="44"/>
      <c r="J25" s="82"/>
      <c r="K25" s="82"/>
      <c r="L25" s="71"/>
      <c r="M25" s="82"/>
      <c r="N25" s="82"/>
      <c r="O25" s="71"/>
      <c r="P25" s="71"/>
      <c r="Q25" s="72"/>
      <c r="R25" s="73"/>
      <c r="S25" s="42"/>
      <c r="T25" s="30"/>
    </row>
    <row r="26" spans="2:20">
      <c r="B26" s="44"/>
      <c r="C26" s="291"/>
      <c r="D26" s="42"/>
      <c r="E26" s="50"/>
      <c r="F26" s="50"/>
      <c r="G26" s="43"/>
      <c r="H26" s="351"/>
      <c r="I26" s="74"/>
      <c r="J26" s="45"/>
      <c r="K26" s="45"/>
      <c r="L26" s="45"/>
      <c r="M26" s="45"/>
      <c r="N26" s="45"/>
      <c r="O26" s="45"/>
      <c r="P26" s="45"/>
      <c r="Q26" s="46"/>
      <c r="R26" s="47"/>
      <c r="S26" s="42"/>
      <c r="T26" s="30"/>
    </row>
    <row r="27" spans="2:20">
      <c r="B27" s="52"/>
      <c r="C27" s="296"/>
      <c r="D27" s="53"/>
      <c r="E27" s="54"/>
      <c r="F27" s="54"/>
      <c r="G27" s="67"/>
      <c r="H27" s="44"/>
      <c r="I27" s="55"/>
      <c r="J27" s="55"/>
      <c r="K27" s="55"/>
      <c r="L27" s="55"/>
      <c r="M27" s="55"/>
      <c r="N27" s="55"/>
      <c r="O27" s="55"/>
      <c r="P27" s="56"/>
      <c r="Q27" s="57"/>
      <c r="R27" s="42"/>
    </row>
    <row r="28" spans="2:20">
      <c r="B28" s="44"/>
      <c r="C28" s="107"/>
      <c r="D28" s="42"/>
      <c r="E28" s="43"/>
      <c r="F28" s="43"/>
      <c r="G28" s="49"/>
      <c r="H28" s="44"/>
      <c r="I28" s="45"/>
      <c r="J28" s="45"/>
      <c r="K28" s="45"/>
      <c r="L28" s="45"/>
      <c r="M28" s="45"/>
      <c r="N28" s="45"/>
      <c r="O28" s="45"/>
      <c r="P28" s="72"/>
      <c r="Q28" s="47"/>
      <c r="R28" s="42"/>
    </row>
    <row r="29" spans="2:20">
      <c r="B29" s="44"/>
      <c r="C29" s="107"/>
      <c r="D29" s="42"/>
      <c r="E29" s="43"/>
      <c r="F29" s="43"/>
      <c r="G29" s="49"/>
      <c r="H29" s="44"/>
      <c r="I29" s="45"/>
      <c r="J29" s="45"/>
      <c r="K29" s="45"/>
      <c r="L29" s="45"/>
      <c r="M29" s="45"/>
      <c r="N29" s="45"/>
      <c r="O29" s="45"/>
      <c r="P29" s="72"/>
      <c r="Q29" s="47"/>
      <c r="R29" s="42"/>
    </row>
    <row r="30" spans="2:20">
      <c r="B30" s="44"/>
      <c r="C30" s="107"/>
      <c r="D30" s="42"/>
      <c r="E30" s="43"/>
      <c r="F30" s="43"/>
      <c r="G30" s="49"/>
      <c r="H30" s="44"/>
      <c r="I30" s="45"/>
      <c r="J30" s="45"/>
      <c r="K30" s="45"/>
      <c r="L30" s="45"/>
      <c r="M30" s="45"/>
      <c r="N30" s="45"/>
      <c r="O30" s="45"/>
      <c r="P30" s="72"/>
      <c r="Q30" s="47"/>
      <c r="R30" s="42"/>
      <c r="S30" s="30"/>
    </row>
    <row r="31" spans="2:20">
      <c r="B31" s="44"/>
      <c r="C31" s="107"/>
      <c r="D31" s="42"/>
      <c r="E31" s="43"/>
      <c r="F31" s="43"/>
      <c r="G31" s="83"/>
      <c r="H31" s="44"/>
      <c r="I31" s="45"/>
      <c r="J31" s="45"/>
      <c r="K31" s="45"/>
      <c r="L31" s="45"/>
      <c r="M31" s="45"/>
      <c r="N31" s="45"/>
      <c r="O31" s="45"/>
      <c r="P31" s="72"/>
      <c r="Q31" s="47"/>
      <c r="R31" s="42"/>
      <c r="S31" s="30"/>
    </row>
    <row r="32" spans="2:20">
      <c r="B32" s="44"/>
      <c r="C32" s="107"/>
      <c r="D32" s="42"/>
      <c r="E32" s="43"/>
      <c r="F32" s="43"/>
      <c r="G32" s="49"/>
      <c r="H32" s="44"/>
      <c r="I32" s="45"/>
      <c r="J32" s="45"/>
      <c r="K32" s="45"/>
      <c r="L32" s="45"/>
      <c r="M32" s="45"/>
      <c r="N32" s="45"/>
      <c r="O32" s="45"/>
      <c r="P32" s="72"/>
      <c r="Q32" s="47"/>
      <c r="R32" s="42"/>
      <c r="S32" s="30"/>
    </row>
    <row r="33" spans="2:23">
      <c r="B33" s="44"/>
      <c r="C33" s="107"/>
      <c r="D33" s="42"/>
      <c r="E33" s="5" t="s">
        <v>29</v>
      </c>
      <c r="F33" t="s">
        <v>364</v>
      </c>
      <c r="G33"/>
      <c r="H33"/>
      <c r="I33" s="45"/>
      <c r="J33" s="45"/>
      <c r="K33" s="45"/>
      <c r="L33" s="45"/>
      <c r="M33" s="45"/>
      <c r="N33" s="45"/>
      <c r="P33" s="72"/>
      <c r="Q33" s="47"/>
      <c r="R33" s="42"/>
      <c r="S33" s="30"/>
    </row>
    <row r="34" spans="2:23">
      <c r="B34" s="44"/>
      <c r="C34" s="107"/>
      <c r="D34" s="42"/>
      <c r="E34" s="6" t="s">
        <v>356</v>
      </c>
      <c r="F34" s="31">
        <v>51340.34</v>
      </c>
      <c r="G34"/>
      <c r="H34"/>
      <c r="I34" s="292"/>
      <c r="J34" s="292"/>
      <c r="K34" s="292"/>
      <c r="L34" s="292"/>
      <c r="M34" s="292"/>
      <c r="N34" s="292"/>
      <c r="O34" s="84">
        <f>SUM(O2:O33)</f>
        <v>84994.69</v>
      </c>
      <c r="P34" s="84"/>
      <c r="Q34" s="174"/>
      <c r="R34" s="42"/>
      <c r="S34" s="30"/>
    </row>
    <row r="35" spans="2:23">
      <c r="B35" s="44"/>
      <c r="C35" s="107"/>
      <c r="D35" s="42"/>
      <c r="E35" s="6" t="s">
        <v>27</v>
      </c>
      <c r="F35" s="31"/>
      <c r="G35"/>
      <c r="H35"/>
      <c r="I35" s="45"/>
      <c r="J35" s="45"/>
      <c r="K35" s="45"/>
      <c r="L35" s="45"/>
      <c r="M35" s="45"/>
      <c r="N35" s="45"/>
      <c r="Q35" s="85"/>
      <c r="R35" s="42"/>
      <c r="S35" s="30"/>
    </row>
    <row r="36" spans="2:23">
      <c r="B36" s="44"/>
      <c r="C36" s="107"/>
      <c r="D36" s="42"/>
      <c r="E36" s="6" t="s">
        <v>404</v>
      </c>
      <c r="F36" s="31">
        <v>33654.35</v>
      </c>
      <c r="G36"/>
      <c r="H36" s="44"/>
      <c r="I36" s="45"/>
      <c r="J36" s="45"/>
      <c r="K36" s="45"/>
      <c r="L36" s="45"/>
      <c r="M36" s="45"/>
      <c r="N36" s="45"/>
      <c r="Q36" s="85"/>
      <c r="R36" s="172" t="s">
        <v>91</v>
      </c>
      <c r="S36" s="173"/>
    </row>
    <row r="37" spans="2:23">
      <c r="B37" s="44"/>
      <c r="C37" s="107"/>
      <c r="D37" s="42"/>
      <c r="E37" s="6" t="s">
        <v>28</v>
      </c>
      <c r="F37" s="31">
        <v>84994.69</v>
      </c>
      <c r="G37"/>
      <c r="H37" s="51"/>
      <c r="I37" s="91"/>
      <c r="J37" s="188"/>
      <c r="K37" s="91"/>
      <c r="L37" s="45"/>
      <c r="M37" s="45"/>
      <c r="N37" s="45"/>
      <c r="O37" s="42"/>
      <c r="P37" s="42"/>
      <c r="Q37" s="87"/>
      <c r="R37" s="42"/>
      <c r="S37" s="30"/>
    </row>
    <row r="38" spans="2:23">
      <c r="B38" s="89"/>
      <c r="C38" s="107"/>
      <c r="D38" s="42"/>
      <c r="E38"/>
      <c r="F38"/>
      <c r="G38"/>
      <c r="H38" s="51"/>
      <c r="I38" s="45"/>
      <c r="J38" s="45"/>
      <c r="K38" s="45"/>
      <c r="L38" s="45"/>
      <c r="M38" s="45"/>
      <c r="N38" s="45"/>
      <c r="O38" s="42"/>
      <c r="P38" s="42"/>
      <c r="Q38" s="87"/>
      <c r="R38" s="42"/>
      <c r="S38" s="30"/>
    </row>
    <row r="39" spans="2:23">
      <c r="B39" s="41"/>
      <c r="C39" s="107"/>
      <c r="D39" s="42"/>
      <c r="E39"/>
      <c r="F39"/>
      <c r="G39"/>
      <c r="H39" s="83"/>
      <c r="I39" s="45"/>
      <c r="J39" s="45"/>
      <c r="K39" s="45"/>
      <c r="L39" s="45"/>
      <c r="M39" s="45"/>
      <c r="N39" s="45"/>
      <c r="O39" s="42"/>
      <c r="P39" s="42"/>
      <c r="Q39" s="90"/>
      <c r="R39" s="42"/>
      <c r="S39" s="30"/>
      <c r="U39" s="44"/>
      <c r="V39" s="44"/>
      <c r="W39" s="44"/>
    </row>
    <row r="40" spans="2:23">
      <c r="B40" s="41"/>
      <c r="C40" s="107"/>
      <c r="D40" s="42"/>
      <c r="E40"/>
      <c r="F40"/>
      <c r="G40"/>
      <c r="H40" s="51"/>
      <c r="I40" s="45"/>
      <c r="J40" s="45"/>
      <c r="K40" s="45"/>
      <c r="L40" s="45"/>
      <c r="M40" s="45"/>
      <c r="N40" s="45"/>
      <c r="O40" s="42"/>
      <c r="P40" s="42"/>
      <c r="Q40" s="42"/>
      <c r="R40" s="42"/>
      <c r="S40" s="88"/>
      <c r="T40" s="44"/>
      <c r="U40" s="44"/>
      <c r="V40" s="44"/>
      <c r="W40" s="44"/>
    </row>
    <row r="41" spans="2:23">
      <c r="B41" s="41"/>
      <c r="C41" s="107"/>
      <c r="D41" s="42"/>
      <c r="E41"/>
      <c r="F41"/>
      <c r="G41"/>
      <c r="H41" s="51"/>
      <c r="I41" s="91"/>
      <c r="J41" s="91"/>
      <c r="K41" s="91"/>
      <c r="L41" s="91"/>
      <c r="M41" s="91"/>
      <c r="N41" s="91"/>
      <c r="O41" s="42"/>
      <c r="P41" s="42"/>
      <c r="Q41" s="42"/>
      <c r="R41" s="42"/>
      <c r="S41" s="88"/>
      <c r="T41" s="44"/>
      <c r="U41" s="44"/>
      <c r="V41" s="44"/>
      <c r="W41" s="44"/>
    </row>
    <row r="42" spans="2:23">
      <c r="B42" s="41"/>
      <c r="C42" s="107"/>
      <c r="D42" s="42"/>
      <c r="E42"/>
      <c r="F42"/>
      <c r="G42"/>
      <c r="H42" s="83"/>
      <c r="I42" s="45"/>
      <c r="J42" s="45"/>
      <c r="K42" s="45"/>
      <c r="L42" s="45"/>
      <c r="M42" s="45"/>
      <c r="N42" s="45"/>
      <c r="O42" s="42"/>
      <c r="P42" s="42"/>
      <c r="Q42" s="87"/>
      <c r="R42" s="42"/>
      <c r="S42" s="44"/>
      <c r="T42" s="44"/>
      <c r="U42" s="44"/>
      <c r="V42" s="44"/>
      <c r="W42" s="44"/>
    </row>
    <row r="43" spans="2:23">
      <c r="B43" s="41"/>
      <c r="C43" s="107"/>
      <c r="D43" s="42"/>
      <c r="E43"/>
      <c r="F43"/>
      <c r="G43"/>
      <c r="H43" s="44"/>
      <c r="I43" s="45"/>
      <c r="J43" s="45"/>
      <c r="K43" s="45"/>
      <c r="L43" s="45"/>
      <c r="M43" s="45"/>
      <c r="N43" s="45"/>
      <c r="O43" s="42"/>
      <c r="P43" s="42"/>
      <c r="Q43" s="87"/>
      <c r="R43" s="42"/>
      <c r="S43" s="44"/>
      <c r="T43" s="44"/>
      <c r="U43" s="44"/>
      <c r="V43" s="44"/>
      <c r="W43" s="44"/>
    </row>
    <row r="44" spans="2:23">
      <c r="B44" s="41"/>
      <c r="C44" s="107"/>
      <c r="D44" s="42"/>
      <c r="E44"/>
      <c r="F44"/>
      <c r="G44"/>
      <c r="H44" s="44"/>
      <c r="I44" s="45"/>
      <c r="J44" s="45"/>
      <c r="K44" s="45"/>
      <c r="L44" s="45"/>
      <c r="M44" s="45"/>
      <c r="N44" s="45"/>
      <c r="O44" s="42"/>
      <c r="P44" s="42"/>
      <c r="Q44" s="87"/>
      <c r="R44" s="42"/>
      <c r="S44" s="44"/>
      <c r="T44" s="44"/>
      <c r="U44" s="44"/>
      <c r="V44" s="44"/>
      <c r="W44" s="44"/>
    </row>
    <row r="45" spans="2:23">
      <c r="B45" s="41"/>
      <c r="C45" s="107"/>
      <c r="D45" s="42"/>
      <c r="E45"/>
      <c r="F45"/>
      <c r="G45"/>
      <c r="H45" s="44"/>
      <c r="I45" s="45"/>
      <c r="J45" s="45"/>
      <c r="K45" s="45"/>
      <c r="L45" s="45"/>
      <c r="M45" s="45"/>
      <c r="N45" s="45"/>
      <c r="O45" s="42"/>
      <c r="P45" s="42"/>
      <c r="Q45" s="90"/>
      <c r="R45" s="42"/>
      <c r="S45" s="88"/>
      <c r="T45" s="44"/>
      <c r="U45" s="44"/>
      <c r="V45" s="44"/>
      <c r="W45" s="44"/>
    </row>
    <row r="46" spans="2:23">
      <c r="B46" s="41"/>
      <c r="C46" s="107"/>
      <c r="D46" s="42"/>
      <c r="E46"/>
      <c r="F46"/>
      <c r="G46"/>
      <c r="H46" s="44"/>
      <c r="I46" s="45"/>
      <c r="J46" s="45"/>
      <c r="K46" s="45"/>
      <c r="L46" s="45"/>
      <c r="M46" s="45"/>
      <c r="N46" s="45"/>
      <c r="O46" s="42"/>
      <c r="P46" s="42"/>
      <c r="Q46" s="87"/>
      <c r="R46" s="42"/>
      <c r="S46" s="88"/>
      <c r="T46" s="44"/>
      <c r="U46" s="44"/>
      <c r="V46" s="44"/>
      <c r="W46" s="44"/>
    </row>
    <row r="47" spans="2:23">
      <c r="B47" s="44"/>
      <c r="C47" s="107"/>
      <c r="D47" s="42"/>
      <c r="E47"/>
      <c r="F47"/>
      <c r="G47"/>
      <c r="H47" s="188"/>
      <c r="I47" s="91"/>
      <c r="J47" s="91"/>
      <c r="K47" s="91"/>
      <c r="L47" s="91"/>
      <c r="M47" s="91"/>
      <c r="N47" s="91"/>
      <c r="O47" s="42"/>
      <c r="P47" s="42"/>
      <c r="Q47" s="87"/>
      <c r="R47" s="44"/>
      <c r="S47" s="88"/>
      <c r="T47" s="44"/>
      <c r="U47" s="44"/>
      <c r="V47" s="44"/>
      <c r="W47" s="44"/>
    </row>
    <row r="48" spans="2:23">
      <c r="B48" s="44"/>
      <c r="C48" s="107"/>
      <c r="D48" s="42"/>
      <c r="E48"/>
      <c r="F48"/>
      <c r="G48"/>
      <c r="H48" s="188"/>
      <c r="I48" s="91"/>
      <c r="J48" s="91"/>
      <c r="K48" s="91"/>
      <c r="L48" s="91"/>
      <c r="M48" s="91"/>
      <c r="N48" s="91"/>
      <c r="O48" s="42"/>
      <c r="P48" s="42"/>
      <c r="Q48" s="87"/>
      <c r="R48" s="44"/>
      <c r="S48" s="44"/>
      <c r="T48" s="44"/>
      <c r="U48" s="44"/>
      <c r="V48" s="44"/>
      <c r="W48" s="44"/>
    </row>
    <row r="49" spans="2:23">
      <c r="B49" s="44"/>
      <c r="C49" s="107"/>
      <c r="D49" s="42"/>
      <c r="E49"/>
      <c r="F49"/>
      <c r="G49"/>
      <c r="H49" s="188"/>
      <c r="I49" s="91"/>
      <c r="J49" s="91"/>
      <c r="K49" s="91"/>
      <c r="L49" s="91"/>
      <c r="M49" s="91"/>
      <c r="N49" s="91"/>
      <c r="O49" s="42"/>
      <c r="P49" s="42"/>
      <c r="Q49" s="87"/>
      <c r="R49" s="44"/>
      <c r="S49" s="44"/>
      <c r="T49" s="44"/>
      <c r="U49" s="44"/>
      <c r="V49" s="44"/>
      <c r="W49" s="44"/>
    </row>
    <row r="50" spans="2:23" s="44" customFormat="1">
      <c r="C50" s="107"/>
      <c r="D50" s="293"/>
      <c r="E50"/>
      <c r="F50"/>
      <c r="G50"/>
      <c r="H50" s="91"/>
      <c r="I50" s="91"/>
      <c r="J50" s="91"/>
      <c r="K50" s="91"/>
      <c r="L50" s="91"/>
      <c r="M50" s="91"/>
      <c r="N50" s="42"/>
      <c r="O50" s="42"/>
      <c r="P50" s="87"/>
    </row>
    <row r="51" spans="2:23" s="44" customFormat="1">
      <c r="C51" s="107"/>
      <c r="D51" s="190"/>
      <c r="E51" s="294"/>
      <c r="F51" s="188"/>
      <c r="G51" s="188"/>
      <c r="H51" s="91"/>
      <c r="I51" s="91"/>
      <c r="J51" s="91"/>
      <c r="K51" s="91"/>
      <c r="L51" s="91"/>
      <c r="M51" s="91"/>
      <c r="N51" s="42"/>
      <c r="O51" s="42"/>
      <c r="P51" s="87"/>
    </row>
    <row r="52" spans="2:23" s="44" customFormat="1">
      <c r="C52" s="107"/>
      <c r="D52" s="190"/>
      <c r="E52" s="294"/>
      <c r="F52" s="188"/>
      <c r="G52" s="188"/>
      <c r="H52" s="91"/>
      <c r="I52" s="91"/>
      <c r="J52" s="91"/>
      <c r="K52" s="91"/>
      <c r="L52" s="91"/>
      <c r="M52" s="91"/>
      <c r="N52" s="42"/>
      <c r="O52" s="42"/>
      <c r="P52" s="87"/>
    </row>
    <row r="53" spans="2:23" s="44" customFormat="1">
      <c r="C53" s="107"/>
      <c r="D53" s="187"/>
      <c r="E53" s="189"/>
      <c r="F53" s="188"/>
      <c r="G53" s="188"/>
      <c r="H53" s="91"/>
      <c r="I53" s="91"/>
      <c r="J53" s="91"/>
      <c r="K53" s="91"/>
      <c r="L53" s="91"/>
      <c r="M53" s="91"/>
      <c r="N53" s="42"/>
      <c r="O53" s="42"/>
      <c r="P53" s="87"/>
    </row>
    <row r="54" spans="2:23" s="44" customFormat="1">
      <c r="C54" s="107"/>
      <c r="D54" s="187"/>
      <c r="E54" s="189"/>
      <c r="F54" s="188"/>
      <c r="G54" s="188"/>
      <c r="H54" s="91"/>
      <c r="I54" s="91"/>
      <c r="J54" s="91"/>
      <c r="K54" s="91"/>
      <c r="L54" s="91"/>
      <c r="M54" s="91"/>
      <c r="N54" s="42"/>
      <c r="O54" s="42"/>
      <c r="P54" s="87"/>
    </row>
    <row r="55" spans="2:23" s="44" customFormat="1">
      <c r="C55" s="107"/>
      <c r="D55" s="187"/>
      <c r="E55" s="189"/>
      <c r="F55" s="188"/>
      <c r="G55" s="188"/>
      <c r="H55" s="91"/>
      <c r="I55" s="91"/>
      <c r="J55" s="91"/>
      <c r="K55" s="91"/>
      <c r="L55" s="91"/>
      <c r="M55" s="91"/>
      <c r="N55" s="42"/>
      <c r="O55" s="42"/>
      <c r="P55" s="87"/>
    </row>
    <row r="56" spans="2:23" s="44" customFormat="1">
      <c r="C56" s="107"/>
      <c r="D56" s="187"/>
      <c r="E56" s="189"/>
      <c r="F56" s="188"/>
      <c r="G56" s="188"/>
      <c r="H56" s="91"/>
      <c r="I56" s="91"/>
      <c r="J56" s="91"/>
      <c r="K56" s="91"/>
      <c r="L56" s="91"/>
      <c r="M56" s="91"/>
      <c r="N56" s="42"/>
      <c r="O56" s="42"/>
      <c r="P56" s="87"/>
    </row>
    <row r="57" spans="2:23" s="44" customFormat="1">
      <c r="C57" s="107"/>
      <c r="D57" s="190"/>
      <c r="E57" s="45"/>
      <c r="F57" s="91"/>
      <c r="G57" s="188"/>
      <c r="H57" s="188"/>
      <c r="I57" s="91"/>
      <c r="J57" s="91"/>
      <c r="K57" s="91"/>
      <c r="L57" s="91"/>
      <c r="M57" s="91"/>
      <c r="N57" s="91"/>
      <c r="O57" s="42"/>
      <c r="P57" s="42"/>
      <c r="Q57" s="87"/>
    </row>
    <row r="58" spans="2:23" s="44" customFormat="1">
      <c r="C58" s="107"/>
      <c r="D58" s="42"/>
      <c r="E58" s="191"/>
      <c r="F58" s="91"/>
      <c r="I58" s="45"/>
      <c r="J58" s="45"/>
      <c r="K58" s="45"/>
      <c r="L58" s="45"/>
      <c r="M58" s="45"/>
      <c r="N58" s="45"/>
      <c r="O58" s="42"/>
      <c r="P58" s="42"/>
      <c r="Q58" s="87"/>
    </row>
    <row r="59" spans="2:23" s="44" customFormat="1">
      <c r="B59" s="172"/>
      <c r="C59" s="302"/>
      <c r="D59" s="172"/>
      <c r="E59" s="172"/>
      <c r="F59" s="172"/>
      <c r="G59" s="172"/>
      <c r="H59" s="163"/>
      <c r="I59" s="163"/>
      <c r="J59" s="163"/>
      <c r="K59" s="172"/>
      <c r="L59" s="42"/>
      <c r="Q59" s="175"/>
    </row>
    <row r="60" spans="2:23">
      <c r="B60" s="6"/>
      <c r="D60" s="6"/>
      <c r="E60" s="186"/>
      <c r="F60" s="186"/>
      <c r="G60" s="6"/>
      <c r="H60" s="68"/>
      <c r="K60" s="6"/>
      <c r="L60" s="42"/>
      <c r="M60" s="44"/>
      <c r="N60" s="44"/>
      <c r="O60" s="44"/>
      <c r="P60" s="44"/>
      <c r="Q60" s="175"/>
      <c r="R60" s="44"/>
      <c r="S60" s="44"/>
      <c r="T60" s="44"/>
      <c r="U60" s="44"/>
      <c r="V60" s="44"/>
      <c r="W60" s="44"/>
    </row>
    <row r="61" spans="2:23">
      <c r="B61" s="6"/>
      <c r="D61" s="6"/>
      <c r="E61" s="186"/>
      <c r="F61" s="186"/>
      <c r="G61" s="6"/>
      <c r="H61" s="68"/>
      <c r="K61" s="6"/>
      <c r="L61" s="42"/>
      <c r="M61" s="44"/>
      <c r="N61" s="44"/>
      <c r="O61" s="44"/>
      <c r="P61" s="44"/>
      <c r="Q61" s="175"/>
    </row>
    <row r="62" spans="2:23">
      <c r="B62" s="6"/>
      <c r="D62" s="6"/>
      <c r="E62" s="186"/>
      <c r="F62" s="186"/>
      <c r="G62" s="6"/>
      <c r="H62" s="68"/>
      <c r="K62" s="6"/>
      <c r="L62" s="42"/>
      <c r="M62" s="44"/>
      <c r="N62" s="44"/>
      <c r="O62" s="44"/>
      <c r="P62" s="44"/>
      <c r="Q62" s="175"/>
    </row>
    <row r="63" spans="2:23">
      <c r="B63" s="6"/>
      <c r="C63" s="107"/>
      <c r="D63" s="6"/>
      <c r="E63" s="186"/>
      <c r="F63" s="186"/>
      <c r="G63" s="194"/>
      <c r="H63" s="68"/>
      <c r="J63" s="45"/>
      <c r="K63" s="6"/>
      <c r="L63" s="42"/>
      <c r="M63" s="44"/>
      <c r="N63" s="44"/>
      <c r="O63" s="44"/>
      <c r="P63" s="44"/>
      <c r="Q63" s="175"/>
    </row>
    <row r="64" spans="2:23">
      <c r="B64" s="197"/>
      <c r="C64" s="300"/>
      <c r="D64" s="197"/>
      <c r="E64" s="198"/>
      <c r="F64" s="198"/>
      <c r="G64" s="197"/>
      <c r="H64" s="199"/>
      <c r="I64" s="199"/>
      <c r="J64" s="212"/>
      <c r="K64" s="197"/>
      <c r="L64" s="200"/>
      <c r="M64" s="44"/>
      <c r="N64" s="44"/>
      <c r="O64" s="44"/>
      <c r="P64" s="44"/>
      <c r="Q64" s="175"/>
    </row>
    <row r="65" spans="2:17">
      <c r="B65" s="6"/>
      <c r="C65" s="107"/>
      <c r="D65" s="6"/>
      <c r="E65" s="186"/>
      <c r="F65" s="186"/>
      <c r="G65" s="6"/>
      <c r="H65" s="68"/>
      <c r="J65" s="45"/>
      <c r="K65" s="6"/>
      <c r="L65" s="42"/>
      <c r="M65" s="44"/>
      <c r="N65" s="44"/>
      <c r="O65" s="44"/>
      <c r="P65" s="44"/>
      <c r="Q65" s="175"/>
    </row>
    <row r="66" spans="2:17">
      <c r="B66" s="6"/>
      <c r="C66" s="107"/>
      <c r="D66" s="6"/>
      <c r="E66" s="186"/>
      <c r="F66" s="186"/>
      <c r="G66" s="6"/>
      <c r="H66" s="68"/>
      <c r="J66" s="45"/>
      <c r="K66" s="6"/>
      <c r="L66" s="42"/>
      <c r="M66" s="201"/>
      <c r="N66" s="201"/>
      <c r="O66" s="201"/>
      <c r="P66" s="201"/>
      <c r="Q66" s="202"/>
    </row>
    <row r="67" spans="2:17">
      <c r="B67" s="6"/>
      <c r="C67" s="107"/>
      <c r="D67" s="6"/>
      <c r="E67" s="186"/>
      <c r="F67" s="186"/>
      <c r="G67" s="6"/>
      <c r="H67" s="68"/>
      <c r="J67" s="45"/>
      <c r="K67" s="6"/>
      <c r="L67" s="42"/>
      <c r="M67" s="44"/>
      <c r="N67" s="44"/>
      <c r="O67" s="44"/>
      <c r="P67" s="44"/>
      <c r="Q67" s="175"/>
    </row>
    <row r="68" spans="2:17" s="202" customFormat="1">
      <c r="B68" s="6"/>
      <c r="C68" s="107"/>
      <c r="D68" s="6"/>
      <c r="E68" s="186"/>
      <c r="F68" s="186"/>
      <c r="G68" s="6"/>
      <c r="H68" s="68"/>
      <c r="I68" s="68"/>
      <c r="J68" s="45"/>
      <c r="K68" s="6"/>
      <c r="L68" s="42"/>
      <c r="M68" s="44"/>
      <c r="N68" s="44"/>
      <c r="O68" s="44"/>
      <c r="P68" s="44"/>
      <c r="Q68" s="175"/>
    </row>
    <row r="69" spans="2:17">
      <c r="B69" s="6"/>
      <c r="C69" s="107"/>
      <c r="D69" s="6"/>
      <c r="E69" s="186"/>
      <c r="F69" s="186"/>
      <c r="G69" s="6"/>
      <c r="H69" s="68"/>
      <c r="J69" s="45"/>
      <c r="K69" s="6"/>
      <c r="L69" s="42"/>
      <c r="M69" s="44"/>
      <c r="N69" s="44"/>
      <c r="O69" s="44"/>
      <c r="P69" s="44"/>
      <c r="Q69" s="175"/>
    </row>
    <row r="70" spans="2:17">
      <c r="B70" s="6"/>
      <c r="C70" s="107"/>
      <c r="D70" s="6"/>
      <c r="E70" s="186"/>
      <c r="F70" s="186"/>
      <c r="G70" s="6"/>
      <c r="H70" s="68"/>
      <c r="J70" s="45"/>
      <c r="K70" s="6"/>
      <c r="L70" s="42"/>
      <c r="M70" s="44"/>
      <c r="N70" s="44"/>
      <c r="O70" s="44"/>
      <c r="P70" s="44"/>
      <c r="Q70" s="175"/>
    </row>
    <row r="71" spans="2:17">
      <c r="B71" s="6"/>
      <c r="C71" s="107"/>
      <c r="D71" s="6"/>
      <c r="E71" s="186"/>
      <c r="F71" s="186"/>
      <c r="G71" s="6"/>
      <c r="H71" s="68"/>
      <c r="J71" s="45"/>
      <c r="K71" s="6"/>
      <c r="L71" s="42"/>
      <c r="M71" s="44"/>
      <c r="N71" s="44"/>
      <c r="O71" s="44"/>
      <c r="P71" s="44"/>
      <c r="Q71" s="175"/>
    </row>
    <row r="72" spans="2:17">
      <c r="B72" s="6"/>
      <c r="C72" s="107"/>
      <c r="D72" s="6"/>
      <c r="E72" s="186"/>
      <c r="F72" s="186"/>
      <c r="G72" s="6"/>
      <c r="H72" s="68"/>
      <c r="J72" s="45"/>
      <c r="K72" s="6"/>
      <c r="L72" s="42"/>
      <c r="M72" s="44"/>
      <c r="N72" s="44"/>
      <c r="O72" s="44"/>
      <c r="P72" s="44"/>
      <c r="Q72" s="175"/>
    </row>
    <row r="73" spans="2:17">
      <c r="B73" s="6"/>
      <c r="C73" s="107"/>
      <c r="D73" s="6"/>
      <c r="E73" s="186"/>
      <c r="F73" s="186"/>
      <c r="G73" s="6"/>
      <c r="H73" s="68"/>
      <c r="J73" s="45"/>
      <c r="K73" s="6"/>
      <c r="L73" s="42"/>
      <c r="M73" s="44"/>
      <c r="N73" s="44"/>
      <c r="O73" s="44"/>
      <c r="P73" s="44"/>
      <c r="Q73" s="175"/>
    </row>
    <row r="74" spans="2:17">
      <c r="B74" s="6"/>
      <c r="C74" s="107"/>
      <c r="D74" s="6"/>
      <c r="E74" s="186"/>
      <c r="F74" s="186"/>
      <c r="G74" s="6"/>
      <c r="H74" s="68"/>
      <c r="J74" s="45"/>
      <c r="K74" s="6"/>
      <c r="L74" s="42"/>
      <c r="M74" s="44"/>
      <c r="N74" s="44"/>
      <c r="O74" s="44"/>
      <c r="P74" s="44"/>
      <c r="Q74" s="175"/>
    </row>
    <row r="75" spans="2:17">
      <c r="B75" s="194"/>
      <c r="C75" s="301"/>
      <c r="D75" s="194"/>
      <c r="E75" s="195"/>
      <c r="F75" s="195"/>
      <c r="G75" s="194"/>
      <c r="H75" s="196"/>
      <c r="I75" s="196"/>
      <c r="J75" s="170"/>
      <c r="K75" s="194"/>
      <c r="L75" s="101"/>
      <c r="M75" s="44"/>
      <c r="N75" s="44"/>
      <c r="O75" s="44"/>
      <c r="P75" s="44"/>
      <c r="Q75" s="175"/>
    </row>
    <row r="76" spans="2:17">
      <c r="B76" s="6"/>
      <c r="C76" s="107"/>
      <c r="D76" s="6"/>
      <c r="E76" s="186"/>
      <c r="F76" s="186"/>
      <c r="G76" s="6"/>
      <c r="H76" s="68"/>
      <c r="J76" s="45"/>
      <c r="K76" s="6"/>
      <c r="L76" s="101"/>
      <c r="M76" s="44"/>
      <c r="N76" s="44"/>
      <c r="O76" s="44"/>
      <c r="P76" s="44"/>
      <c r="Q76" s="175"/>
    </row>
    <row r="77" spans="2:17">
      <c r="B77" s="6"/>
      <c r="C77" s="107"/>
      <c r="D77" s="6"/>
      <c r="E77" s="186"/>
      <c r="F77" s="186"/>
      <c r="G77" s="6"/>
      <c r="H77" s="68"/>
      <c r="J77" s="45"/>
      <c r="K77" s="6"/>
      <c r="L77" s="101"/>
      <c r="M77" s="44"/>
      <c r="N77" s="44"/>
      <c r="O77" s="44"/>
      <c r="P77" s="44"/>
      <c r="Q77" s="175"/>
    </row>
    <row r="78" spans="2:17">
      <c r="B78" s="194"/>
      <c r="C78" s="301"/>
      <c r="D78" s="194"/>
      <c r="E78" s="195"/>
      <c r="F78" s="195"/>
      <c r="G78" s="194"/>
      <c r="H78" s="196"/>
      <c r="I78" s="196"/>
      <c r="J78" s="170"/>
      <c r="K78" s="194"/>
      <c r="L78" s="101"/>
      <c r="M78" s="44"/>
      <c r="N78" s="44"/>
      <c r="O78" s="44"/>
      <c r="P78" s="44"/>
      <c r="Q78" s="175"/>
    </row>
    <row r="79" spans="2:17">
      <c r="B79" s="194"/>
      <c r="C79" s="301"/>
      <c r="D79" s="194"/>
      <c r="E79" s="195"/>
      <c r="F79" s="195"/>
      <c r="G79" s="194"/>
      <c r="H79" s="196"/>
      <c r="I79" s="196"/>
      <c r="J79" s="170"/>
      <c r="K79" s="194"/>
      <c r="L79" s="101"/>
      <c r="M79" s="44"/>
      <c r="N79" s="44"/>
      <c r="O79" s="44"/>
      <c r="P79" s="44"/>
      <c r="Q79" s="175"/>
    </row>
    <row r="80" spans="2:17">
      <c r="B80" s="6"/>
      <c r="C80" s="107"/>
      <c r="D80" s="6"/>
      <c r="E80" s="186"/>
      <c r="F80" s="186"/>
      <c r="G80" s="6"/>
      <c r="H80" s="68"/>
      <c r="J80" s="45"/>
      <c r="K80" s="6"/>
      <c r="L80" s="59"/>
      <c r="M80" s="44"/>
      <c r="N80" s="44"/>
      <c r="O80" s="44"/>
      <c r="P80" s="44"/>
      <c r="Q80" s="175"/>
    </row>
    <row r="81" spans="2:19">
      <c r="B81" s="6"/>
      <c r="C81" s="107"/>
      <c r="D81" s="6"/>
      <c r="E81" s="186"/>
      <c r="F81" s="186"/>
      <c r="G81" s="6"/>
      <c r="H81" s="68"/>
      <c r="J81" s="45"/>
      <c r="K81" s="6"/>
      <c r="L81" s="42"/>
      <c r="M81" s="44"/>
      <c r="N81" s="44"/>
      <c r="O81" s="44"/>
      <c r="P81" s="44"/>
      <c r="Q81" s="175"/>
    </row>
    <row r="82" spans="2:19">
      <c r="B82" s="6"/>
      <c r="C82" s="107"/>
      <c r="D82" s="6"/>
      <c r="E82" s="186"/>
      <c r="F82" s="186"/>
      <c r="G82" s="6"/>
      <c r="H82" s="68"/>
      <c r="J82" s="45"/>
      <c r="K82" s="6"/>
      <c r="L82" s="42"/>
      <c r="M82" s="87"/>
      <c r="N82" s="44"/>
      <c r="O82" s="88"/>
      <c r="P82" s="44"/>
      <c r="Q82" s="44"/>
    </row>
    <row r="83" spans="2:19">
      <c r="B83" s="6"/>
      <c r="C83" s="107"/>
      <c r="D83" s="6"/>
      <c r="E83" s="186"/>
      <c r="F83" s="186"/>
      <c r="G83" s="6"/>
      <c r="H83" s="68"/>
      <c r="J83" s="45"/>
      <c r="K83" s="6"/>
      <c r="L83" s="42"/>
      <c r="M83" s="87"/>
      <c r="N83" s="44"/>
      <c r="O83" s="88"/>
      <c r="P83" s="44"/>
      <c r="Q83" s="44"/>
    </row>
    <row r="84" spans="2:19">
      <c r="B84" s="6"/>
      <c r="C84" s="107"/>
      <c r="D84" s="6"/>
      <c r="E84" s="186"/>
      <c r="F84" s="186"/>
      <c r="G84" s="6"/>
      <c r="H84" s="68"/>
      <c r="J84" s="45"/>
      <c r="K84" s="6"/>
      <c r="L84" s="42"/>
      <c r="M84" s="87"/>
      <c r="N84" s="44"/>
      <c r="O84" s="88"/>
      <c r="P84" s="44"/>
      <c r="Q84" s="44"/>
      <c r="R84" s="44"/>
      <c r="S84" s="44"/>
    </row>
    <row r="85" spans="2:19">
      <c r="B85" s="6"/>
      <c r="C85" s="107"/>
      <c r="D85" s="6"/>
      <c r="E85" s="186"/>
      <c r="F85" s="186"/>
      <c r="G85" s="6"/>
      <c r="H85" s="68"/>
      <c r="J85" s="45"/>
      <c r="K85" s="6"/>
      <c r="L85" s="42"/>
      <c r="M85" s="87"/>
      <c r="N85" s="44"/>
      <c r="O85" s="88"/>
      <c r="P85" s="44"/>
      <c r="Q85" s="44"/>
      <c r="R85" s="44"/>
      <c r="S85" s="44"/>
    </row>
    <row r="86" spans="2:19">
      <c r="B86" s="6"/>
      <c r="C86" s="107"/>
      <c r="D86" s="6"/>
      <c r="E86" s="186"/>
      <c r="F86" s="186"/>
      <c r="G86" s="6"/>
      <c r="H86" s="68"/>
      <c r="J86" s="45"/>
      <c r="K86" s="6"/>
      <c r="L86" s="42"/>
      <c r="M86" s="87"/>
      <c r="N86" s="44"/>
      <c r="O86" s="88"/>
      <c r="P86" s="44"/>
      <c r="Q86" s="44"/>
      <c r="R86" s="44"/>
      <c r="S86" s="44"/>
    </row>
    <row r="87" spans="2:19">
      <c r="B87" s="6"/>
      <c r="C87" s="107"/>
      <c r="D87" s="6"/>
      <c r="E87" s="186"/>
      <c r="F87" s="186"/>
      <c r="G87" s="6"/>
      <c r="H87" s="68"/>
      <c r="J87" s="45"/>
      <c r="K87" s="6"/>
      <c r="L87" s="42"/>
      <c r="M87" s="87"/>
      <c r="N87" s="44"/>
      <c r="O87" s="88"/>
      <c r="P87" s="44"/>
      <c r="Q87" s="44"/>
      <c r="R87" s="44"/>
      <c r="S87" s="44"/>
    </row>
    <row r="88" spans="2:19">
      <c r="B88" s="6"/>
      <c r="C88" s="107"/>
      <c r="D88" s="6"/>
      <c r="E88" s="186"/>
      <c r="F88" s="186"/>
      <c r="G88" s="6"/>
      <c r="H88" s="68"/>
      <c r="J88" s="45"/>
      <c r="K88" s="6"/>
      <c r="L88" s="42"/>
      <c r="M88" s="87"/>
      <c r="N88" s="44"/>
      <c r="O88" s="88"/>
      <c r="P88" s="44"/>
      <c r="Q88" s="44"/>
      <c r="R88" s="44"/>
      <c r="S88" s="44"/>
    </row>
    <row r="89" spans="2:19">
      <c r="B89" s="6"/>
      <c r="C89" s="107"/>
      <c r="D89" s="6"/>
      <c r="E89" s="186"/>
      <c r="F89" s="186"/>
      <c r="G89" s="6"/>
      <c r="H89" s="68"/>
      <c r="J89" s="45"/>
      <c r="K89" s="6"/>
      <c r="L89" s="42"/>
      <c r="M89" s="87"/>
      <c r="N89" s="44"/>
      <c r="O89" s="88"/>
      <c r="P89" s="44"/>
      <c r="Q89" s="44"/>
      <c r="R89" s="44"/>
      <c r="S89" s="44"/>
    </row>
    <row r="90" spans="2:19">
      <c r="B90" s="6"/>
      <c r="C90" s="107"/>
      <c r="D90" s="6"/>
      <c r="E90" s="186"/>
      <c r="F90" s="186"/>
      <c r="G90" s="6"/>
      <c r="H90" s="68"/>
      <c r="J90" s="45"/>
      <c r="K90" s="6"/>
      <c r="L90" s="42"/>
      <c r="M90" s="87"/>
      <c r="N90" s="44"/>
      <c r="O90" s="88"/>
      <c r="P90" s="44"/>
      <c r="Q90" s="44"/>
      <c r="R90" s="44"/>
      <c r="S90" s="44"/>
    </row>
    <row r="91" spans="2:19">
      <c r="B91" s="6"/>
      <c r="C91" s="107"/>
      <c r="D91" s="6"/>
      <c r="E91" s="186"/>
      <c r="F91" s="186"/>
      <c r="G91" s="6"/>
      <c r="H91" s="68"/>
      <c r="J91" s="45"/>
      <c r="K91" s="6"/>
      <c r="L91" s="42"/>
      <c r="M91" s="87"/>
      <c r="N91" s="44"/>
      <c r="O91" s="88"/>
      <c r="P91" s="44"/>
      <c r="Q91" s="44"/>
      <c r="R91" s="44"/>
      <c r="S91" s="44"/>
    </row>
    <row r="92" spans="2:19">
      <c r="B92" s="6"/>
      <c r="C92" s="107"/>
      <c r="D92" s="6"/>
      <c r="E92" s="186"/>
      <c r="F92" s="186"/>
      <c r="G92" s="6"/>
      <c r="H92" s="68"/>
      <c r="J92" s="45"/>
      <c r="K92" s="6"/>
      <c r="L92" s="59"/>
      <c r="M92" s="93"/>
      <c r="N92" s="95"/>
      <c r="O92" s="88"/>
      <c r="P92" s="44"/>
      <c r="Q92" s="44"/>
      <c r="R92" s="44"/>
      <c r="S92" s="44"/>
    </row>
    <row r="93" spans="2:19">
      <c r="B93" s="6"/>
      <c r="C93" s="107"/>
      <c r="D93" s="6"/>
      <c r="E93" s="186"/>
      <c r="F93" s="186"/>
      <c r="G93" s="6"/>
      <c r="H93" s="68"/>
      <c r="J93" s="45"/>
      <c r="K93" s="6"/>
      <c r="L93" s="59"/>
      <c r="M93" s="93"/>
      <c r="N93" s="95"/>
      <c r="O93" s="96"/>
      <c r="P93" s="44"/>
      <c r="Q93" s="44"/>
      <c r="R93" s="44"/>
      <c r="S93" s="44"/>
    </row>
    <row r="94" spans="2:19">
      <c r="B94" s="6"/>
      <c r="C94" s="107"/>
      <c r="D94" s="6"/>
      <c r="E94" s="186"/>
      <c r="F94" s="186"/>
      <c r="G94" s="6"/>
      <c r="H94" s="68"/>
      <c r="J94" s="45"/>
      <c r="K94" s="6"/>
      <c r="L94" s="59"/>
      <c r="M94" s="93"/>
      <c r="N94" s="95"/>
      <c r="O94" s="96"/>
      <c r="P94" s="44"/>
      <c r="Q94" s="44"/>
      <c r="R94" s="44"/>
      <c r="S94" s="44"/>
    </row>
    <row r="95" spans="2:19">
      <c r="B95" s="6"/>
      <c r="C95" s="107"/>
      <c r="D95" s="6"/>
      <c r="E95" s="186"/>
      <c r="F95" s="186"/>
      <c r="G95" s="6"/>
      <c r="H95" s="68"/>
      <c r="J95" s="45"/>
      <c r="K95" s="6"/>
      <c r="L95" s="59"/>
      <c r="M95" s="93"/>
      <c r="N95" s="95"/>
      <c r="O95" s="96"/>
      <c r="P95" s="44"/>
      <c r="Q95" s="44"/>
      <c r="R95" s="44"/>
      <c r="S95" s="44"/>
    </row>
    <row r="96" spans="2:19">
      <c r="B96" s="6"/>
      <c r="C96" s="107"/>
      <c r="D96" s="6"/>
      <c r="E96" s="186"/>
      <c r="F96" s="186"/>
      <c r="G96" s="6"/>
      <c r="H96" s="68"/>
      <c r="K96" s="6"/>
      <c r="L96" s="59"/>
      <c r="M96" s="93"/>
      <c r="N96" s="95"/>
      <c r="O96" s="96"/>
      <c r="P96" s="44"/>
      <c r="Q96" s="44"/>
      <c r="R96" s="44"/>
      <c r="S96" s="44"/>
    </row>
    <row r="97" spans="2:23">
      <c r="B97" s="6"/>
      <c r="C97" s="107"/>
      <c r="D97" s="6"/>
      <c r="E97" s="186"/>
      <c r="F97" s="186"/>
      <c r="G97" s="6"/>
      <c r="H97" s="68"/>
      <c r="K97" s="6"/>
      <c r="L97" s="59"/>
      <c r="M97" s="93"/>
      <c r="N97" s="95"/>
      <c r="O97" s="96"/>
      <c r="P97" s="44"/>
      <c r="Q97" s="44"/>
      <c r="R97" s="44"/>
      <c r="S97" s="44"/>
    </row>
    <row r="98" spans="2:23">
      <c r="B98" s="6"/>
      <c r="D98" s="6"/>
      <c r="E98" s="186"/>
      <c r="F98" s="6"/>
      <c r="G98" s="6"/>
      <c r="H98" s="68"/>
      <c r="K98" s="6"/>
      <c r="L98" s="59"/>
      <c r="M98" s="93"/>
      <c r="N98" s="95"/>
      <c r="O98" s="96"/>
      <c r="P98" s="44"/>
      <c r="Q98" s="97"/>
      <c r="R98" s="44"/>
      <c r="S98" s="44"/>
    </row>
    <row r="99" spans="2:23">
      <c r="B99" s="6"/>
      <c r="D99" s="6"/>
      <c r="E99" s="6"/>
      <c r="F99" s="6"/>
      <c r="G99" s="6"/>
      <c r="H99" s="68"/>
      <c r="K99" s="6"/>
      <c r="L99" s="6"/>
      <c r="M99" s="98"/>
      <c r="N99" s="93"/>
      <c r="O99" s="95"/>
      <c r="P99" s="96"/>
      <c r="Q99" s="44"/>
      <c r="R99" s="44"/>
      <c r="S99" s="44"/>
    </row>
    <row r="100" spans="2:23">
      <c r="B100" s="6"/>
      <c r="D100" s="42"/>
      <c r="E100" s="42"/>
      <c r="F100" s="42"/>
      <c r="G100" s="6"/>
      <c r="H100" s="68"/>
      <c r="K100" s="6"/>
      <c r="L100" s="6"/>
      <c r="M100" s="6"/>
      <c r="N100" s="6"/>
      <c r="O100" s="6"/>
      <c r="P100" s="42"/>
      <c r="Q100" s="42"/>
      <c r="R100" s="44"/>
      <c r="S100" s="44"/>
    </row>
    <row r="101" spans="2:23">
      <c r="B101" s="6"/>
      <c r="D101" s="42"/>
      <c r="E101" s="42"/>
      <c r="F101" s="42"/>
      <c r="G101" s="6"/>
      <c r="H101" s="68"/>
      <c r="K101" s="6"/>
      <c r="L101" s="6"/>
      <c r="M101" s="6"/>
      <c r="N101" s="6"/>
      <c r="O101" s="6"/>
      <c r="P101" s="42"/>
      <c r="Q101" s="90"/>
      <c r="R101" s="44"/>
      <c r="S101" s="44"/>
      <c r="T101" s="44"/>
    </row>
    <row r="102" spans="2:23">
      <c r="B102" s="6"/>
      <c r="D102" s="42"/>
      <c r="E102" s="42"/>
      <c r="F102" s="42"/>
      <c r="G102" s="6"/>
      <c r="H102" s="68"/>
      <c r="K102" s="6"/>
      <c r="L102" s="6"/>
      <c r="M102" s="6"/>
      <c r="N102" s="6"/>
      <c r="O102" s="6"/>
      <c r="P102" s="42"/>
      <c r="Q102" s="42"/>
      <c r="R102" s="44"/>
      <c r="S102" s="96"/>
      <c r="T102" s="44"/>
      <c r="U102" s="44"/>
      <c r="V102" s="44"/>
      <c r="W102" s="44"/>
    </row>
    <row r="103" spans="2:23">
      <c r="B103" s="6"/>
      <c r="D103" s="42"/>
      <c r="E103" s="42"/>
      <c r="F103" s="42"/>
      <c r="G103" s="6"/>
      <c r="H103" s="68"/>
      <c r="K103" s="6"/>
      <c r="L103" s="6"/>
      <c r="M103" s="6"/>
      <c r="N103" s="6"/>
      <c r="O103" s="6"/>
      <c r="P103" s="42"/>
      <c r="Q103" s="42"/>
      <c r="R103" s="99"/>
      <c r="S103" s="44"/>
      <c r="T103" s="44"/>
      <c r="U103" s="44"/>
      <c r="V103" s="44"/>
      <c r="W103" s="44"/>
    </row>
    <row r="104" spans="2:23">
      <c r="B104" s="6"/>
      <c r="D104" s="42"/>
      <c r="E104" s="42"/>
      <c r="F104" s="42"/>
      <c r="G104" s="6"/>
      <c r="H104" s="68"/>
      <c r="K104" s="6"/>
      <c r="L104" s="6"/>
      <c r="M104" s="6"/>
      <c r="N104" s="6"/>
      <c r="O104" s="6"/>
      <c r="P104" s="59"/>
      <c r="Q104" s="93"/>
      <c r="R104" s="44"/>
      <c r="S104" s="44"/>
      <c r="T104" s="44"/>
      <c r="U104" s="44"/>
      <c r="V104" s="44"/>
      <c r="W104" s="44"/>
    </row>
    <row r="105" spans="2:23">
      <c r="B105" s="6"/>
      <c r="D105" s="42"/>
      <c r="E105" s="42"/>
      <c r="F105" s="42"/>
      <c r="G105" s="6"/>
      <c r="H105" s="68"/>
      <c r="K105" s="6"/>
      <c r="L105" s="6"/>
      <c r="M105" s="6"/>
      <c r="N105" s="6"/>
      <c r="O105" s="6"/>
      <c r="P105" s="59"/>
      <c r="Q105" s="93"/>
      <c r="R105" s="44"/>
      <c r="S105" s="44"/>
      <c r="T105" s="44"/>
      <c r="U105" s="44"/>
      <c r="V105" s="44"/>
      <c r="W105" s="44"/>
    </row>
    <row r="106" spans="2:23">
      <c r="B106" s="6"/>
      <c r="D106" s="42"/>
      <c r="E106" s="42"/>
      <c r="F106" s="42"/>
      <c r="G106" s="6"/>
      <c r="H106" s="68"/>
      <c r="K106" s="6"/>
      <c r="L106" s="6"/>
      <c r="M106" s="6"/>
      <c r="N106" s="6"/>
      <c r="O106" s="6"/>
      <c r="P106" s="59"/>
      <c r="Q106" s="93"/>
      <c r="R106" s="100"/>
      <c r="S106" s="44"/>
      <c r="T106" s="44"/>
      <c r="U106" s="44"/>
      <c r="V106" s="44"/>
      <c r="W106" s="44"/>
    </row>
    <row r="107" spans="2:23">
      <c r="B107" s="44"/>
      <c r="C107" s="107"/>
      <c r="D107" s="42"/>
      <c r="E107" s="42"/>
      <c r="F107" s="42"/>
      <c r="G107" s="44"/>
      <c r="H107" s="44"/>
      <c r="I107" s="45"/>
      <c r="J107" s="45"/>
      <c r="K107" s="45"/>
      <c r="L107" s="45"/>
      <c r="M107" s="45"/>
      <c r="N107" s="45"/>
      <c r="O107" s="42"/>
      <c r="P107" s="59"/>
      <c r="Q107" s="93"/>
      <c r="R107" s="100"/>
      <c r="S107" s="96"/>
      <c r="T107" s="44"/>
      <c r="U107" s="44"/>
      <c r="V107" s="44"/>
      <c r="W107" s="44"/>
    </row>
    <row r="108" spans="2:23">
      <c r="B108" s="44"/>
      <c r="C108" s="107"/>
      <c r="D108" s="42"/>
      <c r="E108" s="42"/>
      <c r="F108" s="42"/>
      <c r="G108" s="44"/>
      <c r="H108" s="44"/>
      <c r="I108" s="45"/>
      <c r="J108" s="45"/>
      <c r="K108" s="45"/>
      <c r="L108" s="45"/>
      <c r="M108" s="45"/>
      <c r="N108" s="45"/>
      <c r="O108" s="42"/>
      <c r="P108" s="59"/>
      <c r="Q108" s="93"/>
      <c r="R108" s="100"/>
      <c r="S108" s="96"/>
      <c r="T108" s="44"/>
      <c r="U108" s="44"/>
      <c r="V108" s="44"/>
      <c r="W108" s="44"/>
    </row>
    <row r="109" spans="2:23">
      <c r="B109" s="44"/>
      <c r="C109" s="107"/>
      <c r="D109" s="42"/>
      <c r="E109" s="42"/>
      <c r="F109" s="42"/>
      <c r="G109" s="44"/>
      <c r="H109" s="44"/>
      <c r="I109" s="45"/>
      <c r="J109" s="45"/>
      <c r="K109" s="45"/>
      <c r="L109" s="45"/>
      <c r="M109" s="45"/>
      <c r="N109" s="45"/>
      <c r="O109" s="42"/>
      <c r="P109" s="59"/>
      <c r="Q109" s="93"/>
      <c r="R109" s="100"/>
      <c r="S109" s="96"/>
      <c r="T109" s="44"/>
      <c r="U109" s="44"/>
      <c r="V109" s="44"/>
      <c r="W109" s="44"/>
    </row>
    <row r="110" spans="2:23">
      <c r="B110" s="44"/>
      <c r="C110" s="107"/>
      <c r="D110" s="42"/>
      <c r="E110" s="42"/>
      <c r="F110" s="42"/>
      <c r="G110" s="44"/>
      <c r="H110" s="44"/>
      <c r="I110" s="45"/>
      <c r="J110" s="45"/>
      <c r="K110" s="45"/>
      <c r="L110" s="45"/>
      <c r="M110" s="45"/>
      <c r="N110" s="45"/>
      <c r="O110" s="42"/>
      <c r="P110" s="59"/>
      <c r="Q110" s="93"/>
      <c r="R110" s="100"/>
      <c r="S110" s="96"/>
      <c r="T110" s="44"/>
      <c r="U110" s="44"/>
      <c r="V110" s="44"/>
      <c r="W110" s="44"/>
    </row>
    <row r="111" spans="2:23">
      <c r="B111" s="44"/>
      <c r="C111" s="107"/>
      <c r="D111" s="42"/>
      <c r="E111" s="42"/>
      <c r="F111" s="42"/>
      <c r="G111" s="44"/>
      <c r="H111" s="44"/>
      <c r="I111" s="45"/>
      <c r="J111" s="45"/>
      <c r="K111" s="45"/>
      <c r="L111" s="45"/>
      <c r="M111" s="45"/>
      <c r="N111" s="45"/>
      <c r="O111" s="42"/>
      <c r="P111" s="59"/>
      <c r="Q111" s="93"/>
      <c r="R111" s="100"/>
      <c r="S111" s="96"/>
      <c r="T111" s="44"/>
      <c r="U111" s="44"/>
      <c r="V111" s="44"/>
      <c r="W111" s="44"/>
    </row>
    <row r="112" spans="2:23">
      <c r="B112" s="44"/>
      <c r="C112" s="107"/>
      <c r="D112" s="42"/>
      <c r="E112" s="42"/>
      <c r="F112" s="42"/>
      <c r="G112" s="44"/>
      <c r="H112" s="44"/>
      <c r="I112" s="45"/>
      <c r="J112" s="45"/>
      <c r="K112" s="45"/>
      <c r="L112" s="45"/>
      <c r="M112" s="45"/>
      <c r="N112" s="45"/>
      <c r="O112" s="42"/>
      <c r="P112" s="59"/>
      <c r="Q112" s="93"/>
      <c r="R112" s="100"/>
      <c r="S112" s="96"/>
      <c r="T112" s="44"/>
      <c r="U112" s="44"/>
      <c r="V112" s="44"/>
      <c r="W112" s="44"/>
    </row>
    <row r="113" spans="2:23">
      <c r="B113" s="44"/>
      <c r="C113" s="107"/>
      <c r="D113" s="42"/>
      <c r="E113" s="42"/>
      <c r="F113" s="42"/>
      <c r="G113" s="44"/>
      <c r="H113" s="44"/>
      <c r="I113" s="45"/>
      <c r="J113" s="45"/>
      <c r="K113" s="45"/>
      <c r="L113" s="45"/>
      <c r="M113" s="45"/>
      <c r="N113" s="45"/>
      <c r="O113" s="42"/>
      <c r="P113" s="59"/>
      <c r="Q113" s="93"/>
      <c r="R113" s="100"/>
      <c r="S113" s="96"/>
      <c r="T113" s="44"/>
      <c r="U113" s="44"/>
      <c r="V113" s="44"/>
      <c r="W113" s="44"/>
    </row>
    <row r="114" spans="2:23">
      <c r="B114" s="44"/>
      <c r="C114" s="107"/>
      <c r="D114" s="42"/>
      <c r="E114" s="42"/>
      <c r="F114" s="42"/>
      <c r="G114" s="44"/>
      <c r="H114" s="44"/>
      <c r="I114" s="45"/>
      <c r="J114" s="45"/>
      <c r="K114" s="45"/>
      <c r="L114" s="45"/>
      <c r="M114" s="45"/>
      <c r="N114" s="45"/>
      <c r="O114" s="42"/>
      <c r="P114" s="59"/>
      <c r="Q114" s="93"/>
      <c r="R114" s="100"/>
      <c r="S114" s="96"/>
      <c r="T114" s="44"/>
      <c r="U114" s="44"/>
      <c r="V114" s="44"/>
      <c r="W114" s="44"/>
    </row>
    <row r="115" spans="2:23">
      <c r="B115" s="44"/>
      <c r="C115" s="107"/>
      <c r="D115" s="42"/>
      <c r="E115" s="42"/>
      <c r="F115" s="42"/>
      <c r="G115" s="44"/>
      <c r="H115" s="44"/>
      <c r="I115" s="45"/>
      <c r="J115" s="45"/>
      <c r="K115" s="45"/>
      <c r="L115" s="45"/>
      <c r="M115" s="45"/>
      <c r="N115" s="45"/>
      <c r="O115" s="42"/>
      <c r="P115" s="59"/>
      <c r="Q115" s="93"/>
      <c r="R115" s="100"/>
      <c r="S115" s="96"/>
      <c r="T115" s="44"/>
      <c r="U115" s="44"/>
      <c r="V115" s="44"/>
      <c r="W115" s="44"/>
    </row>
    <row r="116" spans="2:23">
      <c r="B116" s="44"/>
      <c r="C116" s="107"/>
      <c r="D116" s="42"/>
      <c r="E116" s="42"/>
      <c r="F116" s="42"/>
      <c r="G116" s="44"/>
      <c r="H116" s="44"/>
      <c r="I116" s="45"/>
      <c r="J116" s="45"/>
      <c r="K116" s="45"/>
      <c r="L116" s="45"/>
      <c r="M116" s="45"/>
      <c r="N116" s="45"/>
      <c r="O116" s="42"/>
      <c r="P116" s="59"/>
      <c r="Q116" s="93"/>
      <c r="R116" s="100"/>
      <c r="S116" s="96"/>
      <c r="T116" s="44"/>
      <c r="U116" s="44"/>
      <c r="V116" s="44"/>
      <c r="W116" s="44"/>
    </row>
    <row r="117" spans="2:23">
      <c r="B117" s="44"/>
      <c r="C117" s="107"/>
      <c r="D117" s="42"/>
      <c r="E117" s="42"/>
      <c r="F117" s="42"/>
      <c r="G117" s="44"/>
      <c r="H117" s="44"/>
      <c r="I117" s="45"/>
      <c r="J117" s="45"/>
      <c r="K117" s="45"/>
      <c r="L117" s="45"/>
      <c r="M117" s="45"/>
      <c r="N117" s="45"/>
      <c r="O117" s="42"/>
      <c r="P117" s="101"/>
      <c r="Q117" s="102"/>
      <c r="R117" s="100"/>
      <c r="S117" s="96"/>
      <c r="T117" s="44"/>
      <c r="U117" s="44"/>
      <c r="V117" s="44"/>
      <c r="W117" s="44"/>
    </row>
    <row r="118" spans="2:23">
      <c r="B118" s="44"/>
      <c r="C118" s="107"/>
      <c r="D118" s="42"/>
      <c r="E118" s="42"/>
      <c r="F118" s="42"/>
      <c r="G118" s="44"/>
      <c r="H118" s="44"/>
      <c r="I118" s="45"/>
      <c r="J118" s="45"/>
      <c r="K118" s="45"/>
      <c r="L118" s="45"/>
      <c r="M118" s="45"/>
      <c r="N118" s="45"/>
      <c r="O118" s="42"/>
      <c r="P118" s="101"/>
      <c r="Q118" s="102"/>
      <c r="R118" s="100"/>
      <c r="S118" s="96"/>
      <c r="T118" s="44"/>
      <c r="U118" s="44"/>
      <c r="V118" s="44"/>
      <c r="W118" s="44"/>
    </row>
    <row r="119" spans="2:23">
      <c r="B119" s="44"/>
      <c r="C119" s="107"/>
      <c r="D119" s="42"/>
      <c r="E119" s="42"/>
      <c r="F119" s="42"/>
      <c r="G119" s="44"/>
      <c r="H119" s="44"/>
      <c r="I119" s="45"/>
      <c r="J119" s="45"/>
      <c r="K119" s="45"/>
      <c r="L119" s="45"/>
      <c r="M119" s="45"/>
      <c r="N119" s="45"/>
      <c r="O119" s="42"/>
      <c r="P119" s="101"/>
      <c r="Q119" s="102"/>
      <c r="R119" s="103"/>
      <c r="S119" s="96"/>
      <c r="T119" s="44"/>
      <c r="U119" s="44"/>
      <c r="V119" s="44"/>
      <c r="W119" s="44"/>
    </row>
    <row r="120" spans="2:23">
      <c r="B120" s="44"/>
      <c r="C120" s="107"/>
      <c r="D120" s="42"/>
      <c r="E120" s="42"/>
      <c r="F120" s="42"/>
      <c r="G120" s="44"/>
      <c r="H120" s="44"/>
      <c r="I120" s="45"/>
      <c r="J120" s="45"/>
      <c r="K120" s="45"/>
      <c r="L120" s="45"/>
      <c r="M120" s="45"/>
      <c r="N120" s="45"/>
      <c r="O120" s="42"/>
      <c r="P120" s="42"/>
      <c r="Q120" s="42"/>
      <c r="R120" s="103"/>
      <c r="S120" s="104"/>
      <c r="T120" s="44"/>
      <c r="U120" s="44"/>
      <c r="V120" s="44"/>
      <c r="W120" s="44"/>
    </row>
    <row r="121" spans="2:23">
      <c r="B121" s="44"/>
      <c r="C121" s="107"/>
      <c r="D121" s="42"/>
      <c r="E121" s="42"/>
      <c r="F121" s="42"/>
      <c r="G121" s="44"/>
      <c r="H121" s="44"/>
      <c r="I121" s="45"/>
      <c r="J121" s="45"/>
      <c r="K121" s="45"/>
      <c r="L121" s="45"/>
      <c r="M121" s="45"/>
      <c r="N121" s="45"/>
      <c r="O121" s="42"/>
      <c r="P121" s="42"/>
      <c r="Q121" s="105"/>
      <c r="R121" s="103"/>
      <c r="S121" s="104"/>
      <c r="T121" s="44"/>
      <c r="U121" s="44"/>
      <c r="V121" s="44"/>
      <c r="W121" s="44"/>
    </row>
    <row r="122" spans="2:23">
      <c r="B122" s="44"/>
      <c r="C122" s="107"/>
      <c r="D122" s="42"/>
      <c r="E122" s="42"/>
      <c r="F122" s="42"/>
      <c r="G122" s="44"/>
      <c r="H122" s="44"/>
      <c r="I122" s="45"/>
      <c r="J122" s="45"/>
      <c r="K122" s="45"/>
      <c r="L122" s="45"/>
      <c r="M122" s="45"/>
      <c r="N122" s="45"/>
      <c r="O122" s="42"/>
      <c r="P122" s="42"/>
      <c r="Q122" s="42"/>
      <c r="R122" s="44"/>
      <c r="S122" s="104"/>
      <c r="T122" s="44"/>
      <c r="U122" s="44"/>
      <c r="V122" s="44"/>
      <c r="W122" s="44"/>
    </row>
    <row r="123" spans="2:23">
      <c r="B123" s="44"/>
      <c r="C123" s="107"/>
      <c r="D123" s="42"/>
      <c r="E123" s="42"/>
      <c r="F123" s="42"/>
      <c r="G123" s="44"/>
      <c r="H123" s="44"/>
      <c r="I123" s="45"/>
      <c r="J123" s="45"/>
      <c r="K123" s="45"/>
      <c r="L123" s="45"/>
      <c r="M123" s="45"/>
      <c r="N123" s="45"/>
      <c r="O123" s="42"/>
      <c r="P123" s="42"/>
      <c r="Q123" s="42"/>
      <c r="R123" s="44"/>
      <c r="S123" s="44"/>
      <c r="T123" s="44"/>
      <c r="U123" s="44"/>
      <c r="V123" s="44"/>
      <c r="W123" s="44"/>
    </row>
    <row r="124" spans="2:23">
      <c r="B124" s="44"/>
      <c r="C124" s="107"/>
      <c r="D124" s="42"/>
      <c r="E124" s="42"/>
      <c r="F124" s="42"/>
      <c r="G124" s="44"/>
      <c r="H124" s="44"/>
      <c r="I124" s="45"/>
      <c r="J124" s="45"/>
      <c r="K124" s="45"/>
      <c r="L124" s="45"/>
      <c r="M124" s="45"/>
      <c r="N124" s="45"/>
      <c r="O124" s="42"/>
      <c r="P124" s="42"/>
      <c r="Q124" s="42"/>
      <c r="R124" s="44"/>
      <c r="S124" s="44"/>
      <c r="T124" s="44"/>
      <c r="U124" s="44"/>
      <c r="V124" s="44"/>
      <c r="W124" s="44"/>
    </row>
    <row r="125" spans="2:23">
      <c r="B125" s="44"/>
      <c r="C125" s="107"/>
      <c r="D125" s="42"/>
      <c r="E125" s="42"/>
      <c r="F125" s="42"/>
      <c r="G125" s="44"/>
      <c r="H125" s="44"/>
      <c r="I125" s="45"/>
      <c r="J125" s="45"/>
      <c r="K125" s="45"/>
      <c r="L125" s="45"/>
      <c r="M125" s="45"/>
      <c r="N125" s="45"/>
      <c r="O125" s="42"/>
      <c r="P125" s="42"/>
      <c r="Q125" s="93"/>
      <c r="R125" s="44"/>
      <c r="S125" s="44"/>
      <c r="T125" s="44"/>
      <c r="U125" s="44"/>
      <c r="V125" s="44"/>
      <c r="W125" s="44"/>
    </row>
    <row r="126" spans="2:23">
      <c r="B126" s="44"/>
      <c r="C126" s="107"/>
      <c r="D126" s="42"/>
      <c r="E126" s="42"/>
      <c r="F126" s="42"/>
      <c r="G126" s="44"/>
      <c r="H126" s="44"/>
      <c r="I126" s="45"/>
      <c r="J126" s="45"/>
      <c r="K126" s="45"/>
      <c r="L126" s="45"/>
      <c r="M126" s="45"/>
      <c r="N126" s="45"/>
      <c r="O126" s="42"/>
      <c r="P126" s="42"/>
      <c r="Q126" s="93"/>
      <c r="R126" s="44"/>
      <c r="S126" s="44"/>
      <c r="T126" s="44"/>
      <c r="U126" s="44"/>
      <c r="V126" s="44"/>
      <c r="W126" s="44"/>
    </row>
    <row r="127" spans="2:23">
      <c r="B127" s="44"/>
      <c r="C127" s="107"/>
      <c r="D127" s="42"/>
      <c r="E127" s="42"/>
      <c r="F127" s="42"/>
      <c r="G127" s="44"/>
      <c r="H127" s="44"/>
      <c r="I127" s="91"/>
      <c r="J127" s="91"/>
      <c r="K127" s="91"/>
      <c r="L127" s="91"/>
      <c r="M127" s="91"/>
      <c r="N127" s="91"/>
      <c r="O127" s="42"/>
      <c r="P127" s="42"/>
      <c r="Q127" s="93"/>
      <c r="R127" s="44"/>
      <c r="S127" s="44"/>
      <c r="T127" s="44"/>
      <c r="U127" s="44"/>
      <c r="V127" s="44"/>
      <c r="W127" s="44"/>
    </row>
    <row r="128" spans="2:23">
      <c r="B128" s="44"/>
      <c r="C128" s="107"/>
      <c r="D128" s="42"/>
      <c r="E128" s="42"/>
      <c r="F128" s="42"/>
      <c r="G128" s="44"/>
      <c r="H128" s="44"/>
      <c r="I128" s="92"/>
      <c r="J128" s="92"/>
      <c r="K128" s="92"/>
      <c r="L128" s="92"/>
      <c r="M128" s="92"/>
      <c r="N128" s="92"/>
      <c r="O128" s="59"/>
      <c r="P128" s="42"/>
      <c r="Q128" s="93"/>
      <c r="R128" s="44"/>
      <c r="S128" s="96"/>
      <c r="T128" s="44"/>
      <c r="U128" s="44"/>
      <c r="V128" s="44"/>
      <c r="W128" s="44"/>
    </row>
    <row r="129" spans="2:23">
      <c r="B129" s="44"/>
      <c r="C129" s="107"/>
      <c r="D129" s="42"/>
      <c r="E129" s="42"/>
      <c r="F129" s="42"/>
      <c r="G129" s="44"/>
      <c r="H129" s="44"/>
      <c r="I129" s="45"/>
      <c r="J129" s="45"/>
      <c r="K129" s="45"/>
      <c r="L129" s="45"/>
      <c r="M129" s="45"/>
      <c r="N129" s="45"/>
      <c r="O129" s="42"/>
      <c r="P129" s="42"/>
      <c r="Q129" s="93"/>
      <c r="R129" s="44"/>
      <c r="S129" s="96"/>
      <c r="T129" s="44"/>
      <c r="U129" s="44"/>
      <c r="V129" s="44"/>
      <c r="W129" s="44"/>
    </row>
    <row r="130" spans="2:23">
      <c r="B130" s="44"/>
      <c r="C130" s="107"/>
      <c r="D130" s="42"/>
      <c r="E130" s="42"/>
      <c r="F130" s="42"/>
      <c r="G130" s="44"/>
      <c r="H130" s="44"/>
      <c r="I130" s="45"/>
      <c r="J130" s="45"/>
      <c r="K130" s="45"/>
      <c r="L130" s="45"/>
      <c r="M130" s="45"/>
      <c r="N130" s="45"/>
      <c r="O130" s="42"/>
      <c r="P130" s="42"/>
      <c r="Q130" s="93"/>
      <c r="R130" s="44"/>
      <c r="S130" s="96"/>
      <c r="T130" s="44"/>
      <c r="U130" s="44"/>
      <c r="V130" s="44"/>
      <c r="W130" s="44"/>
    </row>
    <row r="131" spans="2:23">
      <c r="B131" s="44"/>
      <c r="C131" s="107"/>
      <c r="D131" s="42"/>
      <c r="E131" s="42"/>
      <c r="F131" s="42"/>
      <c r="G131" s="44"/>
      <c r="H131" s="44"/>
      <c r="I131" s="45"/>
      <c r="J131" s="45"/>
      <c r="K131" s="45"/>
      <c r="L131" s="45"/>
      <c r="M131" s="45"/>
      <c r="N131" s="45"/>
      <c r="O131" s="42"/>
      <c r="P131" s="42"/>
      <c r="Q131" s="93"/>
      <c r="R131" s="44"/>
      <c r="S131" s="96"/>
      <c r="T131" s="44"/>
      <c r="U131" s="44"/>
      <c r="V131" s="44"/>
      <c r="W131" s="44"/>
    </row>
    <row r="132" spans="2:23">
      <c r="B132" s="44"/>
      <c r="C132" s="107"/>
      <c r="D132" s="42"/>
      <c r="E132" s="42"/>
      <c r="F132" s="42"/>
      <c r="G132" s="44"/>
      <c r="H132" s="44"/>
      <c r="I132" s="45"/>
      <c r="J132" s="45"/>
      <c r="K132" s="45"/>
      <c r="L132" s="45"/>
      <c r="M132" s="45"/>
      <c r="N132" s="45"/>
      <c r="O132" s="42"/>
      <c r="P132" s="42"/>
      <c r="Q132" s="93"/>
      <c r="R132" s="44"/>
      <c r="S132" s="96"/>
      <c r="T132" s="44"/>
      <c r="U132" s="44"/>
      <c r="V132" s="44"/>
      <c r="W132" s="44"/>
    </row>
    <row r="133" spans="2:23">
      <c r="B133" s="44"/>
      <c r="C133" s="107"/>
      <c r="D133" s="42"/>
      <c r="E133" s="42"/>
      <c r="F133" s="42"/>
      <c r="G133" s="44"/>
      <c r="H133" s="44"/>
      <c r="I133" s="45"/>
      <c r="J133" s="45"/>
      <c r="K133" s="45"/>
      <c r="L133" s="45"/>
      <c r="M133" s="45"/>
      <c r="N133" s="45"/>
      <c r="O133" s="42"/>
      <c r="P133" s="42"/>
      <c r="Q133" s="93"/>
      <c r="R133" s="44"/>
      <c r="S133" s="96"/>
      <c r="T133" s="44"/>
      <c r="U133" s="44"/>
      <c r="V133" s="44"/>
      <c r="W133" s="44"/>
    </row>
    <row r="134" spans="2:23">
      <c r="B134" s="44"/>
      <c r="C134" s="107"/>
      <c r="D134" s="42"/>
      <c r="E134" s="42"/>
      <c r="F134" s="42"/>
      <c r="G134" s="44"/>
      <c r="H134" s="44"/>
      <c r="I134" s="45"/>
      <c r="J134" s="45"/>
      <c r="K134" s="45"/>
      <c r="L134" s="45"/>
      <c r="M134" s="45"/>
      <c r="N134" s="45"/>
      <c r="O134" s="42"/>
      <c r="P134" s="42"/>
      <c r="Q134" s="93"/>
      <c r="R134" s="44"/>
      <c r="S134" s="96"/>
      <c r="T134" s="44"/>
      <c r="U134" s="44"/>
      <c r="V134" s="44"/>
      <c r="W134" s="44"/>
    </row>
    <row r="135" spans="2:23">
      <c r="B135" s="44"/>
      <c r="C135" s="107"/>
      <c r="D135" s="42"/>
      <c r="E135" s="42"/>
      <c r="F135" s="42"/>
      <c r="G135" s="44"/>
      <c r="H135" s="44"/>
      <c r="I135" s="45"/>
      <c r="J135" s="45"/>
      <c r="K135" s="45"/>
      <c r="L135" s="45"/>
      <c r="M135" s="45"/>
      <c r="N135" s="45"/>
      <c r="O135" s="42"/>
      <c r="P135" s="42"/>
      <c r="Q135" s="93"/>
      <c r="R135" s="44"/>
      <c r="S135" s="96"/>
      <c r="T135" s="44"/>
      <c r="U135" s="44"/>
      <c r="V135" s="44"/>
      <c r="W135" s="44"/>
    </row>
    <row r="136" spans="2:23">
      <c r="B136" s="44"/>
      <c r="C136" s="107"/>
      <c r="D136" s="42"/>
      <c r="E136" s="42"/>
      <c r="F136" s="42"/>
      <c r="G136" s="44"/>
      <c r="H136" s="44"/>
      <c r="I136" s="45"/>
      <c r="J136" s="45"/>
      <c r="K136" s="45"/>
      <c r="L136" s="45"/>
      <c r="M136" s="45"/>
      <c r="N136" s="45"/>
      <c r="O136" s="42"/>
      <c r="P136" s="42"/>
      <c r="Q136" s="93"/>
      <c r="R136" s="44"/>
      <c r="S136" s="96"/>
      <c r="T136" s="44"/>
      <c r="U136" s="44"/>
      <c r="V136" s="44"/>
      <c r="W136" s="44"/>
    </row>
    <row r="137" spans="2:23">
      <c r="B137" s="44"/>
      <c r="C137" s="107"/>
      <c r="D137" s="42"/>
      <c r="E137" s="42"/>
      <c r="F137" s="42"/>
      <c r="G137" s="44"/>
      <c r="H137" s="44"/>
      <c r="I137" s="45"/>
      <c r="J137" s="45"/>
      <c r="K137" s="45"/>
      <c r="L137" s="45"/>
      <c r="M137" s="45"/>
      <c r="N137" s="45"/>
      <c r="O137" s="42"/>
      <c r="P137" s="42"/>
      <c r="Q137" s="93"/>
      <c r="R137" s="44"/>
      <c r="S137" s="96"/>
      <c r="T137" s="44"/>
      <c r="U137" s="44"/>
      <c r="V137" s="44"/>
      <c r="W137" s="44"/>
    </row>
    <row r="138" spans="2:23">
      <c r="B138" s="44"/>
      <c r="C138" s="107"/>
      <c r="D138" s="42"/>
      <c r="E138" s="42"/>
      <c r="F138" s="42"/>
      <c r="G138" s="44"/>
      <c r="H138" s="44"/>
      <c r="I138" s="45"/>
      <c r="J138" s="45"/>
      <c r="K138" s="45"/>
      <c r="L138" s="45"/>
      <c r="M138" s="45"/>
      <c r="N138" s="45"/>
      <c r="O138" s="42"/>
      <c r="P138" s="42"/>
      <c r="Q138" s="93"/>
      <c r="R138" s="44"/>
      <c r="S138" s="96"/>
      <c r="T138" s="44"/>
      <c r="U138" s="44"/>
      <c r="V138" s="44"/>
      <c r="W138" s="44"/>
    </row>
    <row r="139" spans="2:23">
      <c r="B139" s="44"/>
      <c r="C139" s="107"/>
      <c r="D139" s="42"/>
      <c r="E139" s="42"/>
      <c r="F139" s="42"/>
      <c r="G139" s="44"/>
      <c r="H139" s="44"/>
      <c r="I139" s="45"/>
      <c r="J139" s="45"/>
      <c r="K139" s="45"/>
      <c r="L139" s="45"/>
      <c r="M139" s="45"/>
      <c r="N139" s="45"/>
      <c r="O139" s="42"/>
      <c r="P139" s="42"/>
      <c r="Q139" s="93"/>
      <c r="R139" s="44"/>
      <c r="S139" s="96"/>
      <c r="T139" s="44"/>
      <c r="U139" s="44"/>
      <c r="V139" s="44"/>
      <c r="W139" s="44"/>
    </row>
    <row r="140" spans="2:23">
      <c r="B140" s="44"/>
      <c r="C140" s="107"/>
      <c r="D140" s="42"/>
      <c r="E140" s="42"/>
      <c r="F140" s="42"/>
      <c r="G140" s="44"/>
      <c r="H140" s="44"/>
      <c r="I140" s="45"/>
      <c r="J140" s="45"/>
      <c r="K140" s="45"/>
      <c r="L140" s="45"/>
      <c r="M140" s="45"/>
      <c r="N140" s="45"/>
      <c r="O140" s="59"/>
      <c r="P140" s="42"/>
      <c r="Q140" s="93"/>
      <c r="R140" s="44"/>
      <c r="S140" s="96"/>
      <c r="T140" s="44"/>
      <c r="U140" s="44"/>
      <c r="V140" s="44"/>
      <c r="W140" s="44"/>
    </row>
    <row r="141" spans="2:23">
      <c r="B141" s="44"/>
      <c r="C141" s="107"/>
      <c r="D141" s="42"/>
      <c r="E141" s="42"/>
      <c r="F141" s="42"/>
      <c r="G141" s="44"/>
      <c r="H141" s="44"/>
      <c r="I141" s="45"/>
      <c r="J141" s="45"/>
      <c r="K141" s="45"/>
      <c r="L141" s="45"/>
      <c r="M141" s="45"/>
      <c r="N141" s="45"/>
      <c r="O141" s="59"/>
      <c r="P141" s="42"/>
      <c r="Q141" s="93"/>
      <c r="R141" s="44"/>
      <c r="S141" s="96"/>
      <c r="T141" s="44"/>
      <c r="U141" s="44"/>
      <c r="V141" s="44"/>
      <c r="W141" s="44"/>
    </row>
    <row r="142" spans="2:23">
      <c r="B142" s="44"/>
      <c r="C142" s="107"/>
      <c r="D142" s="42"/>
      <c r="E142" s="42"/>
      <c r="F142" s="42"/>
      <c r="G142" s="44"/>
      <c r="H142" s="44"/>
      <c r="I142" s="45"/>
      <c r="J142" s="45"/>
      <c r="K142" s="45"/>
      <c r="L142" s="45"/>
      <c r="M142" s="45"/>
      <c r="N142" s="45"/>
      <c r="O142" s="59"/>
      <c r="P142" s="42"/>
      <c r="Q142" s="93"/>
      <c r="R142" s="44"/>
      <c r="S142" s="96"/>
      <c r="T142" s="44"/>
      <c r="U142" s="44"/>
      <c r="V142" s="44"/>
      <c r="W142" s="44"/>
    </row>
    <row r="143" spans="2:23">
      <c r="B143" s="44"/>
      <c r="C143" s="107"/>
      <c r="D143" s="42"/>
      <c r="E143" s="42"/>
      <c r="F143" s="42"/>
      <c r="G143" s="44"/>
      <c r="H143" s="44"/>
      <c r="I143" s="45"/>
      <c r="J143" s="45"/>
      <c r="K143" s="45"/>
      <c r="L143" s="45"/>
      <c r="M143" s="45"/>
      <c r="N143" s="45"/>
      <c r="O143" s="59"/>
      <c r="P143" s="59"/>
      <c r="Q143" s="93"/>
      <c r="R143" s="44"/>
      <c r="S143" s="96"/>
      <c r="T143" s="44"/>
      <c r="U143" s="44"/>
      <c r="V143" s="44"/>
      <c r="W143" s="44"/>
    </row>
    <row r="144" spans="2:23">
      <c r="B144" s="44"/>
      <c r="C144" s="107"/>
      <c r="D144" s="42"/>
      <c r="E144" s="42"/>
      <c r="F144" s="42"/>
      <c r="G144" s="44"/>
      <c r="H144" s="44"/>
      <c r="I144" s="45"/>
      <c r="J144" s="45"/>
      <c r="K144" s="45"/>
      <c r="L144" s="45"/>
      <c r="M144" s="45"/>
      <c r="N144" s="45"/>
      <c r="O144" s="59"/>
      <c r="P144" s="59"/>
      <c r="Q144" s="93"/>
      <c r="R144" s="44"/>
      <c r="S144" s="96"/>
      <c r="T144" s="44"/>
      <c r="U144" s="44"/>
      <c r="V144" s="44"/>
      <c r="W144" s="44"/>
    </row>
    <row r="145" spans="2:23">
      <c r="B145" s="44"/>
      <c r="C145" s="107"/>
      <c r="D145" s="42"/>
      <c r="E145" s="42"/>
      <c r="F145" s="42"/>
      <c r="G145" s="44"/>
      <c r="H145" s="44"/>
      <c r="I145" s="45"/>
      <c r="J145" s="45"/>
      <c r="K145" s="45"/>
      <c r="L145" s="45"/>
      <c r="M145" s="45"/>
      <c r="N145" s="45"/>
      <c r="O145" s="59"/>
      <c r="P145" s="59"/>
      <c r="Q145" s="93"/>
      <c r="R145" s="95"/>
      <c r="S145" s="96"/>
      <c r="T145" s="44"/>
      <c r="U145" s="44"/>
      <c r="V145" s="44"/>
      <c r="W145" s="44"/>
    </row>
    <row r="146" spans="2:23">
      <c r="B146" s="44"/>
      <c r="C146" s="107"/>
      <c r="D146" s="42"/>
      <c r="E146" s="42"/>
      <c r="F146" s="42"/>
      <c r="G146" s="44"/>
      <c r="H146" s="44"/>
      <c r="I146" s="45"/>
      <c r="J146" s="45"/>
      <c r="K146" s="45"/>
      <c r="L146" s="45"/>
      <c r="M146" s="45"/>
      <c r="N146" s="45"/>
      <c r="O146" s="59"/>
      <c r="P146" s="42"/>
      <c r="Q146" s="105"/>
      <c r="R146" s="95"/>
      <c r="S146" s="96"/>
      <c r="T146" s="44"/>
      <c r="U146" s="44"/>
      <c r="V146" s="44"/>
      <c r="W146" s="44"/>
    </row>
    <row r="147" spans="2:23">
      <c r="B147" s="44"/>
      <c r="C147" s="107"/>
      <c r="D147" s="42"/>
      <c r="E147" s="42"/>
      <c r="F147" s="42"/>
      <c r="G147" s="44"/>
      <c r="H147" s="44"/>
      <c r="I147" s="45"/>
      <c r="J147" s="45"/>
      <c r="K147" s="45"/>
      <c r="L147" s="45"/>
      <c r="M147" s="45"/>
      <c r="N147" s="45"/>
      <c r="O147" s="59"/>
      <c r="P147" s="42"/>
      <c r="Q147" s="42"/>
      <c r="R147" s="95"/>
      <c r="S147" s="96"/>
      <c r="T147" s="44"/>
      <c r="U147" s="44"/>
      <c r="V147" s="44"/>
      <c r="W147" s="44"/>
    </row>
    <row r="148" spans="2:23">
      <c r="B148" s="44"/>
      <c r="C148" s="107"/>
      <c r="D148" s="42"/>
      <c r="E148" s="42"/>
      <c r="F148" s="42"/>
      <c r="G148" s="44"/>
      <c r="H148" s="44"/>
      <c r="I148" s="45"/>
      <c r="J148" s="45"/>
      <c r="K148" s="45"/>
      <c r="L148" s="45"/>
      <c r="M148" s="45"/>
      <c r="N148" s="45"/>
      <c r="O148" s="42"/>
      <c r="P148" s="42"/>
      <c r="Q148" s="42"/>
      <c r="R148" s="44"/>
      <c r="S148" s="96"/>
      <c r="T148" s="44"/>
      <c r="U148" s="44"/>
      <c r="V148" s="44"/>
      <c r="W148" s="44"/>
    </row>
    <row r="149" spans="2:23">
      <c r="B149" s="44"/>
      <c r="C149" s="107"/>
      <c r="D149" s="42"/>
      <c r="E149" s="42"/>
      <c r="F149" s="42"/>
      <c r="G149" s="44"/>
      <c r="H149" s="44"/>
      <c r="I149" s="45"/>
      <c r="J149" s="45"/>
      <c r="K149" s="45"/>
      <c r="L149" s="45"/>
      <c r="M149" s="45"/>
      <c r="N149" s="45"/>
      <c r="O149" s="42"/>
      <c r="P149" s="42"/>
      <c r="Q149" s="42"/>
      <c r="R149" s="44"/>
      <c r="S149" s="44"/>
      <c r="T149" s="44"/>
      <c r="U149" s="44"/>
      <c r="V149" s="44"/>
      <c r="W149" s="44"/>
    </row>
    <row r="150" spans="2:23">
      <c r="B150" s="44"/>
      <c r="C150" s="107"/>
      <c r="D150" s="42"/>
      <c r="E150" s="42"/>
      <c r="F150" s="42"/>
      <c r="G150" s="44"/>
      <c r="H150" s="44"/>
      <c r="I150" s="91"/>
      <c r="J150" s="91"/>
      <c r="K150" s="91"/>
      <c r="L150" s="91"/>
      <c r="M150" s="91"/>
      <c r="N150" s="91"/>
      <c r="O150" s="42"/>
      <c r="P150" s="42"/>
      <c r="Q150" s="42"/>
      <c r="R150" s="44"/>
      <c r="S150" s="44"/>
      <c r="T150" s="44"/>
      <c r="U150" s="44"/>
      <c r="V150" s="44"/>
      <c r="W150" s="44"/>
    </row>
    <row r="151" spans="2:23">
      <c r="B151" s="44"/>
      <c r="C151" s="107"/>
      <c r="D151" s="42"/>
      <c r="E151" s="42"/>
      <c r="F151" s="42"/>
      <c r="G151" s="44"/>
      <c r="H151" s="44"/>
      <c r="I151" s="45"/>
      <c r="J151" s="45"/>
      <c r="K151" s="45"/>
      <c r="L151" s="45"/>
      <c r="M151" s="45"/>
      <c r="N151" s="45"/>
      <c r="O151" s="42"/>
      <c r="P151" s="42"/>
      <c r="Q151" s="42"/>
      <c r="R151" s="44"/>
      <c r="S151" s="44"/>
      <c r="T151" s="44"/>
      <c r="U151" s="44"/>
      <c r="V151" s="44"/>
      <c r="W151" s="44"/>
    </row>
    <row r="152" spans="2:23">
      <c r="B152" s="44"/>
      <c r="C152" s="107"/>
      <c r="D152" s="42"/>
      <c r="E152" s="42"/>
      <c r="F152" s="42"/>
      <c r="G152" s="44"/>
      <c r="H152" s="44"/>
      <c r="I152" s="45"/>
      <c r="J152" s="45"/>
      <c r="K152" s="45"/>
      <c r="L152" s="45"/>
      <c r="M152" s="45"/>
      <c r="N152" s="45"/>
      <c r="O152" s="59"/>
      <c r="P152" s="42"/>
      <c r="Q152" s="42"/>
      <c r="R152" s="44"/>
      <c r="S152" s="44"/>
      <c r="T152" s="44"/>
      <c r="U152" s="44"/>
      <c r="V152" s="44"/>
      <c r="W152" s="44"/>
    </row>
    <row r="153" spans="2:23">
      <c r="B153" s="44"/>
      <c r="C153" s="107"/>
      <c r="D153" s="42"/>
      <c r="E153" s="42"/>
      <c r="F153" s="42"/>
      <c r="G153" s="44"/>
      <c r="H153" s="44"/>
      <c r="I153" s="45"/>
      <c r="J153" s="45"/>
      <c r="K153" s="45"/>
      <c r="L153" s="45"/>
      <c r="M153" s="45"/>
      <c r="N153" s="45"/>
      <c r="O153" s="59"/>
      <c r="P153" s="42"/>
      <c r="Q153" s="42"/>
      <c r="R153" s="44"/>
      <c r="S153" s="44"/>
      <c r="T153" s="44"/>
      <c r="U153" s="44"/>
      <c r="V153" s="44"/>
      <c r="W153" s="44"/>
    </row>
    <row r="154" spans="2:23">
      <c r="B154" s="44"/>
      <c r="C154" s="107"/>
      <c r="D154" s="42"/>
      <c r="E154" s="42"/>
      <c r="F154" s="42"/>
      <c r="G154" s="44"/>
      <c r="H154" s="44"/>
      <c r="I154" s="45"/>
      <c r="J154" s="45"/>
      <c r="K154" s="45"/>
      <c r="L154" s="45"/>
      <c r="M154" s="45"/>
      <c r="N154" s="45"/>
      <c r="O154" s="59"/>
      <c r="P154" s="42"/>
      <c r="Q154" s="42"/>
      <c r="R154" s="44"/>
      <c r="S154" s="44"/>
      <c r="T154" s="44"/>
      <c r="U154" s="44"/>
      <c r="V154" s="44"/>
      <c r="W154" s="44"/>
    </row>
    <row r="155" spans="2:23">
      <c r="B155" s="44"/>
      <c r="C155" s="107"/>
      <c r="D155" s="42"/>
      <c r="E155" s="42"/>
      <c r="F155" s="42"/>
      <c r="G155" s="44"/>
      <c r="H155" s="44"/>
      <c r="I155" s="45"/>
      <c r="J155" s="45"/>
      <c r="K155" s="45"/>
      <c r="L155" s="45"/>
      <c r="M155" s="45"/>
      <c r="N155" s="45"/>
      <c r="O155" s="59"/>
      <c r="P155" s="42"/>
      <c r="Q155" s="42"/>
      <c r="R155" s="44"/>
      <c r="S155" s="44"/>
      <c r="T155" s="44"/>
      <c r="U155" s="44"/>
      <c r="V155" s="44"/>
      <c r="W155" s="44"/>
    </row>
    <row r="156" spans="2:23">
      <c r="B156" s="44"/>
      <c r="C156" s="107"/>
      <c r="D156" s="42"/>
      <c r="E156" s="42"/>
      <c r="F156" s="42"/>
      <c r="G156" s="44"/>
      <c r="H156" s="44"/>
      <c r="I156" s="45"/>
      <c r="J156" s="45"/>
      <c r="K156" s="45"/>
      <c r="L156" s="45"/>
      <c r="M156" s="45"/>
      <c r="N156" s="45"/>
      <c r="O156" s="59"/>
      <c r="P156" s="42"/>
      <c r="Q156" s="42"/>
      <c r="R156" s="44"/>
      <c r="S156" s="44"/>
      <c r="T156" s="44"/>
      <c r="U156" s="44"/>
      <c r="V156" s="44"/>
      <c r="W156" s="44"/>
    </row>
    <row r="157" spans="2:23">
      <c r="B157" s="44"/>
      <c r="C157" s="107"/>
      <c r="D157" s="42"/>
      <c r="E157" s="42"/>
      <c r="F157" s="42"/>
      <c r="G157" s="44"/>
      <c r="H157" s="44"/>
      <c r="I157" s="45"/>
      <c r="J157" s="45"/>
      <c r="K157" s="45"/>
      <c r="L157" s="45"/>
      <c r="M157" s="45"/>
      <c r="N157" s="45"/>
      <c r="O157" s="59"/>
      <c r="P157" s="42"/>
      <c r="Q157" s="42"/>
      <c r="R157" s="44"/>
      <c r="S157" s="44"/>
      <c r="T157" s="44"/>
      <c r="U157" s="44"/>
      <c r="V157" s="44"/>
      <c r="W157" s="44"/>
    </row>
    <row r="158" spans="2:23">
      <c r="B158" s="44"/>
      <c r="C158" s="107"/>
      <c r="D158" s="42"/>
      <c r="E158" s="42"/>
      <c r="F158" s="42"/>
      <c r="G158" s="44"/>
      <c r="H158" s="44"/>
      <c r="I158" s="45"/>
      <c r="J158" s="45"/>
      <c r="K158" s="45"/>
      <c r="L158" s="45"/>
      <c r="M158" s="45"/>
      <c r="N158" s="45"/>
      <c r="O158" s="59"/>
      <c r="P158" s="42"/>
      <c r="Q158" s="42"/>
      <c r="R158" s="44"/>
      <c r="S158" s="44"/>
      <c r="T158" s="44"/>
      <c r="U158" s="44"/>
      <c r="V158" s="44"/>
      <c r="W158" s="44"/>
    </row>
    <row r="159" spans="2:23">
      <c r="B159" s="44"/>
      <c r="C159" s="107"/>
      <c r="D159" s="42"/>
      <c r="E159" s="42"/>
      <c r="F159" s="42"/>
      <c r="G159" s="44"/>
      <c r="H159" s="44"/>
      <c r="I159" s="45"/>
      <c r="J159" s="45"/>
      <c r="K159" s="45"/>
      <c r="L159" s="45"/>
      <c r="M159" s="45"/>
      <c r="N159" s="45"/>
      <c r="O159" s="59"/>
      <c r="P159" s="42"/>
      <c r="Q159" s="42"/>
      <c r="R159" s="44"/>
      <c r="S159" s="44"/>
      <c r="T159" s="44"/>
      <c r="U159" s="44"/>
      <c r="V159" s="44"/>
      <c r="W159" s="44"/>
    </row>
    <row r="160" spans="2:23">
      <c r="B160" s="44"/>
      <c r="C160" s="107"/>
      <c r="D160" s="42"/>
      <c r="E160" s="42"/>
      <c r="F160" s="42"/>
      <c r="G160" s="44"/>
      <c r="H160" s="44"/>
      <c r="I160" s="45"/>
      <c r="J160" s="45"/>
      <c r="K160" s="45"/>
      <c r="L160" s="45"/>
      <c r="M160" s="45"/>
      <c r="N160" s="45"/>
      <c r="O160" s="59"/>
      <c r="P160" s="42"/>
      <c r="Q160" s="42"/>
      <c r="R160" s="44"/>
      <c r="S160" s="44"/>
      <c r="T160" s="44"/>
      <c r="U160" s="44"/>
      <c r="V160" s="44"/>
      <c r="W160" s="44"/>
    </row>
    <row r="161" spans="2:23">
      <c r="B161" s="44"/>
      <c r="C161" s="107"/>
      <c r="D161" s="42"/>
      <c r="E161" s="42"/>
      <c r="F161" s="42"/>
      <c r="G161" s="44"/>
      <c r="H161" s="44"/>
      <c r="I161" s="45"/>
      <c r="J161" s="45"/>
      <c r="K161" s="45"/>
      <c r="L161" s="45"/>
      <c r="M161" s="45"/>
      <c r="N161" s="45"/>
      <c r="O161" s="59"/>
      <c r="P161" s="42"/>
      <c r="Q161" s="42"/>
      <c r="R161" s="44"/>
      <c r="S161" s="44"/>
      <c r="T161" s="44"/>
      <c r="U161" s="44"/>
      <c r="V161" s="44"/>
      <c r="W161" s="44"/>
    </row>
    <row r="162" spans="2:23">
      <c r="B162" s="44"/>
      <c r="C162" s="107"/>
      <c r="D162" s="42"/>
      <c r="E162" s="42"/>
      <c r="F162" s="42"/>
      <c r="G162" s="44"/>
      <c r="H162" s="44"/>
      <c r="I162" s="45"/>
      <c r="J162" s="45"/>
      <c r="K162" s="45"/>
      <c r="L162" s="45"/>
      <c r="M162" s="45"/>
      <c r="N162" s="45"/>
      <c r="O162" s="59"/>
      <c r="P162" s="42"/>
      <c r="Q162" s="42"/>
      <c r="R162" s="44"/>
      <c r="S162" s="44"/>
      <c r="T162" s="44"/>
      <c r="U162" s="44"/>
      <c r="V162" s="44"/>
      <c r="W162" s="44"/>
    </row>
    <row r="163" spans="2:23">
      <c r="B163" s="44"/>
      <c r="C163" s="107"/>
      <c r="D163" s="42"/>
      <c r="E163" s="42"/>
      <c r="F163" s="42"/>
      <c r="G163" s="44"/>
      <c r="H163" s="44"/>
      <c r="I163" s="45"/>
      <c r="J163" s="45"/>
      <c r="K163" s="45"/>
      <c r="L163" s="45"/>
      <c r="M163" s="45"/>
      <c r="N163" s="45"/>
      <c r="O163" s="59"/>
      <c r="P163" s="42"/>
      <c r="Q163" s="42"/>
      <c r="R163" s="44"/>
      <c r="S163" s="44"/>
      <c r="T163" s="44"/>
      <c r="U163" s="44"/>
      <c r="V163" s="44"/>
      <c r="W163" s="44"/>
    </row>
    <row r="164" spans="2:23">
      <c r="B164" s="44"/>
      <c r="C164" s="107"/>
      <c r="D164" s="42"/>
      <c r="E164" s="42"/>
      <c r="F164" s="42"/>
      <c r="G164" s="44"/>
      <c r="H164" s="44"/>
      <c r="I164" s="45"/>
      <c r="J164" s="45"/>
      <c r="K164" s="45"/>
      <c r="L164" s="45"/>
      <c r="M164" s="45"/>
      <c r="N164" s="45"/>
      <c r="O164" s="59"/>
      <c r="P164" s="42"/>
      <c r="Q164" s="42"/>
      <c r="R164" s="44"/>
      <c r="S164" s="44"/>
      <c r="T164" s="44"/>
      <c r="U164" s="44"/>
      <c r="V164" s="44"/>
      <c r="W164" s="44"/>
    </row>
    <row r="165" spans="2:23">
      <c r="B165" s="44"/>
      <c r="C165" s="107"/>
      <c r="D165" s="42"/>
      <c r="E165" s="42"/>
      <c r="F165" s="42"/>
      <c r="G165" s="44"/>
      <c r="H165" s="44"/>
      <c r="I165" s="45"/>
      <c r="J165" s="45"/>
      <c r="K165" s="45"/>
      <c r="L165" s="45"/>
      <c r="M165" s="45"/>
      <c r="N165" s="45"/>
      <c r="O165" s="101"/>
      <c r="P165" s="42"/>
      <c r="Q165" s="42"/>
      <c r="R165" s="44"/>
      <c r="S165" s="44"/>
      <c r="T165" s="44"/>
      <c r="U165" s="44"/>
      <c r="V165" s="44"/>
      <c r="W165" s="44"/>
    </row>
    <row r="166" spans="2:23">
      <c r="B166" s="44"/>
      <c r="C166" s="107"/>
      <c r="D166" s="42"/>
      <c r="E166" s="42"/>
      <c r="F166" s="42"/>
      <c r="G166" s="44"/>
      <c r="H166" s="44"/>
      <c r="I166" s="45"/>
      <c r="J166" s="45"/>
      <c r="K166" s="45"/>
      <c r="L166" s="45"/>
      <c r="M166" s="45"/>
      <c r="N166" s="45"/>
      <c r="O166" s="101"/>
      <c r="P166" s="42"/>
      <c r="Q166" s="42"/>
      <c r="R166" s="44"/>
      <c r="S166" s="44"/>
      <c r="T166" s="44"/>
      <c r="U166" s="44"/>
      <c r="V166" s="44"/>
      <c r="W166" s="44"/>
    </row>
    <row r="167" spans="2:23">
      <c r="B167" s="44"/>
      <c r="C167" s="107"/>
      <c r="D167" s="42"/>
      <c r="E167" s="42"/>
      <c r="F167" s="42"/>
      <c r="G167" s="44"/>
      <c r="H167" s="44"/>
      <c r="I167" s="45"/>
      <c r="J167" s="45"/>
      <c r="K167" s="45"/>
      <c r="L167" s="45"/>
      <c r="M167" s="45"/>
      <c r="N167" s="45"/>
      <c r="O167" s="101"/>
      <c r="P167" s="42"/>
      <c r="Q167" s="42"/>
      <c r="R167" s="44"/>
      <c r="S167" s="44"/>
      <c r="T167" s="44"/>
      <c r="U167" s="44"/>
      <c r="V167" s="44"/>
      <c r="W167" s="44"/>
    </row>
    <row r="168" spans="2:23">
      <c r="B168" s="44"/>
      <c r="C168" s="107"/>
      <c r="D168" s="42"/>
      <c r="E168" s="42"/>
      <c r="F168" s="42"/>
      <c r="G168" s="44"/>
      <c r="H168" s="44"/>
      <c r="I168" s="45"/>
      <c r="J168" s="45"/>
      <c r="K168" s="45"/>
      <c r="L168" s="45"/>
      <c r="M168" s="45"/>
      <c r="N168" s="45"/>
      <c r="O168" s="42"/>
      <c r="P168" s="42"/>
      <c r="Q168" s="42"/>
      <c r="R168" s="44"/>
      <c r="S168" s="44"/>
      <c r="T168" s="44"/>
      <c r="U168" s="44"/>
      <c r="V168" s="44"/>
      <c r="W168" s="44"/>
    </row>
    <row r="169" spans="2:23">
      <c r="B169" s="44"/>
      <c r="C169" s="107"/>
      <c r="D169" s="42"/>
      <c r="E169" s="42"/>
      <c r="F169" s="42"/>
      <c r="G169" s="44"/>
      <c r="H169" s="44"/>
      <c r="I169" s="45"/>
      <c r="J169" s="45"/>
      <c r="K169" s="45"/>
      <c r="L169" s="45"/>
      <c r="M169" s="45"/>
      <c r="N169" s="45"/>
      <c r="O169" s="42"/>
      <c r="P169" s="42"/>
      <c r="Q169" s="42"/>
      <c r="R169" s="44"/>
      <c r="S169" s="44"/>
      <c r="T169" s="44"/>
      <c r="U169" s="44"/>
      <c r="V169" s="44"/>
      <c r="W169" s="44"/>
    </row>
    <row r="170" spans="2:23">
      <c r="B170" s="44"/>
      <c r="C170" s="107"/>
      <c r="D170" s="42"/>
      <c r="E170" s="42"/>
      <c r="F170" s="42"/>
      <c r="G170" s="44"/>
      <c r="H170" s="44"/>
      <c r="I170" s="45"/>
      <c r="J170" s="45"/>
      <c r="K170" s="45"/>
      <c r="L170" s="45"/>
      <c r="M170" s="45"/>
      <c r="N170" s="45"/>
      <c r="O170" s="42"/>
      <c r="P170" s="42"/>
      <c r="Q170" s="42"/>
      <c r="R170" s="44"/>
      <c r="S170" s="44"/>
      <c r="T170" s="44"/>
      <c r="U170" s="44"/>
      <c r="V170" s="44"/>
      <c r="W170" s="44"/>
    </row>
    <row r="171" spans="2:23">
      <c r="B171" s="44"/>
      <c r="C171" s="107"/>
      <c r="D171" s="42"/>
      <c r="E171" s="42"/>
      <c r="F171" s="42"/>
      <c r="G171" s="44"/>
      <c r="H171" s="44"/>
      <c r="I171" s="45"/>
      <c r="J171" s="45"/>
      <c r="K171" s="45"/>
      <c r="L171" s="45"/>
      <c r="M171" s="45"/>
      <c r="N171" s="45"/>
      <c r="O171" s="42"/>
      <c r="P171" s="42"/>
      <c r="Q171" s="42"/>
      <c r="R171" s="44"/>
      <c r="S171" s="44"/>
      <c r="T171" s="44"/>
      <c r="U171" s="44"/>
      <c r="V171" s="44"/>
      <c r="W171" s="44"/>
    </row>
    <row r="172" spans="2:23">
      <c r="B172" s="44"/>
      <c r="C172" s="107"/>
      <c r="D172" s="42"/>
      <c r="E172" s="42"/>
      <c r="F172" s="42"/>
      <c r="G172" s="44"/>
      <c r="H172" s="44"/>
      <c r="I172" s="91"/>
      <c r="J172" s="91"/>
      <c r="K172" s="91"/>
      <c r="L172" s="91"/>
      <c r="M172" s="91"/>
      <c r="N172" s="91"/>
      <c r="O172" s="42"/>
      <c r="P172" s="42"/>
      <c r="Q172" s="42"/>
      <c r="R172" s="44"/>
      <c r="S172" s="44"/>
      <c r="T172" s="44"/>
      <c r="U172" s="44"/>
      <c r="V172" s="44"/>
      <c r="W172" s="44"/>
    </row>
    <row r="173" spans="2:23">
      <c r="B173" s="44"/>
      <c r="C173" s="107"/>
      <c r="D173" s="42"/>
      <c r="E173" s="42"/>
      <c r="F173" s="42"/>
      <c r="G173" s="44"/>
      <c r="H173" s="44"/>
      <c r="I173" s="45"/>
      <c r="J173" s="45"/>
      <c r="K173" s="45"/>
      <c r="L173" s="45"/>
      <c r="M173" s="45"/>
      <c r="N173" s="45"/>
      <c r="O173" s="106"/>
      <c r="P173" s="42"/>
      <c r="Q173" s="42"/>
      <c r="R173" s="44"/>
      <c r="S173" s="44"/>
      <c r="T173" s="44"/>
      <c r="U173" s="44"/>
      <c r="V173" s="44"/>
      <c r="W173" s="44"/>
    </row>
    <row r="174" spans="2:23">
      <c r="B174" s="44"/>
      <c r="C174" s="107"/>
      <c r="D174" s="42"/>
      <c r="E174" s="42"/>
      <c r="F174" s="42"/>
      <c r="G174" s="44"/>
      <c r="H174" s="44"/>
      <c r="I174" s="45"/>
      <c r="J174" s="45"/>
      <c r="K174" s="45"/>
      <c r="L174" s="45"/>
      <c r="M174" s="45"/>
      <c r="N174" s="45"/>
      <c r="O174" s="106"/>
      <c r="P174" s="42"/>
      <c r="Q174" s="42"/>
      <c r="R174" s="44"/>
      <c r="S174" s="44"/>
      <c r="T174" s="44"/>
      <c r="U174" s="44"/>
      <c r="V174" s="44"/>
      <c r="W174" s="44"/>
    </row>
    <row r="175" spans="2:23">
      <c r="B175" s="44"/>
      <c r="C175" s="107"/>
      <c r="D175" s="42"/>
      <c r="E175" s="42"/>
      <c r="F175" s="42"/>
      <c r="G175" s="44"/>
      <c r="H175" s="44"/>
      <c r="I175" s="45"/>
      <c r="J175" s="45"/>
      <c r="K175" s="45"/>
      <c r="L175" s="45"/>
      <c r="M175" s="45"/>
      <c r="N175" s="45"/>
      <c r="O175" s="106"/>
      <c r="P175" s="42"/>
      <c r="Q175" s="42"/>
      <c r="R175" s="44"/>
      <c r="S175" s="44"/>
      <c r="T175" s="44"/>
      <c r="U175" s="44"/>
      <c r="V175" s="44"/>
      <c r="W175" s="44"/>
    </row>
    <row r="176" spans="2:23">
      <c r="B176" s="44"/>
      <c r="C176" s="107"/>
      <c r="D176" s="42"/>
      <c r="E176" s="42"/>
      <c r="F176" s="42"/>
      <c r="G176" s="44"/>
      <c r="H176" s="44"/>
      <c r="I176" s="45"/>
      <c r="J176" s="45"/>
      <c r="K176" s="45"/>
      <c r="L176" s="45"/>
      <c r="M176" s="45"/>
      <c r="N176" s="45"/>
      <c r="O176" s="106"/>
      <c r="P176" s="42"/>
      <c r="Q176" s="42"/>
      <c r="R176" s="44"/>
      <c r="S176" s="44"/>
      <c r="T176" s="44"/>
      <c r="U176" s="44"/>
      <c r="V176" s="44"/>
      <c r="W176" s="44"/>
    </row>
    <row r="177" spans="2:23">
      <c r="B177" s="44"/>
      <c r="C177" s="107"/>
      <c r="D177" s="42"/>
      <c r="E177" s="42"/>
      <c r="F177" s="42"/>
      <c r="G177" s="44"/>
      <c r="H177" s="44"/>
      <c r="I177" s="45"/>
      <c r="J177" s="45"/>
      <c r="K177" s="45"/>
      <c r="L177" s="45"/>
      <c r="M177" s="45"/>
      <c r="N177" s="45"/>
      <c r="O177" s="106"/>
      <c r="P177" s="42"/>
      <c r="Q177" s="42"/>
      <c r="R177" s="44"/>
      <c r="S177" s="44"/>
      <c r="T177" s="44"/>
      <c r="U177" s="44"/>
      <c r="V177" s="44"/>
      <c r="W177" s="44"/>
    </row>
    <row r="178" spans="2:23">
      <c r="B178" s="44"/>
      <c r="C178" s="107"/>
      <c r="D178" s="42"/>
      <c r="E178" s="42"/>
      <c r="F178" s="42"/>
      <c r="G178" s="44"/>
      <c r="H178" s="44"/>
      <c r="I178" s="45"/>
      <c r="J178" s="45"/>
      <c r="K178" s="45"/>
      <c r="L178" s="45"/>
      <c r="M178" s="45"/>
      <c r="N178" s="45"/>
      <c r="O178" s="106"/>
      <c r="P178" s="42"/>
      <c r="Q178" s="42"/>
      <c r="R178" s="44"/>
      <c r="S178" s="44"/>
      <c r="T178" s="44"/>
      <c r="U178" s="44"/>
      <c r="V178" s="44"/>
      <c r="W178" s="44"/>
    </row>
    <row r="179" spans="2:23">
      <c r="B179" s="44"/>
      <c r="C179" s="107"/>
      <c r="D179" s="42"/>
      <c r="E179" s="42"/>
      <c r="F179" s="42"/>
      <c r="G179" s="44"/>
      <c r="H179" s="44"/>
      <c r="I179" s="45"/>
      <c r="J179" s="45"/>
      <c r="K179" s="45"/>
      <c r="L179" s="45"/>
      <c r="M179" s="45"/>
      <c r="N179" s="45"/>
      <c r="O179" s="106"/>
      <c r="P179" s="42"/>
      <c r="Q179" s="42"/>
      <c r="R179" s="44"/>
      <c r="S179" s="44"/>
      <c r="T179" s="44"/>
      <c r="U179" s="44"/>
      <c r="V179" s="44"/>
      <c r="W179" s="44"/>
    </row>
    <row r="180" spans="2:23">
      <c r="B180" s="44"/>
      <c r="C180" s="107"/>
      <c r="D180" s="42"/>
      <c r="E180" s="42"/>
      <c r="F180" s="42"/>
      <c r="G180" s="44"/>
      <c r="H180" s="44"/>
      <c r="I180" s="45"/>
      <c r="J180" s="45"/>
      <c r="K180" s="45"/>
      <c r="L180" s="45"/>
      <c r="M180" s="45"/>
      <c r="N180" s="45"/>
      <c r="O180" s="106"/>
      <c r="P180" s="42"/>
      <c r="Q180" s="42"/>
      <c r="R180" s="44"/>
      <c r="S180" s="44"/>
      <c r="T180" s="44"/>
      <c r="U180" s="44"/>
      <c r="V180" s="44"/>
      <c r="W180" s="44"/>
    </row>
    <row r="181" spans="2:23">
      <c r="B181" s="44"/>
      <c r="C181" s="107"/>
      <c r="D181" s="42"/>
      <c r="E181" s="42"/>
      <c r="F181" s="42"/>
      <c r="G181" s="44"/>
      <c r="H181" s="44"/>
      <c r="I181" s="45"/>
      <c r="J181" s="45"/>
      <c r="K181" s="45"/>
      <c r="L181" s="45"/>
      <c r="M181" s="45"/>
      <c r="N181" s="45"/>
      <c r="O181" s="106"/>
      <c r="P181" s="42"/>
      <c r="Q181" s="42"/>
      <c r="R181" s="44"/>
      <c r="S181" s="44"/>
      <c r="T181" s="44"/>
      <c r="U181" s="44"/>
      <c r="V181" s="44"/>
      <c r="W181" s="44"/>
    </row>
    <row r="182" spans="2:23">
      <c r="B182" s="44"/>
      <c r="C182" s="107"/>
      <c r="D182" s="42"/>
      <c r="E182" s="42"/>
      <c r="F182" s="42"/>
      <c r="G182" s="44"/>
      <c r="H182" s="44"/>
      <c r="I182" s="45"/>
      <c r="J182" s="45"/>
      <c r="K182" s="45"/>
      <c r="L182" s="45"/>
      <c r="M182" s="45"/>
      <c r="N182" s="45"/>
      <c r="O182" s="42"/>
      <c r="P182" s="42"/>
      <c r="Q182" s="42"/>
      <c r="R182" s="44"/>
      <c r="S182" s="44"/>
      <c r="T182" s="44"/>
      <c r="U182" s="44"/>
      <c r="V182" s="44"/>
      <c r="W182" s="44"/>
    </row>
    <row r="183" spans="2:23">
      <c r="B183" s="44"/>
      <c r="C183" s="107"/>
      <c r="D183" s="42"/>
      <c r="E183" s="42"/>
      <c r="F183" s="42"/>
      <c r="G183" s="44"/>
      <c r="H183" s="44"/>
      <c r="I183" s="45"/>
      <c r="J183" s="45"/>
      <c r="K183" s="45"/>
      <c r="L183" s="45"/>
      <c r="M183" s="45"/>
      <c r="N183" s="45"/>
      <c r="O183" s="107"/>
      <c r="P183" s="42"/>
      <c r="Q183" s="42"/>
      <c r="R183" s="44"/>
      <c r="S183" s="44"/>
      <c r="T183" s="44"/>
      <c r="U183" s="44"/>
      <c r="V183" s="44"/>
      <c r="W183" s="44"/>
    </row>
    <row r="184" spans="2:23">
      <c r="B184" s="44"/>
      <c r="C184" s="107"/>
      <c r="D184" s="42"/>
      <c r="E184" s="42"/>
      <c r="F184" s="42"/>
      <c r="G184" s="44"/>
      <c r="H184" s="44"/>
      <c r="I184" s="45"/>
      <c r="J184" s="45"/>
      <c r="K184" s="45"/>
      <c r="L184" s="45"/>
      <c r="M184" s="45"/>
      <c r="N184" s="45"/>
      <c r="O184" s="42"/>
      <c r="P184" s="42"/>
      <c r="Q184" s="42"/>
      <c r="R184" s="44"/>
      <c r="S184" s="44"/>
      <c r="T184" s="44"/>
      <c r="U184" s="44"/>
      <c r="V184" s="44"/>
      <c r="W184" s="44"/>
    </row>
    <row r="185" spans="2:23">
      <c r="B185" s="44"/>
      <c r="C185" s="107"/>
      <c r="D185" s="42"/>
      <c r="E185" s="42"/>
      <c r="F185" s="42"/>
      <c r="G185" s="44"/>
      <c r="H185" s="44"/>
      <c r="I185" s="45"/>
      <c r="J185" s="45"/>
      <c r="K185" s="45"/>
      <c r="L185" s="45"/>
      <c r="M185" s="45"/>
      <c r="N185" s="45"/>
      <c r="O185" s="106"/>
      <c r="P185" s="42"/>
      <c r="Q185" s="42"/>
      <c r="R185" s="44"/>
      <c r="S185" s="44"/>
      <c r="T185" s="44"/>
      <c r="U185" s="44"/>
      <c r="V185" s="44"/>
      <c r="W185" s="44"/>
    </row>
    <row r="186" spans="2:23">
      <c r="B186" s="44"/>
      <c r="C186" s="107"/>
      <c r="D186" s="42"/>
      <c r="E186" s="42"/>
      <c r="F186" s="42"/>
      <c r="G186" s="44"/>
      <c r="H186" s="44"/>
      <c r="I186" s="45"/>
      <c r="J186" s="45"/>
      <c r="K186" s="45"/>
      <c r="L186" s="45"/>
      <c r="M186" s="45"/>
      <c r="N186" s="45"/>
      <c r="O186" s="42"/>
      <c r="P186" s="42"/>
      <c r="Q186" s="42"/>
      <c r="R186" s="44"/>
      <c r="S186" s="44"/>
      <c r="T186" s="44"/>
      <c r="U186" s="44"/>
      <c r="V186" s="44"/>
      <c r="W186" s="44"/>
    </row>
    <row r="187" spans="2:23">
      <c r="B187" s="44"/>
      <c r="C187" s="107"/>
      <c r="D187" s="42"/>
      <c r="E187" s="42"/>
      <c r="F187" s="42"/>
      <c r="G187" s="44"/>
      <c r="H187" s="44"/>
      <c r="I187" s="45"/>
      <c r="J187" s="45"/>
      <c r="K187" s="45"/>
      <c r="L187" s="45"/>
      <c r="M187" s="45"/>
      <c r="N187" s="45"/>
      <c r="O187" s="42"/>
      <c r="P187" s="42"/>
      <c r="Q187" s="42"/>
      <c r="R187" s="44"/>
      <c r="S187" s="44"/>
      <c r="T187" s="44"/>
      <c r="U187" s="44"/>
      <c r="V187" s="44"/>
      <c r="W187" s="44"/>
    </row>
    <row r="188" spans="2:23">
      <c r="B188" s="44"/>
      <c r="C188" s="107"/>
      <c r="D188" s="42"/>
      <c r="E188" s="42"/>
      <c r="F188" s="42"/>
      <c r="G188" s="44"/>
      <c r="H188" s="44"/>
      <c r="I188" s="45"/>
      <c r="J188" s="45"/>
      <c r="K188" s="45"/>
      <c r="L188" s="45"/>
      <c r="M188" s="45"/>
      <c r="N188" s="45"/>
      <c r="O188" s="42"/>
      <c r="P188" s="42"/>
      <c r="Q188" s="42"/>
      <c r="R188" s="44"/>
      <c r="S188" s="44"/>
      <c r="T188" s="44"/>
      <c r="U188" s="44"/>
      <c r="V188" s="44"/>
      <c r="W188" s="44"/>
    </row>
    <row r="189" spans="2:23">
      <c r="B189" s="44"/>
      <c r="C189" s="107"/>
      <c r="D189" s="42"/>
      <c r="E189" s="42"/>
      <c r="F189" s="42"/>
      <c r="G189" s="44"/>
      <c r="H189" s="44"/>
      <c r="I189" s="45"/>
      <c r="J189" s="45"/>
      <c r="K189" s="45"/>
      <c r="L189" s="45"/>
      <c r="M189" s="45"/>
      <c r="N189" s="45"/>
      <c r="O189" s="42"/>
      <c r="P189" s="42"/>
      <c r="Q189" s="42"/>
      <c r="R189" s="44"/>
      <c r="S189" s="44"/>
      <c r="T189" s="44"/>
      <c r="U189" s="44"/>
      <c r="V189" s="44"/>
      <c r="W189" s="44"/>
    </row>
    <row r="190" spans="2:23">
      <c r="B190" s="44"/>
      <c r="C190" s="107"/>
      <c r="D190" s="42"/>
      <c r="E190" s="42"/>
      <c r="F190" s="42"/>
      <c r="G190" s="44"/>
      <c r="H190" s="44"/>
      <c r="I190" s="45"/>
      <c r="J190" s="45"/>
      <c r="K190" s="45"/>
      <c r="L190" s="45"/>
      <c r="M190" s="45"/>
      <c r="N190" s="45"/>
      <c r="O190" s="42"/>
      <c r="P190" s="42"/>
      <c r="Q190" s="42"/>
      <c r="R190" s="44"/>
      <c r="S190" s="44"/>
      <c r="T190" s="44"/>
      <c r="U190" s="44"/>
      <c r="V190" s="44"/>
      <c r="W190" s="44"/>
    </row>
    <row r="191" spans="2:23">
      <c r="B191" s="44"/>
      <c r="C191" s="107"/>
      <c r="D191" s="42"/>
      <c r="E191" s="42"/>
      <c r="F191" s="42"/>
      <c r="G191" s="44"/>
      <c r="H191" s="44"/>
      <c r="I191" s="45"/>
      <c r="J191" s="45"/>
      <c r="K191" s="45"/>
      <c r="L191" s="45"/>
      <c r="M191" s="45"/>
      <c r="N191" s="45"/>
      <c r="O191" s="59"/>
      <c r="P191" s="42"/>
      <c r="Q191" s="42"/>
      <c r="R191" s="44"/>
      <c r="S191" s="44"/>
      <c r="T191" s="44"/>
      <c r="U191" s="44"/>
      <c r="V191" s="44"/>
      <c r="W191" s="44"/>
    </row>
    <row r="192" spans="2:23">
      <c r="B192" s="44"/>
      <c r="C192" s="107"/>
      <c r="D192" s="42"/>
      <c r="E192" s="42"/>
      <c r="F192" s="42"/>
      <c r="G192" s="44"/>
      <c r="H192" s="44"/>
      <c r="I192" s="45"/>
      <c r="J192" s="45"/>
      <c r="K192" s="45"/>
      <c r="L192" s="45"/>
      <c r="M192" s="45"/>
      <c r="N192" s="45"/>
      <c r="O192" s="59"/>
      <c r="P192" s="42"/>
      <c r="Q192" s="42"/>
      <c r="R192" s="44"/>
      <c r="S192" s="44"/>
      <c r="T192" s="44"/>
      <c r="U192" s="44"/>
      <c r="V192" s="44"/>
      <c r="W192" s="44"/>
    </row>
    <row r="193" spans="2:23">
      <c r="B193" s="44"/>
      <c r="C193" s="107"/>
      <c r="D193" s="42"/>
      <c r="E193" s="42"/>
      <c r="F193" s="42"/>
      <c r="G193" s="44"/>
      <c r="H193" s="44"/>
      <c r="I193" s="45"/>
      <c r="J193" s="45"/>
      <c r="K193" s="45"/>
      <c r="L193" s="45"/>
      <c r="M193" s="45"/>
      <c r="N193" s="45"/>
      <c r="O193" s="59"/>
      <c r="P193" s="42"/>
      <c r="Q193" s="42"/>
      <c r="R193" s="44"/>
      <c r="S193" s="44"/>
      <c r="T193" s="44"/>
      <c r="U193" s="44"/>
      <c r="V193" s="44"/>
      <c r="W193" s="44"/>
    </row>
    <row r="194" spans="2:23">
      <c r="B194" s="44"/>
      <c r="C194" s="107"/>
      <c r="D194" s="42"/>
      <c r="E194" s="42"/>
      <c r="F194" s="42"/>
      <c r="G194" s="44"/>
      <c r="H194" s="44"/>
      <c r="I194" s="45"/>
      <c r="J194" s="45"/>
      <c r="K194" s="45"/>
      <c r="L194" s="45"/>
      <c r="M194" s="45"/>
      <c r="N194" s="45"/>
      <c r="O194" s="42"/>
      <c r="P194" s="42"/>
      <c r="Q194" s="42"/>
      <c r="R194" s="44"/>
      <c r="S194" s="44"/>
      <c r="T194" s="44"/>
      <c r="U194" s="44"/>
      <c r="V194" s="44"/>
      <c r="W194" s="44"/>
    </row>
    <row r="195" spans="2:23">
      <c r="B195" s="44"/>
      <c r="C195" s="107"/>
      <c r="D195" s="42"/>
      <c r="E195" s="42"/>
      <c r="F195" s="42"/>
      <c r="G195" s="44"/>
      <c r="H195" s="44"/>
      <c r="I195" s="45"/>
      <c r="J195" s="45"/>
      <c r="K195" s="45"/>
      <c r="L195" s="45"/>
      <c r="M195" s="45"/>
      <c r="N195" s="45"/>
      <c r="O195" s="42"/>
      <c r="P195" s="42"/>
      <c r="Q195" s="42"/>
      <c r="R195" s="44"/>
      <c r="S195" s="44"/>
      <c r="T195" s="44"/>
      <c r="U195" s="44"/>
      <c r="V195" s="44"/>
      <c r="W195" s="44"/>
    </row>
    <row r="196" spans="2:23">
      <c r="B196" s="44"/>
      <c r="C196" s="107"/>
      <c r="D196" s="42"/>
      <c r="E196" s="42"/>
      <c r="F196" s="42"/>
      <c r="G196" s="44"/>
      <c r="H196" s="44"/>
      <c r="I196" s="45"/>
      <c r="J196" s="45"/>
      <c r="K196" s="45"/>
      <c r="L196" s="45"/>
      <c r="M196" s="45"/>
      <c r="N196" s="45"/>
      <c r="O196" s="42"/>
      <c r="P196" s="42"/>
      <c r="Q196" s="42"/>
      <c r="R196" s="44"/>
      <c r="S196" s="44"/>
      <c r="T196" s="44"/>
      <c r="U196" s="44"/>
      <c r="V196" s="44"/>
      <c r="W196" s="44"/>
    </row>
    <row r="197" spans="2:23">
      <c r="B197" s="44"/>
      <c r="C197" s="107"/>
      <c r="D197" s="42"/>
      <c r="E197" s="42"/>
      <c r="F197" s="42"/>
      <c r="G197" s="44"/>
      <c r="H197" s="44"/>
      <c r="I197" s="45"/>
      <c r="J197" s="45"/>
      <c r="K197" s="45"/>
      <c r="L197" s="45"/>
      <c r="M197" s="45"/>
      <c r="N197" s="45"/>
      <c r="O197" s="42"/>
      <c r="P197" s="42"/>
      <c r="Q197" s="42"/>
      <c r="R197" s="44"/>
      <c r="S197" s="44"/>
      <c r="T197" s="44"/>
      <c r="U197" s="44"/>
      <c r="V197" s="44"/>
      <c r="W197" s="44"/>
    </row>
    <row r="198" spans="2:23">
      <c r="B198" s="44"/>
      <c r="C198" s="107"/>
      <c r="D198" s="42"/>
      <c r="E198" s="42"/>
      <c r="F198" s="42"/>
      <c r="G198" s="44"/>
      <c r="H198" s="44"/>
      <c r="I198" s="45"/>
      <c r="J198" s="45"/>
      <c r="K198" s="45"/>
      <c r="L198" s="45"/>
      <c r="M198" s="45"/>
      <c r="N198" s="45"/>
      <c r="O198" s="42"/>
      <c r="P198" s="42"/>
      <c r="Q198" s="42"/>
      <c r="R198" s="44"/>
      <c r="S198" s="44"/>
      <c r="T198" s="44"/>
      <c r="U198" s="44"/>
      <c r="V198" s="44"/>
      <c r="W198" s="44"/>
    </row>
    <row r="199" spans="2:23">
      <c r="B199" s="44"/>
      <c r="C199" s="107"/>
      <c r="D199" s="42"/>
      <c r="E199" s="42"/>
      <c r="F199" s="42"/>
      <c r="G199" s="44"/>
      <c r="H199" s="44"/>
      <c r="I199" s="45"/>
      <c r="J199" s="45"/>
      <c r="K199" s="45"/>
      <c r="L199" s="45"/>
      <c r="M199" s="45"/>
      <c r="N199" s="45"/>
      <c r="O199" s="42"/>
      <c r="P199" s="42"/>
      <c r="Q199" s="42"/>
      <c r="R199" s="44"/>
      <c r="S199" s="44"/>
      <c r="T199" s="44"/>
      <c r="U199" s="44"/>
      <c r="V199" s="44"/>
      <c r="W199" s="44"/>
    </row>
    <row r="200" spans="2:23">
      <c r="B200" s="44"/>
      <c r="C200" s="107"/>
      <c r="D200" s="42"/>
      <c r="E200" s="42"/>
      <c r="F200" s="42"/>
      <c r="G200" s="44"/>
      <c r="H200" s="44"/>
      <c r="I200" s="45"/>
      <c r="J200" s="45"/>
      <c r="K200" s="45"/>
      <c r="L200" s="45"/>
      <c r="M200" s="45"/>
      <c r="N200" s="45"/>
      <c r="O200" s="42"/>
      <c r="P200" s="42"/>
      <c r="Q200" s="42"/>
      <c r="R200" s="44"/>
      <c r="S200" s="44"/>
      <c r="T200" s="44"/>
      <c r="U200" s="44"/>
      <c r="V200" s="44"/>
      <c r="W200" s="44"/>
    </row>
    <row r="201" spans="2:23">
      <c r="B201" s="44"/>
      <c r="C201" s="107"/>
      <c r="D201" s="42"/>
      <c r="E201" s="42"/>
      <c r="F201" s="42"/>
      <c r="G201" s="44"/>
      <c r="H201" s="44"/>
      <c r="I201" s="45"/>
      <c r="J201" s="45"/>
      <c r="K201" s="45"/>
      <c r="L201" s="45"/>
      <c r="M201" s="45"/>
      <c r="N201" s="45"/>
      <c r="O201" s="42"/>
      <c r="P201" s="42"/>
      <c r="Q201" s="42"/>
      <c r="R201" s="44"/>
      <c r="S201" s="44"/>
      <c r="T201" s="44"/>
      <c r="U201" s="44"/>
      <c r="V201" s="44"/>
      <c r="W201" s="44"/>
    </row>
    <row r="202" spans="2:23">
      <c r="B202" s="44"/>
      <c r="C202" s="107"/>
      <c r="D202" s="42"/>
      <c r="E202" s="42"/>
      <c r="F202" s="42"/>
      <c r="G202" s="44"/>
      <c r="H202" s="44"/>
      <c r="I202" s="45"/>
      <c r="J202" s="45"/>
      <c r="K202" s="45"/>
      <c r="L202" s="45"/>
      <c r="M202" s="45"/>
      <c r="N202" s="45"/>
      <c r="O202" s="42"/>
      <c r="P202" s="42"/>
      <c r="Q202" s="42"/>
      <c r="R202" s="44"/>
      <c r="S202" s="44"/>
      <c r="T202" s="44"/>
      <c r="U202" s="44"/>
      <c r="V202" s="44"/>
      <c r="W202" s="44"/>
    </row>
    <row r="203" spans="2:23">
      <c r="B203" s="44"/>
      <c r="C203" s="107"/>
      <c r="D203" s="42"/>
      <c r="E203" s="42"/>
      <c r="F203" s="42"/>
      <c r="G203" s="44"/>
      <c r="H203" s="44"/>
      <c r="I203" s="45"/>
      <c r="J203" s="45"/>
      <c r="K203" s="45"/>
      <c r="L203" s="45"/>
      <c r="M203" s="45"/>
      <c r="N203" s="45"/>
      <c r="O203" s="42"/>
      <c r="P203" s="42"/>
      <c r="Q203" s="42"/>
      <c r="R203" s="44"/>
      <c r="S203" s="44"/>
      <c r="T203" s="44"/>
      <c r="U203" s="44"/>
      <c r="V203" s="44"/>
      <c r="W203" s="44"/>
    </row>
    <row r="204" spans="2:23">
      <c r="B204" s="44"/>
      <c r="C204" s="107"/>
      <c r="D204" s="42"/>
      <c r="E204" s="42"/>
      <c r="F204" s="42"/>
      <c r="G204" s="44"/>
      <c r="H204" s="44"/>
      <c r="I204" s="45"/>
      <c r="J204" s="45"/>
      <c r="K204" s="45"/>
      <c r="L204" s="45"/>
      <c r="M204" s="45"/>
      <c r="N204" s="45"/>
      <c r="O204" s="42"/>
      <c r="P204" s="42"/>
      <c r="Q204" s="42"/>
      <c r="R204" s="44"/>
      <c r="S204" s="44"/>
      <c r="T204" s="44"/>
      <c r="U204" s="44"/>
      <c r="V204" s="44"/>
      <c r="W204" s="44"/>
    </row>
    <row r="205" spans="2:23">
      <c r="B205" s="44"/>
      <c r="C205" s="107"/>
      <c r="D205" s="42"/>
      <c r="E205" s="42"/>
      <c r="F205" s="42"/>
      <c r="G205" s="44"/>
      <c r="H205" s="44"/>
      <c r="I205" s="45"/>
      <c r="J205" s="45"/>
      <c r="K205" s="45"/>
      <c r="L205" s="45"/>
      <c r="M205" s="45"/>
      <c r="N205" s="45"/>
      <c r="O205" s="42"/>
      <c r="P205" s="42"/>
      <c r="Q205" s="42"/>
      <c r="R205" s="44"/>
      <c r="S205" s="44"/>
      <c r="T205" s="44"/>
      <c r="U205" s="44"/>
      <c r="V205" s="44"/>
      <c r="W205" s="44"/>
    </row>
    <row r="206" spans="2:23">
      <c r="B206" s="44"/>
      <c r="C206" s="107"/>
      <c r="D206" s="42"/>
      <c r="E206" s="42"/>
      <c r="F206" s="42"/>
      <c r="G206" s="44"/>
      <c r="H206" s="44"/>
      <c r="I206" s="45"/>
      <c r="J206" s="45"/>
      <c r="K206" s="45"/>
      <c r="L206" s="45"/>
      <c r="M206" s="45"/>
      <c r="N206" s="45"/>
      <c r="O206" s="42"/>
      <c r="P206" s="42"/>
      <c r="Q206" s="42"/>
      <c r="R206" s="44"/>
      <c r="S206" s="44"/>
      <c r="T206" s="44"/>
      <c r="U206" s="44"/>
      <c r="V206" s="44"/>
      <c r="W206" s="44"/>
    </row>
    <row r="207" spans="2:23">
      <c r="B207" s="44"/>
      <c r="C207" s="107"/>
      <c r="D207" s="42"/>
      <c r="E207" s="42"/>
      <c r="F207" s="42"/>
      <c r="G207" s="44"/>
      <c r="H207" s="44"/>
      <c r="I207" s="45"/>
      <c r="J207" s="45"/>
      <c r="K207" s="45"/>
      <c r="L207" s="45"/>
      <c r="M207" s="45"/>
      <c r="N207" s="45"/>
      <c r="O207" s="42"/>
      <c r="P207" s="42"/>
      <c r="Q207" s="42"/>
      <c r="R207" s="44"/>
      <c r="S207" s="44"/>
      <c r="T207" s="44"/>
      <c r="U207" s="44"/>
      <c r="V207" s="44"/>
      <c r="W207" s="44"/>
    </row>
    <row r="208" spans="2:23">
      <c r="B208" s="44"/>
      <c r="C208" s="107"/>
      <c r="D208" s="42"/>
      <c r="E208" s="42"/>
      <c r="F208" s="42"/>
      <c r="G208" s="44"/>
      <c r="H208" s="44"/>
      <c r="I208" s="45"/>
      <c r="J208" s="45"/>
      <c r="K208" s="45"/>
      <c r="L208" s="45"/>
      <c r="M208" s="45"/>
      <c r="N208" s="45"/>
      <c r="O208" s="42"/>
      <c r="P208" s="42"/>
      <c r="Q208" s="42"/>
      <c r="R208" s="44"/>
      <c r="S208" s="44"/>
      <c r="T208" s="44"/>
      <c r="U208" s="44"/>
      <c r="V208" s="44"/>
      <c r="W208" s="44"/>
    </row>
    <row r="209" spans="2:23">
      <c r="B209" s="44"/>
      <c r="C209" s="107"/>
      <c r="D209" s="42"/>
      <c r="E209" s="42"/>
      <c r="F209" s="42"/>
      <c r="G209" s="44"/>
      <c r="H209" s="44"/>
      <c r="I209" s="45"/>
      <c r="J209" s="45"/>
      <c r="K209" s="45"/>
      <c r="L209" s="45"/>
      <c r="M209" s="45"/>
      <c r="N209" s="45"/>
      <c r="O209" s="42"/>
      <c r="P209" s="42"/>
      <c r="Q209" s="42"/>
      <c r="R209" s="44"/>
      <c r="S209" s="44"/>
      <c r="T209" s="44"/>
      <c r="U209" s="44"/>
      <c r="V209" s="44"/>
      <c r="W209" s="44"/>
    </row>
    <row r="210" spans="2:23">
      <c r="B210" s="44"/>
      <c r="C210" s="107"/>
      <c r="D210" s="42"/>
      <c r="E210" s="42"/>
      <c r="F210" s="42"/>
      <c r="G210" s="44"/>
      <c r="H210" s="44"/>
      <c r="I210" s="45"/>
      <c r="J210" s="45"/>
      <c r="K210" s="45"/>
      <c r="L210" s="45"/>
      <c r="M210" s="45"/>
      <c r="N210" s="45"/>
      <c r="O210" s="42"/>
      <c r="P210" s="42"/>
      <c r="Q210" s="42"/>
      <c r="R210" s="44"/>
      <c r="S210" s="44"/>
      <c r="T210" s="44"/>
      <c r="U210" s="44"/>
      <c r="V210" s="44"/>
      <c r="W210" s="44"/>
    </row>
    <row r="211" spans="2:23">
      <c r="B211" s="44"/>
      <c r="C211" s="107"/>
      <c r="D211" s="42"/>
      <c r="E211" s="42"/>
      <c r="F211" s="42"/>
      <c r="G211" s="44"/>
      <c r="H211" s="44"/>
      <c r="I211" s="45"/>
      <c r="J211" s="45"/>
      <c r="K211" s="45"/>
      <c r="L211" s="45"/>
      <c r="M211" s="45"/>
      <c r="N211" s="45"/>
      <c r="O211" s="42"/>
      <c r="P211" s="42"/>
      <c r="Q211" s="42"/>
      <c r="R211" s="44"/>
      <c r="S211" s="44"/>
      <c r="T211" s="44"/>
      <c r="U211" s="44"/>
      <c r="V211" s="44"/>
      <c r="W211" s="44"/>
    </row>
    <row r="212" spans="2:23">
      <c r="B212" s="44"/>
      <c r="C212" s="107"/>
      <c r="D212" s="42"/>
      <c r="E212" s="42"/>
      <c r="F212" s="42"/>
      <c r="G212" s="44"/>
      <c r="H212" s="44"/>
      <c r="I212" s="45"/>
      <c r="J212" s="45"/>
      <c r="K212" s="45"/>
      <c r="L212" s="45"/>
      <c r="M212" s="45"/>
      <c r="N212" s="45"/>
      <c r="O212" s="42"/>
      <c r="P212" s="42"/>
      <c r="Q212" s="42"/>
      <c r="R212" s="44"/>
      <c r="S212" s="44"/>
      <c r="T212" s="44"/>
      <c r="U212" s="44"/>
      <c r="V212" s="44"/>
      <c r="W212" s="44"/>
    </row>
    <row r="213" spans="2:23">
      <c r="B213" s="44"/>
      <c r="C213" s="107"/>
      <c r="D213" s="42"/>
      <c r="E213" s="42"/>
      <c r="F213" s="42"/>
      <c r="G213" s="44"/>
      <c r="H213" s="44"/>
      <c r="I213" s="45"/>
      <c r="J213" s="45"/>
      <c r="K213" s="45"/>
      <c r="L213" s="45"/>
      <c r="M213" s="45"/>
      <c r="N213" s="45"/>
      <c r="O213" s="42"/>
      <c r="P213" s="42"/>
      <c r="Q213" s="42"/>
      <c r="R213" s="44"/>
      <c r="S213" s="44"/>
      <c r="T213" s="44"/>
      <c r="U213" s="44"/>
      <c r="V213" s="44"/>
      <c r="W213" s="44"/>
    </row>
    <row r="214" spans="2:23">
      <c r="B214" s="44"/>
      <c r="C214" s="107"/>
      <c r="D214" s="42"/>
      <c r="E214" s="42"/>
      <c r="F214" s="42"/>
      <c r="G214" s="44"/>
      <c r="H214" s="44"/>
      <c r="I214" s="45"/>
      <c r="J214" s="45"/>
      <c r="K214" s="45"/>
      <c r="L214" s="45"/>
      <c r="M214" s="45"/>
      <c r="N214" s="45"/>
      <c r="O214" s="42"/>
      <c r="P214" s="42"/>
      <c r="Q214" s="42"/>
      <c r="R214" s="44"/>
      <c r="S214" s="44"/>
      <c r="T214" s="44"/>
      <c r="U214" s="44"/>
      <c r="V214" s="44"/>
      <c r="W214" s="44"/>
    </row>
    <row r="215" spans="2:23">
      <c r="B215" s="44"/>
      <c r="C215" s="107"/>
      <c r="D215" s="42"/>
      <c r="E215" s="42"/>
      <c r="F215" s="42"/>
      <c r="G215" s="44"/>
      <c r="H215" s="44"/>
      <c r="I215" s="45"/>
      <c r="J215" s="45"/>
      <c r="K215" s="45"/>
      <c r="L215" s="45"/>
      <c r="M215" s="45"/>
      <c r="N215" s="45"/>
      <c r="O215" s="42"/>
      <c r="P215" s="42"/>
      <c r="Q215" s="42"/>
      <c r="R215" s="44"/>
      <c r="S215" s="44"/>
      <c r="T215" s="44"/>
      <c r="U215" s="44"/>
      <c r="V215" s="44"/>
      <c r="W215" s="44"/>
    </row>
    <row r="216" spans="2:23">
      <c r="B216" s="44"/>
      <c r="C216" s="107"/>
      <c r="D216" s="42"/>
      <c r="E216" s="42"/>
      <c r="F216" s="42"/>
      <c r="G216" s="44"/>
      <c r="H216" s="44"/>
      <c r="I216" s="45"/>
      <c r="J216" s="45"/>
      <c r="K216" s="45"/>
      <c r="L216" s="45"/>
      <c r="M216" s="45"/>
      <c r="N216" s="45"/>
      <c r="O216" s="42"/>
      <c r="P216" s="42"/>
      <c r="Q216" s="42"/>
      <c r="R216" s="44"/>
      <c r="S216" s="44"/>
      <c r="T216" s="44"/>
      <c r="U216" s="44"/>
      <c r="V216" s="44"/>
      <c r="W216" s="44"/>
    </row>
    <row r="217" spans="2:23">
      <c r="B217" s="44"/>
      <c r="C217" s="107"/>
      <c r="D217" s="42"/>
      <c r="E217" s="42"/>
      <c r="F217" s="42"/>
      <c r="G217" s="44"/>
      <c r="H217" s="44"/>
      <c r="I217" s="45"/>
      <c r="J217" s="45"/>
      <c r="K217" s="45"/>
      <c r="L217" s="45"/>
      <c r="M217" s="45"/>
      <c r="N217" s="45"/>
      <c r="O217" s="42"/>
      <c r="P217" s="42"/>
      <c r="Q217" s="42"/>
      <c r="R217" s="44"/>
      <c r="S217" s="44"/>
      <c r="T217" s="44"/>
      <c r="U217" s="44"/>
      <c r="V217" s="44"/>
      <c r="W217" s="44"/>
    </row>
    <row r="218" spans="2:23">
      <c r="B218" s="44"/>
      <c r="C218" s="107"/>
      <c r="D218" s="42"/>
      <c r="E218" s="42"/>
      <c r="F218" s="42"/>
      <c r="G218" s="44"/>
      <c r="H218" s="44"/>
      <c r="I218" s="45"/>
      <c r="J218" s="45"/>
      <c r="K218" s="45"/>
      <c r="L218" s="45"/>
      <c r="M218" s="45"/>
      <c r="N218" s="45"/>
      <c r="O218" s="42"/>
      <c r="P218" s="42"/>
      <c r="Q218" s="42"/>
      <c r="R218" s="44"/>
      <c r="S218" s="44"/>
      <c r="T218" s="44"/>
      <c r="U218" s="44"/>
      <c r="V218" s="44"/>
      <c r="W218" s="44"/>
    </row>
    <row r="219" spans="2:23">
      <c r="B219" s="44"/>
      <c r="C219" s="107"/>
      <c r="D219" s="42"/>
      <c r="E219" s="42"/>
      <c r="F219" s="42"/>
      <c r="G219" s="44"/>
      <c r="H219" s="44"/>
      <c r="I219" s="45"/>
      <c r="J219" s="45"/>
      <c r="K219" s="45"/>
      <c r="L219" s="45"/>
      <c r="M219" s="45"/>
      <c r="N219" s="45"/>
      <c r="O219" s="42"/>
      <c r="P219" s="42"/>
      <c r="Q219" s="42"/>
      <c r="R219" s="44"/>
      <c r="S219" s="44"/>
      <c r="T219" s="44"/>
      <c r="U219" s="44"/>
      <c r="V219" s="44"/>
      <c r="W219" s="44"/>
    </row>
    <row r="220" spans="2:23">
      <c r="B220" s="44"/>
      <c r="C220" s="107"/>
      <c r="D220" s="42"/>
      <c r="E220" s="42"/>
      <c r="F220" s="42"/>
      <c r="G220" s="44"/>
      <c r="H220" s="44"/>
      <c r="I220" s="45"/>
      <c r="J220" s="45"/>
      <c r="K220" s="45"/>
      <c r="L220" s="45"/>
      <c r="M220" s="45"/>
      <c r="N220" s="45"/>
      <c r="O220" s="42"/>
      <c r="P220" s="42"/>
      <c r="Q220" s="42"/>
      <c r="R220" s="44"/>
      <c r="S220" s="44"/>
      <c r="T220" s="44"/>
      <c r="U220" s="44"/>
      <c r="V220" s="44"/>
      <c r="W220" s="44"/>
    </row>
    <row r="221" spans="2:23">
      <c r="B221" s="44"/>
      <c r="C221" s="107"/>
      <c r="D221" s="42"/>
      <c r="E221" s="42"/>
      <c r="F221" s="42"/>
      <c r="G221" s="44"/>
      <c r="H221" s="44"/>
      <c r="I221" s="45"/>
      <c r="J221" s="45"/>
      <c r="K221" s="45"/>
      <c r="L221" s="45"/>
      <c r="M221" s="45"/>
      <c r="N221" s="45"/>
      <c r="O221" s="42"/>
      <c r="P221" s="42"/>
      <c r="Q221" s="42"/>
      <c r="R221" s="44"/>
      <c r="S221" s="44"/>
      <c r="T221" s="44"/>
      <c r="U221" s="44"/>
      <c r="V221" s="44"/>
      <c r="W221" s="44"/>
    </row>
    <row r="222" spans="2:23">
      <c r="B222" s="44"/>
      <c r="C222" s="107"/>
      <c r="D222" s="42"/>
      <c r="E222" s="42"/>
      <c r="F222" s="42"/>
      <c r="G222" s="44"/>
      <c r="H222" s="44"/>
      <c r="I222" s="45"/>
      <c r="J222" s="45"/>
      <c r="K222" s="45"/>
      <c r="L222" s="45"/>
      <c r="M222" s="45"/>
      <c r="N222" s="45"/>
      <c r="O222" s="42"/>
      <c r="P222" s="42"/>
      <c r="Q222" s="42"/>
      <c r="R222" s="44"/>
      <c r="S222" s="44"/>
      <c r="T222" s="44"/>
      <c r="U222" s="44"/>
      <c r="V222" s="44"/>
      <c r="W222" s="44"/>
    </row>
    <row r="223" spans="2:23">
      <c r="B223" s="44"/>
      <c r="C223" s="107"/>
      <c r="D223" s="42"/>
      <c r="E223" s="42"/>
      <c r="F223" s="42"/>
      <c r="G223" s="44"/>
      <c r="H223" s="44"/>
      <c r="I223" s="45"/>
      <c r="J223" s="45"/>
      <c r="K223" s="45"/>
      <c r="L223" s="45"/>
      <c r="M223" s="45"/>
      <c r="N223" s="45"/>
      <c r="O223" s="42"/>
      <c r="P223" s="42"/>
      <c r="Q223" s="42"/>
      <c r="R223" s="44"/>
      <c r="S223" s="44"/>
      <c r="T223" s="44"/>
      <c r="U223" s="44"/>
      <c r="V223" s="44"/>
      <c r="W223" s="44"/>
    </row>
    <row r="224" spans="2:23">
      <c r="B224" s="44"/>
      <c r="C224" s="107"/>
      <c r="D224" s="42"/>
      <c r="E224" s="42"/>
      <c r="F224" s="42"/>
      <c r="G224" s="44"/>
      <c r="H224" s="44"/>
      <c r="I224" s="45"/>
      <c r="J224" s="45"/>
      <c r="K224" s="45"/>
      <c r="L224" s="45"/>
      <c r="M224" s="45"/>
      <c r="N224" s="45"/>
      <c r="O224" s="42"/>
      <c r="P224" s="42"/>
      <c r="Q224" s="42"/>
      <c r="R224" s="44"/>
      <c r="S224" s="44"/>
      <c r="T224" s="44"/>
      <c r="U224" s="44"/>
      <c r="V224" s="44"/>
      <c r="W224" s="44"/>
    </row>
    <row r="225" spans="2:23">
      <c r="B225" s="44"/>
      <c r="C225" s="107"/>
      <c r="D225" s="42"/>
      <c r="E225" s="42"/>
      <c r="F225" s="42"/>
      <c r="G225" s="44"/>
      <c r="H225" s="44"/>
      <c r="I225" s="45"/>
      <c r="J225" s="45"/>
      <c r="K225" s="45"/>
      <c r="L225" s="45"/>
      <c r="M225" s="45"/>
      <c r="N225" s="45"/>
      <c r="O225" s="42"/>
      <c r="P225" s="42"/>
      <c r="Q225" s="42"/>
      <c r="R225" s="44"/>
      <c r="S225" s="44"/>
      <c r="T225" s="44"/>
      <c r="U225" s="44"/>
      <c r="V225" s="44"/>
      <c r="W225" s="44"/>
    </row>
    <row r="226" spans="2:23">
      <c r="B226" s="44"/>
      <c r="C226" s="107"/>
      <c r="D226" s="42"/>
      <c r="E226" s="42"/>
      <c r="F226" s="42"/>
      <c r="G226" s="44"/>
      <c r="H226" s="44"/>
      <c r="I226" s="45"/>
      <c r="J226" s="45"/>
      <c r="K226" s="45"/>
      <c r="L226" s="45"/>
      <c r="M226" s="45"/>
      <c r="N226" s="45"/>
      <c r="O226" s="42"/>
      <c r="P226" s="42"/>
      <c r="Q226" s="42"/>
      <c r="R226" s="44"/>
      <c r="S226" s="44"/>
      <c r="T226" s="44"/>
      <c r="U226" s="44"/>
      <c r="V226" s="44"/>
      <c r="W226" s="44"/>
    </row>
    <row r="227" spans="2:23">
      <c r="B227" s="44"/>
      <c r="C227" s="107"/>
      <c r="D227" s="42"/>
      <c r="E227" s="42"/>
      <c r="F227" s="42"/>
      <c r="G227" s="44"/>
      <c r="H227" s="44"/>
      <c r="I227" s="45"/>
      <c r="J227" s="45"/>
      <c r="K227" s="45"/>
      <c r="L227" s="45"/>
      <c r="M227" s="45"/>
      <c r="N227" s="45"/>
      <c r="O227" s="42"/>
      <c r="P227" s="42"/>
      <c r="Q227" s="42"/>
      <c r="R227" s="44"/>
      <c r="S227" s="44"/>
      <c r="T227" s="44"/>
      <c r="U227" s="44"/>
      <c r="V227" s="44"/>
      <c r="W227" s="44"/>
    </row>
    <row r="228" spans="2:23">
      <c r="B228" s="44"/>
      <c r="C228" s="107"/>
      <c r="D228" s="42"/>
      <c r="E228" s="42"/>
      <c r="F228" s="42"/>
      <c r="G228" s="44"/>
      <c r="H228" s="44"/>
      <c r="I228" s="45"/>
      <c r="J228" s="45"/>
      <c r="K228" s="45"/>
      <c r="L228" s="45"/>
      <c r="M228" s="45"/>
      <c r="N228" s="45"/>
      <c r="O228" s="42"/>
      <c r="P228" s="42"/>
      <c r="Q228" s="42"/>
      <c r="R228" s="44"/>
      <c r="S228" s="44"/>
      <c r="T228" s="44"/>
      <c r="U228" s="44"/>
      <c r="V228" s="44"/>
      <c r="W228" s="44"/>
    </row>
    <row r="229" spans="2:23">
      <c r="B229" s="44"/>
      <c r="C229" s="107"/>
      <c r="D229" s="42"/>
      <c r="E229" s="42"/>
      <c r="F229" s="42"/>
      <c r="G229" s="44"/>
      <c r="H229" s="44"/>
      <c r="I229" s="45"/>
      <c r="J229" s="45"/>
      <c r="K229" s="45"/>
      <c r="L229" s="45"/>
      <c r="M229" s="45"/>
      <c r="N229" s="45"/>
      <c r="O229" s="42"/>
      <c r="P229" s="42"/>
      <c r="Q229" s="42"/>
      <c r="R229" s="44"/>
      <c r="S229" s="44"/>
      <c r="T229" s="44"/>
      <c r="U229" s="44"/>
      <c r="V229" s="44"/>
      <c r="W229" s="44"/>
    </row>
    <row r="230" spans="2:23">
      <c r="B230" s="44"/>
      <c r="C230" s="107"/>
      <c r="D230" s="42"/>
      <c r="E230" s="42"/>
      <c r="F230" s="42"/>
      <c r="G230" s="44"/>
      <c r="H230" s="44"/>
      <c r="I230" s="45"/>
      <c r="J230" s="45"/>
      <c r="K230" s="45"/>
      <c r="L230" s="45"/>
      <c r="M230" s="45"/>
      <c r="N230" s="45"/>
      <c r="O230" s="42"/>
      <c r="P230" s="42"/>
      <c r="Q230" s="42"/>
      <c r="R230" s="44"/>
      <c r="S230" s="44"/>
      <c r="T230" s="44"/>
      <c r="U230" s="44"/>
      <c r="V230" s="44"/>
      <c r="W230" s="44"/>
    </row>
    <row r="231" spans="2:23">
      <c r="B231" s="44"/>
      <c r="C231" s="107"/>
      <c r="D231" s="42"/>
      <c r="E231" s="42"/>
      <c r="F231" s="42"/>
      <c r="G231" s="44"/>
      <c r="H231" s="44"/>
      <c r="I231" s="45"/>
      <c r="J231" s="45"/>
      <c r="K231" s="45"/>
      <c r="L231" s="45"/>
      <c r="M231" s="45"/>
      <c r="N231" s="45"/>
      <c r="O231" s="42"/>
      <c r="P231" s="42"/>
      <c r="Q231" s="42"/>
      <c r="R231" s="44"/>
      <c r="S231" s="44"/>
      <c r="T231" s="44"/>
      <c r="U231" s="44"/>
      <c r="V231" s="44"/>
      <c r="W231" s="44"/>
    </row>
    <row r="232" spans="2:23">
      <c r="B232" s="44"/>
      <c r="C232" s="107"/>
      <c r="D232" s="42"/>
      <c r="E232" s="42"/>
      <c r="F232" s="42"/>
      <c r="G232" s="44"/>
      <c r="H232" s="44"/>
      <c r="I232" s="45"/>
      <c r="J232" s="45"/>
      <c r="K232" s="45"/>
      <c r="L232" s="45"/>
      <c r="M232" s="45"/>
      <c r="N232" s="45"/>
      <c r="O232" s="42"/>
      <c r="P232" s="42"/>
      <c r="Q232" s="42"/>
      <c r="R232" s="44"/>
      <c r="S232" s="44"/>
      <c r="T232" s="44"/>
      <c r="U232" s="44"/>
      <c r="V232" s="44"/>
      <c r="W232" s="44"/>
    </row>
    <row r="233" spans="2:23">
      <c r="B233" s="44"/>
      <c r="C233" s="107"/>
      <c r="D233" s="42"/>
      <c r="E233" s="42"/>
      <c r="F233" s="42"/>
      <c r="G233" s="44"/>
      <c r="H233" s="44"/>
      <c r="I233" s="45"/>
      <c r="J233" s="45"/>
      <c r="K233" s="45"/>
      <c r="L233" s="45"/>
      <c r="M233" s="45"/>
      <c r="N233" s="45"/>
      <c r="O233" s="42"/>
      <c r="P233" s="42"/>
      <c r="Q233" s="42"/>
      <c r="R233" s="44"/>
      <c r="S233" s="44"/>
      <c r="T233" s="44"/>
      <c r="U233" s="44"/>
      <c r="V233" s="44"/>
      <c r="W233" s="44"/>
    </row>
    <row r="234" spans="2:23">
      <c r="B234" s="44"/>
      <c r="C234" s="107"/>
      <c r="D234" s="42"/>
      <c r="E234" s="42"/>
      <c r="F234" s="42"/>
      <c r="G234" s="44"/>
      <c r="H234" s="44"/>
      <c r="I234" s="45"/>
      <c r="J234" s="45"/>
      <c r="K234" s="45"/>
      <c r="L234" s="45"/>
      <c r="M234" s="45"/>
      <c r="N234" s="45"/>
      <c r="O234" s="42"/>
      <c r="P234" s="42"/>
      <c r="Q234" s="42"/>
      <c r="R234" s="44"/>
      <c r="S234" s="44"/>
      <c r="T234" s="44"/>
      <c r="U234" s="44"/>
      <c r="V234" s="44"/>
      <c r="W234" s="44"/>
    </row>
    <row r="235" spans="2:23">
      <c r="B235" s="44"/>
      <c r="C235" s="107"/>
      <c r="D235" s="42"/>
      <c r="E235" s="42"/>
      <c r="F235" s="42"/>
      <c r="G235" s="44"/>
      <c r="H235" s="44"/>
      <c r="I235" s="45"/>
      <c r="J235" s="45"/>
      <c r="K235" s="45"/>
      <c r="L235" s="45"/>
      <c r="M235" s="45"/>
      <c r="N235" s="45"/>
      <c r="O235" s="42"/>
      <c r="P235" s="42"/>
      <c r="Q235" s="42"/>
      <c r="R235" s="44"/>
      <c r="S235" s="44"/>
      <c r="T235" s="44"/>
      <c r="U235" s="44"/>
      <c r="V235" s="44"/>
      <c r="W235" s="44"/>
    </row>
    <row r="236" spans="2:23">
      <c r="B236" s="44"/>
      <c r="C236" s="107"/>
      <c r="D236" s="42"/>
      <c r="E236" s="42"/>
      <c r="F236" s="42"/>
      <c r="G236" s="44"/>
      <c r="H236" s="44"/>
      <c r="I236" s="45"/>
      <c r="J236" s="45"/>
      <c r="K236" s="45"/>
      <c r="L236" s="45"/>
      <c r="M236" s="45"/>
      <c r="N236" s="45"/>
      <c r="O236" s="42"/>
      <c r="P236" s="42"/>
      <c r="Q236" s="42"/>
      <c r="R236" s="44"/>
      <c r="S236" s="44"/>
      <c r="T236" s="44"/>
      <c r="U236" s="44"/>
      <c r="V236" s="44"/>
      <c r="W236" s="44"/>
    </row>
    <row r="237" spans="2:23">
      <c r="B237" s="44"/>
      <c r="C237" s="107"/>
      <c r="D237" s="42"/>
      <c r="E237" s="42"/>
      <c r="F237" s="42"/>
      <c r="G237" s="44"/>
      <c r="H237" s="44"/>
      <c r="I237" s="45"/>
      <c r="J237" s="45"/>
      <c r="K237" s="45"/>
      <c r="L237" s="45"/>
      <c r="M237" s="45"/>
      <c r="N237" s="45"/>
      <c r="O237" s="42"/>
      <c r="P237" s="42"/>
      <c r="Q237" s="42"/>
      <c r="R237" s="44"/>
      <c r="S237" s="44"/>
      <c r="T237" s="44"/>
      <c r="U237" s="44"/>
      <c r="V237" s="44"/>
      <c r="W237" s="44"/>
    </row>
    <row r="238" spans="2:23">
      <c r="B238" s="44"/>
      <c r="C238" s="107"/>
      <c r="D238" s="42"/>
      <c r="E238" s="42"/>
      <c r="F238" s="42"/>
      <c r="G238" s="44"/>
      <c r="H238" s="44"/>
      <c r="I238" s="45"/>
      <c r="J238" s="45"/>
      <c r="K238" s="45"/>
      <c r="L238" s="45"/>
      <c r="M238" s="45"/>
      <c r="N238" s="45"/>
      <c r="O238" s="42"/>
      <c r="P238" s="42"/>
      <c r="Q238" s="42"/>
      <c r="R238" s="44"/>
      <c r="S238" s="44"/>
      <c r="T238" s="44"/>
      <c r="U238" s="44"/>
      <c r="V238" s="44"/>
      <c r="W238" s="44"/>
    </row>
    <row r="239" spans="2:23">
      <c r="B239" s="44"/>
      <c r="C239" s="107"/>
      <c r="D239" s="42"/>
      <c r="E239" s="42"/>
      <c r="F239" s="42"/>
      <c r="G239" s="44"/>
      <c r="H239" s="44"/>
      <c r="I239" s="45"/>
      <c r="J239" s="45"/>
      <c r="K239" s="45"/>
      <c r="L239" s="45"/>
      <c r="M239" s="45"/>
      <c r="N239" s="45"/>
      <c r="O239" s="42"/>
      <c r="P239" s="42"/>
      <c r="Q239" s="42"/>
      <c r="R239" s="44"/>
      <c r="S239" s="44"/>
      <c r="T239" s="44"/>
      <c r="U239" s="44"/>
      <c r="V239" s="44"/>
      <c r="W239" s="44"/>
    </row>
    <row r="240" spans="2:23">
      <c r="B240" s="44"/>
      <c r="C240" s="107"/>
      <c r="D240" s="42"/>
      <c r="E240" s="42"/>
      <c r="F240" s="42"/>
      <c r="G240" s="44"/>
      <c r="H240" s="44"/>
      <c r="I240" s="45"/>
      <c r="J240" s="45"/>
      <c r="K240" s="45"/>
      <c r="L240" s="45"/>
      <c r="M240" s="45"/>
      <c r="N240" s="45"/>
      <c r="O240" s="42"/>
      <c r="P240" s="42"/>
      <c r="Q240" s="42"/>
      <c r="R240" s="44"/>
      <c r="S240" s="44"/>
      <c r="T240" s="44"/>
      <c r="U240" s="44"/>
      <c r="V240" s="44"/>
      <c r="W240" s="44"/>
    </row>
    <row r="241" spans="2:23">
      <c r="B241" s="44"/>
      <c r="C241" s="107"/>
      <c r="D241" s="42"/>
      <c r="E241" s="42"/>
      <c r="F241" s="42"/>
      <c r="G241" s="44"/>
      <c r="H241" s="44"/>
      <c r="I241" s="45"/>
      <c r="J241" s="45"/>
      <c r="K241" s="45"/>
      <c r="L241" s="45"/>
      <c r="M241" s="45"/>
      <c r="N241" s="45"/>
      <c r="O241" s="42"/>
      <c r="P241" s="42"/>
      <c r="Q241" s="42"/>
      <c r="R241" s="44"/>
      <c r="S241" s="44"/>
      <c r="T241" s="44"/>
      <c r="U241" s="44"/>
      <c r="V241" s="44"/>
      <c r="W241" s="44"/>
    </row>
    <row r="242" spans="2:23">
      <c r="B242" s="44"/>
      <c r="C242" s="107"/>
      <c r="D242" s="42"/>
      <c r="E242" s="42"/>
      <c r="F242" s="42"/>
      <c r="G242" s="44"/>
      <c r="H242" s="44"/>
      <c r="I242" s="45"/>
      <c r="J242" s="45"/>
      <c r="K242" s="45"/>
      <c r="L242" s="45"/>
      <c r="M242" s="45"/>
      <c r="N242" s="45"/>
      <c r="O242" s="42"/>
      <c r="P242" s="42"/>
      <c r="Q242" s="42"/>
      <c r="R242" s="44"/>
      <c r="S242" s="44"/>
      <c r="T242" s="44"/>
      <c r="U242" s="44"/>
      <c r="V242" s="44"/>
      <c r="W242" s="44"/>
    </row>
    <row r="243" spans="2:23">
      <c r="B243" s="44"/>
      <c r="C243" s="107"/>
      <c r="D243" s="42"/>
      <c r="E243" s="42"/>
      <c r="F243" s="42"/>
      <c r="G243" s="44"/>
      <c r="H243" s="44"/>
      <c r="I243" s="45"/>
      <c r="J243" s="45"/>
      <c r="K243" s="45"/>
      <c r="L243" s="45"/>
      <c r="M243" s="45"/>
      <c r="N243" s="45"/>
      <c r="O243" s="42"/>
      <c r="P243" s="42"/>
      <c r="Q243" s="42"/>
      <c r="R243" s="44"/>
      <c r="S243" s="44"/>
      <c r="T243" s="44"/>
      <c r="U243" s="44"/>
      <c r="V243" s="44"/>
      <c r="W243" s="44"/>
    </row>
    <row r="244" spans="2:23">
      <c r="B244" s="44"/>
      <c r="C244" s="107"/>
      <c r="D244" s="42"/>
      <c r="E244" s="42"/>
      <c r="F244" s="42"/>
      <c r="G244" s="44"/>
      <c r="H244" s="44"/>
      <c r="I244" s="45"/>
      <c r="J244" s="45"/>
      <c r="K244" s="45"/>
      <c r="L244" s="45"/>
      <c r="M244" s="45"/>
      <c r="N244" s="45"/>
      <c r="O244" s="42"/>
      <c r="P244" s="42"/>
      <c r="Q244" s="42"/>
      <c r="R244" s="44"/>
      <c r="S244" s="44"/>
      <c r="T244" s="44"/>
      <c r="U244" s="44"/>
      <c r="V244" s="44"/>
      <c r="W244" s="44"/>
    </row>
    <row r="245" spans="2:23">
      <c r="B245" s="44"/>
      <c r="C245" s="107"/>
      <c r="D245" s="42"/>
      <c r="E245" s="42"/>
      <c r="F245" s="42"/>
      <c r="G245" s="44"/>
      <c r="H245" s="44"/>
      <c r="I245" s="45"/>
      <c r="J245" s="45"/>
      <c r="K245" s="45"/>
      <c r="L245" s="45"/>
      <c r="M245" s="45"/>
      <c r="N245" s="45"/>
      <c r="O245" s="42"/>
      <c r="P245" s="42"/>
      <c r="Q245" s="42"/>
      <c r="R245" s="44"/>
      <c r="S245" s="44"/>
      <c r="T245" s="44"/>
      <c r="U245" s="44"/>
      <c r="V245" s="44"/>
      <c r="W245" s="44"/>
    </row>
    <row r="246" spans="2:23">
      <c r="B246" s="44"/>
      <c r="C246" s="107"/>
      <c r="D246" s="42"/>
      <c r="E246" s="42"/>
      <c r="F246" s="42"/>
      <c r="G246" s="44"/>
      <c r="H246" s="44"/>
      <c r="I246" s="45"/>
      <c r="J246" s="45"/>
      <c r="K246" s="45"/>
      <c r="L246" s="45"/>
      <c r="M246" s="45"/>
      <c r="N246" s="45"/>
      <c r="O246" s="42"/>
      <c r="P246" s="42"/>
      <c r="Q246" s="42"/>
      <c r="R246" s="44"/>
      <c r="S246" s="44"/>
      <c r="T246" s="44"/>
      <c r="U246" s="44"/>
      <c r="V246" s="44"/>
      <c r="W246" s="44"/>
    </row>
    <row r="247" spans="2:23">
      <c r="B247" s="44"/>
      <c r="C247" s="107"/>
      <c r="D247" s="42"/>
      <c r="E247" s="42"/>
      <c r="F247" s="42"/>
      <c r="G247" s="44"/>
      <c r="H247" s="44"/>
      <c r="I247" s="45"/>
      <c r="J247" s="45"/>
      <c r="K247" s="45"/>
      <c r="L247" s="45"/>
      <c r="M247" s="45"/>
      <c r="N247" s="45"/>
      <c r="O247" s="42"/>
      <c r="P247" s="42"/>
      <c r="Q247" s="42"/>
      <c r="R247" s="44"/>
      <c r="S247" s="44"/>
      <c r="T247" s="44"/>
      <c r="U247" s="44"/>
      <c r="V247" s="44"/>
      <c r="W247" s="44"/>
    </row>
    <row r="248" spans="2:23">
      <c r="B248" s="44"/>
      <c r="C248" s="107"/>
      <c r="D248" s="42"/>
      <c r="E248" s="42"/>
      <c r="F248" s="42"/>
      <c r="G248" s="44"/>
      <c r="H248" s="44"/>
      <c r="I248" s="45"/>
      <c r="J248" s="45"/>
      <c r="K248" s="45"/>
      <c r="L248" s="45"/>
      <c r="M248" s="45"/>
      <c r="N248" s="45"/>
      <c r="O248" s="42"/>
      <c r="P248" s="42"/>
      <c r="Q248" s="42"/>
      <c r="R248" s="44"/>
      <c r="S248" s="44"/>
      <c r="T248" s="44"/>
      <c r="U248" s="44"/>
      <c r="V248" s="44"/>
      <c r="W248" s="44"/>
    </row>
    <row r="249" spans="2:23">
      <c r="B249" s="44"/>
      <c r="C249" s="107"/>
      <c r="D249" s="42"/>
      <c r="E249" s="42"/>
      <c r="F249" s="42"/>
      <c r="G249" s="44"/>
      <c r="H249" s="44"/>
      <c r="I249" s="45"/>
      <c r="J249" s="45"/>
      <c r="K249" s="45"/>
      <c r="L249" s="45"/>
      <c r="M249" s="45"/>
      <c r="N249" s="45"/>
      <c r="O249" s="42"/>
      <c r="P249" s="42"/>
      <c r="Q249" s="42"/>
      <c r="R249" s="44"/>
      <c r="S249" s="44"/>
      <c r="T249" s="44"/>
      <c r="U249" s="44"/>
      <c r="V249" s="44"/>
      <c r="W249" s="44"/>
    </row>
    <row r="250" spans="2:23">
      <c r="B250" s="44"/>
      <c r="C250" s="107"/>
      <c r="D250" s="42"/>
      <c r="E250" s="42"/>
      <c r="F250" s="42"/>
      <c r="G250" s="44"/>
      <c r="H250" s="44"/>
      <c r="I250" s="45"/>
      <c r="J250" s="45"/>
      <c r="K250" s="45"/>
      <c r="L250" s="45"/>
      <c r="M250" s="45"/>
      <c r="N250" s="45"/>
      <c r="O250" s="42"/>
      <c r="P250" s="42"/>
      <c r="Q250" s="42"/>
      <c r="R250" s="44"/>
      <c r="S250" s="44"/>
      <c r="T250" s="44"/>
      <c r="U250" s="44"/>
      <c r="V250" s="44"/>
      <c r="W250" s="44"/>
    </row>
    <row r="251" spans="2:23">
      <c r="B251" s="44"/>
      <c r="C251" s="107"/>
      <c r="D251" s="42"/>
      <c r="E251" s="42"/>
      <c r="F251" s="42"/>
      <c r="G251" s="44"/>
      <c r="H251" s="44"/>
      <c r="I251" s="45"/>
      <c r="J251" s="45"/>
      <c r="K251" s="45"/>
      <c r="L251" s="45"/>
      <c r="M251" s="45"/>
      <c r="N251" s="45"/>
      <c r="O251" s="42"/>
      <c r="P251" s="42"/>
      <c r="Q251" s="42"/>
      <c r="R251" s="44"/>
      <c r="S251" s="44"/>
      <c r="T251" s="44"/>
      <c r="U251" s="44"/>
      <c r="V251" s="44"/>
      <c r="W251" s="44"/>
    </row>
    <row r="252" spans="2:23">
      <c r="B252" s="44"/>
      <c r="C252" s="107"/>
      <c r="D252" s="42"/>
      <c r="E252" s="42"/>
      <c r="F252" s="42"/>
      <c r="G252" s="44"/>
      <c r="H252" s="44"/>
      <c r="I252" s="45"/>
      <c r="J252" s="45"/>
      <c r="K252" s="45"/>
      <c r="L252" s="45"/>
      <c r="M252" s="45"/>
      <c r="N252" s="45"/>
      <c r="O252" s="42"/>
      <c r="P252" s="42"/>
      <c r="Q252" s="42"/>
      <c r="R252" s="44"/>
      <c r="S252" s="44"/>
      <c r="T252" s="44"/>
      <c r="U252" s="44"/>
      <c r="V252" s="44"/>
      <c r="W252" s="44"/>
    </row>
    <row r="253" spans="2:23">
      <c r="B253" s="44"/>
      <c r="C253" s="107"/>
      <c r="D253" s="42"/>
      <c r="E253" s="42"/>
      <c r="F253" s="42"/>
      <c r="G253" s="44"/>
      <c r="H253" s="44"/>
      <c r="I253" s="45"/>
      <c r="J253" s="45"/>
      <c r="K253" s="45"/>
      <c r="L253" s="45"/>
      <c r="M253" s="45"/>
      <c r="N253" s="45"/>
      <c r="O253" s="42"/>
      <c r="P253" s="42"/>
      <c r="Q253" s="42"/>
      <c r="R253" s="44"/>
      <c r="S253" s="44"/>
      <c r="T253" s="44"/>
      <c r="U253" s="44"/>
      <c r="V253" s="44"/>
      <c r="W253" s="44"/>
    </row>
    <row r="254" spans="2:23">
      <c r="B254" s="44"/>
      <c r="C254" s="107"/>
      <c r="D254" s="42"/>
      <c r="E254" s="42"/>
      <c r="F254" s="42"/>
      <c r="G254" s="44"/>
      <c r="H254" s="44"/>
      <c r="I254" s="45"/>
      <c r="J254" s="45"/>
      <c r="K254" s="45"/>
      <c r="L254" s="45"/>
      <c r="M254" s="45"/>
      <c r="N254" s="45"/>
      <c r="O254" s="42"/>
      <c r="P254" s="42"/>
      <c r="Q254" s="42"/>
      <c r="R254" s="44"/>
      <c r="S254" s="44"/>
      <c r="T254" s="44"/>
      <c r="U254" s="44"/>
      <c r="V254" s="44"/>
      <c r="W254" s="44"/>
    </row>
    <row r="255" spans="2:23">
      <c r="B255" s="44"/>
      <c r="C255" s="107"/>
      <c r="D255" s="42"/>
      <c r="E255" s="42"/>
      <c r="F255" s="42"/>
      <c r="G255" s="44"/>
      <c r="H255" s="44"/>
      <c r="I255" s="45"/>
      <c r="J255" s="45"/>
      <c r="K255" s="45"/>
      <c r="L255" s="45"/>
      <c r="M255" s="45"/>
      <c r="N255" s="45"/>
      <c r="O255" s="42"/>
      <c r="P255" s="42"/>
      <c r="Q255" s="42"/>
      <c r="R255" s="44"/>
      <c r="S255" s="44"/>
      <c r="T255" s="44"/>
      <c r="U255" s="44"/>
      <c r="V255" s="44"/>
      <c r="W255" s="44"/>
    </row>
    <row r="256" spans="2:23">
      <c r="B256" s="44"/>
      <c r="C256" s="107"/>
      <c r="D256" s="42"/>
      <c r="E256" s="42"/>
      <c r="F256" s="42"/>
      <c r="G256" s="44"/>
      <c r="H256" s="44"/>
      <c r="I256" s="45"/>
      <c r="J256" s="45"/>
      <c r="K256" s="45"/>
      <c r="L256" s="45"/>
      <c r="M256" s="45"/>
      <c r="N256" s="45"/>
      <c r="O256" s="42"/>
      <c r="P256" s="42"/>
      <c r="Q256" s="42"/>
      <c r="R256" s="44"/>
      <c r="S256" s="44"/>
      <c r="T256" s="44"/>
      <c r="U256" s="44"/>
      <c r="V256" s="44"/>
      <c r="W256" s="44"/>
    </row>
    <row r="257" spans="2:23">
      <c r="B257" s="44"/>
      <c r="C257" s="107"/>
      <c r="D257" s="42"/>
      <c r="E257" s="42"/>
      <c r="F257" s="42"/>
      <c r="G257" s="44"/>
      <c r="H257" s="44"/>
      <c r="I257" s="45"/>
      <c r="J257" s="45"/>
      <c r="K257" s="45"/>
      <c r="L257" s="45"/>
      <c r="M257" s="45"/>
      <c r="N257" s="45"/>
      <c r="O257" s="42"/>
      <c r="P257" s="42"/>
      <c r="Q257" s="42"/>
      <c r="R257" s="44"/>
      <c r="S257" s="44"/>
      <c r="T257" s="44"/>
      <c r="U257" s="44"/>
      <c r="V257" s="44"/>
      <c r="W257" s="44"/>
    </row>
    <row r="258" spans="2:23">
      <c r="B258" s="44"/>
      <c r="C258" s="107"/>
      <c r="D258" s="42"/>
      <c r="E258" s="42"/>
      <c r="F258" s="42"/>
      <c r="G258" s="44"/>
      <c r="H258" s="44"/>
      <c r="I258" s="45"/>
      <c r="J258" s="45"/>
      <c r="K258" s="45"/>
      <c r="L258" s="45"/>
      <c r="M258" s="45"/>
      <c r="N258" s="45"/>
      <c r="O258" s="42"/>
      <c r="P258" s="42"/>
      <c r="Q258" s="42"/>
      <c r="R258" s="44"/>
      <c r="S258" s="44"/>
      <c r="T258" s="44"/>
      <c r="U258" s="44"/>
      <c r="V258" s="44"/>
      <c r="W258" s="44"/>
    </row>
    <row r="259" spans="2:23">
      <c r="B259" s="44"/>
      <c r="C259" s="107"/>
      <c r="D259" s="42"/>
      <c r="E259" s="42"/>
      <c r="F259" s="42"/>
      <c r="G259" s="44"/>
      <c r="H259" s="44"/>
      <c r="I259" s="45"/>
      <c r="J259" s="45"/>
      <c r="K259" s="45"/>
      <c r="L259" s="45"/>
      <c r="M259" s="45"/>
      <c r="N259" s="45"/>
      <c r="O259" s="42"/>
      <c r="P259" s="42"/>
      <c r="Q259" s="42"/>
      <c r="R259" s="44"/>
      <c r="S259" s="44"/>
      <c r="T259" s="44"/>
      <c r="U259" s="44"/>
      <c r="V259" s="44"/>
      <c r="W259" s="44"/>
    </row>
    <row r="260" spans="2:23">
      <c r="B260" s="44"/>
      <c r="C260" s="107"/>
      <c r="D260" s="42"/>
      <c r="E260" s="42"/>
      <c r="F260" s="42"/>
      <c r="G260" s="44"/>
      <c r="H260" s="44"/>
      <c r="I260" s="45"/>
      <c r="J260" s="45"/>
      <c r="K260" s="45"/>
      <c r="L260" s="45"/>
      <c r="M260" s="45"/>
      <c r="N260" s="45"/>
      <c r="O260" s="42"/>
      <c r="P260" s="42"/>
      <c r="Q260" s="42"/>
      <c r="R260" s="44"/>
      <c r="S260" s="44"/>
      <c r="T260" s="44"/>
      <c r="U260" s="44"/>
      <c r="V260" s="44"/>
      <c r="W260" s="44"/>
    </row>
    <row r="261" spans="2:23">
      <c r="B261" s="44"/>
      <c r="C261" s="107"/>
      <c r="D261" s="42"/>
      <c r="E261" s="42"/>
      <c r="F261" s="42"/>
      <c r="G261" s="44"/>
      <c r="H261" s="44"/>
      <c r="I261" s="45"/>
      <c r="J261" s="45"/>
      <c r="K261" s="45"/>
      <c r="L261" s="45"/>
      <c r="M261" s="45"/>
      <c r="N261" s="45"/>
      <c r="O261" s="42"/>
      <c r="P261" s="42"/>
      <c r="Q261" s="42"/>
      <c r="R261" s="44"/>
      <c r="S261" s="44"/>
      <c r="T261" s="44"/>
      <c r="U261" s="44"/>
      <c r="V261" s="44"/>
      <c r="W261" s="44"/>
    </row>
    <row r="262" spans="2:23">
      <c r="B262" s="44"/>
      <c r="C262" s="107"/>
      <c r="D262" s="42"/>
      <c r="E262" s="42"/>
      <c r="F262" s="42"/>
      <c r="G262" s="44"/>
      <c r="H262" s="44"/>
      <c r="I262" s="45"/>
      <c r="J262" s="45"/>
      <c r="K262" s="45"/>
      <c r="L262" s="45"/>
      <c r="M262" s="45"/>
      <c r="N262" s="45"/>
      <c r="O262" s="42"/>
      <c r="P262" s="42"/>
      <c r="Q262" s="42"/>
      <c r="R262" s="44"/>
      <c r="S262" s="44"/>
      <c r="T262" s="44"/>
      <c r="U262" s="44"/>
      <c r="V262" s="44"/>
      <c r="W262" s="44"/>
    </row>
    <row r="263" spans="2:23">
      <c r="B263" s="44"/>
      <c r="C263" s="107"/>
      <c r="D263" s="42"/>
      <c r="E263" s="42"/>
      <c r="F263" s="42"/>
      <c r="G263" s="44"/>
      <c r="H263" s="44"/>
      <c r="I263" s="45"/>
      <c r="J263" s="45"/>
      <c r="K263" s="45"/>
      <c r="L263" s="45"/>
      <c r="M263" s="45"/>
      <c r="N263" s="45"/>
      <c r="O263" s="42"/>
      <c r="P263" s="42"/>
      <c r="Q263" s="42"/>
      <c r="R263" s="44"/>
      <c r="S263" s="44"/>
      <c r="T263" s="44"/>
      <c r="U263" s="44"/>
      <c r="V263" s="44"/>
      <c r="W263" s="44"/>
    </row>
    <row r="264" spans="2:23">
      <c r="B264" s="44"/>
      <c r="C264" s="107"/>
      <c r="D264" s="42"/>
      <c r="E264" s="42"/>
      <c r="F264" s="42"/>
      <c r="G264" s="44"/>
      <c r="H264" s="44"/>
      <c r="I264" s="45"/>
      <c r="J264" s="45"/>
      <c r="K264" s="45"/>
      <c r="L264" s="45"/>
      <c r="M264" s="45"/>
      <c r="N264" s="45"/>
      <c r="O264" s="42"/>
      <c r="P264" s="42"/>
      <c r="Q264" s="42"/>
      <c r="R264" s="44"/>
      <c r="S264" s="44"/>
      <c r="T264" s="44"/>
      <c r="U264" s="44"/>
      <c r="V264" s="44"/>
      <c r="W264" s="44"/>
    </row>
    <row r="265" spans="2:23">
      <c r="B265" s="44"/>
      <c r="C265" s="107"/>
      <c r="D265" s="42"/>
      <c r="E265" s="42"/>
      <c r="F265" s="42"/>
      <c r="G265" s="44"/>
      <c r="H265" s="44"/>
      <c r="I265" s="45"/>
      <c r="J265" s="45"/>
      <c r="K265" s="45"/>
      <c r="L265" s="45"/>
      <c r="M265" s="45"/>
      <c r="N265" s="45"/>
      <c r="O265" s="42"/>
      <c r="P265" s="42"/>
      <c r="Q265" s="42"/>
      <c r="R265" s="44"/>
      <c r="S265" s="44"/>
      <c r="T265" s="44"/>
      <c r="U265" s="44"/>
      <c r="V265" s="44"/>
      <c r="W265" s="44"/>
    </row>
    <row r="266" spans="2:23">
      <c r="B266" s="44"/>
      <c r="C266" s="107"/>
      <c r="D266" s="42"/>
      <c r="E266" s="42"/>
      <c r="F266" s="42"/>
      <c r="G266" s="44"/>
      <c r="H266" s="44"/>
      <c r="I266" s="45"/>
      <c r="J266" s="45"/>
      <c r="K266" s="45"/>
      <c r="L266" s="45"/>
      <c r="M266" s="45"/>
      <c r="N266" s="45"/>
      <c r="O266" s="42"/>
      <c r="P266" s="42"/>
      <c r="Q266" s="42"/>
      <c r="R266" s="44"/>
      <c r="S266" s="44"/>
      <c r="T266" s="44"/>
      <c r="U266" s="44"/>
      <c r="V266" s="44"/>
      <c r="W266" s="44"/>
    </row>
    <row r="267" spans="2:23">
      <c r="B267" s="44"/>
      <c r="C267" s="107"/>
      <c r="D267" s="42"/>
      <c r="E267" s="42"/>
      <c r="F267" s="42"/>
      <c r="G267" s="44"/>
      <c r="H267" s="44"/>
      <c r="I267" s="45"/>
      <c r="J267" s="45"/>
      <c r="K267" s="45"/>
      <c r="L267" s="45"/>
      <c r="M267" s="45"/>
      <c r="N267" s="45"/>
      <c r="O267" s="42"/>
      <c r="P267" s="42"/>
      <c r="Q267" s="42"/>
      <c r="R267" s="44"/>
      <c r="S267" s="44"/>
      <c r="T267" s="44"/>
      <c r="U267" s="44"/>
      <c r="V267" s="44"/>
      <c r="W267" s="44"/>
    </row>
    <row r="268" spans="2:23">
      <c r="B268" s="44"/>
      <c r="C268" s="107"/>
      <c r="D268" s="42"/>
      <c r="E268" s="42"/>
      <c r="F268" s="42"/>
      <c r="G268" s="44"/>
      <c r="H268" s="44"/>
      <c r="I268" s="45"/>
      <c r="J268" s="45"/>
      <c r="K268" s="45"/>
      <c r="L268" s="45"/>
      <c r="M268" s="45"/>
      <c r="N268" s="45"/>
      <c r="O268" s="42"/>
      <c r="P268" s="42"/>
      <c r="Q268" s="42"/>
      <c r="R268" s="44"/>
      <c r="S268" s="44"/>
      <c r="T268" s="44"/>
      <c r="U268" s="44"/>
      <c r="V268" s="44"/>
      <c r="W268" s="44"/>
    </row>
    <row r="269" spans="2:23">
      <c r="B269" s="44"/>
      <c r="C269" s="107"/>
      <c r="D269" s="42"/>
      <c r="E269" s="42"/>
      <c r="F269" s="42"/>
      <c r="G269" s="44"/>
      <c r="H269" s="44"/>
      <c r="I269" s="45"/>
      <c r="J269" s="45"/>
      <c r="K269" s="45"/>
      <c r="L269" s="45"/>
      <c r="M269" s="45"/>
      <c r="N269" s="45"/>
      <c r="O269" s="42"/>
      <c r="P269" s="42"/>
      <c r="Q269" s="42"/>
      <c r="R269" s="44"/>
      <c r="S269" s="44"/>
      <c r="T269" s="44"/>
      <c r="U269" s="44"/>
      <c r="V269" s="44"/>
      <c r="W269" s="44"/>
    </row>
    <row r="270" spans="2:23">
      <c r="B270" s="44"/>
      <c r="C270" s="107"/>
      <c r="D270" s="42"/>
      <c r="E270" s="42"/>
      <c r="F270" s="42"/>
      <c r="G270" s="44"/>
      <c r="H270" s="44"/>
      <c r="I270" s="45"/>
      <c r="J270" s="45"/>
      <c r="K270" s="45"/>
      <c r="L270" s="45"/>
      <c r="M270" s="45"/>
      <c r="N270" s="45"/>
      <c r="O270" s="42"/>
      <c r="P270" s="42"/>
      <c r="Q270" s="42"/>
      <c r="R270" s="44"/>
      <c r="S270" s="44"/>
      <c r="T270" s="44"/>
      <c r="U270" s="44"/>
      <c r="V270" s="44"/>
      <c r="W270" s="44"/>
    </row>
    <row r="271" spans="2:23">
      <c r="B271" s="44"/>
      <c r="C271" s="107"/>
      <c r="D271" s="42"/>
      <c r="E271" s="42"/>
      <c r="F271" s="42"/>
      <c r="G271" s="44"/>
      <c r="H271" s="44"/>
      <c r="I271" s="45"/>
      <c r="J271" s="45"/>
      <c r="K271" s="45"/>
      <c r="L271" s="45"/>
      <c r="M271" s="45"/>
      <c r="N271" s="45"/>
      <c r="O271" s="42"/>
      <c r="P271" s="42"/>
      <c r="Q271" s="42"/>
      <c r="R271" s="44"/>
      <c r="S271" s="44"/>
      <c r="T271" s="44"/>
      <c r="U271" s="44"/>
      <c r="V271" s="44"/>
      <c r="W271" s="44"/>
    </row>
    <row r="272" spans="2:23">
      <c r="B272" s="44"/>
      <c r="C272" s="107"/>
      <c r="D272" s="42"/>
      <c r="E272" s="42"/>
      <c r="F272" s="42"/>
      <c r="G272" s="44"/>
      <c r="H272" s="44"/>
      <c r="I272" s="45"/>
      <c r="J272" s="45"/>
      <c r="K272" s="45"/>
      <c r="L272" s="45"/>
      <c r="M272" s="45"/>
      <c r="N272" s="45"/>
      <c r="O272" s="42"/>
      <c r="P272" s="42"/>
      <c r="Q272" s="42"/>
      <c r="R272" s="44"/>
      <c r="S272" s="44"/>
      <c r="T272" s="44"/>
      <c r="U272" s="44"/>
      <c r="V272" s="44"/>
      <c r="W272" s="44"/>
    </row>
    <row r="273" spans="2:23">
      <c r="B273" s="44"/>
      <c r="C273" s="107"/>
      <c r="D273" s="42"/>
      <c r="E273" s="42"/>
      <c r="F273" s="42"/>
      <c r="G273" s="44"/>
      <c r="H273" s="44"/>
      <c r="I273" s="45"/>
      <c r="J273" s="45"/>
      <c r="K273" s="45"/>
      <c r="L273" s="45"/>
      <c r="M273" s="45"/>
      <c r="N273" s="45"/>
      <c r="O273" s="42"/>
      <c r="P273" s="42"/>
      <c r="Q273" s="42"/>
      <c r="R273" s="44"/>
      <c r="S273" s="44"/>
      <c r="T273" s="44"/>
      <c r="U273" s="44"/>
      <c r="V273" s="44"/>
      <c r="W273" s="44"/>
    </row>
    <row r="274" spans="2:23">
      <c r="B274" s="44"/>
      <c r="C274" s="107"/>
      <c r="D274" s="42"/>
      <c r="E274" s="42"/>
      <c r="F274" s="42"/>
      <c r="G274" s="44"/>
      <c r="H274" s="44"/>
      <c r="I274" s="45"/>
      <c r="J274" s="45"/>
      <c r="K274" s="45"/>
      <c r="L274" s="45"/>
      <c r="M274" s="45"/>
      <c r="N274" s="45"/>
      <c r="O274" s="42"/>
      <c r="P274" s="42"/>
      <c r="Q274" s="42"/>
      <c r="R274" s="44"/>
      <c r="S274" s="44"/>
      <c r="T274" s="44"/>
      <c r="U274" s="44"/>
      <c r="V274" s="44"/>
      <c r="W274" s="44"/>
    </row>
    <row r="275" spans="2:23">
      <c r="B275" s="44"/>
      <c r="C275" s="107"/>
      <c r="D275" s="42"/>
      <c r="E275" s="42"/>
      <c r="F275" s="42"/>
      <c r="G275" s="44"/>
      <c r="H275" s="44"/>
      <c r="I275" s="45"/>
      <c r="J275" s="45"/>
      <c r="K275" s="45"/>
      <c r="L275" s="45"/>
      <c r="M275" s="45"/>
      <c r="N275" s="45"/>
      <c r="O275" s="42"/>
      <c r="P275" s="42"/>
      <c r="Q275" s="42"/>
      <c r="R275" s="44"/>
      <c r="S275" s="44"/>
      <c r="T275" s="44"/>
      <c r="U275" s="44"/>
      <c r="V275" s="44"/>
      <c r="W275" s="44"/>
    </row>
    <row r="276" spans="2:23">
      <c r="B276" s="44"/>
      <c r="C276" s="107"/>
      <c r="D276" s="42"/>
      <c r="E276" s="42"/>
      <c r="F276" s="42"/>
      <c r="G276" s="44"/>
      <c r="H276" s="44"/>
      <c r="I276" s="45"/>
      <c r="J276" s="45"/>
      <c r="K276" s="45"/>
      <c r="L276" s="45"/>
      <c r="M276" s="45"/>
      <c r="N276" s="45"/>
      <c r="O276" s="42"/>
      <c r="P276" s="42"/>
      <c r="Q276" s="42"/>
      <c r="R276" s="44"/>
      <c r="S276" s="44"/>
      <c r="T276" s="44"/>
      <c r="U276" s="44"/>
      <c r="V276" s="44"/>
      <c r="W276" s="44"/>
    </row>
    <row r="277" spans="2:23">
      <c r="B277" s="44"/>
      <c r="C277" s="107"/>
      <c r="D277" s="42"/>
      <c r="E277" s="42"/>
      <c r="F277" s="42"/>
      <c r="G277" s="44"/>
      <c r="H277" s="44"/>
      <c r="I277" s="45"/>
      <c r="J277" s="45"/>
      <c r="K277" s="45"/>
      <c r="L277" s="45"/>
      <c r="M277" s="45"/>
      <c r="N277" s="45"/>
      <c r="O277" s="42"/>
      <c r="P277" s="42"/>
      <c r="Q277" s="42"/>
      <c r="R277" s="44"/>
      <c r="S277" s="44"/>
      <c r="T277" s="44"/>
      <c r="U277" s="44"/>
      <c r="V277" s="44"/>
      <c r="W277" s="44"/>
    </row>
    <row r="278" spans="2:23">
      <c r="B278" s="44"/>
      <c r="C278" s="107"/>
      <c r="D278" s="42"/>
      <c r="E278" s="42"/>
      <c r="F278" s="42"/>
      <c r="G278" s="44"/>
      <c r="H278" s="44"/>
      <c r="I278" s="45"/>
      <c r="J278" s="45"/>
      <c r="K278" s="45"/>
      <c r="L278" s="45"/>
      <c r="M278" s="45"/>
      <c r="N278" s="45"/>
      <c r="O278" s="42"/>
      <c r="P278" s="42"/>
      <c r="Q278" s="42"/>
      <c r="R278" s="44"/>
      <c r="S278" s="44"/>
      <c r="T278" s="44"/>
      <c r="U278" s="44"/>
      <c r="V278" s="44"/>
      <c r="W278" s="44"/>
    </row>
    <row r="279" spans="2:23">
      <c r="B279" s="44"/>
      <c r="C279" s="107"/>
      <c r="D279" s="42"/>
      <c r="E279" s="42"/>
      <c r="F279" s="42"/>
      <c r="G279" s="44"/>
      <c r="H279" s="44"/>
      <c r="I279" s="45"/>
      <c r="J279" s="45"/>
      <c r="K279" s="45"/>
      <c r="L279" s="45"/>
      <c r="M279" s="45"/>
      <c r="N279" s="45"/>
      <c r="O279" s="42"/>
      <c r="P279" s="42"/>
      <c r="Q279" s="42"/>
      <c r="R279" s="44"/>
      <c r="S279" s="44"/>
      <c r="T279" s="44"/>
      <c r="U279" s="44"/>
      <c r="V279" s="44"/>
      <c r="W279" s="44"/>
    </row>
    <row r="280" spans="2:23">
      <c r="B280" s="44"/>
      <c r="C280" s="107"/>
      <c r="D280" s="42"/>
      <c r="E280" s="42"/>
      <c r="F280" s="42"/>
      <c r="G280" s="44"/>
      <c r="H280" s="44"/>
      <c r="I280" s="45"/>
      <c r="J280" s="45"/>
      <c r="K280" s="45"/>
      <c r="L280" s="45"/>
      <c r="M280" s="45"/>
      <c r="N280" s="45"/>
      <c r="O280" s="42"/>
      <c r="P280" s="42"/>
      <c r="Q280" s="42"/>
      <c r="R280" s="44"/>
      <c r="S280" s="44"/>
      <c r="T280" s="44"/>
      <c r="U280" s="44"/>
      <c r="V280" s="44"/>
      <c r="W280" s="44"/>
    </row>
    <row r="281" spans="2:23">
      <c r="B281" s="44"/>
      <c r="C281" s="107"/>
      <c r="D281" s="42"/>
      <c r="E281" s="42"/>
      <c r="F281" s="42"/>
      <c r="G281" s="44"/>
      <c r="H281" s="44"/>
      <c r="I281" s="45"/>
      <c r="J281" s="45"/>
      <c r="K281" s="45"/>
      <c r="L281" s="45"/>
      <c r="M281" s="45"/>
      <c r="N281" s="45"/>
      <c r="O281" s="42"/>
      <c r="P281" s="42"/>
      <c r="Q281" s="42"/>
      <c r="R281" s="44"/>
      <c r="S281" s="44"/>
      <c r="T281" s="44"/>
      <c r="U281" s="44"/>
      <c r="V281" s="44"/>
      <c r="W281" s="44"/>
    </row>
    <row r="282" spans="2:23">
      <c r="B282" s="44"/>
      <c r="C282" s="107"/>
      <c r="D282" s="42"/>
      <c r="E282" s="42"/>
      <c r="F282" s="42"/>
      <c r="G282" s="44"/>
      <c r="H282" s="44"/>
      <c r="I282" s="45"/>
      <c r="J282" s="45"/>
      <c r="K282" s="45"/>
      <c r="L282" s="45"/>
      <c r="M282" s="45"/>
      <c r="N282" s="45"/>
      <c r="O282" s="42"/>
      <c r="P282" s="42"/>
      <c r="Q282" s="42"/>
      <c r="R282" s="44"/>
      <c r="S282" s="44"/>
      <c r="T282" s="44"/>
      <c r="U282" s="44"/>
      <c r="V282" s="44"/>
      <c r="W282" s="44"/>
    </row>
    <row r="283" spans="2:23">
      <c r="B283" s="44"/>
      <c r="C283" s="107"/>
      <c r="D283" s="42"/>
      <c r="E283" s="42"/>
      <c r="F283" s="42"/>
      <c r="G283" s="44"/>
      <c r="H283" s="44"/>
      <c r="I283" s="45"/>
      <c r="J283" s="45"/>
      <c r="K283" s="45"/>
      <c r="L283" s="45"/>
      <c r="M283" s="45"/>
      <c r="N283" s="45"/>
      <c r="O283" s="42"/>
      <c r="P283" s="42"/>
      <c r="Q283" s="42"/>
      <c r="R283" s="44"/>
      <c r="S283" s="44"/>
      <c r="T283" s="44"/>
      <c r="U283" s="44"/>
      <c r="V283" s="44"/>
      <c r="W283" s="44"/>
    </row>
    <row r="284" spans="2:23">
      <c r="B284" s="44"/>
      <c r="C284" s="107"/>
      <c r="D284" s="42"/>
      <c r="E284" s="42"/>
      <c r="F284" s="42"/>
      <c r="G284" s="44"/>
      <c r="H284" s="44"/>
      <c r="I284" s="45"/>
      <c r="J284" s="45"/>
      <c r="K284" s="45"/>
      <c r="L284" s="45"/>
      <c r="M284" s="45"/>
      <c r="N284" s="45"/>
      <c r="O284" s="42"/>
      <c r="P284" s="42"/>
      <c r="Q284" s="42"/>
      <c r="R284" s="44"/>
      <c r="S284" s="44"/>
      <c r="T284" s="44"/>
      <c r="U284" s="44"/>
      <c r="V284" s="44"/>
      <c r="W284" s="44"/>
    </row>
    <row r="285" spans="2:23">
      <c r="B285" s="44"/>
      <c r="C285" s="107"/>
      <c r="D285" s="42"/>
      <c r="E285" s="42"/>
      <c r="F285" s="42"/>
      <c r="G285" s="44"/>
      <c r="H285" s="44"/>
      <c r="I285" s="45"/>
      <c r="J285" s="45"/>
      <c r="K285" s="45"/>
      <c r="L285" s="45"/>
      <c r="M285" s="45"/>
      <c r="N285" s="45"/>
      <c r="O285" s="42"/>
      <c r="P285" s="42"/>
      <c r="Q285" s="42"/>
      <c r="R285" s="44"/>
      <c r="S285" s="44"/>
      <c r="T285" s="44"/>
      <c r="U285" s="44"/>
      <c r="V285" s="44"/>
      <c r="W285" s="44"/>
    </row>
    <row r="286" spans="2:23">
      <c r="B286" s="44"/>
      <c r="C286" s="107"/>
      <c r="D286" s="42"/>
      <c r="E286" s="42"/>
      <c r="F286" s="42"/>
      <c r="G286" s="44"/>
      <c r="H286" s="44"/>
      <c r="I286" s="45"/>
      <c r="J286" s="45"/>
      <c r="K286" s="45"/>
      <c r="L286" s="45"/>
      <c r="M286" s="45"/>
      <c r="N286" s="45"/>
      <c r="O286" s="42"/>
      <c r="P286" s="42"/>
      <c r="Q286" s="42"/>
      <c r="R286" s="44"/>
      <c r="S286" s="44"/>
      <c r="T286" s="44"/>
      <c r="U286" s="44"/>
      <c r="V286" s="44"/>
      <c r="W286" s="44"/>
    </row>
    <row r="287" spans="2:23">
      <c r="B287" s="44"/>
      <c r="C287" s="107"/>
      <c r="D287" s="42"/>
      <c r="E287" s="42"/>
      <c r="F287" s="42"/>
      <c r="G287" s="44"/>
      <c r="H287" s="44"/>
      <c r="I287" s="45"/>
      <c r="J287" s="45"/>
      <c r="K287" s="45"/>
      <c r="L287" s="45"/>
      <c r="M287" s="45"/>
      <c r="N287" s="45"/>
      <c r="O287" s="42"/>
      <c r="P287" s="42"/>
      <c r="Q287" s="42"/>
      <c r="R287" s="44"/>
      <c r="S287" s="44"/>
      <c r="T287" s="44"/>
      <c r="U287" s="44"/>
      <c r="V287" s="44"/>
      <c r="W287" s="44"/>
    </row>
    <row r="288" spans="2:23">
      <c r="B288" s="44"/>
      <c r="C288" s="107"/>
      <c r="D288" s="42"/>
      <c r="E288" s="42"/>
      <c r="F288" s="42"/>
      <c r="G288" s="44"/>
      <c r="H288" s="44"/>
      <c r="I288" s="45"/>
      <c r="J288" s="45"/>
      <c r="K288" s="45"/>
      <c r="L288" s="45"/>
      <c r="M288" s="45"/>
      <c r="N288" s="45"/>
      <c r="O288" s="42"/>
      <c r="P288" s="42"/>
      <c r="Q288" s="42"/>
      <c r="R288" s="44"/>
      <c r="S288" s="44"/>
      <c r="T288" s="44"/>
      <c r="U288" s="44"/>
      <c r="V288" s="44"/>
      <c r="W288" s="44"/>
    </row>
    <row r="289" spans="2:23">
      <c r="B289" s="44"/>
      <c r="C289" s="107"/>
      <c r="D289" s="42"/>
      <c r="E289" s="42"/>
      <c r="F289" s="42"/>
      <c r="G289" s="44"/>
      <c r="H289" s="44"/>
      <c r="I289" s="45"/>
      <c r="J289" s="45"/>
      <c r="K289" s="45"/>
      <c r="L289" s="45"/>
      <c r="M289" s="45"/>
      <c r="N289" s="45"/>
      <c r="O289" s="42"/>
      <c r="P289" s="42"/>
      <c r="Q289" s="42"/>
      <c r="R289" s="44"/>
      <c r="S289" s="44"/>
      <c r="T289" s="44"/>
      <c r="U289" s="44"/>
      <c r="V289" s="44"/>
      <c r="W289" s="44"/>
    </row>
    <row r="290" spans="2:23">
      <c r="B290" s="44"/>
      <c r="C290" s="107"/>
      <c r="D290" s="42"/>
      <c r="E290" s="42"/>
      <c r="F290" s="42"/>
      <c r="G290" s="44"/>
      <c r="H290" s="44"/>
      <c r="I290" s="45"/>
      <c r="J290" s="45"/>
      <c r="K290" s="45"/>
      <c r="L290" s="45"/>
      <c r="M290" s="45"/>
      <c r="N290" s="45"/>
      <c r="O290" s="42"/>
      <c r="P290" s="42"/>
      <c r="Q290" s="42"/>
      <c r="R290" s="44"/>
      <c r="S290" s="44"/>
      <c r="T290" s="44"/>
      <c r="U290" s="44"/>
      <c r="V290" s="44"/>
      <c r="W290" s="44"/>
    </row>
    <row r="291" spans="2:23">
      <c r="B291" s="44"/>
      <c r="C291" s="107"/>
      <c r="D291" s="42"/>
      <c r="E291" s="42"/>
      <c r="F291" s="42"/>
      <c r="G291" s="44"/>
      <c r="H291" s="44"/>
      <c r="I291" s="45"/>
      <c r="J291" s="45"/>
      <c r="K291" s="45"/>
      <c r="L291" s="45"/>
      <c r="M291" s="45"/>
      <c r="N291" s="45"/>
      <c r="O291" s="42"/>
      <c r="P291" s="42"/>
      <c r="Q291" s="42"/>
      <c r="R291" s="44"/>
      <c r="S291" s="44"/>
      <c r="T291" s="44"/>
      <c r="U291" s="44"/>
      <c r="V291" s="44"/>
      <c r="W291" s="44"/>
    </row>
    <row r="292" spans="2:23">
      <c r="B292" s="44"/>
      <c r="C292" s="107"/>
      <c r="D292" s="42"/>
      <c r="E292" s="42"/>
      <c r="F292" s="42"/>
      <c r="G292" s="44"/>
      <c r="H292" s="44"/>
      <c r="I292" s="45"/>
      <c r="J292" s="45"/>
      <c r="K292" s="45"/>
      <c r="L292" s="45"/>
      <c r="M292" s="45"/>
      <c r="N292" s="45"/>
      <c r="O292" s="42"/>
      <c r="P292" s="42"/>
      <c r="Q292" s="42"/>
      <c r="R292" s="44"/>
      <c r="S292" s="44"/>
      <c r="T292" s="44"/>
      <c r="U292" s="44"/>
      <c r="V292" s="44"/>
      <c r="W292" s="44"/>
    </row>
    <row r="293" spans="2:23">
      <c r="B293" s="44"/>
      <c r="C293" s="107"/>
      <c r="D293" s="42"/>
      <c r="E293" s="42"/>
      <c r="F293" s="42"/>
      <c r="G293" s="44"/>
      <c r="H293" s="44"/>
      <c r="I293" s="45"/>
      <c r="J293" s="45"/>
      <c r="K293" s="45"/>
      <c r="L293" s="45"/>
      <c r="M293" s="45"/>
      <c r="N293" s="45"/>
      <c r="O293" s="42"/>
      <c r="P293" s="42"/>
      <c r="Q293" s="42"/>
      <c r="R293" s="44"/>
      <c r="S293" s="44"/>
      <c r="T293" s="44"/>
      <c r="U293" s="44"/>
      <c r="V293" s="44"/>
      <c r="W293" s="44"/>
    </row>
    <row r="294" spans="2:23">
      <c r="B294" s="44"/>
      <c r="C294" s="107"/>
      <c r="D294" s="42"/>
      <c r="E294" s="42"/>
      <c r="F294" s="42"/>
      <c r="G294" s="44"/>
      <c r="H294" s="44"/>
      <c r="I294" s="45"/>
      <c r="J294" s="45"/>
      <c r="K294" s="45"/>
      <c r="L294" s="45"/>
      <c r="M294" s="45"/>
      <c r="N294" s="45"/>
      <c r="O294" s="42"/>
      <c r="P294" s="42"/>
      <c r="Q294" s="42"/>
      <c r="R294" s="44"/>
      <c r="S294" s="44"/>
      <c r="T294" s="44"/>
      <c r="U294" s="44"/>
      <c r="V294" s="44"/>
      <c r="W294" s="44"/>
    </row>
    <row r="295" spans="2:23">
      <c r="B295" s="44"/>
      <c r="C295" s="107"/>
      <c r="D295" s="42"/>
      <c r="E295" s="42"/>
      <c r="F295" s="42"/>
      <c r="G295" s="44"/>
      <c r="H295" s="44"/>
      <c r="I295" s="45"/>
      <c r="J295" s="45"/>
      <c r="K295" s="45"/>
      <c r="L295" s="45"/>
      <c r="M295" s="45"/>
      <c r="N295" s="45"/>
      <c r="O295" s="42"/>
      <c r="P295" s="42"/>
      <c r="Q295" s="42"/>
      <c r="R295" s="44"/>
      <c r="S295" s="44"/>
      <c r="T295" s="44"/>
      <c r="U295" s="44"/>
      <c r="V295" s="44"/>
      <c r="W295" s="44"/>
    </row>
    <row r="296" spans="2:23">
      <c r="B296" s="44"/>
      <c r="C296" s="107"/>
      <c r="D296" s="42"/>
      <c r="E296" s="42"/>
      <c r="F296" s="42"/>
      <c r="G296" s="44"/>
      <c r="H296" s="44"/>
      <c r="I296" s="45"/>
      <c r="J296" s="45"/>
      <c r="K296" s="45"/>
      <c r="L296" s="45"/>
      <c r="M296" s="45"/>
      <c r="N296" s="45"/>
      <c r="O296" s="42"/>
      <c r="P296" s="42"/>
      <c r="Q296" s="42"/>
      <c r="R296" s="44"/>
      <c r="S296" s="44"/>
      <c r="T296" s="44"/>
      <c r="U296" s="44"/>
      <c r="V296" s="44"/>
      <c r="W296" s="44"/>
    </row>
    <row r="297" spans="2:23">
      <c r="B297" s="44"/>
      <c r="C297" s="107"/>
      <c r="D297" s="42"/>
      <c r="E297" s="42"/>
      <c r="F297" s="42"/>
      <c r="G297" s="44"/>
      <c r="H297" s="44"/>
      <c r="I297" s="45"/>
      <c r="J297" s="45"/>
      <c r="K297" s="45"/>
      <c r="L297" s="45"/>
      <c r="M297" s="45"/>
      <c r="N297" s="45"/>
      <c r="O297" s="42"/>
      <c r="P297" s="42"/>
      <c r="Q297" s="42"/>
      <c r="R297" s="44"/>
      <c r="S297" s="44"/>
      <c r="T297" s="44"/>
      <c r="U297" s="44"/>
      <c r="V297" s="44"/>
      <c r="W297" s="44"/>
    </row>
    <row r="298" spans="2:23">
      <c r="B298" s="44"/>
      <c r="C298" s="107"/>
      <c r="D298" s="42"/>
      <c r="E298" s="42"/>
      <c r="F298" s="42"/>
      <c r="G298" s="44"/>
      <c r="H298" s="44"/>
      <c r="I298" s="45"/>
      <c r="J298" s="45"/>
      <c r="K298" s="45"/>
      <c r="L298" s="45"/>
      <c r="M298" s="45"/>
      <c r="N298" s="45"/>
      <c r="O298" s="42"/>
      <c r="P298" s="42"/>
      <c r="Q298" s="42"/>
      <c r="R298" s="44"/>
      <c r="S298" s="44"/>
      <c r="T298" s="44"/>
      <c r="U298" s="44"/>
      <c r="V298" s="44"/>
      <c r="W298" s="44"/>
    </row>
    <row r="299" spans="2:23">
      <c r="B299" s="44"/>
      <c r="C299" s="107"/>
      <c r="D299" s="42"/>
      <c r="E299" s="42"/>
      <c r="F299" s="42"/>
      <c r="G299" s="44"/>
      <c r="H299" s="44"/>
      <c r="I299" s="45"/>
      <c r="J299" s="45"/>
      <c r="K299" s="45"/>
      <c r="L299" s="45"/>
      <c r="M299" s="45"/>
      <c r="N299" s="45"/>
      <c r="O299" s="42"/>
      <c r="P299" s="42"/>
      <c r="Q299" s="42"/>
      <c r="R299" s="44"/>
      <c r="S299" s="44"/>
      <c r="T299" s="44"/>
      <c r="U299" s="44"/>
      <c r="V299" s="44"/>
      <c r="W299" s="44"/>
    </row>
    <row r="300" spans="2:23">
      <c r="B300" s="44"/>
      <c r="C300" s="107"/>
      <c r="D300" s="42"/>
      <c r="E300" s="42"/>
      <c r="F300" s="42"/>
      <c r="G300" s="44"/>
      <c r="H300" s="44"/>
      <c r="I300" s="45"/>
      <c r="J300" s="45"/>
      <c r="K300" s="45"/>
      <c r="L300" s="45"/>
      <c r="M300" s="45"/>
      <c r="N300" s="45"/>
      <c r="O300" s="42"/>
      <c r="P300" s="42"/>
      <c r="Q300" s="42"/>
      <c r="R300" s="44"/>
      <c r="S300" s="44"/>
      <c r="T300" s="44"/>
      <c r="U300" s="44"/>
      <c r="V300" s="44"/>
      <c r="W300" s="44"/>
    </row>
    <row r="301" spans="2:23">
      <c r="B301" s="44"/>
      <c r="C301" s="107"/>
      <c r="D301" s="42"/>
      <c r="E301" s="42"/>
      <c r="F301" s="42"/>
      <c r="G301" s="44"/>
      <c r="H301" s="44"/>
      <c r="I301" s="45"/>
      <c r="J301" s="45"/>
      <c r="K301" s="45"/>
      <c r="L301" s="45"/>
      <c r="M301" s="45"/>
      <c r="N301" s="45"/>
      <c r="O301" s="42"/>
      <c r="P301" s="42"/>
      <c r="Q301" s="42"/>
      <c r="R301" s="44"/>
      <c r="S301" s="44"/>
      <c r="T301" s="44"/>
      <c r="U301" s="44"/>
      <c r="V301" s="44"/>
      <c r="W301" s="44"/>
    </row>
    <row r="302" spans="2:23">
      <c r="B302" s="44"/>
      <c r="C302" s="107"/>
      <c r="D302" s="42"/>
      <c r="E302" s="42"/>
      <c r="F302" s="42"/>
      <c r="G302" s="44"/>
      <c r="H302" s="44"/>
      <c r="I302" s="45"/>
      <c r="J302" s="45"/>
      <c r="K302" s="45"/>
      <c r="L302" s="45"/>
      <c r="M302" s="45"/>
      <c r="N302" s="45"/>
      <c r="O302" s="42"/>
      <c r="P302" s="42"/>
      <c r="Q302" s="42"/>
      <c r="R302" s="44"/>
      <c r="S302" s="44"/>
      <c r="T302" s="44"/>
      <c r="U302" s="44"/>
      <c r="V302" s="44"/>
      <c r="W302" s="44"/>
    </row>
    <row r="303" spans="2:23">
      <c r="B303" s="44"/>
      <c r="C303" s="107"/>
      <c r="D303" s="42"/>
      <c r="E303" s="42"/>
      <c r="F303" s="42"/>
      <c r="G303" s="44"/>
      <c r="H303" s="44"/>
      <c r="I303" s="45"/>
      <c r="J303" s="45"/>
      <c r="K303" s="45"/>
      <c r="L303" s="45"/>
      <c r="M303" s="45"/>
      <c r="N303" s="45"/>
      <c r="O303" s="42"/>
      <c r="P303" s="42"/>
      <c r="Q303" s="42"/>
      <c r="R303" s="44"/>
      <c r="S303" s="44"/>
      <c r="T303" s="44"/>
      <c r="U303" s="44"/>
      <c r="V303" s="44"/>
      <c r="W303" s="44"/>
    </row>
    <row r="304" spans="2:23">
      <c r="B304" s="44"/>
      <c r="C304" s="107"/>
      <c r="D304" s="42"/>
      <c r="E304" s="42"/>
      <c r="F304" s="42"/>
      <c r="G304" s="44"/>
      <c r="H304" s="44"/>
      <c r="I304" s="45"/>
      <c r="J304" s="45"/>
      <c r="K304" s="45"/>
      <c r="L304" s="45"/>
      <c r="M304" s="45"/>
      <c r="N304" s="45"/>
      <c r="O304" s="42"/>
      <c r="P304" s="42"/>
      <c r="Q304" s="42"/>
      <c r="R304" s="44"/>
      <c r="S304" s="44"/>
      <c r="T304" s="44"/>
      <c r="U304" s="44"/>
      <c r="V304" s="44"/>
      <c r="W304" s="44"/>
    </row>
    <row r="305" spans="2:23">
      <c r="B305" s="44"/>
      <c r="C305" s="107"/>
      <c r="D305" s="42"/>
      <c r="E305" s="42"/>
      <c r="F305" s="42"/>
      <c r="G305" s="44"/>
      <c r="H305" s="44"/>
      <c r="I305" s="45"/>
      <c r="J305" s="45"/>
      <c r="K305" s="45"/>
      <c r="L305" s="45"/>
      <c r="M305" s="45"/>
      <c r="N305" s="45"/>
      <c r="O305" s="42"/>
      <c r="P305" s="42"/>
      <c r="Q305" s="42"/>
      <c r="R305" s="44"/>
      <c r="S305" s="44"/>
      <c r="T305" s="44"/>
      <c r="U305" s="44"/>
      <c r="V305" s="44"/>
      <c r="W305" s="44"/>
    </row>
    <row r="306" spans="2:23">
      <c r="B306" s="44"/>
      <c r="C306" s="107"/>
      <c r="D306" s="42"/>
      <c r="E306" s="42"/>
      <c r="F306" s="42"/>
      <c r="G306" s="44"/>
      <c r="H306" s="44"/>
      <c r="I306" s="45"/>
      <c r="J306" s="45"/>
      <c r="K306" s="45"/>
      <c r="L306" s="45"/>
      <c r="M306" s="45"/>
      <c r="N306" s="45"/>
      <c r="O306" s="42"/>
      <c r="P306" s="42"/>
      <c r="Q306" s="42"/>
      <c r="R306" s="44"/>
      <c r="S306" s="44"/>
      <c r="T306" s="44"/>
      <c r="U306" s="44"/>
      <c r="V306" s="44"/>
      <c r="W306" s="44"/>
    </row>
    <row r="307" spans="2:23">
      <c r="B307" s="44"/>
      <c r="C307" s="107"/>
      <c r="D307" s="42"/>
      <c r="E307" s="42"/>
      <c r="F307" s="42"/>
      <c r="G307" s="44"/>
      <c r="H307" s="44"/>
      <c r="I307" s="45"/>
      <c r="J307" s="45"/>
      <c r="K307" s="45"/>
      <c r="L307" s="45"/>
      <c r="M307" s="45"/>
      <c r="N307" s="45"/>
      <c r="O307" s="42"/>
      <c r="P307" s="42"/>
      <c r="Q307" s="42"/>
      <c r="R307" s="44"/>
      <c r="S307" s="44"/>
      <c r="T307" s="44"/>
      <c r="U307" s="44"/>
      <c r="V307" s="44"/>
      <c r="W307" s="44"/>
    </row>
    <row r="308" spans="2:23">
      <c r="B308" s="44"/>
      <c r="C308" s="107"/>
      <c r="D308" s="42"/>
      <c r="E308" s="42"/>
      <c r="F308" s="42"/>
      <c r="G308" s="44"/>
      <c r="H308" s="44"/>
      <c r="I308" s="45"/>
      <c r="J308" s="45"/>
      <c r="K308" s="45"/>
      <c r="L308" s="45"/>
      <c r="M308" s="45"/>
      <c r="N308" s="45"/>
      <c r="O308" s="42"/>
      <c r="P308" s="42"/>
      <c r="Q308" s="42"/>
      <c r="R308" s="44"/>
      <c r="S308" s="44"/>
      <c r="T308" s="44"/>
      <c r="U308" s="44"/>
      <c r="V308" s="44"/>
      <c r="W308" s="44"/>
    </row>
    <row r="309" spans="2:23">
      <c r="B309" s="44"/>
      <c r="C309" s="107"/>
      <c r="D309" s="42"/>
      <c r="E309" s="42"/>
      <c r="F309" s="42"/>
      <c r="G309" s="44"/>
      <c r="H309" s="44"/>
      <c r="I309" s="45"/>
      <c r="J309" s="45"/>
      <c r="K309" s="45"/>
      <c r="L309" s="45"/>
      <c r="M309" s="45"/>
      <c r="N309" s="45"/>
      <c r="O309" s="42"/>
      <c r="P309" s="42"/>
      <c r="Q309" s="42"/>
      <c r="R309" s="44"/>
      <c r="S309" s="44"/>
      <c r="T309" s="44"/>
      <c r="U309" s="44"/>
      <c r="V309" s="44"/>
      <c r="W309" s="44"/>
    </row>
    <row r="310" spans="2:23">
      <c r="B310" s="44"/>
      <c r="C310" s="107"/>
      <c r="D310" s="42"/>
      <c r="E310" s="42"/>
      <c r="F310" s="42"/>
      <c r="G310" s="44"/>
      <c r="H310" s="44"/>
      <c r="I310" s="45"/>
      <c r="J310" s="45"/>
      <c r="K310" s="45"/>
      <c r="L310" s="45"/>
      <c r="M310" s="45"/>
      <c r="N310" s="45"/>
      <c r="O310" s="42"/>
      <c r="P310" s="42"/>
      <c r="Q310" s="42"/>
      <c r="R310" s="44"/>
      <c r="S310" s="44"/>
      <c r="T310" s="44"/>
      <c r="U310" s="44"/>
      <c r="V310" s="44"/>
      <c r="W310" s="44"/>
    </row>
    <row r="311" spans="2:23">
      <c r="B311" s="44"/>
      <c r="C311" s="107"/>
      <c r="D311" s="42"/>
      <c r="E311" s="42"/>
      <c r="F311" s="42"/>
      <c r="G311" s="44"/>
      <c r="H311" s="44"/>
      <c r="I311" s="45"/>
      <c r="J311" s="45"/>
      <c r="K311" s="45"/>
      <c r="L311" s="45"/>
      <c r="M311" s="45"/>
      <c r="N311" s="45"/>
      <c r="O311" s="42"/>
      <c r="P311" s="42"/>
      <c r="Q311" s="42"/>
      <c r="R311" s="44"/>
      <c r="S311" s="44"/>
      <c r="T311" s="44"/>
      <c r="U311" s="44"/>
      <c r="V311" s="44"/>
      <c r="W311" s="44"/>
    </row>
    <row r="312" spans="2:23">
      <c r="B312" s="44"/>
      <c r="C312" s="107"/>
      <c r="D312" s="42"/>
      <c r="E312" s="42"/>
      <c r="F312" s="42"/>
      <c r="G312" s="44"/>
      <c r="H312" s="44"/>
      <c r="I312" s="45"/>
      <c r="J312" s="45"/>
      <c r="K312" s="45"/>
      <c r="L312" s="45"/>
      <c r="M312" s="45"/>
      <c r="N312" s="45"/>
      <c r="O312" s="42"/>
      <c r="P312" s="42"/>
      <c r="Q312" s="42"/>
      <c r="R312" s="44"/>
      <c r="S312" s="44"/>
      <c r="T312" s="44"/>
      <c r="U312" s="44"/>
      <c r="V312" s="44"/>
      <c r="W312" s="44"/>
    </row>
    <row r="313" spans="2:23">
      <c r="B313" s="44"/>
      <c r="C313" s="107"/>
      <c r="D313" s="42"/>
      <c r="E313" s="42"/>
      <c r="F313" s="42"/>
      <c r="G313" s="44"/>
      <c r="H313" s="44"/>
      <c r="I313" s="45"/>
      <c r="J313" s="45"/>
      <c r="K313" s="45"/>
      <c r="L313" s="45"/>
      <c r="M313" s="45"/>
      <c r="N313" s="45"/>
      <c r="O313" s="42"/>
      <c r="P313" s="42"/>
      <c r="Q313" s="42"/>
      <c r="R313" s="44"/>
      <c r="S313" s="44"/>
      <c r="T313" s="44"/>
      <c r="U313" s="44"/>
      <c r="V313" s="44"/>
      <c r="W313" s="44"/>
    </row>
    <row r="314" spans="2:23">
      <c r="B314" s="44"/>
      <c r="C314" s="107"/>
      <c r="D314" s="42"/>
      <c r="E314" s="42"/>
      <c r="F314" s="42"/>
      <c r="G314" s="44"/>
      <c r="H314" s="44"/>
      <c r="I314" s="45"/>
      <c r="J314" s="45"/>
      <c r="K314" s="45"/>
      <c r="L314" s="45"/>
      <c r="M314" s="45"/>
      <c r="N314" s="45"/>
      <c r="O314" s="42"/>
      <c r="P314" s="42"/>
      <c r="Q314" s="42"/>
      <c r="R314" s="44"/>
      <c r="S314" s="44"/>
      <c r="T314" s="44"/>
      <c r="U314" s="44"/>
      <c r="V314" s="44"/>
      <c r="W314" s="44"/>
    </row>
    <row r="315" spans="2:23">
      <c r="B315" s="44"/>
      <c r="C315" s="107"/>
      <c r="D315" s="42"/>
      <c r="E315" s="42"/>
      <c r="F315" s="42"/>
      <c r="G315" s="44"/>
      <c r="H315" s="44"/>
      <c r="I315" s="45"/>
      <c r="J315" s="45"/>
      <c r="K315" s="45"/>
      <c r="L315" s="45"/>
      <c r="M315" s="45"/>
      <c r="N315" s="45"/>
      <c r="O315" s="42"/>
      <c r="P315" s="42"/>
      <c r="Q315" s="42"/>
      <c r="R315" s="44"/>
      <c r="S315" s="44"/>
      <c r="T315" s="44"/>
      <c r="U315" s="44"/>
      <c r="V315" s="44"/>
      <c r="W315" s="44"/>
    </row>
    <row r="316" spans="2:23">
      <c r="B316" s="44"/>
      <c r="C316" s="107"/>
      <c r="D316" s="42"/>
      <c r="E316" s="42"/>
      <c r="F316" s="42"/>
      <c r="G316" s="44"/>
      <c r="H316" s="44"/>
      <c r="I316" s="45"/>
      <c r="J316" s="45"/>
      <c r="K316" s="45"/>
      <c r="L316" s="45"/>
      <c r="M316" s="45"/>
      <c r="N316" s="45"/>
      <c r="O316" s="42"/>
      <c r="P316" s="42"/>
      <c r="Q316" s="42"/>
      <c r="R316" s="44"/>
      <c r="S316" s="44"/>
      <c r="T316" s="44"/>
      <c r="U316" s="44"/>
      <c r="V316" s="44"/>
      <c r="W316" s="44"/>
    </row>
    <row r="317" spans="2:23">
      <c r="B317" s="44"/>
      <c r="C317" s="107"/>
      <c r="D317" s="42"/>
      <c r="E317" s="42"/>
      <c r="F317" s="42"/>
      <c r="G317" s="44"/>
      <c r="H317" s="44"/>
      <c r="I317" s="45"/>
      <c r="J317" s="45"/>
      <c r="K317" s="45"/>
      <c r="L317" s="45"/>
      <c r="M317" s="45"/>
      <c r="N317" s="45"/>
      <c r="O317" s="42"/>
      <c r="R317" s="44"/>
      <c r="S317" s="44"/>
      <c r="T317" s="44"/>
      <c r="U317" s="44"/>
      <c r="V317" s="44"/>
      <c r="W317" s="44"/>
    </row>
    <row r="318" spans="2:23">
      <c r="B318" s="44"/>
      <c r="C318" s="107"/>
      <c r="D318" s="42"/>
      <c r="E318" s="42"/>
      <c r="F318" s="42"/>
      <c r="G318" s="44"/>
      <c r="H318" s="44"/>
      <c r="I318" s="45"/>
      <c r="J318" s="45"/>
      <c r="K318" s="45"/>
      <c r="L318" s="45"/>
      <c r="M318" s="45"/>
      <c r="N318" s="45"/>
      <c r="O318" s="42"/>
      <c r="R318" s="44"/>
      <c r="S318" s="44"/>
      <c r="T318" s="44"/>
      <c r="U318" s="44"/>
      <c r="V318" s="44"/>
      <c r="W318" s="44"/>
    </row>
    <row r="319" spans="2:23">
      <c r="B319" s="44"/>
      <c r="C319" s="107"/>
      <c r="D319" s="42"/>
      <c r="E319" s="42"/>
      <c r="F319" s="42"/>
      <c r="G319" s="44"/>
      <c r="H319" s="44"/>
      <c r="I319" s="45"/>
      <c r="J319" s="45"/>
      <c r="K319" s="45"/>
      <c r="L319" s="45"/>
      <c r="M319" s="45"/>
      <c r="N319" s="45"/>
      <c r="O319" s="42"/>
      <c r="S319" s="44"/>
      <c r="T319" s="44"/>
    </row>
    <row r="320" spans="2:23">
      <c r="B320" s="44"/>
      <c r="C320" s="107"/>
      <c r="D320" s="42"/>
      <c r="E320" s="42"/>
      <c r="F320" s="42"/>
      <c r="G320" s="44"/>
      <c r="H320" s="44"/>
      <c r="I320" s="45"/>
      <c r="J320" s="45"/>
      <c r="K320" s="45"/>
      <c r="L320" s="45"/>
      <c r="M320" s="45"/>
      <c r="N320" s="45"/>
      <c r="O320" s="42"/>
    </row>
    <row r="321" spans="2:23">
      <c r="B321" s="44"/>
      <c r="C321" s="107"/>
      <c r="D321" s="42"/>
      <c r="E321" s="42"/>
      <c r="F321" s="42"/>
      <c r="G321" s="44"/>
      <c r="H321" s="44"/>
      <c r="I321" s="45"/>
      <c r="J321" s="45"/>
      <c r="K321" s="45"/>
      <c r="L321" s="45"/>
      <c r="M321" s="45"/>
      <c r="N321" s="45"/>
      <c r="O321" s="42"/>
    </row>
    <row r="322" spans="2:23">
      <c r="B322" s="44"/>
      <c r="C322" s="107"/>
      <c r="D322" s="42"/>
      <c r="E322" s="42"/>
      <c r="F322" s="42"/>
      <c r="G322" s="44"/>
      <c r="H322" s="44"/>
      <c r="I322" s="45"/>
      <c r="J322" s="45"/>
      <c r="K322" s="45"/>
      <c r="L322" s="45"/>
      <c r="M322" s="45"/>
      <c r="N322" s="45"/>
      <c r="O322" s="42"/>
    </row>
    <row r="323" spans="2:23">
      <c r="B323" s="44"/>
      <c r="C323" s="107"/>
      <c r="D323" s="42"/>
      <c r="E323" s="42"/>
      <c r="F323" s="42"/>
      <c r="G323" s="44"/>
      <c r="H323" s="44"/>
      <c r="I323" s="45"/>
      <c r="J323" s="45"/>
      <c r="K323" s="45"/>
      <c r="L323" s="45"/>
      <c r="M323" s="45"/>
      <c r="N323" s="45"/>
      <c r="O323" s="42"/>
    </row>
    <row r="324" spans="2:23">
      <c r="B324" s="44"/>
      <c r="C324" s="107"/>
      <c r="D324" s="42"/>
      <c r="E324" s="42"/>
      <c r="F324" s="42"/>
      <c r="G324" s="44"/>
      <c r="H324" s="44"/>
      <c r="I324" s="45"/>
      <c r="J324" s="45"/>
      <c r="K324" s="45"/>
      <c r="L324" s="45"/>
      <c r="M324" s="45"/>
      <c r="N324" s="45"/>
      <c r="O324" s="42"/>
    </row>
    <row r="325" spans="2:23">
      <c r="B325" s="44"/>
      <c r="C325" s="107"/>
      <c r="D325" s="42"/>
      <c r="E325" s="42"/>
      <c r="F325" s="42"/>
      <c r="G325" s="44"/>
      <c r="H325" s="44"/>
      <c r="I325" s="45"/>
      <c r="J325" s="45"/>
      <c r="K325" s="45"/>
      <c r="L325" s="45"/>
      <c r="M325" s="45"/>
      <c r="N325" s="45"/>
      <c r="O325" s="42"/>
    </row>
    <row r="326" spans="2:23">
      <c r="B326" s="44"/>
      <c r="C326" s="107"/>
      <c r="D326" s="42"/>
      <c r="E326" s="42"/>
      <c r="F326" s="42"/>
      <c r="G326" s="44"/>
      <c r="H326" s="44"/>
      <c r="I326" s="45"/>
      <c r="J326" s="45"/>
      <c r="K326" s="45"/>
      <c r="L326" s="45"/>
      <c r="M326" s="45"/>
      <c r="N326" s="45"/>
      <c r="O326" s="42"/>
    </row>
    <row r="327" spans="2:23">
      <c r="B327" s="44"/>
      <c r="C327" s="107"/>
      <c r="D327" s="42"/>
      <c r="E327" s="42"/>
      <c r="F327" s="42"/>
      <c r="G327" s="44"/>
      <c r="H327" s="44"/>
      <c r="I327" s="45"/>
      <c r="J327" s="45"/>
      <c r="K327" s="45"/>
      <c r="L327" s="45"/>
      <c r="M327" s="45"/>
      <c r="N327" s="45"/>
      <c r="O327" s="42"/>
    </row>
    <row r="328" spans="2:23">
      <c r="B328" s="44"/>
      <c r="C328" s="107"/>
      <c r="D328" s="42"/>
      <c r="E328" s="42"/>
      <c r="F328" s="42"/>
      <c r="G328" s="44"/>
      <c r="H328" s="44"/>
      <c r="I328" s="45"/>
      <c r="J328" s="45"/>
      <c r="K328" s="45"/>
      <c r="L328" s="45"/>
      <c r="M328" s="45"/>
      <c r="N328" s="45"/>
      <c r="O328" s="42"/>
    </row>
    <row r="329" spans="2:23">
      <c r="B329" s="44"/>
      <c r="C329" s="107"/>
      <c r="D329" s="42"/>
      <c r="E329" s="42"/>
      <c r="F329" s="42"/>
      <c r="G329" s="44"/>
      <c r="H329" s="44"/>
      <c r="I329" s="45"/>
      <c r="J329" s="45"/>
      <c r="K329" s="45"/>
      <c r="L329" s="45"/>
      <c r="M329" s="45"/>
      <c r="N329" s="45"/>
      <c r="O329" s="42"/>
    </row>
    <row r="330" spans="2:23" s="13" customFormat="1">
      <c r="B330" s="44"/>
      <c r="C330" s="107"/>
      <c r="D330" s="42"/>
      <c r="E330" s="42"/>
      <c r="F330" s="42"/>
      <c r="G330" s="44"/>
      <c r="H330" s="44"/>
      <c r="I330" s="45"/>
      <c r="J330" s="45"/>
      <c r="K330" s="45"/>
      <c r="L330" s="45"/>
      <c r="M330" s="45"/>
      <c r="N330" s="45"/>
      <c r="O330" s="42"/>
      <c r="R330" s="175"/>
      <c r="S330" s="175"/>
      <c r="T330" s="175"/>
      <c r="U330" s="175"/>
      <c r="V330" s="175"/>
      <c r="W330" s="175"/>
    </row>
    <row r="331" spans="2:23" s="13" customFormat="1">
      <c r="B331" s="44"/>
      <c r="C331" s="107"/>
      <c r="D331" s="42"/>
      <c r="E331" s="42"/>
      <c r="F331" s="42"/>
      <c r="G331" s="44"/>
      <c r="H331" s="44"/>
      <c r="I331" s="45"/>
      <c r="J331" s="45"/>
      <c r="K331" s="45"/>
      <c r="L331" s="45"/>
      <c r="M331" s="45"/>
      <c r="N331" s="45"/>
      <c r="O331" s="42"/>
      <c r="R331" s="175"/>
      <c r="S331" s="175"/>
      <c r="T331" s="175"/>
      <c r="U331" s="175"/>
      <c r="V331" s="175"/>
      <c r="W331" s="175"/>
    </row>
    <row r="332" spans="2:23" s="13" customFormat="1">
      <c r="B332" s="44"/>
      <c r="C332" s="107"/>
      <c r="D332" s="42"/>
      <c r="E332" s="42"/>
      <c r="F332" s="42"/>
      <c r="G332" s="44"/>
      <c r="H332" s="44"/>
      <c r="I332" s="45"/>
      <c r="J332" s="45"/>
      <c r="K332" s="45"/>
      <c r="L332" s="45"/>
      <c r="M332" s="45"/>
      <c r="N332" s="45"/>
      <c r="O332" s="42"/>
      <c r="R332" s="175"/>
      <c r="S332" s="175"/>
      <c r="T332" s="175"/>
      <c r="U332" s="175"/>
      <c r="V332" s="175"/>
      <c r="W332" s="175"/>
    </row>
    <row r="333" spans="2:23" s="13" customFormat="1">
      <c r="B333" s="44"/>
      <c r="C333" s="107"/>
      <c r="D333" s="42"/>
      <c r="E333" s="42"/>
      <c r="F333" s="42"/>
      <c r="G333" s="44"/>
      <c r="H333" s="44"/>
      <c r="I333" s="45"/>
      <c r="J333" s="45"/>
      <c r="K333" s="45"/>
      <c r="L333" s="45"/>
      <c r="M333" s="45"/>
      <c r="N333" s="45"/>
      <c r="O333" s="42"/>
      <c r="R333" s="175"/>
      <c r="S333" s="175"/>
      <c r="T333" s="175"/>
      <c r="U333" s="175"/>
      <c r="V333" s="175"/>
      <c r="W333" s="175"/>
    </row>
    <row r="334" spans="2:23" s="13" customFormat="1">
      <c r="B334" s="44"/>
      <c r="C334" s="107"/>
      <c r="D334" s="42"/>
      <c r="E334" s="42"/>
      <c r="F334" s="42"/>
      <c r="G334" s="44"/>
      <c r="H334" s="44"/>
      <c r="I334" s="45"/>
      <c r="J334" s="45"/>
      <c r="K334" s="45"/>
      <c r="L334" s="45"/>
      <c r="M334" s="45"/>
      <c r="N334" s="45"/>
      <c r="O334" s="42"/>
      <c r="R334" s="175"/>
      <c r="S334" s="175"/>
      <c r="T334" s="175"/>
      <c r="U334" s="175"/>
      <c r="V334" s="175"/>
      <c r="W334" s="175"/>
    </row>
    <row r="335" spans="2:23" s="13" customFormat="1">
      <c r="B335" s="44"/>
      <c r="C335" s="107"/>
      <c r="D335" s="42"/>
      <c r="E335" s="42"/>
      <c r="F335" s="42"/>
      <c r="G335" s="44"/>
      <c r="H335" s="44"/>
      <c r="I335" s="45"/>
      <c r="J335" s="45"/>
      <c r="K335" s="45"/>
      <c r="L335" s="45"/>
      <c r="M335" s="45"/>
      <c r="N335" s="45"/>
      <c r="O335" s="42"/>
      <c r="R335" s="175"/>
      <c r="S335" s="175"/>
      <c r="T335" s="175"/>
      <c r="U335" s="175"/>
      <c r="V335" s="175"/>
      <c r="W335" s="175"/>
    </row>
    <row r="336" spans="2:23" s="13" customFormat="1">
      <c r="B336" s="44"/>
      <c r="C336" s="107"/>
      <c r="D336" s="42"/>
      <c r="E336" s="42"/>
      <c r="F336" s="42"/>
      <c r="G336" s="44"/>
      <c r="H336" s="44"/>
      <c r="I336" s="45"/>
      <c r="J336" s="45"/>
      <c r="K336" s="45"/>
      <c r="L336" s="45"/>
      <c r="M336" s="45"/>
      <c r="N336" s="45"/>
      <c r="O336" s="42"/>
      <c r="R336" s="175"/>
      <c r="S336" s="175"/>
      <c r="T336" s="175"/>
      <c r="U336" s="175"/>
      <c r="V336" s="175"/>
      <c r="W336" s="175"/>
    </row>
    <row r="337" spans="2:23" s="13" customFormat="1">
      <c r="B337" s="44"/>
      <c r="C337" s="107"/>
      <c r="D337" s="42"/>
      <c r="E337" s="42"/>
      <c r="F337" s="42"/>
      <c r="G337" s="44"/>
      <c r="H337" s="44"/>
      <c r="I337" s="45"/>
      <c r="J337" s="45"/>
      <c r="K337" s="45"/>
      <c r="L337" s="45"/>
      <c r="M337" s="45"/>
      <c r="N337" s="45"/>
      <c r="O337" s="42"/>
      <c r="R337" s="175"/>
      <c r="S337" s="175"/>
      <c r="T337" s="175"/>
      <c r="U337" s="175"/>
      <c r="V337" s="175"/>
      <c r="W337" s="175"/>
    </row>
    <row r="338" spans="2:23" s="13" customFormat="1">
      <c r="B338" s="44"/>
      <c r="C338" s="107"/>
      <c r="D338" s="42"/>
      <c r="E338" s="42"/>
      <c r="F338" s="42"/>
      <c r="G338" s="44"/>
      <c r="H338" s="44"/>
      <c r="I338" s="45"/>
      <c r="J338" s="45"/>
      <c r="K338" s="45"/>
      <c r="L338" s="45"/>
      <c r="M338" s="45"/>
      <c r="N338" s="45"/>
      <c r="O338" s="42"/>
      <c r="R338" s="175"/>
      <c r="S338" s="175"/>
      <c r="T338" s="175"/>
      <c r="U338" s="175"/>
      <c r="V338" s="175"/>
      <c r="W338" s="175"/>
    </row>
    <row r="339" spans="2:23" s="13" customFormat="1">
      <c r="B339" s="44"/>
      <c r="C339" s="107"/>
      <c r="D339" s="42"/>
      <c r="E339" s="42"/>
      <c r="F339" s="42"/>
      <c r="G339" s="44"/>
      <c r="H339" s="44"/>
      <c r="I339" s="45"/>
      <c r="J339" s="45"/>
      <c r="K339" s="45"/>
      <c r="L339" s="45"/>
      <c r="M339" s="45"/>
      <c r="N339" s="45"/>
      <c r="O339" s="42"/>
      <c r="R339" s="175"/>
      <c r="S339" s="175"/>
      <c r="T339" s="175"/>
      <c r="U339" s="175"/>
      <c r="V339" s="175"/>
      <c r="W339" s="175"/>
    </row>
    <row r="340" spans="2:23" s="13" customFormat="1">
      <c r="B340" s="44"/>
      <c r="C340" s="107"/>
      <c r="D340" s="42"/>
      <c r="E340" s="42"/>
      <c r="F340" s="42"/>
      <c r="G340" s="44"/>
      <c r="H340" s="44"/>
      <c r="I340" s="45"/>
      <c r="J340" s="45"/>
      <c r="K340" s="45"/>
      <c r="L340" s="45"/>
      <c r="M340" s="45"/>
      <c r="N340" s="45"/>
      <c r="O340" s="42"/>
      <c r="R340" s="175"/>
      <c r="S340" s="175"/>
      <c r="T340" s="175"/>
      <c r="U340" s="175"/>
      <c r="V340" s="175"/>
      <c r="W340" s="175"/>
    </row>
    <row r="341" spans="2:23" s="13" customFormat="1">
      <c r="B341" s="44"/>
      <c r="C341" s="107"/>
      <c r="D341" s="42"/>
      <c r="E341" s="42"/>
      <c r="F341" s="42"/>
      <c r="G341" s="44"/>
      <c r="H341" s="44"/>
      <c r="I341" s="45"/>
      <c r="J341" s="45"/>
      <c r="K341" s="45"/>
      <c r="L341" s="45"/>
      <c r="M341" s="45"/>
      <c r="N341" s="45"/>
      <c r="O341" s="42"/>
      <c r="R341" s="175"/>
      <c r="S341" s="175"/>
      <c r="T341" s="175"/>
      <c r="U341" s="175"/>
      <c r="V341" s="175"/>
      <c r="W341" s="175"/>
    </row>
    <row r="342" spans="2:23" s="13" customFormat="1">
      <c r="B342" s="44"/>
      <c r="C342" s="107"/>
      <c r="D342" s="42"/>
      <c r="E342" s="42"/>
      <c r="F342" s="42"/>
      <c r="G342" s="44"/>
      <c r="H342" s="44"/>
      <c r="I342" s="45"/>
      <c r="J342" s="45"/>
      <c r="K342" s="45"/>
      <c r="L342" s="45"/>
      <c r="M342" s="45"/>
      <c r="N342" s="45"/>
      <c r="O342" s="42"/>
      <c r="R342" s="175"/>
      <c r="S342" s="175"/>
      <c r="T342" s="175"/>
      <c r="U342" s="175"/>
      <c r="V342" s="175"/>
      <c r="W342" s="175"/>
    </row>
    <row r="343" spans="2:23" s="13" customFormat="1">
      <c r="B343" s="44"/>
      <c r="C343" s="107"/>
      <c r="D343" s="42"/>
      <c r="E343" s="42"/>
      <c r="F343" s="42"/>
      <c r="G343" s="44"/>
      <c r="H343" s="44"/>
      <c r="I343" s="45"/>
      <c r="J343" s="45"/>
      <c r="K343" s="45"/>
      <c r="L343" s="45"/>
      <c r="M343" s="45"/>
      <c r="N343" s="45"/>
      <c r="O343" s="42"/>
      <c r="R343" s="175"/>
      <c r="S343" s="175"/>
      <c r="T343" s="175"/>
      <c r="U343" s="175"/>
      <c r="V343" s="175"/>
      <c r="W343" s="175"/>
    </row>
    <row r="344" spans="2:23" s="13" customFormat="1">
      <c r="B344" s="44"/>
      <c r="C344" s="107"/>
      <c r="D344" s="42"/>
      <c r="E344" s="42"/>
      <c r="F344" s="42"/>
      <c r="G344" s="44"/>
      <c r="H344" s="44"/>
      <c r="I344" s="45"/>
      <c r="J344" s="45"/>
      <c r="K344" s="45"/>
      <c r="L344" s="45"/>
      <c r="M344" s="45"/>
      <c r="N344" s="45"/>
      <c r="O344" s="42"/>
      <c r="R344" s="175"/>
      <c r="S344" s="175"/>
      <c r="T344" s="175"/>
      <c r="U344" s="175"/>
      <c r="V344" s="175"/>
      <c r="W344" s="175"/>
    </row>
    <row r="345" spans="2:23" s="13" customFormat="1">
      <c r="B345" s="44"/>
      <c r="C345" s="107"/>
      <c r="D345" s="42"/>
      <c r="E345" s="42"/>
      <c r="F345" s="42"/>
      <c r="G345" s="44"/>
      <c r="H345" s="44"/>
      <c r="I345" s="45"/>
      <c r="J345" s="45"/>
      <c r="K345" s="45"/>
      <c r="L345" s="45"/>
      <c r="M345" s="45"/>
      <c r="N345" s="45"/>
      <c r="O345" s="42"/>
      <c r="R345" s="175"/>
      <c r="S345" s="175"/>
      <c r="T345" s="175"/>
      <c r="U345" s="175"/>
      <c r="V345" s="175"/>
      <c r="W345" s="175"/>
    </row>
    <row r="346" spans="2:23" s="13" customFormat="1">
      <c r="B346" s="44"/>
      <c r="C346" s="107"/>
      <c r="D346" s="42"/>
      <c r="E346" s="42"/>
      <c r="F346" s="42"/>
      <c r="G346" s="44"/>
      <c r="H346" s="44"/>
      <c r="I346" s="45"/>
      <c r="J346" s="45"/>
      <c r="K346" s="45"/>
      <c r="L346" s="45"/>
      <c r="M346" s="45"/>
      <c r="N346" s="45"/>
      <c r="O346" s="42"/>
      <c r="R346" s="175"/>
      <c r="S346" s="175"/>
      <c r="T346" s="175"/>
      <c r="U346" s="175"/>
      <c r="V346" s="175"/>
      <c r="W346" s="175"/>
    </row>
    <row r="347" spans="2:23" s="13" customFormat="1">
      <c r="B347" s="44"/>
      <c r="C347" s="107"/>
      <c r="D347" s="42"/>
      <c r="E347" s="42"/>
      <c r="F347" s="42"/>
      <c r="G347" s="44"/>
      <c r="H347" s="44"/>
      <c r="I347" s="45"/>
      <c r="J347" s="45"/>
      <c r="K347" s="45"/>
      <c r="L347" s="45"/>
      <c r="M347" s="45"/>
      <c r="N347" s="45"/>
      <c r="O347" s="42"/>
      <c r="R347" s="175"/>
      <c r="S347" s="175"/>
      <c r="T347" s="175"/>
      <c r="U347" s="175"/>
      <c r="V347" s="175"/>
      <c r="W347" s="175"/>
    </row>
    <row r="348" spans="2:23" s="13" customFormat="1">
      <c r="B348" s="44"/>
      <c r="C348" s="107"/>
      <c r="D348" s="42"/>
      <c r="E348" s="42"/>
      <c r="F348" s="42"/>
      <c r="G348" s="44"/>
      <c r="H348" s="44"/>
      <c r="I348" s="45"/>
      <c r="J348" s="45"/>
      <c r="K348" s="45"/>
      <c r="L348" s="45"/>
      <c r="M348" s="45"/>
      <c r="N348" s="45"/>
      <c r="O348" s="42"/>
      <c r="R348" s="175"/>
      <c r="S348" s="175"/>
      <c r="T348" s="175"/>
      <c r="U348" s="175"/>
      <c r="V348" s="175"/>
      <c r="W348" s="175"/>
    </row>
    <row r="349" spans="2:23" s="13" customFormat="1">
      <c r="B349" s="44"/>
      <c r="C349" s="107"/>
      <c r="D349" s="42"/>
      <c r="E349" s="42"/>
      <c r="F349" s="42"/>
      <c r="G349" s="44"/>
      <c r="H349" s="44"/>
      <c r="I349" s="45"/>
      <c r="J349" s="45"/>
      <c r="K349" s="45"/>
      <c r="L349" s="45"/>
      <c r="M349" s="45"/>
      <c r="N349" s="45"/>
      <c r="O349" s="42"/>
      <c r="R349" s="175"/>
      <c r="S349" s="175"/>
      <c r="T349" s="175"/>
      <c r="U349" s="175"/>
      <c r="V349" s="175"/>
      <c r="W349" s="175"/>
    </row>
    <row r="350" spans="2:23" s="13" customFormat="1">
      <c r="B350" s="44"/>
      <c r="C350" s="107"/>
      <c r="D350" s="42"/>
      <c r="E350" s="42"/>
      <c r="F350" s="42"/>
      <c r="G350" s="44"/>
      <c r="H350" s="44"/>
      <c r="I350" s="45"/>
      <c r="J350" s="45"/>
      <c r="K350" s="45"/>
      <c r="L350" s="45"/>
      <c r="M350" s="45"/>
      <c r="N350" s="45"/>
      <c r="O350" s="42"/>
      <c r="R350" s="175"/>
      <c r="S350" s="175"/>
      <c r="T350" s="175"/>
      <c r="U350" s="175"/>
      <c r="V350" s="175"/>
      <c r="W350" s="175"/>
    </row>
    <row r="351" spans="2:23" s="13" customFormat="1">
      <c r="B351" s="44"/>
      <c r="C351" s="107"/>
      <c r="D351" s="42"/>
      <c r="E351" s="42"/>
      <c r="F351" s="42"/>
      <c r="G351" s="44"/>
      <c r="H351" s="44"/>
      <c r="I351" s="45"/>
      <c r="J351" s="45"/>
      <c r="K351" s="45"/>
      <c r="L351" s="45"/>
      <c r="M351" s="45"/>
      <c r="N351" s="45"/>
      <c r="O351" s="42"/>
      <c r="R351" s="175"/>
      <c r="S351" s="175"/>
      <c r="T351" s="175"/>
      <c r="U351" s="175"/>
      <c r="V351" s="175"/>
      <c r="W351" s="175"/>
    </row>
    <row r="352" spans="2:23" s="13" customFormat="1">
      <c r="B352" s="44"/>
      <c r="C352" s="107"/>
      <c r="D352" s="42"/>
      <c r="E352" s="42"/>
      <c r="F352" s="42"/>
      <c r="G352" s="44"/>
      <c r="H352" s="44"/>
      <c r="I352" s="45"/>
      <c r="J352" s="45"/>
      <c r="K352" s="45"/>
      <c r="L352" s="45"/>
      <c r="M352" s="45"/>
      <c r="N352" s="45"/>
      <c r="O352" s="42"/>
      <c r="R352" s="175"/>
      <c r="S352" s="175"/>
      <c r="T352" s="175"/>
      <c r="U352" s="175"/>
      <c r="V352" s="175"/>
      <c r="W352" s="175"/>
    </row>
    <row r="353" spans="2:23" s="13" customFormat="1">
      <c r="B353" s="44"/>
      <c r="C353" s="107"/>
      <c r="D353" s="42"/>
      <c r="E353" s="42"/>
      <c r="F353" s="42"/>
      <c r="G353" s="44"/>
      <c r="H353" s="44"/>
      <c r="I353" s="45"/>
      <c r="J353" s="45"/>
      <c r="K353" s="45"/>
      <c r="L353" s="45"/>
      <c r="M353" s="45"/>
      <c r="N353" s="45"/>
      <c r="O353" s="42"/>
      <c r="R353" s="175"/>
      <c r="S353" s="175"/>
      <c r="T353" s="175"/>
      <c r="U353" s="175"/>
      <c r="V353" s="175"/>
      <c r="W353" s="175"/>
    </row>
    <row r="354" spans="2:23" s="13" customFormat="1">
      <c r="B354" s="44"/>
      <c r="C354" s="107"/>
      <c r="D354" s="42"/>
      <c r="E354" s="42"/>
      <c r="F354" s="42"/>
      <c r="G354" s="44"/>
      <c r="H354" s="44"/>
      <c r="I354" s="45"/>
      <c r="J354" s="45"/>
      <c r="K354" s="45"/>
      <c r="L354" s="45"/>
      <c r="M354" s="45"/>
      <c r="N354" s="45"/>
      <c r="O354" s="42"/>
      <c r="R354" s="175"/>
      <c r="S354" s="175"/>
      <c r="T354" s="175"/>
      <c r="U354" s="175"/>
      <c r="V354" s="175"/>
      <c r="W354" s="175"/>
    </row>
    <row r="355" spans="2:23" s="13" customFormat="1">
      <c r="B355" s="44"/>
      <c r="C355" s="107"/>
      <c r="D355" s="42"/>
      <c r="E355" s="42"/>
      <c r="F355" s="42"/>
      <c r="G355" s="44"/>
      <c r="H355" s="44"/>
      <c r="I355" s="45"/>
      <c r="J355" s="45"/>
      <c r="K355" s="45"/>
      <c r="L355" s="45"/>
      <c r="M355" s="45"/>
      <c r="N355" s="45"/>
      <c r="O355" s="42"/>
      <c r="R355" s="175"/>
      <c r="S355" s="175"/>
      <c r="T355" s="175"/>
      <c r="U355" s="175"/>
      <c r="V355" s="175"/>
      <c r="W355" s="175"/>
    </row>
    <row r="356" spans="2:23" s="13" customFormat="1">
      <c r="B356" s="44"/>
      <c r="C356" s="107"/>
      <c r="D356" s="42"/>
      <c r="E356" s="42"/>
      <c r="F356" s="42"/>
      <c r="G356" s="44"/>
      <c r="H356" s="44"/>
      <c r="I356" s="45"/>
      <c r="J356" s="45"/>
      <c r="K356" s="45"/>
      <c r="L356" s="45"/>
      <c r="M356" s="45"/>
      <c r="N356" s="45"/>
      <c r="O356" s="42"/>
      <c r="R356" s="175"/>
      <c r="S356" s="175"/>
      <c r="T356" s="175"/>
      <c r="U356" s="175"/>
      <c r="V356" s="175"/>
      <c r="W356" s="175"/>
    </row>
    <row r="357" spans="2:23" s="13" customFormat="1">
      <c r="B357" s="44"/>
      <c r="C357" s="107"/>
      <c r="D357" s="42"/>
      <c r="E357" s="42"/>
      <c r="F357" s="42"/>
      <c r="G357" s="44"/>
      <c r="H357" s="44"/>
      <c r="I357" s="45"/>
      <c r="J357" s="45"/>
      <c r="K357" s="45"/>
      <c r="L357" s="45"/>
      <c r="M357" s="45"/>
      <c r="N357" s="45"/>
      <c r="O357" s="42"/>
      <c r="R357" s="175"/>
      <c r="S357" s="175"/>
      <c r="T357" s="175"/>
      <c r="U357" s="175"/>
      <c r="V357" s="175"/>
      <c r="W357" s="175"/>
    </row>
    <row r="358" spans="2:23" s="13" customFormat="1">
      <c r="B358" s="44"/>
      <c r="C358" s="107"/>
      <c r="G358" s="44"/>
      <c r="H358" s="44"/>
      <c r="I358" s="45"/>
      <c r="J358" s="45"/>
      <c r="K358" s="45"/>
      <c r="L358" s="45"/>
      <c r="M358" s="45"/>
      <c r="N358" s="45"/>
      <c r="O358" s="42"/>
      <c r="R358" s="175"/>
      <c r="S358" s="175"/>
      <c r="T358" s="175"/>
      <c r="U358" s="175"/>
      <c r="V358" s="175"/>
      <c r="W358" s="175"/>
    </row>
    <row r="359" spans="2:23" s="13" customFormat="1">
      <c r="B359" s="44"/>
      <c r="C359" s="107"/>
      <c r="G359" s="44"/>
      <c r="H359" s="44"/>
      <c r="I359" s="45"/>
      <c r="J359" s="45"/>
      <c r="K359" s="45"/>
      <c r="L359" s="45"/>
      <c r="M359" s="45"/>
      <c r="N359" s="45"/>
      <c r="O359" s="42"/>
      <c r="R359" s="175"/>
      <c r="S359" s="175"/>
      <c r="T359" s="175"/>
      <c r="U359" s="175"/>
      <c r="V359" s="175"/>
      <c r="W359" s="175"/>
    </row>
    <row r="360" spans="2:23" s="13" customFormat="1">
      <c r="B360" s="44"/>
      <c r="C360" s="107"/>
      <c r="G360" s="44"/>
      <c r="H360" s="44"/>
      <c r="I360" s="45"/>
      <c r="J360" s="45"/>
      <c r="K360" s="45"/>
      <c r="L360" s="45"/>
      <c r="M360" s="45"/>
      <c r="N360" s="45"/>
      <c r="O360" s="42"/>
      <c r="R360" s="175"/>
      <c r="S360" s="175"/>
      <c r="T360" s="175"/>
      <c r="U360" s="175"/>
      <c r="V360" s="175"/>
      <c r="W360" s="175"/>
    </row>
    <row r="361" spans="2:23" s="13" customFormat="1">
      <c r="B361" s="44"/>
      <c r="C361" s="107"/>
      <c r="G361" s="44"/>
      <c r="H361" s="44"/>
      <c r="I361" s="45"/>
      <c r="J361" s="45"/>
      <c r="K361" s="45"/>
      <c r="L361" s="45"/>
      <c r="M361" s="45"/>
      <c r="N361" s="45"/>
      <c r="O361" s="42"/>
      <c r="R361" s="175"/>
      <c r="S361" s="175"/>
      <c r="T361" s="175"/>
      <c r="U361" s="175"/>
      <c r="V361" s="175"/>
      <c r="W361" s="175"/>
    </row>
    <row r="362" spans="2:23" s="13" customFormat="1">
      <c r="B362" s="44"/>
      <c r="C362" s="107"/>
      <c r="G362" s="44"/>
      <c r="H362" s="44"/>
      <c r="I362" s="45"/>
      <c r="J362" s="45"/>
      <c r="K362" s="45"/>
      <c r="L362" s="45"/>
      <c r="M362" s="45"/>
      <c r="N362" s="45"/>
      <c r="O362" s="42"/>
      <c r="R362" s="175"/>
      <c r="S362" s="175"/>
      <c r="T362" s="175"/>
      <c r="U362" s="175"/>
      <c r="V362" s="175"/>
      <c r="W362" s="175"/>
    </row>
    <row r="363" spans="2:23" s="13" customFormat="1">
      <c r="B363" s="44"/>
      <c r="C363" s="107"/>
      <c r="G363" s="44"/>
      <c r="H363" s="44"/>
      <c r="I363" s="45"/>
      <c r="J363" s="45"/>
      <c r="K363" s="45"/>
      <c r="L363" s="45"/>
      <c r="M363" s="45"/>
      <c r="N363" s="45"/>
      <c r="O363" s="42"/>
      <c r="R363" s="175"/>
      <c r="S363" s="175"/>
      <c r="T363" s="175"/>
      <c r="U363" s="175"/>
      <c r="V363" s="175"/>
      <c r="W363" s="175"/>
    </row>
    <row r="364" spans="2:23" s="13" customFormat="1">
      <c r="B364" s="44"/>
      <c r="C364" s="107"/>
      <c r="G364" s="44"/>
      <c r="H364" s="44"/>
      <c r="I364" s="45"/>
      <c r="J364" s="45"/>
      <c r="K364" s="45"/>
      <c r="L364" s="45"/>
      <c r="M364" s="45"/>
      <c r="N364" s="45"/>
      <c r="O364" s="42"/>
      <c r="R364" s="175"/>
      <c r="S364" s="175"/>
      <c r="T364" s="175"/>
      <c r="U364" s="175"/>
      <c r="V364" s="175"/>
      <c r="W364" s="175"/>
    </row>
    <row r="365" spans="2:23" s="13" customFormat="1">
      <c r="B365" s="175"/>
      <c r="C365" s="171"/>
      <c r="G365" s="175"/>
      <c r="H365" s="175"/>
      <c r="I365" s="68"/>
      <c r="J365" s="68"/>
      <c r="K365" s="68"/>
      <c r="L365" s="68"/>
      <c r="M365" s="68"/>
      <c r="N365" s="68"/>
      <c r="R365" s="175"/>
      <c r="S365" s="175"/>
      <c r="T365" s="175"/>
      <c r="U365" s="175"/>
      <c r="V365" s="175"/>
      <c r="W365" s="175"/>
    </row>
    <row r="366" spans="2:23" s="13" customFormat="1">
      <c r="B366" s="175"/>
      <c r="C366" s="171"/>
      <c r="G366" s="175"/>
      <c r="H366" s="175"/>
      <c r="I366" s="68"/>
      <c r="J366" s="68"/>
      <c r="K366" s="68"/>
      <c r="L366" s="68"/>
      <c r="M366" s="68"/>
      <c r="N366" s="68"/>
      <c r="R366" s="175"/>
      <c r="S366" s="175"/>
      <c r="T366" s="175"/>
      <c r="U366" s="175"/>
      <c r="V366" s="175"/>
      <c r="W366" s="175"/>
    </row>
  </sheetData>
  <pageMargins left="0.7" right="0.7" top="0.75" bottom="0.75" header="0.3" footer="0.3"/>
  <pageSetup orientation="portrait"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K759"/>
  <sheetViews>
    <sheetView tabSelected="1" zoomScale="70" zoomScaleNormal="70" workbookViewId="0">
      <pane ySplit="893" activePane="bottomLeft"/>
      <selection activeCell="Y1" sqref="Y1:AA1048576"/>
      <selection pane="bottomLeft" activeCell="J23" sqref="J23"/>
    </sheetView>
  </sheetViews>
  <sheetFormatPr defaultColWidth="9" defaultRowHeight="14"/>
  <cols>
    <col min="1" max="1" width="17.17578125" style="369" bestFit="1" customWidth="1"/>
    <col min="2" max="2" width="11.64453125" style="369" customWidth="1"/>
    <col min="3" max="3" width="13.46875" style="354" customWidth="1"/>
    <col min="4" max="4" width="8.703125" style="369" customWidth="1"/>
    <col min="5" max="5" width="11" style="369" customWidth="1"/>
    <col min="6" max="6" width="9.9375" style="369" customWidth="1"/>
    <col min="7" max="7" width="9.9375" style="457" customWidth="1"/>
    <col min="8" max="8" width="9.9375" style="769" customWidth="1"/>
    <col min="9" max="9" width="10.5859375" style="457" customWidth="1"/>
    <col min="10" max="10" width="10" style="457" customWidth="1"/>
    <col min="11" max="11" width="39.3515625" style="354" hidden="1" customWidth="1"/>
    <col min="12" max="13" width="9.703125" style="354" customWidth="1"/>
    <col min="14" max="14" width="58.46875" style="354" customWidth="1"/>
    <col min="15" max="15" width="12.87890625" style="373" customWidth="1"/>
    <col min="16" max="16" width="12.87890625" style="373" bestFit="1" customWidth="1"/>
    <col min="17" max="17" width="12.3515625" style="373" customWidth="1"/>
    <col min="18" max="18" width="12.87890625" style="373" customWidth="1"/>
    <col min="19" max="19" width="11.234375" style="373" customWidth="1"/>
    <col min="20" max="20" width="13.3515625" style="356" bestFit="1" customWidth="1"/>
    <col min="21" max="21" width="12" style="356" customWidth="1"/>
    <col min="22" max="22" width="15.64453125" style="356" customWidth="1"/>
    <col min="23" max="23" width="12.234375" style="356" bestFit="1" customWidth="1"/>
    <col min="24" max="24" width="10.9375" style="369" customWidth="1"/>
    <col min="25" max="25" width="11.1171875" style="354" hidden="1" customWidth="1"/>
    <col min="26" max="26" width="14.41015625" style="369" hidden="1" customWidth="1"/>
    <col min="27" max="27" width="30.52734375" style="354" hidden="1" customWidth="1"/>
    <col min="28" max="28" width="21.9375" style="369" bestFit="1" customWidth="1"/>
    <col min="29" max="30" width="10.5859375" style="369" customWidth="1"/>
    <col min="31" max="31" width="11" style="369" customWidth="1"/>
    <col min="32" max="32" width="13.234375" style="369" customWidth="1"/>
    <col min="33" max="33" width="13.703125" style="354" customWidth="1"/>
    <col min="34" max="34" width="1.703125" style="354" customWidth="1"/>
    <col min="35" max="35" width="3.52734375" style="354" customWidth="1"/>
    <col min="36" max="36" width="3.52734375" style="380" customWidth="1"/>
    <col min="37" max="37" width="18.5859375" style="354" customWidth="1"/>
    <col min="38" max="38" width="12.8203125" style="354" customWidth="1"/>
    <col min="39" max="39" width="18.5859375" style="354" customWidth="1"/>
    <col min="40" max="40" width="18.703125" style="354" customWidth="1"/>
    <col min="41" max="41" width="9.8203125" style="354" customWidth="1"/>
    <col min="42" max="42" width="11.234375" style="354" customWidth="1"/>
    <col min="43" max="43" width="12.5859375" style="354" customWidth="1"/>
    <col min="44" max="44" width="12.8203125" style="354" customWidth="1"/>
    <col min="45" max="45" width="39.76171875" style="354" customWidth="1"/>
    <col min="46" max="46" width="13.3515625" style="354" customWidth="1"/>
    <col min="47" max="47" width="9.8203125" style="354" customWidth="1"/>
    <col min="48" max="50" width="12.3515625" style="354" customWidth="1"/>
    <col min="51" max="51" width="19.8203125" style="354" customWidth="1"/>
    <col min="52" max="52" width="19.234375" style="354" bestFit="1" customWidth="1"/>
    <col min="53" max="53" width="19.8203125" style="354" bestFit="1" customWidth="1"/>
    <col min="54" max="54" width="13.46875" style="354" bestFit="1" customWidth="1"/>
    <col min="55" max="55" width="19.8203125" style="354" bestFit="1" customWidth="1"/>
    <col min="56" max="56" width="13.46875" style="354" bestFit="1" customWidth="1"/>
    <col min="57" max="57" width="19.8203125" style="354" bestFit="1" customWidth="1"/>
    <col min="58" max="58" width="13.46875" style="354" bestFit="1" customWidth="1"/>
    <col min="59" max="59" width="19.8203125" style="354" bestFit="1" customWidth="1"/>
    <col min="60" max="60" width="13.46875" style="354" bestFit="1" customWidth="1"/>
    <col min="61" max="61" width="19.8203125" style="354" bestFit="1" customWidth="1"/>
    <col min="62" max="62" width="18" style="354" bestFit="1" customWidth="1"/>
    <col min="63" max="63" width="24.3515625" style="354" bestFit="1" customWidth="1"/>
    <col min="64" max="16384" width="9" style="354"/>
  </cols>
  <sheetData>
    <row r="1" spans="1:50" s="574" customFormat="1" ht="49.95" customHeight="1">
      <c r="A1" s="571" t="s">
        <v>713</v>
      </c>
      <c r="B1" s="571" t="s">
        <v>107</v>
      </c>
      <c r="C1" s="628" t="s">
        <v>108</v>
      </c>
      <c r="D1" s="571" t="s">
        <v>278</v>
      </c>
      <c r="E1" s="571" t="s">
        <v>528</v>
      </c>
      <c r="F1" s="571" t="s">
        <v>721</v>
      </c>
      <c r="G1" s="609" t="s">
        <v>874</v>
      </c>
      <c r="H1" s="609" t="s">
        <v>930</v>
      </c>
      <c r="I1" s="571" t="s">
        <v>245</v>
      </c>
      <c r="J1" s="571" t="s">
        <v>193</v>
      </c>
      <c r="K1" s="571" t="s">
        <v>915</v>
      </c>
      <c r="L1" s="571" t="s">
        <v>112</v>
      </c>
      <c r="M1" s="571" t="s">
        <v>87</v>
      </c>
      <c r="N1" s="571" t="s">
        <v>109</v>
      </c>
      <c r="O1" s="571" t="s">
        <v>194</v>
      </c>
      <c r="P1" s="572" t="s">
        <v>6</v>
      </c>
      <c r="Q1" s="572" t="s">
        <v>624</v>
      </c>
      <c r="R1" s="572" t="s">
        <v>37</v>
      </c>
      <c r="S1" s="573" t="s">
        <v>314</v>
      </c>
      <c r="T1" s="572" t="s">
        <v>18</v>
      </c>
      <c r="U1" s="572" t="s">
        <v>379</v>
      </c>
      <c r="V1" s="572" t="s">
        <v>38</v>
      </c>
      <c r="W1" s="572" t="s">
        <v>62</v>
      </c>
      <c r="X1" s="572" t="s">
        <v>89</v>
      </c>
      <c r="Y1" s="571" t="s">
        <v>104</v>
      </c>
      <c r="Z1" s="571" t="s">
        <v>110</v>
      </c>
      <c r="AA1" s="571" t="s">
        <v>79</v>
      </c>
      <c r="AB1" s="571" t="s">
        <v>196</v>
      </c>
      <c r="AC1" s="571" t="s">
        <v>499</v>
      </c>
      <c r="AD1" s="571" t="s">
        <v>498</v>
      </c>
      <c r="AE1" s="571" t="s">
        <v>501</v>
      </c>
      <c r="AF1" s="571" t="s">
        <v>497</v>
      </c>
      <c r="AG1" s="571" t="s">
        <v>500</v>
      </c>
      <c r="AK1" s="575"/>
    </row>
    <row r="2" spans="1:50" ht="14.25" customHeight="1">
      <c r="A2" s="545" t="s">
        <v>715</v>
      </c>
      <c r="B2" s="545" t="s">
        <v>724</v>
      </c>
      <c r="C2" s="386" t="s">
        <v>813</v>
      </c>
      <c r="D2" s="384">
        <v>42886</v>
      </c>
      <c r="E2" s="384">
        <v>42873</v>
      </c>
      <c r="F2" s="384">
        <v>42873</v>
      </c>
      <c r="G2" s="727"/>
      <c r="H2" s="728"/>
      <c r="I2" s="577">
        <v>42916</v>
      </c>
      <c r="J2" s="576">
        <v>42971</v>
      </c>
      <c r="K2" s="386"/>
      <c r="L2" s="392" t="str">
        <f t="shared" ref="L2:L33" si="0">TEXT(F2,"mmm-yy")</f>
        <v>May-17</v>
      </c>
      <c r="M2" s="392" t="str">
        <f t="shared" ref="M2:M33" si="1">TEXT(J2,"mmm-yy")</f>
        <v>Aug-17</v>
      </c>
      <c r="N2" s="383" t="s">
        <v>1074</v>
      </c>
      <c r="O2" s="445" t="s">
        <v>619</v>
      </c>
      <c r="P2" s="387">
        <v>6033.93</v>
      </c>
      <c r="Q2" s="521"/>
      <c r="R2" s="387">
        <f t="shared" ref="R2:R46" si="2">SUM(P2:Q2)</f>
        <v>6033.93</v>
      </c>
      <c r="S2" s="494">
        <f t="shared" ref="S2:S33" si="3">R2*1.1</f>
        <v>6637.3230000000012</v>
      </c>
      <c r="T2" s="388"/>
      <c r="U2" s="388"/>
      <c r="V2" s="389">
        <f t="shared" ref="V2:V33" si="4">SUM(T2:U2)</f>
        <v>0</v>
      </c>
      <c r="W2" s="388">
        <f t="shared" ref="W2:W33" si="5">R2-V2</f>
        <v>6033.93</v>
      </c>
      <c r="X2" s="390">
        <f t="shared" ref="X2:X33" si="6">W2/R2</f>
        <v>1</v>
      </c>
      <c r="Y2" s="391" t="s">
        <v>199</v>
      </c>
      <c r="Z2" s="392">
        <f t="shared" ref="Z2:Z25" si="7">F2+14</f>
        <v>42887</v>
      </c>
      <c r="AA2" s="383" t="s">
        <v>200</v>
      </c>
      <c r="AB2" s="393" t="s">
        <v>220</v>
      </c>
      <c r="AC2" s="392">
        <v>42691</v>
      </c>
      <c r="AD2" s="384">
        <v>42699</v>
      </c>
      <c r="AE2" s="394">
        <f>AD2-AC2</f>
        <v>8</v>
      </c>
      <c r="AF2" s="384">
        <v>42720</v>
      </c>
      <c r="AG2" s="395">
        <f>AF2-AD2</f>
        <v>21</v>
      </c>
      <c r="AJ2" s="217"/>
      <c r="AK2" s="704"/>
      <c r="AL2" s="704"/>
      <c r="AM2" s="704"/>
      <c r="AN2" s="704"/>
      <c r="AO2" s="704"/>
      <c r="AP2" s="704"/>
      <c r="AQ2" s="704"/>
      <c r="AR2" s="704"/>
      <c r="AS2" s="704"/>
      <c r="AT2" s="704"/>
    </row>
    <row r="3" spans="1:50" ht="14.25" customHeight="1">
      <c r="A3" s="545" t="s">
        <v>715</v>
      </c>
      <c r="B3" s="545" t="s">
        <v>190</v>
      </c>
      <c r="C3" s="397" t="s">
        <v>873</v>
      </c>
      <c r="D3" s="385">
        <v>42887</v>
      </c>
      <c r="E3" s="384">
        <v>42899</v>
      </c>
      <c r="F3" s="536">
        <v>42900</v>
      </c>
      <c r="G3" s="577">
        <v>42912</v>
      </c>
      <c r="H3" s="668">
        <v>42941</v>
      </c>
      <c r="I3" s="576">
        <v>42930</v>
      </c>
      <c r="J3" s="576">
        <v>42962</v>
      </c>
      <c r="K3" s="397" t="s">
        <v>1025</v>
      </c>
      <c r="L3" s="392" t="str">
        <f t="shared" si="0"/>
        <v>Jun-17</v>
      </c>
      <c r="M3" s="392" t="str">
        <f t="shared" si="1"/>
        <v>Aug-17</v>
      </c>
      <c r="N3" s="383" t="s">
        <v>2485</v>
      </c>
      <c r="O3" s="445" t="s">
        <v>675</v>
      </c>
      <c r="P3" s="387">
        <v>2081.7600000000002</v>
      </c>
      <c r="Q3" s="418">
        <f>3904.46+3091.01</f>
        <v>6995.47</v>
      </c>
      <c r="R3" s="387">
        <f t="shared" si="2"/>
        <v>9077.23</v>
      </c>
      <c r="S3" s="494">
        <f t="shared" si="3"/>
        <v>9984.9529999999995</v>
      </c>
      <c r="T3" s="388">
        <v>1574.16</v>
      </c>
      <c r="U3" s="388">
        <v>3292.54</v>
      </c>
      <c r="V3" s="389">
        <f t="shared" si="4"/>
        <v>4866.7</v>
      </c>
      <c r="W3" s="388">
        <f t="shared" si="5"/>
        <v>4210.53</v>
      </c>
      <c r="X3" s="390">
        <f t="shared" si="6"/>
        <v>0.46385626452122508</v>
      </c>
      <c r="Y3" s="391" t="s">
        <v>199</v>
      </c>
      <c r="Z3" s="392">
        <f t="shared" si="7"/>
        <v>42914</v>
      </c>
      <c r="AA3" s="383" t="s">
        <v>200</v>
      </c>
      <c r="AB3" s="393" t="s">
        <v>367</v>
      </c>
      <c r="AC3" s="392">
        <v>42758</v>
      </c>
      <c r="AD3" s="384">
        <v>42772</v>
      </c>
      <c r="AE3" s="394">
        <f>AD3-AC3</f>
        <v>14</v>
      </c>
      <c r="AF3" s="384">
        <v>42787</v>
      </c>
      <c r="AG3" s="395">
        <f>AF3-AD3</f>
        <v>15</v>
      </c>
      <c r="AJ3" s="704"/>
      <c r="AK3" s="704"/>
      <c r="AL3" s="704"/>
      <c r="AM3"/>
      <c r="AN3"/>
      <c r="AO3"/>
      <c r="AP3"/>
      <c r="AQ3"/>
      <c r="AR3"/>
      <c r="AS3"/>
      <c r="AT3"/>
      <c r="AU3"/>
      <c r="AV3"/>
      <c r="AW3"/>
      <c r="AX3"/>
    </row>
    <row r="4" spans="1:50" s="218" customFormat="1" ht="14.35" customHeight="1">
      <c r="A4" s="545" t="s">
        <v>716</v>
      </c>
      <c r="B4" s="545" t="s">
        <v>190</v>
      </c>
      <c r="C4" s="405" t="s">
        <v>778</v>
      </c>
      <c r="D4" s="411">
        <v>42794</v>
      </c>
      <c r="E4" s="411">
        <v>42780</v>
      </c>
      <c r="F4" s="411">
        <v>42857</v>
      </c>
      <c r="G4" s="729">
        <v>42857</v>
      </c>
      <c r="H4" s="730">
        <v>42864</v>
      </c>
      <c r="I4" s="729">
        <f>F4+14</f>
        <v>42871</v>
      </c>
      <c r="J4" s="576">
        <v>42880</v>
      </c>
      <c r="K4" s="601"/>
      <c r="L4" s="392" t="str">
        <f t="shared" si="0"/>
        <v>May-17</v>
      </c>
      <c r="M4" s="392" t="str">
        <f t="shared" si="1"/>
        <v>May-17</v>
      </c>
      <c r="N4" s="405" t="s">
        <v>768</v>
      </c>
      <c r="O4" s="397" t="s">
        <v>488</v>
      </c>
      <c r="P4" s="418"/>
      <c r="Q4" s="418">
        <v>766.97</v>
      </c>
      <c r="R4" s="387">
        <f t="shared" si="2"/>
        <v>766.97</v>
      </c>
      <c r="S4" s="494">
        <f t="shared" si="3"/>
        <v>843.66700000000014</v>
      </c>
      <c r="T4" s="544"/>
      <c r="U4" s="539"/>
      <c r="V4" s="389">
        <f t="shared" si="4"/>
        <v>0</v>
      </c>
      <c r="W4" s="388">
        <f t="shared" si="5"/>
        <v>766.97</v>
      </c>
      <c r="X4" s="390">
        <f t="shared" si="6"/>
        <v>1</v>
      </c>
      <c r="Y4" s="391" t="s">
        <v>199</v>
      </c>
      <c r="Z4" s="392">
        <f t="shared" si="7"/>
        <v>42871</v>
      </c>
      <c r="AA4" s="383" t="s">
        <v>200</v>
      </c>
      <c r="AB4" s="548" t="s">
        <v>483</v>
      </c>
      <c r="AC4" s="531">
        <v>42615</v>
      </c>
      <c r="AD4" s="531">
        <v>42635</v>
      </c>
      <c r="AE4" s="394">
        <f>AD4-AC4</f>
        <v>20</v>
      </c>
      <c r="AF4" s="531">
        <v>42662</v>
      </c>
      <c r="AG4" s="395">
        <f>AF4-AD4</f>
        <v>27</v>
      </c>
      <c r="AJ4" s="549"/>
      <c r="AK4" s="704"/>
      <c r="AL4" s="704"/>
      <c r="AM4" s="704"/>
      <c r="AN4" s="704"/>
      <c r="AO4" s="704"/>
      <c r="AP4" s="704"/>
      <c r="AQ4" s="704"/>
      <c r="AR4" s="704"/>
      <c r="AS4" s="704"/>
      <c r="AT4" s="704"/>
      <c r="AU4" s="704"/>
      <c r="AV4" s="704"/>
      <c r="AW4" s="704"/>
      <c r="AX4"/>
    </row>
    <row r="5" spans="1:50" s="218" customFormat="1" ht="14.35" customHeight="1">
      <c r="A5" s="586" t="s">
        <v>716</v>
      </c>
      <c r="B5" s="586" t="s">
        <v>722</v>
      </c>
      <c r="C5" s="541" t="s">
        <v>2384</v>
      </c>
      <c r="D5" s="541">
        <v>43174</v>
      </c>
      <c r="E5" s="536">
        <v>43138</v>
      </c>
      <c r="F5" s="536">
        <v>43138</v>
      </c>
      <c r="G5" s="731">
        <v>42773</v>
      </c>
      <c r="H5" s="732">
        <v>43151</v>
      </c>
      <c r="I5" s="731">
        <v>43151</v>
      </c>
      <c r="J5" s="577">
        <v>43174</v>
      </c>
      <c r="K5" s="543"/>
      <c r="L5" s="392" t="str">
        <f t="shared" si="0"/>
        <v>Feb-18</v>
      </c>
      <c r="M5" s="392" t="str">
        <f t="shared" si="1"/>
        <v>Mar-18</v>
      </c>
      <c r="N5" s="445" t="s">
        <v>1186</v>
      </c>
      <c r="O5" s="397" t="s">
        <v>208</v>
      </c>
      <c r="P5" s="418">
        <v>5867.23</v>
      </c>
      <c r="Q5" s="418">
        <f>14725.98+2870.56+10836.57</f>
        <v>28433.11</v>
      </c>
      <c r="R5" s="387">
        <f t="shared" si="2"/>
        <v>34300.339999999997</v>
      </c>
      <c r="S5" s="494">
        <f t="shared" si="3"/>
        <v>37730.373999999996</v>
      </c>
      <c r="T5" s="544">
        <v>254.54545454545456</v>
      </c>
      <c r="U5" s="544"/>
      <c r="V5" s="389">
        <f t="shared" si="4"/>
        <v>254.54545454545456</v>
      </c>
      <c r="W5" s="388">
        <f t="shared" si="5"/>
        <v>34045.794545454541</v>
      </c>
      <c r="X5" s="390">
        <f t="shared" si="6"/>
        <v>0.99257892328340025</v>
      </c>
      <c r="Y5" s="391" t="s">
        <v>199</v>
      </c>
      <c r="Z5" s="392">
        <f t="shared" si="7"/>
        <v>43152</v>
      </c>
      <c r="AA5" s="383" t="s">
        <v>200</v>
      </c>
      <c r="AB5" s="442" t="s">
        <v>581</v>
      </c>
      <c r="AC5" s="531"/>
      <c r="AD5" s="531"/>
      <c r="AE5" s="550"/>
      <c r="AF5" s="531"/>
      <c r="AG5" s="546"/>
      <c r="AJ5" s="549"/>
      <c r="AK5" s="6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/>
    </row>
    <row r="6" spans="1:50" s="218" customFormat="1" ht="14.35" customHeight="1">
      <c r="A6" s="545" t="s">
        <v>716</v>
      </c>
      <c r="B6" s="545" t="s">
        <v>190</v>
      </c>
      <c r="C6" s="386" t="s">
        <v>1656</v>
      </c>
      <c r="D6" s="392">
        <v>43068</v>
      </c>
      <c r="E6" s="392">
        <v>42997</v>
      </c>
      <c r="F6" s="536">
        <v>42997</v>
      </c>
      <c r="G6" s="733"/>
      <c r="H6" s="734"/>
      <c r="I6" s="662">
        <v>43059</v>
      </c>
      <c r="J6" s="667">
        <v>43074</v>
      </c>
      <c r="K6" s="543" t="s">
        <v>1011</v>
      </c>
      <c r="L6" s="392" t="str">
        <f t="shared" si="0"/>
        <v>Sep-17</v>
      </c>
      <c r="M6" s="392" t="str">
        <f t="shared" si="1"/>
        <v>Dec-17</v>
      </c>
      <c r="N6" s="397" t="s">
        <v>763</v>
      </c>
      <c r="O6" s="397" t="s">
        <v>491</v>
      </c>
      <c r="P6" s="418">
        <v>1505.23</v>
      </c>
      <c r="Q6" s="521"/>
      <c r="R6" s="387">
        <f t="shared" si="2"/>
        <v>1505.23</v>
      </c>
      <c r="S6" s="494">
        <f t="shared" si="3"/>
        <v>1655.7530000000002</v>
      </c>
      <c r="T6" s="544"/>
      <c r="U6" s="544"/>
      <c r="V6" s="389">
        <f t="shared" si="4"/>
        <v>0</v>
      </c>
      <c r="W6" s="388">
        <f t="shared" si="5"/>
        <v>1505.23</v>
      </c>
      <c r="X6" s="390">
        <f t="shared" si="6"/>
        <v>1</v>
      </c>
      <c r="Y6" s="391" t="s">
        <v>199</v>
      </c>
      <c r="Z6" s="392">
        <f t="shared" si="7"/>
        <v>43011</v>
      </c>
      <c r="AA6" s="383" t="s">
        <v>200</v>
      </c>
      <c r="AB6" s="442" t="s">
        <v>581</v>
      </c>
      <c r="AC6" s="531"/>
      <c r="AD6" s="531"/>
      <c r="AE6" s="550"/>
      <c r="AF6" s="531"/>
      <c r="AG6" s="546"/>
      <c r="AK6" s="6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/>
    </row>
    <row r="7" spans="1:50" s="218" customFormat="1" ht="14.35" customHeight="1">
      <c r="A7" s="545" t="s">
        <v>716</v>
      </c>
      <c r="B7" s="545" t="s">
        <v>722</v>
      </c>
      <c r="C7" s="386" t="s">
        <v>1609</v>
      </c>
      <c r="D7" s="392">
        <v>43055</v>
      </c>
      <c r="E7" s="392">
        <v>42957</v>
      </c>
      <c r="F7" s="536">
        <v>42957</v>
      </c>
      <c r="G7" s="733"/>
      <c r="H7" s="734"/>
      <c r="I7" s="576">
        <v>42978</v>
      </c>
      <c r="J7" s="576">
        <v>43060</v>
      </c>
      <c r="K7" s="397"/>
      <c r="L7" s="392" t="str">
        <f t="shared" si="0"/>
        <v>Aug-17</v>
      </c>
      <c r="M7" s="392" t="str">
        <f t="shared" si="1"/>
        <v>Nov-17</v>
      </c>
      <c r="N7" s="397" t="s">
        <v>1327</v>
      </c>
      <c r="O7" s="397" t="s">
        <v>208</v>
      </c>
      <c r="P7" s="418">
        <v>8027.19</v>
      </c>
      <c r="Q7" s="521"/>
      <c r="R7" s="387">
        <f t="shared" si="2"/>
        <v>8027.19</v>
      </c>
      <c r="S7" s="494">
        <f t="shared" si="3"/>
        <v>8829.9089999999997</v>
      </c>
      <c r="T7" s="544"/>
      <c r="U7" s="544"/>
      <c r="V7" s="389">
        <f t="shared" si="4"/>
        <v>0</v>
      </c>
      <c r="W7" s="388">
        <f t="shared" si="5"/>
        <v>8027.19</v>
      </c>
      <c r="X7" s="390">
        <f t="shared" si="6"/>
        <v>1</v>
      </c>
      <c r="Y7" s="608" t="s">
        <v>199</v>
      </c>
      <c r="Z7" s="392">
        <f t="shared" si="7"/>
        <v>42971</v>
      </c>
      <c r="AA7" s="383" t="s">
        <v>200</v>
      </c>
      <c r="AB7" s="442" t="s">
        <v>581</v>
      </c>
      <c r="AC7" s="392"/>
      <c r="AD7" s="536"/>
      <c r="AE7" s="545"/>
      <c r="AF7" s="392"/>
      <c r="AG7" s="546"/>
      <c r="AK7" s="6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/>
    </row>
    <row r="8" spans="1:50" s="218" customFormat="1" ht="14.35" customHeight="1">
      <c r="A8" s="545" t="s">
        <v>715</v>
      </c>
      <c r="B8" s="545" t="s">
        <v>190</v>
      </c>
      <c r="C8" s="541" t="s">
        <v>872</v>
      </c>
      <c r="D8" s="392">
        <v>42912</v>
      </c>
      <c r="E8" s="392">
        <v>42913</v>
      </c>
      <c r="F8" s="392">
        <v>42913</v>
      </c>
      <c r="G8" s="576">
        <v>42913</v>
      </c>
      <c r="H8" s="669">
        <v>43000</v>
      </c>
      <c r="I8" s="577">
        <v>42955</v>
      </c>
      <c r="J8" s="576">
        <v>43011</v>
      </c>
      <c r="K8" s="397" t="s">
        <v>869</v>
      </c>
      <c r="L8" s="392" t="str">
        <f t="shared" si="0"/>
        <v>Jun-17</v>
      </c>
      <c r="M8" s="392" t="str">
        <f t="shared" si="1"/>
        <v>Oct-17</v>
      </c>
      <c r="N8" s="397" t="s">
        <v>1064</v>
      </c>
      <c r="O8" s="445" t="s">
        <v>354</v>
      </c>
      <c r="P8" s="551">
        <v>10952.8</v>
      </c>
      <c r="Q8" s="551">
        <v>2567.12</v>
      </c>
      <c r="R8" s="423">
        <f t="shared" si="2"/>
        <v>13519.919999999998</v>
      </c>
      <c r="S8" s="494">
        <f t="shared" si="3"/>
        <v>14871.911999999998</v>
      </c>
      <c r="T8" s="389">
        <v>1702.74</v>
      </c>
      <c r="U8" s="544"/>
      <c r="V8" s="389">
        <f t="shared" si="4"/>
        <v>1702.74</v>
      </c>
      <c r="W8" s="388">
        <f t="shared" si="5"/>
        <v>11817.179999999998</v>
      </c>
      <c r="X8" s="390">
        <f t="shared" si="6"/>
        <v>0.87405694708252712</v>
      </c>
      <c r="Y8" s="391" t="s">
        <v>199</v>
      </c>
      <c r="Z8" s="392">
        <f t="shared" si="7"/>
        <v>42927</v>
      </c>
      <c r="AA8" s="383" t="s">
        <v>200</v>
      </c>
      <c r="AB8" s="442" t="s">
        <v>693</v>
      </c>
      <c r="AC8" s="392">
        <v>42784</v>
      </c>
      <c r="AD8" s="392">
        <v>42808</v>
      </c>
      <c r="AE8" s="394">
        <f t="shared" ref="AE8:AE17" si="8">AD8-AC8</f>
        <v>24</v>
      </c>
      <c r="AF8" s="384">
        <v>42809</v>
      </c>
      <c r="AG8" s="395">
        <f t="shared" ref="AG8:AG17" si="9">AF8-AD8</f>
        <v>1</v>
      </c>
      <c r="AJ8" s="553"/>
      <c r="AK8" s="6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/>
    </row>
    <row r="9" spans="1:50" s="218" customFormat="1" ht="14.35" customHeight="1">
      <c r="A9" s="618" t="s">
        <v>715</v>
      </c>
      <c r="B9" s="545" t="s">
        <v>179</v>
      </c>
      <c r="C9" s="386" t="s">
        <v>1233</v>
      </c>
      <c r="D9" s="392">
        <v>43018</v>
      </c>
      <c r="E9" s="392">
        <v>42933</v>
      </c>
      <c r="F9" s="392">
        <v>42933</v>
      </c>
      <c r="G9" s="576">
        <v>42961</v>
      </c>
      <c r="H9" s="669">
        <v>42985</v>
      </c>
      <c r="I9" s="576">
        <v>42955</v>
      </c>
      <c r="J9" s="576">
        <v>43018</v>
      </c>
      <c r="K9" s="397"/>
      <c r="L9" s="392" t="str">
        <f t="shared" si="0"/>
        <v>Jul-17</v>
      </c>
      <c r="M9" s="392" t="str">
        <f t="shared" si="1"/>
        <v>Oct-17</v>
      </c>
      <c r="N9" s="397" t="s">
        <v>934</v>
      </c>
      <c r="O9" s="445" t="s">
        <v>717</v>
      </c>
      <c r="P9" s="418">
        <v>8188.78</v>
      </c>
      <c r="Q9" s="418">
        <v>496.57</v>
      </c>
      <c r="R9" s="387">
        <f t="shared" si="2"/>
        <v>8685.35</v>
      </c>
      <c r="S9" s="494">
        <f t="shared" si="3"/>
        <v>9553.885000000002</v>
      </c>
      <c r="T9" s="544"/>
      <c r="U9" s="544"/>
      <c r="V9" s="389">
        <f t="shared" si="4"/>
        <v>0</v>
      </c>
      <c r="W9" s="388">
        <f t="shared" si="5"/>
        <v>8685.35</v>
      </c>
      <c r="X9" s="390">
        <f t="shared" si="6"/>
        <v>1</v>
      </c>
      <c r="Y9" s="608" t="s">
        <v>199</v>
      </c>
      <c r="Z9" s="392">
        <f t="shared" si="7"/>
        <v>42947</v>
      </c>
      <c r="AA9" s="383" t="s">
        <v>200</v>
      </c>
      <c r="AB9" s="393" t="s">
        <v>757</v>
      </c>
      <c r="AC9" s="392">
        <v>42791</v>
      </c>
      <c r="AD9" s="392">
        <v>42807</v>
      </c>
      <c r="AE9" s="545">
        <f t="shared" si="8"/>
        <v>16</v>
      </c>
      <c r="AF9" s="384">
        <v>42823</v>
      </c>
      <c r="AG9" s="546">
        <f t="shared" si="9"/>
        <v>16</v>
      </c>
      <c r="AJ9" s="553"/>
      <c r="AK9" s="6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/>
    </row>
    <row r="10" spans="1:50" s="218" customFormat="1" ht="14.35" customHeight="1">
      <c r="A10" s="545" t="s">
        <v>715</v>
      </c>
      <c r="B10" s="545" t="s">
        <v>190</v>
      </c>
      <c r="C10" s="386" t="s">
        <v>814</v>
      </c>
      <c r="D10" s="392">
        <v>42886</v>
      </c>
      <c r="E10" s="392">
        <v>42885</v>
      </c>
      <c r="F10" s="392">
        <v>42885</v>
      </c>
      <c r="G10" s="576">
        <v>42887</v>
      </c>
      <c r="H10" s="669">
        <v>42907</v>
      </c>
      <c r="I10" s="577">
        <v>42955</v>
      </c>
      <c r="J10" s="577">
        <v>42962</v>
      </c>
      <c r="K10" s="386"/>
      <c r="L10" s="392" t="str">
        <f t="shared" si="0"/>
        <v>May-17</v>
      </c>
      <c r="M10" s="392" t="str">
        <f t="shared" si="1"/>
        <v>Aug-17</v>
      </c>
      <c r="N10" s="397" t="s">
        <v>1084</v>
      </c>
      <c r="O10" s="445" t="s">
        <v>354</v>
      </c>
      <c r="P10" s="418">
        <v>7705.93</v>
      </c>
      <c r="Q10" s="418">
        <v>12720.52</v>
      </c>
      <c r="R10" s="387">
        <f t="shared" si="2"/>
        <v>20426.45</v>
      </c>
      <c r="S10" s="494">
        <f t="shared" si="3"/>
        <v>22469.095000000001</v>
      </c>
      <c r="T10" s="544"/>
      <c r="U10" s="544"/>
      <c r="V10" s="389">
        <f t="shared" si="4"/>
        <v>0</v>
      </c>
      <c r="W10" s="388">
        <f t="shared" si="5"/>
        <v>20426.45</v>
      </c>
      <c r="X10" s="390">
        <f t="shared" si="6"/>
        <v>1</v>
      </c>
      <c r="Y10" s="391" t="s">
        <v>199</v>
      </c>
      <c r="Z10" s="392">
        <f t="shared" si="7"/>
        <v>42899</v>
      </c>
      <c r="AA10" s="383" t="s">
        <v>200</v>
      </c>
      <c r="AB10" s="442" t="s">
        <v>693</v>
      </c>
      <c r="AC10" s="392">
        <v>42784</v>
      </c>
      <c r="AD10" s="392">
        <v>42809</v>
      </c>
      <c r="AE10" s="394">
        <f t="shared" si="8"/>
        <v>25</v>
      </c>
      <c r="AF10" s="384">
        <v>42804</v>
      </c>
      <c r="AG10" s="395">
        <f t="shared" si="9"/>
        <v>-5</v>
      </c>
      <c r="AJ10" s="553"/>
      <c r="AK10" s="6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/>
    </row>
    <row r="11" spans="1:50" s="218" customFormat="1" ht="14.35" customHeight="1">
      <c r="A11" s="545" t="s">
        <v>715</v>
      </c>
      <c r="B11" s="545" t="s">
        <v>190</v>
      </c>
      <c r="C11" s="386" t="s">
        <v>815</v>
      </c>
      <c r="D11" s="392">
        <v>42886</v>
      </c>
      <c r="E11" s="392">
        <v>42860</v>
      </c>
      <c r="F11" s="536">
        <v>42860</v>
      </c>
      <c r="G11" s="735"/>
      <c r="H11" s="736"/>
      <c r="I11" s="577">
        <v>42892</v>
      </c>
      <c r="J11" s="577">
        <v>42944</v>
      </c>
      <c r="K11" s="386"/>
      <c r="L11" s="392" t="str">
        <f t="shared" si="0"/>
        <v>May-17</v>
      </c>
      <c r="M11" s="392" t="str">
        <f t="shared" si="1"/>
        <v>Jul-17</v>
      </c>
      <c r="N11" s="354" t="s">
        <v>1163</v>
      </c>
      <c r="O11" s="445" t="s">
        <v>695</v>
      </c>
      <c r="P11" s="418">
        <v>10233.06</v>
      </c>
      <c r="Q11" s="521"/>
      <c r="R11" s="387">
        <f t="shared" si="2"/>
        <v>10233.06</v>
      </c>
      <c r="S11" s="494">
        <f t="shared" si="3"/>
        <v>11256.366</v>
      </c>
      <c r="T11" s="544"/>
      <c r="U11" s="544"/>
      <c r="V11" s="389">
        <f t="shared" si="4"/>
        <v>0</v>
      </c>
      <c r="W11" s="388">
        <f t="shared" si="5"/>
        <v>10233.06</v>
      </c>
      <c r="X11" s="390">
        <f t="shared" si="6"/>
        <v>1</v>
      </c>
      <c r="Y11" s="391" t="s">
        <v>199</v>
      </c>
      <c r="Z11" s="392">
        <f t="shared" si="7"/>
        <v>42874</v>
      </c>
      <c r="AA11" s="383" t="s">
        <v>200</v>
      </c>
      <c r="AB11" s="442" t="s">
        <v>210</v>
      </c>
      <c r="AC11" s="392">
        <v>42809</v>
      </c>
      <c r="AD11" s="392">
        <v>42821</v>
      </c>
      <c r="AE11" s="394">
        <f t="shared" si="8"/>
        <v>12</v>
      </c>
      <c r="AF11" s="392">
        <v>42823</v>
      </c>
      <c r="AG11" s="395">
        <f t="shared" si="9"/>
        <v>2</v>
      </c>
      <c r="AJ11" s="553"/>
      <c r="AK11" s="6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/>
    </row>
    <row r="12" spans="1:50" s="218" customFormat="1" ht="14.35" customHeight="1">
      <c r="A12" s="545" t="s">
        <v>715</v>
      </c>
      <c r="B12" s="545" t="s">
        <v>190</v>
      </c>
      <c r="C12" s="541" t="s">
        <v>876</v>
      </c>
      <c r="D12" s="386">
        <v>42916</v>
      </c>
      <c r="E12" s="392">
        <v>42891</v>
      </c>
      <c r="F12" s="536">
        <v>42891</v>
      </c>
      <c r="G12" s="737">
        <v>42911</v>
      </c>
      <c r="H12" s="738">
        <v>42928</v>
      </c>
      <c r="I12" s="603">
        <v>42902</v>
      </c>
      <c r="J12" s="576">
        <v>42975</v>
      </c>
      <c r="K12" s="397" t="s">
        <v>847</v>
      </c>
      <c r="L12" s="392" t="str">
        <f t="shared" si="0"/>
        <v>Jun-17</v>
      </c>
      <c r="M12" s="392" t="str">
        <f t="shared" si="1"/>
        <v>Aug-17</v>
      </c>
      <c r="N12" s="397" t="s">
        <v>1073</v>
      </c>
      <c r="O12" s="445" t="s">
        <v>736</v>
      </c>
      <c r="P12" s="418">
        <v>1026.44</v>
      </c>
      <c r="Q12" s="418">
        <v>8543.546111367652</v>
      </c>
      <c r="R12" s="387">
        <f t="shared" si="2"/>
        <v>9569.9861113676525</v>
      </c>
      <c r="S12" s="494">
        <f t="shared" si="3"/>
        <v>10526.984722504418</v>
      </c>
      <c r="T12" s="544"/>
      <c r="U12" s="544"/>
      <c r="V12" s="389">
        <f t="shared" si="4"/>
        <v>0</v>
      </c>
      <c r="W12" s="388">
        <f t="shared" si="5"/>
        <v>9569.9861113676525</v>
      </c>
      <c r="X12" s="390">
        <f t="shared" si="6"/>
        <v>1</v>
      </c>
      <c r="Y12" s="391" t="s">
        <v>199</v>
      </c>
      <c r="Z12" s="392">
        <f t="shared" si="7"/>
        <v>42905</v>
      </c>
      <c r="AA12" s="383" t="s">
        <v>200</v>
      </c>
      <c r="AB12" s="393" t="s">
        <v>757</v>
      </c>
      <c r="AC12" s="392">
        <v>42795</v>
      </c>
      <c r="AD12" s="392">
        <v>42804</v>
      </c>
      <c r="AE12" s="545">
        <f t="shared" si="8"/>
        <v>9</v>
      </c>
      <c r="AF12" s="392">
        <v>42823</v>
      </c>
      <c r="AG12" s="546">
        <f t="shared" si="9"/>
        <v>19</v>
      </c>
      <c r="AJ12" s="553"/>
      <c r="AK12" s="6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/>
    </row>
    <row r="13" spans="1:50" s="218" customFormat="1" ht="14.35" customHeight="1">
      <c r="A13" s="545" t="s">
        <v>715</v>
      </c>
      <c r="B13" s="417" t="s">
        <v>723</v>
      </c>
      <c r="C13" s="386" t="s">
        <v>1273</v>
      </c>
      <c r="D13" s="386">
        <v>43019</v>
      </c>
      <c r="E13" s="392">
        <v>42947</v>
      </c>
      <c r="F13" s="536">
        <v>42947</v>
      </c>
      <c r="G13" s="636">
        <v>42983</v>
      </c>
      <c r="H13" s="722">
        <v>42989</v>
      </c>
      <c r="I13" s="576">
        <v>42986</v>
      </c>
      <c r="J13" s="696">
        <v>43025</v>
      </c>
      <c r="K13" s="386"/>
      <c r="L13" s="392" t="str">
        <f t="shared" si="0"/>
        <v>Jul-17</v>
      </c>
      <c r="M13" s="392" t="str">
        <f t="shared" si="1"/>
        <v>Oct-17</v>
      </c>
      <c r="N13" s="354" t="s">
        <v>973</v>
      </c>
      <c r="O13" s="445" t="s">
        <v>225</v>
      </c>
      <c r="P13" s="418">
        <v>16626.7</v>
      </c>
      <c r="Q13" s="418">
        <v>8393.0685714285719</v>
      </c>
      <c r="R13" s="387">
        <f t="shared" si="2"/>
        <v>25019.768571428573</v>
      </c>
      <c r="S13" s="494">
        <f t="shared" si="3"/>
        <v>27521.745428571434</v>
      </c>
      <c r="T13" s="544">
        <v>2317</v>
      </c>
      <c r="U13" s="544"/>
      <c r="V13" s="389">
        <f t="shared" si="4"/>
        <v>2317</v>
      </c>
      <c r="W13" s="388">
        <f t="shared" si="5"/>
        <v>22702.768571428573</v>
      </c>
      <c r="X13" s="390">
        <f t="shared" si="6"/>
        <v>0.90739322814336865</v>
      </c>
      <c r="Y13" s="608" t="s">
        <v>199</v>
      </c>
      <c r="Z13" s="392">
        <f t="shared" si="7"/>
        <v>42961</v>
      </c>
      <c r="AA13" s="383" t="s">
        <v>200</v>
      </c>
      <c r="AB13" s="442" t="s">
        <v>517</v>
      </c>
      <c r="AC13" s="392">
        <v>42718</v>
      </c>
      <c r="AD13" s="392">
        <v>42822</v>
      </c>
      <c r="AE13" s="545">
        <f t="shared" si="8"/>
        <v>104</v>
      </c>
      <c r="AF13" s="392">
        <v>42711</v>
      </c>
      <c r="AG13" s="546">
        <f t="shared" si="9"/>
        <v>-111</v>
      </c>
      <c r="AJ13" s="553"/>
      <c r="AK13" s="6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/>
    </row>
    <row r="14" spans="1:50" s="218" customFormat="1" ht="14.35" customHeight="1">
      <c r="A14" s="545" t="s">
        <v>715</v>
      </c>
      <c r="B14" s="545" t="s">
        <v>190</v>
      </c>
      <c r="C14" s="386" t="s">
        <v>816</v>
      </c>
      <c r="D14" s="392">
        <v>42886</v>
      </c>
      <c r="E14" s="392">
        <v>42870</v>
      </c>
      <c r="F14" s="392">
        <v>42870</v>
      </c>
      <c r="G14" s="634">
        <v>42885</v>
      </c>
      <c r="H14" s="663">
        <v>42912</v>
      </c>
      <c r="I14" s="603">
        <v>42880</v>
      </c>
      <c r="J14" s="577">
        <v>42944</v>
      </c>
      <c r="K14" s="386"/>
      <c r="L14" s="392" t="str">
        <f t="shared" si="0"/>
        <v>May-17</v>
      </c>
      <c r="M14" s="392" t="str">
        <f t="shared" si="1"/>
        <v>Jul-17</v>
      </c>
      <c r="N14" s="397" t="s">
        <v>1086</v>
      </c>
      <c r="O14" s="445" t="s">
        <v>636</v>
      </c>
      <c r="P14" s="418">
        <v>2091.71</v>
      </c>
      <c r="Q14" s="418">
        <v>1025.1428571428571</v>
      </c>
      <c r="R14" s="387">
        <f t="shared" si="2"/>
        <v>3116.8528571428569</v>
      </c>
      <c r="S14" s="494">
        <f t="shared" si="3"/>
        <v>3428.5381428571427</v>
      </c>
      <c r="T14" s="544"/>
      <c r="U14" s="544"/>
      <c r="V14" s="389">
        <f t="shared" si="4"/>
        <v>0</v>
      </c>
      <c r="W14" s="388">
        <f t="shared" si="5"/>
        <v>3116.8528571428569</v>
      </c>
      <c r="X14" s="390">
        <f t="shared" si="6"/>
        <v>1</v>
      </c>
      <c r="Y14" s="391" t="s">
        <v>199</v>
      </c>
      <c r="Z14" s="392">
        <f t="shared" si="7"/>
        <v>42884</v>
      </c>
      <c r="AA14" s="383" t="s">
        <v>200</v>
      </c>
      <c r="AB14" s="442" t="s">
        <v>739</v>
      </c>
      <c r="AC14" s="392">
        <v>42814</v>
      </c>
      <c r="AD14" s="392">
        <v>42832</v>
      </c>
      <c r="AE14" s="545">
        <f t="shared" si="8"/>
        <v>18</v>
      </c>
      <c r="AF14" s="392">
        <v>42829</v>
      </c>
      <c r="AG14" s="546">
        <f t="shared" si="9"/>
        <v>-3</v>
      </c>
      <c r="AJ14" s="553"/>
      <c r="AK14" s="6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/>
    </row>
    <row r="15" spans="1:50" s="218" customFormat="1" ht="14.35" customHeight="1">
      <c r="A15" s="545" t="s">
        <v>715</v>
      </c>
      <c r="B15" s="545" t="s">
        <v>190</v>
      </c>
      <c r="C15" s="386" t="s">
        <v>1198</v>
      </c>
      <c r="D15" s="386">
        <v>43005</v>
      </c>
      <c r="E15" s="392">
        <v>42958</v>
      </c>
      <c r="F15" s="536">
        <v>42961</v>
      </c>
      <c r="G15" s="735"/>
      <c r="H15" s="736"/>
      <c r="I15" s="576">
        <f>F15+14</f>
        <v>42975</v>
      </c>
      <c r="J15" s="576">
        <v>43011</v>
      </c>
      <c r="K15" s="386"/>
      <c r="L15" s="392" t="str">
        <f t="shared" si="0"/>
        <v>Aug-17</v>
      </c>
      <c r="M15" s="392" t="str">
        <f t="shared" si="1"/>
        <v>Oct-17</v>
      </c>
      <c r="N15" s="397" t="s">
        <v>1092</v>
      </c>
      <c r="O15" s="445" t="s">
        <v>743</v>
      </c>
      <c r="P15" s="418">
        <v>3449.71</v>
      </c>
      <c r="Q15" s="606"/>
      <c r="R15" s="387">
        <f t="shared" si="2"/>
        <v>3449.71</v>
      </c>
      <c r="S15" s="494">
        <f t="shared" si="3"/>
        <v>3794.6810000000005</v>
      </c>
      <c r="T15" s="544"/>
      <c r="U15" s="544"/>
      <c r="V15" s="389">
        <f t="shared" si="4"/>
        <v>0</v>
      </c>
      <c r="W15" s="388">
        <f t="shared" si="5"/>
        <v>3449.71</v>
      </c>
      <c r="X15" s="390">
        <f t="shared" si="6"/>
        <v>1</v>
      </c>
      <c r="Y15" s="608" t="s">
        <v>199</v>
      </c>
      <c r="Z15" s="392">
        <f t="shared" si="7"/>
        <v>42975</v>
      </c>
      <c r="AA15" s="383" t="s">
        <v>200</v>
      </c>
      <c r="AB15" s="442" t="s">
        <v>739</v>
      </c>
      <c r="AC15" s="392">
        <v>42814</v>
      </c>
      <c r="AD15" s="392">
        <v>42833</v>
      </c>
      <c r="AE15" s="545">
        <f t="shared" si="8"/>
        <v>19</v>
      </c>
      <c r="AF15" s="392">
        <v>42830</v>
      </c>
      <c r="AG15" s="546">
        <f t="shared" si="9"/>
        <v>-3</v>
      </c>
      <c r="AJ15" s="553"/>
      <c r="AK15" s="6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/>
    </row>
    <row r="16" spans="1:50" s="218" customFormat="1" ht="14.35" customHeight="1">
      <c r="A16" s="545" t="s">
        <v>715</v>
      </c>
      <c r="B16" s="545" t="s">
        <v>190</v>
      </c>
      <c r="C16" s="541" t="s">
        <v>890</v>
      </c>
      <c r="D16" s="386">
        <v>42919</v>
      </c>
      <c r="E16" s="392">
        <v>42894</v>
      </c>
      <c r="F16" s="536">
        <v>42894</v>
      </c>
      <c r="G16" s="634">
        <v>42901</v>
      </c>
      <c r="H16" s="663">
        <v>42927</v>
      </c>
      <c r="I16" s="576">
        <v>42927</v>
      </c>
      <c r="J16" s="577">
        <v>42962</v>
      </c>
      <c r="K16" s="397"/>
      <c r="L16" s="392" t="str">
        <f t="shared" si="0"/>
        <v>Jun-17</v>
      </c>
      <c r="M16" s="392" t="str">
        <f t="shared" si="1"/>
        <v>Aug-17</v>
      </c>
      <c r="N16" s="397" t="s">
        <v>1070</v>
      </c>
      <c r="O16" s="445" t="s">
        <v>744</v>
      </c>
      <c r="P16" s="418">
        <v>5062.76</v>
      </c>
      <c r="Q16" s="418">
        <v>3398.56</v>
      </c>
      <c r="R16" s="387">
        <f t="shared" si="2"/>
        <v>8461.32</v>
      </c>
      <c r="S16" s="494">
        <f t="shared" si="3"/>
        <v>9307.4520000000011</v>
      </c>
      <c r="T16" s="544"/>
      <c r="U16" s="544"/>
      <c r="V16" s="389">
        <f t="shared" si="4"/>
        <v>0</v>
      </c>
      <c r="W16" s="388">
        <f t="shared" si="5"/>
        <v>8461.32</v>
      </c>
      <c r="X16" s="390">
        <f t="shared" si="6"/>
        <v>1</v>
      </c>
      <c r="Y16" s="608" t="s">
        <v>199</v>
      </c>
      <c r="Z16" s="392">
        <f t="shared" si="7"/>
        <v>42908</v>
      </c>
      <c r="AA16" s="383" t="s">
        <v>200</v>
      </c>
      <c r="AB16" s="442" t="s">
        <v>223</v>
      </c>
      <c r="AC16" s="392">
        <v>42814</v>
      </c>
      <c r="AD16" s="392">
        <v>42832</v>
      </c>
      <c r="AE16" s="545">
        <f t="shared" si="8"/>
        <v>18</v>
      </c>
      <c r="AF16" s="392">
        <v>42830</v>
      </c>
      <c r="AG16" s="546">
        <f t="shared" si="9"/>
        <v>-2</v>
      </c>
      <c r="AJ16" s="553"/>
      <c r="AK16" s="6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/>
    </row>
    <row r="17" spans="1:63" s="218" customFormat="1" ht="14.35" customHeight="1">
      <c r="A17" s="545" t="s">
        <v>715</v>
      </c>
      <c r="B17" s="545" t="s">
        <v>190</v>
      </c>
      <c r="C17" s="541" t="s">
        <v>877</v>
      </c>
      <c r="D17" s="386">
        <v>42916</v>
      </c>
      <c r="E17" s="392">
        <v>42900</v>
      </c>
      <c r="F17" s="536">
        <v>42900</v>
      </c>
      <c r="G17" s="634">
        <v>42908</v>
      </c>
      <c r="H17" s="663">
        <v>42930</v>
      </c>
      <c r="I17" s="576">
        <v>42985</v>
      </c>
      <c r="J17" s="576">
        <v>43013</v>
      </c>
      <c r="K17" s="397" t="s">
        <v>847</v>
      </c>
      <c r="L17" s="392" t="str">
        <f t="shared" si="0"/>
        <v>Jun-17</v>
      </c>
      <c r="M17" s="392" t="str">
        <f t="shared" si="1"/>
        <v>Oct-17</v>
      </c>
      <c r="N17" s="397" t="s">
        <v>2549</v>
      </c>
      <c r="O17" s="445" t="s">
        <v>745</v>
      </c>
      <c r="P17" s="418">
        <v>3433.24</v>
      </c>
      <c r="Q17" s="418">
        <v>6774.67</v>
      </c>
      <c r="R17" s="387">
        <f t="shared" si="2"/>
        <v>10207.91</v>
      </c>
      <c r="S17" s="494">
        <f t="shared" si="3"/>
        <v>11228.701000000001</v>
      </c>
      <c r="T17" s="544"/>
      <c r="U17" s="544"/>
      <c r="V17" s="389">
        <f t="shared" si="4"/>
        <v>0</v>
      </c>
      <c r="W17" s="388">
        <f t="shared" si="5"/>
        <v>10207.91</v>
      </c>
      <c r="X17" s="390">
        <f t="shared" si="6"/>
        <v>1</v>
      </c>
      <c r="Y17" s="608" t="s">
        <v>199</v>
      </c>
      <c r="Z17" s="392">
        <f t="shared" si="7"/>
        <v>42914</v>
      </c>
      <c r="AA17" s="383" t="s">
        <v>200</v>
      </c>
      <c r="AB17" s="442" t="s">
        <v>223</v>
      </c>
      <c r="AC17" s="440">
        <v>42811</v>
      </c>
      <c r="AD17" s="392">
        <v>42833</v>
      </c>
      <c r="AE17" s="545">
        <f t="shared" si="8"/>
        <v>22</v>
      </c>
      <c r="AF17" s="392">
        <v>42825</v>
      </c>
      <c r="AG17" s="546">
        <f t="shared" si="9"/>
        <v>-8</v>
      </c>
      <c r="AJ17" s="553"/>
      <c r="AK17" s="6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/>
    </row>
    <row r="18" spans="1:63" s="218" customFormat="1" ht="14.35" customHeight="1">
      <c r="A18" s="545" t="s">
        <v>714</v>
      </c>
      <c r="B18" s="545" t="s">
        <v>190</v>
      </c>
      <c r="C18" s="386" t="s">
        <v>1197</v>
      </c>
      <c r="D18" s="386">
        <v>43005</v>
      </c>
      <c r="E18" s="392">
        <v>42961</v>
      </c>
      <c r="F18" s="536">
        <v>42961</v>
      </c>
      <c r="G18" s="634">
        <v>42962</v>
      </c>
      <c r="H18" s="663">
        <v>42982</v>
      </c>
      <c r="I18" s="576">
        <v>42989</v>
      </c>
      <c r="J18" s="576">
        <v>43005</v>
      </c>
      <c r="K18" s="386"/>
      <c r="L18" s="392" t="str">
        <f t="shared" si="0"/>
        <v>Aug-17</v>
      </c>
      <c r="M18" s="392" t="str">
        <f t="shared" si="1"/>
        <v>Sep-17</v>
      </c>
      <c r="N18" s="397" t="s">
        <v>1328</v>
      </c>
      <c r="O18" s="445" t="s">
        <v>690</v>
      </c>
      <c r="P18" s="418">
        <v>1761.82</v>
      </c>
      <c r="Q18" s="418">
        <v>1647.1</v>
      </c>
      <c r="R18" s="387">
        <f t="shared" si="2"/>
        <v>3408.92</v>
      </c>
      <c r="S18" s="494">
        <f t="shared" si="3"/>
        <v>3749.8120000000004</v>
      </c>
      <c r="T18" s="544">
        <v>235</v>
      </c>
      <c r="U18" s="544"/>
      <c r="V18" s="389">
        <f t="shared" si="4"/>
        <v>235</v>
      </c>
      <c r="W18" s="388">
        <f t="shared" si="5"/>
        <v>3173.92</v>
      </c>
      <c r="X18" s="390">
        <f t="shared" si="6"/>
        <v>0.93106321063562658</v>
      </c>
      <c r="Y18" s="608" t="s">
        <v>199</v>
      </c>
      <c r="Z18" s="392">
        <f t="shared" si="7"/>
        <v>42975</v>
      </c>
      <c r="AA18" s="383" t="s">
        <v>200</v>
      </c>
      <c r="AB18" s="393" t="s">
        <v>757</v>
      </c>
      <c r="AC18" s="392"/>
      <c r="AD18" s="392"/>
      <c r="AE18" s="545"/>
      <c r="AF18" s="392"/>
      <c r="AG18" s="546"/>
      <c r="AJ18" s="553"/>
      <c r="AK18" s="6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/>
    </row>
    <row r="19" spans="1:63" s="218" customFormat="1" ht="14.35" customHeight="1">
      <c r="A19" s="586" t="s">
        <v>714</v>
      </c>
      <c r="B19" s="586" t="s">
        <v>190</v>
      </c>
      <c r="C19" s="386" t="s">
        <v>1201</v>
      </c>
      <c r="D19" s="386">
        <v>43005</v>
      </c>
      <c r="E19" s="536">
        <v>42947</v>
      </c>
      <c r="F19" s="536">
        <v>42947</v>
      </c>
      <c r="G19" s="634">
        <v>42956</v>
      </c>
      <c r="H19" s="663">
        <v>42982</v>
      </c>
      <c r="I19" s="577">
        <v>42985</v>
      </c>
      <c r="J19" s="577">
        <v>43006</v>
      </c>
      <c r="K19" s="541" t="s">
        <v>986</v>
      </c>
      <c r="L19" s="536" t="str">
        <f t="shared" si="0"/>
        <v>Jul-17</v>
      </c>
      <c r="M19" s="392" t="str">
        <f t="shared" si="1"/>
        <v>Sep-17</v>
      </c>
      <c r="N19" s="445" t="s">
        <v>1056</v>
      </c>
      <c r="O19" s="445" t="s">
        <v>698</v>
      </c>
      <c r="P19" s="551">
        <v>44.62</v>
      </c>
      <c r="Q19" s="418">
        <v>1490.48</v>
      </c>
      <c r="R19" s="387">
        <f t="shared" si="2"/>
        <v>1535.1</v>
      </c>
      <c r="S19" s="494">
        <f t="shared" si="3"/>
        <v>1688.6100000000001</v>
      </c>
      <c r="T19" s="544"/>
      <c r="U19" s="544"/>
      <c r="V19" s="389">
        <f t="shared" si="4"/>
        <v>0</v>
      </c>
      <c r="W19" s="388">
        <f t="shared" si="5"/>
        <v>1535.1</v>
      </c>
      <c r="X19" s="390">
        <f t="shared" si="6"/>
        <v>1</v>
      </c>
      <c r="Y19" s="608" t="s">
        <v>199</v>
      </c>
      <c r="Z19" s="392">
        <f t="shared" si="7"/>
        <v>42961</v>
      </c>
      <c r="AA19" s="383" t="s">
        <v>200</v>
      </c>
      <c r="AB19" s="442" t="s">
        <v>223</v>
      </c>
      <c r="AC19" s="392" t="s">
        <v>752</v>
      </c>
      <c r="AD19" s="392">
        <v>42856</v>
      </c>
      <c r="AE19" s="545"/>
      <c r="AF19" s="392"/>
      <c r="AG19" s="546"/>
      <c r="AJ19" s="553"/>
      <c r="AK19" s="6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/>
    </row>
    <row r="20" spans="1:63" s="218" customFormat="1" ht="14.25" customHeight="1">
      <c r="A20" s="586" t="s">
        <v>714</v>
      </c>
      <c r="B20" s="586" t="s">
        <v>190</v>
      </c>
      <c r="C20" s="386" t="s">
        <v>1173</v>
      </c>
      <c r="D20" s="541">
        <v>43000</v>
      </c>
      <c r="E20" s="536">
        <v>42969</v>
      </c>
      <c r="F20" s="536">
        <v>42969</v>
      </c>
      <c r="G20" s="636">
        <v>42975</v>
      </c>
      <c r="H20" s="722">
        <v>42984</v>
      </c>
      <c r="I20" s="576">
        <v>42984</v>
      </c>
      <c r="J20" s="603">
        <v>43005</v>
      </c>
      <c r="K20" s="541"/>
      <c r="L20" s="536" t="str">
        <f t="shared" si="0"/>
        <v>Aug-17</v>
      </c>
      <c r="M20" s="392" t="str">
        <f t="shared" si="1"/>
        <v>Sep-17</v>
      </c>
      <c r="N20" s="445" t="s">
        <v>1078</v>
      </c>
      <c r="O20" s="445" t="s">
        <v>458</v>
      </c>
      <c r="P20" s="551">
        <v>1520.83</v>
      </c>
      <c r="Q20" s="551">
        <v>6404.7449999999999</v>
      </c>
      <c r="R20" s="423">
        <f t="shared" si="2"/>
        <v>7925.5749999999998</v>
      </c>
      <c r="S20" s="494">
        <f t="shared" si="3"/>
        <v>8718.1324999999997</v>
      </c>
      <c r="T20" s="389">
        <v>3682.66</v>
      </c>
      <c r="U20" s="389"/>
      <c r="V20" s="389">
        <f t="shared" si="4"/>
        <v>3682.66</v>
      </c>
      <c r="W20" s="593">
        <f t="shared" si="5"/>
        <v>4242.915</v>
      </c>
      <c r="X20" s="390">
        <f t="shared" si="6"/>
        <v>0.5353447541661015</v>
      </c>
      <c r="Y20" s="608" t="s">
        <v>199</v>
      </c>
      <c r="Z20" s="536">
        <f t="shared" si="7"/>
        <v>42983</v>
      </c>
      <c r="AA20" s="383" t="s">
        <v>200</v>
      </c>
      <c r="AB20" s="594" t="s">
        <v>757</v>
      </c>
      <c r="AC20" s="536"/>
      <c r="AD20" s="536"/>
      <c r="AE20" s="586"/>
      <c r="AF20" s="536"/>
      <c r="AG20" s="591"/>
      <c r="AJ20" s="553"/>
      <c r="AK20" s="6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</row>
    <row r="21" spans="1:63" s="379" customFormat="1" ht="14.35" customHeight="1">
      <c r="A21" s="586" t="s">
        <v>714</v>
      </c>
      <c r="B21" s="586" t="s">
        <v>190</v>
      </c>
      <c r="C21" s="386" t="s">
        <v>1200</v>
      </c>
      <c r="D21" s="386">
        <v>43005</v>
      </c>
      <c r="E21" s="536">
        <v>42928</v>
      </c>
      <c r="F21" s="536">
        <v>42928</v>
      </c>
      <c r="G21" s="634">
        <v>42956</v>
      </c>
      <c r="H21" s="663">
        <v>42982</v>
      </c>
      <c r="I21" s="577">
        <v>42985</v>
      </c>
      <c r="J21" s="577">
        <v>43005</v>
      </c>
      <c r="K21" s="541" t="s">
        <v>991</v>
      </c>
      <c r="L21" s="536" t="str">
        <f t="shared" si="0"/>
        <v>Jul-17</v>
      </c>
      <c r="M21" s="392" t="str">
        <f t="shared" si="1"/>
        <v>Sep-17</v>
      </c>
      <c r="N21" s="445" t="s">
        <v>1055</v>
      </c>
      <c r="O21" s="445" t="s">
        <v>743</v>
      </c>
      <c r="P21" s="551">
        <v>628.32000000000005</v>
      </c>
      <c r="Q21" s="551">
        <v>4350.78</v>
      </c>
      <c r="R21" s="423">
        <f t="shared" si="2"/>
        <v>4979.0999999999995</v>
      </c>
      <c r="S21" s="494">
        <f t="shared" si="3"/>
        <v>5477.01</v>
      </c>
      <c r="T21" s="389"/>
      <c r="U21" s="389"/>
      <c r="V21" s="389">
        <f t="shared" si="4"/>
        <v>0</v>
      </c>
      <c r="W21" s="593">
        <f t="shared" si="5"/>
        <v>4979.0999999999995</v>
      </c>
      <c r="X21" s="390">
        <f t="shared" si="6"/>
        <v>1</v>
      </c>
      <c r="Y21" s="608" t="s">
        <v>199</v>
      </c>
      <c r="Z21" s="536">
        <f t="shared" si="7"/>
        <v>42942</v>
      </c>
      <c r="AA21" s="383" t="s">
        <v>200</v>
      </c>
      <c r="AB21" s="590" t="s">
        <v>223</v>
      </c>
      <c r="AC21" s="536"/>
      <c r="AD21" s="536"/>
      <c r="AE21" s="586"/>
      <c r="AF21" s="536"/>
      <c r="AG21" s="591"/>
      <c r="AJ21" s="592"/>
      <c r="AK21" s="6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 spans="1:63" s="379" customFormat="1" ht="14.35" customHeight="1">
      <c r="A22" s="586" t="s">
        <v>714</v>
      </c>
      <c r="B22" s="586" t="s">
        <v>190</v>
      </c>
      <c r="C22" s="386" t="s">
        <v>1618</v>
      </c>
      <c r="D22" s="541">
        <v>43068</v>
      </c>
      <c r="E22" s="536">
        <v>43003</v>
      </c>
      <c r="F22" s="536">
        <v>43003</v>
      </c>
      <c r="G22" s="661">
        <v>43005</v>
      </c>
      <c r="H22" s="739">
        <v>43012</v>
      </c>
      <c r="I22" s="729">
        <v>43011</v>
      </c>
      <c r="J22" s="576">
        <v>43069</v>
      </c>
      <c r="K22" s="541"/>
      <c r="L22" s="536" t="str">
        <f t="shared" si="0"/>
        <v>Sep-17</v>
      </c>
      <c r="M22" s="392" t="str">
        <f t="shared" si="1"/>
        <v>Nov-17</v>
      </c>
      <c r="N22" s="445" t="s">
        <v>1182</v>
      </c>
      <c r="O22" s="445" t="s">
        <v>491</v>
      </c>
      <c r="P22" s="551">
        <v>2015.36</v>
      </c>
      <c r="Q22" s="551">
        <v>13856.22</v>
      </c>
      <c r="R22" s="423">
        <f t="shared" si="2"/>
        <v>15871.58</v>
      </c>
      <c r="S22" s="494">
        <f t="shared" si="3"/>
        <v>17458.738000000001</v>
      </c>
      <c r="T22" s="389">
        <v>3777.5600000000004</v>
      </c>
      <c r="U22" s="389"/>
      <c r="V22" s="389">
        <f t="shared" si="4"/>
        <v>3777.5600000000004</v>
      </c>
      <c r="W22" s="593">
        <f t="shared" si="5"/>
        <v>12094.02</v>
      </c>
      <c r="X22" s="390">
        <f t="shared" si="6"/>
        <v>0.76199218981349059</v>
      </c>
      <c r="Y22" s="608" t="s">
        <v>199</v>
      </c>
      <c r="Z22" s="536">
        <f t="shared" si="7"/>
        <v>43017</v>
      </c>
      <c r="AA22" s="383" t="s">
        <v>200</v>
      </c>
      <c r="AB22" s="590" t="s">
        <v>693</v>
      </c>
      <c r="AC22" s="536" t="s">
        <v>752</v>
      </c>
      <c r="AD22" s="536">
        <v>42881</v>
      </c>
      <c r="AE22" s="586"/>
      <c r="AF22" s="536"/>
      <c r="AG22" s="591"/>
      <c r="AJ22" s="592"/>
      <c r="AK22" s="6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 spans="1:63" s="379" customFormat="1" ht="14.35" customHeight="1">
      <c r="A23" s="586" t="s">
        <v>714</v>
      </c>
      <c r="B23" s="586" t="s">
        <v>190</v>
      </c>
      <c r="C23" s="386" t="s">
        <v>1178</v>
      </c>
      <c r="D23" s="541">
        <v>43003</v>
      </c>
      <c r="E23" s="536">
        <v>42934</v>
      </c>
      <c r="F23" s="536">
        <v>42934</v>
      </c>
      <c r="G23" s="636">
        <v>42956</v>
      </c>
      <c r="H23" s="722">
        <v>42970</v>
      </c>
      <c r="I23" s="577">
        <v>42985</v>
      </c>
      <c r="J23" s="577">
        <v>42999</v>
      </c>
      <c r="K23" s="541" t="s">
        <v>986</v>
      </c>
      <c r="L23" s="536" t="str">
        <f t="shared" si="0"/>
        <v>Jul-17</v>
      </c>
      <c r="M23" s="392" t="str">
        <f t="shared" si="1"/>
        <v>Sep-17</v>
      </c>
      <c r="N23" s="445" t="s">
        <v>1177</v>
      </c>
      <c r="O23" s="445" t="s">
        <v>810</v>
      </c>
      <c r="P23" s="551">
        <v>2121.89</v>
      </c>
      <c r="Q23" s="551">
        <v>6429.99</v>
      </c>
      <c r="R23" s="423">
        <f t="shared" si="2"/>
        <v>8551.8799999999992</v>
      </c>
      <c r="S23" s="494">
        <f t="shared" si="3"/>
        <v>9407.0679999999993</v>
      </c>
      <c r="T23" s="389"/>
      <c r="U23" s="389"/>
      <c r="V23" s="389">
        <f t="shared" si="4"/>
        <v>0</v>
      </c>
      <c r="W23" s="593">
        <f t="shared" si="5"/>
        <v>8551.8799999999992</v>
      </c>
      <c r="X23" s="390">
        <f t="shared" si="6"/>
        <v>1</v>
      </c>
      <c r="Y23" s="608" t="s">
        <v>199</v>
      </c>
      <c r="Z23" s="536">
        <f t="shared" si="7"/>
        <v>42948</v>
      </c>
      <c r="AA23" s="383" t="s">
        <v>200</v>
      </c>
      <c r="AB23" s="594" t="s">
        <v>757</v>
      </c>
      <c r="AC23" s="536" t="s">
        <v>752</v>
      </c>
      <c r="AD23" s="536">
        <v>42884</v>
      </c>
      <c r="AE23" s="586"/>
      <c r="AF23" s="536"/>
      <c r="AG23" s="591"/>
      <c r="AJ23" s="592"/>
      <c r="AK23" s="6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 spans="1:63" s="218" customFormat="1" ht="14.35" customHeight="1">
      <c r="A24" s="545" t="s">
        <v>715</v>
      </c>
      <c r="B24" s="545" t="s">
        <v>179</v>
      </c>
      <c r="C24" s="386" t="s">
        <v>817</v>
      </c>
      <c r="D24" s="386">
        <v>42886</v>
      </c>
      <c r="E24" s="392">
        <v>42870</v>
      </c>
      <c r="F24" s="392">
        <v>42870</v>
      </c>
      <c r="G24" s="636">
        <v>42887</v>
      </c>
      <c r="H24" s="722">
        <v>42901</v>
      </c>
      <c r="I24" s="731">
        <f>F24+14</f>
        <v>42884</v>
      </c>
      <c r="J24" s="577">
        <v>42944</v>
      </c>
      <c r="K24" s="386"/>
      <c r="L24" s="392" t="str">
        <f t="shared" si="0"/>
        <v>May-17</v>
      </c>
      <c r="M24" s="392" t="str">
        <f t="shared" si="1"/>
        <v>Jul-17</v>
      </c>
      <c r="N24" s="397" t="s">
        <v>1075</v>
      </c>
      <c r="O24" s="445" t="s">
        <v>748</v>
      </c>
      <c r="P24" s="418">
        <v>3798.42</v>
      </c>
      <c r="Q24" s="418">
        <v>3110.87</v>
      </c>
      <c r="R24" s="387">
        <f t="shared" si="2"/>
        <v>6909.29</v>
      </c>
      <c r="S24" s="494">
        <f t="shared" si="3"/>
        <v>7600.219000000001</v>
      </c>
      <c r="T24" s="544"/>
      <c r="U24" s="544"/>
      <c r="V24" s="389">
        <f t="shared" si="4"/>
        <v>0</v>
      </c>
      <c r="W24" s="388">
        <f t="shared" si="5"/>
        <v>6909.29</v>
      </c>
      <c r="X24" s="390">
        <f t="shared" si="6"/>
        <v>1</v>
      </c>
      <c r="Y24" s="608" t="s">
        <v>199</v>
      </c>
      <c r="Z24" s="392">
        <f t="shared" si="7"/>
        <v>42884</v>
      </c>
      <c r="AA24" s="383" t="s">
        <v>200</v>
      </c>
      <c r="AB24" s="442" t="s">
        <v>517</v>
      </c>
      <c r="AC24" s="392">
        <v>42611</v>
      </c>
      <c r="AD24" s="392">
        <v>42830</v>
      </c>
      <c r="AE24" s="545">
        <f>AD24-AC24</f>
        <v>219</v>
      </c>
      <c r="AF24" s="392"/>
      <c r="AG24" s="546"/>
      <c r="AJ24" s="553"/>
      <c r="AK24" s="6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 spans="1:63" s="218" customFormat="1" ht="14.35" customHeight="1">
      <c r="A25" s="545" t="s">
        <v>749</v>
      </c>
      <c r="B25" s="545" t="s">
        <v>190</v>
      </c>
      <c r="C25" s="541" t="s">
        <v>1315</v>
      </c>
      <c r="D25" s="386">
        <v>43038</v>
      </c>
      <c r="E25" s="392">
        <v>43038</v>
      </c>
      <c r="F25" s="536">
        <v>43038</v>
      </c>
      <c r="G25" s="740"/>
      <c r="H25" s="740"/>
      <c r="I25" s="740"/>
      <c r="J25" s="740"/>
      <c r="K25" s="386"/>
      <c r="L25" s="392" t="str">
        <f t="shared" si="0"/>
        <v>Oct-17</v>
      </c>
      <c r="M25" s="392" t="str">
        <f t="shared" si="1"/>
        <v>Jan-00</v>
      </c>
      <c r="N25" s="397" t="s">
        <v>750</v>
      </c>
      <c r="O25" s="445" t="s">
        <v>743</v>
      </c>
      <c r="P25" s="418">
        <v>38717.01</v>
      </c>
      <c r="Q25" s="418">
        <f>4155+3215.73+3118.55+4307.38+5217.42+7666.76+1932</f>
        <v>29612.840000000004</v>
      </c>
      <c r="R25" s="387">
        <f t="shared" si="2"/>
        <v>68329.850000000006</v>
      </c>
      <c r="S25" s="494">
        <f t="shared" si="3"/>
        <v>75162.835000000006</v>
      </c>
      <c r="T25" s="544">
        <v>27168.080000000002</v>
      </c>
      <c r="U25" s="544"/>
      <c r="V25" s="389">
        <f t="shared" si="4"/>
        <v>27168.080000000002</v>
      </c>
      <c r="W25" s="388">
        <f t="shared" si="5"/>
        <v>41161.770000000004</v>
      </c>
      <c r="X25" s="390">
        <f t="shared" si="6"/>
        <v>0.60239807346276919</v>
      </c>
      <c r="Y25" s="608" t="s">
        <v>199</v>
      </c>
      <c r="Z25" s="392">
        <f t="shared" si="7"/>
        <v>43052</v>
      </c>
      <c r="AA25" s="383" t="s">
        <v>200</v>
      </c>
      <c r="AB25" s="442" t="s">
        <v>751</v>
      </c>
      <c r="AC25" s="392">
        <v>42816</v>
      </c>
      <c r="AD25" s="392">
        <v>42835</v>
      </c>
      <c r="AE25" s="545">
        <f>AD25-AC25</f>
        <v>19</v>
      </c>
      <c r="AF25" s="392"/>
      <c r="AG25" s="546"/>
      <c r="AJ25" s="553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</row>
    <row r="26" spans="1:63" s="218" customFormat="1" ht="14.35" customHeight="1">
      <c r="A26" s="545" t="s">
        <v>716</v>
      </c>
      <c r="B26" s="545" t="s">
        <v>190</v>
      </c>
      <c r="C26" s="386" t="s">
        <v>2729</v>
      </c>
      <c r="D26" s="386">
        <v>43215</v>
      </c>
      <c r="E26" s="386">
        <v>43188</v>
      </c>
      <c r="F26" s="392">
        <v>43193</v>
      </c>
      <c r="G26" s="577">
        <v>43185</v>
      </c>
      <c r="H26" s="668">
        <v>43207</v>
      </c>
      <c r="I26" s="667">
        <v>43209</v>
      </c>
      <c r="J26" s="603">
        <v>43221</v>
      </c>
      <c r="K26" s="386"/>
      <c r="L26" s="392" t="str">
        <f t="shared" si="0"/>
        <v>Apr-18</v>
      </c>
      <c r="M26" s="392" t="str">
        <f t="shared" si="1"/>
        <v>May-18</v>
      </c>
      <c r="N26" s="397" t="s">
        <v>1185</v>
      </c>
      <c r="O26" s="445" t="s">
        <v>354</v>
      </c>
      <c r="P26" s="418">
        <v>12264.47</v>
      </c>
      <c r="Q26" s="418">
        <v>10584.18</v>
      </c>
      <c r="R26" s="387">
        <f t="shared" si="2"/>
        <v>22848.65</v>
      </c>
      <c r="S26" s="494">
        <f t="shared" si="3"/>
        <v>25133.515000000003</v>
      </c>
      <c r="T26" s="544">
        <v>12574.74</v>
      </c>
      <c r="U26" s="544"/>
      <c r="V26" s="389">
        <f t="shared" si="4"/>
        <v>12574.74</v>
      </c>
      <c r="W26" s="388">
        <f t="shared" si="5"/>
        <v>10273.910000000002</v>
      </c>
      <c r="X26" s="390">
        <f t="shared" si="6"/>
        <v>0.44965063581436981</v>
      </c>
      <c r="Y26" s="392"/>
      <c r="Z26" s="392"/>
      <c r="AA26" s="383"/>
      <c r="AB26" s="442" t="s">
        <v>538</v>
      </c>
      <c r="AC26" s="392">
        <v>42817</v>
      </c>
      <c r="AD26" s="392">
        <v>42832</v>
      </c>
      <c r="AE26" s="545">
        <f>AD26-AC26</f>
        <v>15</v>
      </c>
      <c r="AF26" s="392">
        <v>42835</v>
      </c>
      <c r="AG26" s="546">
        <f>AF26-AD26</f>
        <v>3</v>
      </c>
      <c r="AJ26" s="553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 spans="1:63" s="218" customFormat="1" ht="14.35" customHeight="1">
      <c r="A27" s="545" t="s">
        <v>715</v>
      </c>
      <c r="B27" s="545" t="s">
        <v>190</v>
      </c>
      <c r="C27" s="386" t="s">
        <v>3015</v>
      </c>
      <c r="D27" s="386">
        <v>43257</v>
      </c>
      <c r="E27" s="392">
        <v>43222</v>
      </c>
      <c r="F27" s="536">
        <v>43223</v>
      </c>
      <c r="G27" s="731">
        <v>43228</v>
      </c>
      <c r="H27" s="732">
        <v>43229</v>
      </c>
      <c r="I27" s="603">
        <f>F27+14</f>
        <v>43237</v>
      </c>
      <c r="J27" s="576">
        <v>43256</v>
      </c>
      <c r="K27" s="386"/>
      <c r="L27" s="392" t="str">
        <f t="shared" si="0"/>
        <v>May-18</v>
      </c>
      <c r="M27" s="392" t="str">
        <f t="shared" si="1"/>
        <v>Jun-18</v>
      </c>
      <c r="N27" s="397" t="s">
        <v>1083</v>
      </c>
      <c r="O27" s="445" t="s">
        <v>753</v>
      </c>
      <c r="P27" s="418">
        <v>6265.77</v>
      </c>
      <c r="Q27" s="418">
        <v>7637.8819999999996</v>
      </c>
      <c r="R27" s="418">
        <f t="shared" si="2"/>
        <v>13903.652</v>
      </c>
      <c r="S27" s="494">
        <f t="shared" si="3"/>
        <v>15294.017200000002</v>
      </c>
      <c r="T27" s="544">
        <v>3486.54</v>
      </c>
      <c r="U27" s="544"/>
      <c r="V27" s="389">
        <f t="shared" si="4"/>
        <v>3486.54</v>
      </c>
      <c r="W27" s="388">
        <f t="shared" si="5"/>
        <v>10417.112000000001</v>
      </c>
      <c r="X27" s="390">
        <f t="shared" si="6"/>
        <v>0.74923566844164402</v>
      </c>
      <c r="Y27" s="545"/>
      <c r="Z27" s="392"/>
      <c r="AA27" s="397"/>
      <c r="AB27" s="393" t="s">
        <v>757</v>
      </c>
      <c r="AC27" s="392">
        <v>42817</v>
      </c>
      <c r="AD27" s="392">
        <v>42833</v>
      </c>
      <c r="AE27" s="545">
        <f>AD27-AC27</f>
        <v>16</v>
      </c>
      <c r="AF27" s="392">
        <v>42832</v>
      </c>
      <c r="AG27" s="546">
        <f>AF27-AD27</f>
        <v>-1</v>
      </c>
      <c r="AJ27" s="553"/>
      <c r="AY27"/>
      <c r="AZ27"/>
      <c r="BA27"/>
      <c r="BB27"/>
      <c r="BC27"/>
      <c r="BD27"/>
      <c r="BE27"/>
      <c r="BF27"/>
      <c r="BG27"/>
      <c r="BH27"/>
      <c r="BI27"/>
      <c r="BJ27"/>
      <c r="BK27"/>
    </row>
    <row r="28" spans="1:63" s="218" customFormat="1" ht="14.35" customHeight="1">
      <c r="A28" s="545" t="s">
        <v>749</v>
      </c>
      <c r="B28" s="545" t="s">
        <v>190</v>
      </c>
      <c r="C28" s="541" t="s">
        <v>886</v>
      </c>
      <c r="D28" s="386">
        <v>42916</v>
      </c>
      <c r="E28" s="392">
        <v>42954</v>
      </c>
      <c r="F28" s="392">
        <v>42977</v>
      </c>
      <c r="G28" s="740"/>
      <c r="H28" s="743"/>
      <c r="I28" s="743"/>
      <c r="J28" s="743"/>
      <c r="K28" s="386"/>
      <c r="L28" s="392" t="str">
        <f t="shared" si="0"/>
        <v>Aug-17</v>
      </c>
      <c r="M28" s="392" t="str">
        <f t="shared" si="1"/>
        <v>Jan-00</v>
      </c>
      <c r="N28" s="397" t="s">
        <v>754</v>
      </c>
      <c r="O28" s="445" t="s">
        <v>755</v>
      </c>
      <c r="P28" s="538">
        <v>23006.15</v>
      </c>
      <c r="Q28" s="521"/>
      <c r="R28" s="538">
        <f t="shared" si="2"/>
        <v>23006.15</v>
      </c>
      <c r="S28" s="494">
        <f t="shared" si="3"/>
        <v>25306.765000000003</v>
      </c>
      <c r="T28" s="539">
        <v>13667.57</v>
      </c>
      <c r="U28" s="539"/>
      <c r="V28" s="389">
        <f t="shared" si="4"/>
        <v>13667.57</v>
      </c>
      <c r="W28" s="388">
        <f t="shared" si="5"/>
        <v>9338.5800000000017</v>
      </c>
      <c r="X28" s="390">
        <f t="shared" si="6"/>
        <v>0.40591667880110321</v>
      </c>
      <c r="Y28" s="608" t="s">
        <v>199</v>
      </c>
      <c r="Z28" s="392">
        <f t="shared" ref="Z28:Z59" si="10">F28+14</f>
        <v>42991</v>
      </c>
      <c r="AA28" s="383" t="s">
        <v>200</v>
      </c>
      <c r="AB28" s="442" t="s">
        <v>751</v>
      </c>
      <c r="AC28" s="392">
        <v>42836</v>
      </c>
      <c r="AD28" s="392">
        <v>42838</v>
      </c>
      <c r="AE28" s="545"/>
      <c r="AF28" s="392"/>
      <c r="AG28" s="546"/>
      <c r="AJ28" s="553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 spans="1:63" s="218" customFormat="1" ht="14.35" customHeight="1">
      <c r="A29" s="545" t="s">
        <v>714</v>
      </c>
      <c r="B29" s="545" t="s">
        <v>190</v>
      </c>
      <c r="C29" s="386" t="s">
        <v>818</v>
      </c>
      <c r="D29" s="392">
        <v>42886</v>
      </c>
      <c r="E29" s="392">
        <v>42880</v>
      </c>
      <c r="F29" s="536">
        <v>42895</v>
      </c>
      <c r="G29" s="733"/>
      <c r="H29" s="734"/>
      <c r="I29" s="603">
        <v>42895</v>
      </c>
      <c r="J29" s="576">
        <v>42992</v>
      </c>
      <c r="K29" s="386" t="s">
        <v>884</v>
      </c>
      <c r="L29" s="392" t="str">
        <f t="shared" si="0"/>
        <v>Jun-17</v>
      </c>
      <c r="M29" s="392" t="str">
        <f t="shared" si="1"/>
        <v>Sep-17</v>
      </c>
      <c r="N29" s="397" t="s">
        <v>1162</v>
      </c>
      <c r="O29" s="445" t="s">
        <v>695</v>
      </c>
      <c r="P29" s="538">
        <v>3030.14</v>
      </c>
      <c r="Q29" s="521"/>
      <c r="R29" s="538">
        <f t="shared" si="2"/>
        <v>3030.14</v>
      </c>
      <c r="S29" s="494">
        <f t="shared" si="3"/>
        <v>3333.154</v>
      </c>
      <c r="T29" s="539"/>
      <c r="U29" s="539"/>
      <c r="V29" s="389">
        <f t="shared" si="4"/>
        <v>0</v>
      </c>
      <c r="W29" s="388">
        <f t="shared" si="5"/>
        <v>3030.14</v>
      </c>
      <c r="X29" s="390">
        <f t="shared" si="6"/>
        <v>1</v>
      </c>
      <c r="Y29" s="608" t="s">
        <v>199</v>
      </c>
      <c r="Z29" s="392">
        <f t="shared" si="10"/>
        <v>42909</v>
      </c>
      <c r="AA29" s="383" t="s">
        <v>200</v>
      </c>
      <c r="AB29" s="442" t="s">
        <v>201</v>
      </c>
      <c r="AC29" s="392" t="s">
        <v>752</v>
      </c>
      <c r="AD29" s="392">
        <v>42843</v>
      </c>
      <c r="AE29" s="545"/>
      <c r="AF29" s="392">
        <v>42847</v>
      </c>
      <c r="AG29" s="546">
        <f>AF29-AD29</f>
        <v>4</v>
      </c>
      <c r="AJ29" s="553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 spans="1:63" s="218" customFormat="1" ht="14.35" customHeight="1">
      <c r="A30" s="545" t="s">
        <v>714</v>
      </c>
      <c r="B30" s="545" t="s">
        <v>190</v>
      </c>
      <c r="C30" s="386" t="s">
        <v>885</v>
      </c>
      <c r="D30" s="392">
        <v>42916</v>
      </c>
      <c r="E30" s="392">
        <v>42880</v>
      </c>
      <c r="F30" s="536">
        <v>42895</v>
      </c>
      <c r="G30" s="655">
        <v>42962</v>
      </c>
      <c r="H30" s="744">
        <v>42975</v>
      </c>
      <c r="I30" s="603">
        <v>42895</v>
      </c>
      <c r="J30" s="576">
        <v>42992</v>
      </c>
      <c r="K30" s="386" t="s">
        <v>884</v>
      </c>
      <c r="L30" s="392" t="str">
        <f t="shared" si="0"/>
        <v>Jun-17</v>
      </c>
      <c r="M30" s="392" t="str">
        <f t="shared" si="1"/>
        <v>Sep-17</v>
      </c>
      <c r="N30" s="397" t="s">
        <v>1162</v>
      </c>
      <c r="O30" s="445" t="s">
        <v>695</v>
      </c>
      <c r="P30" s="418"/>
      <c r="Q30" s="418">
        <v>1899.06</v>
      </c>
      <c r="R30" s="538">
        <f t="shared" si="2"/>
        <v>1899.06</v>
      </c>
      <c r="S30" s="494">
        <f t="shared" si="3"/>
        <v>2088.9659999999999</v>
      </c>
      <c r="T30" s="544"/>
      <c r="U30" s="544"/>
      <c r="V30" s="389">
        <f t="shared" si="4"/>
        <v>0</v>
      </c>
      <c r="W30" s="388">
        <f t="shared" si="5"/>
        <v>1899.06</v>
      </c>
      <c r="X30" s="390">
        <f t="shared" si="6"/>
        <v>1</v>
      </c>
      <c r="Y30" s="608" t="s">
        <v>199</v>
      </c>
      <c r="Z30" s="392">
        <f t="shared" si="10"/>
        <v>42909</v>
      </c>
      <c r="AA30" s="383" t="s">
        <v>200</v>
      </c>
      <c r="AB30" s="442" t="s">
        <v>201</v>
      </c>
      <c r="AC30" s="392" t="s">
        <v>752</v>
      </c>
      <c r="AD30" s="392">
        <v>42843</v>
      </c>
      <c r="AE30" s="545"/>
      <c r="AF30" s="392"/>
      <c r="AG30" s="546"/>
      <c r="AJ30" s="553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 spans="1:63" s="218" customFormat="1" ht="14.35" customHeight="1">
      <c r="A31" s="545" t="s">
        <v>715</v>
      </c>
      <c r="B31" s="545" t="s">
        <v>190</v>
      </c>
      <c r="C31" s="541" t="s">
        <v>878</v>
      </c>
      <c r="D31" s="386">
        <v>42916</v>
      </c>
      <c r="E31" s="392">
        <v>42894</v>
      </c>
      <c r="F31" s="392">
        <v>42894</v>
      </c>
      <c r="G31" s="733"/>
      <c r="H31" s="734"/>
      <c r="I31" s="576">
        <v>42927</v>
      </c>
      <c r="J31" s="576">
        <v>42957</v>
      </c>
      <c r="K31" s="386" t="s">
        <v>1003</v>
      </c>
      <c r="L31" s="392" t="str">
        <f t="shared" si="0"/>
        <v>Jun-17</v>
      </c>
      <c r="M31" s="392" t="str">
        <f t="shared" si="1"/>
        <v>Aug-17</v>
      </c>
      <c r="N31" s="397" t="s">
        <v>1079</v>
      </c>
      <c r="O31" s="445" t="s">
        <v>447</v>
      </c>
      <c r="P31" s="538">
        <v>10229.42</v>
      </c>
      <c r="Q31" s="521"/>
      <c r="R31" s="538">
        <f t="shared" si="2"/>
        <v>10229.42</v>
      </c>
      <c r="S31" s="494">
        <f t="shared" si="3"/>
        <v>11252.362000000001</v>
      </c>
      <c r="T31" s="539">
        <v>549.22</v>
      </c>
      <c r="U31" s="539"/>
      <c r="V31" s="389">
        <f t="shared" si="4"/>
        <v>549.22</v>
      </c>
      <c r="W31" s="388">
        <f t="shared" si="5"/>
        <v>9680.2000000000007</v>
      </c>
      <c r="X31" s="390">
        <f t="shared" si="6"/>
        <v>0.94630976145275103</v>
      </c>
      <c r="Y31" s="608" t="s">
        <v>199</v>
      </c>
      <c r="Z31" s="392">
        <f t="shared" si="10"/>
        <v>42908</v>
      </c>
      <c r="AA31" s="383" t="s">
        <v>200</v>
      </c>
      <c r="AB31" s="393" t="s">
        <v>757</v>
      </c>
      <c r="AC31" s="392" t="s">
        <v>752</v>
      </c>
      <c r="AD31" s="392">
        <v>42851</v>
      </c>
      <c r="AE31" s="545"/>
      <c r="AF31" s="392">
        <v>42830</v>
      </c>
      <c r="AG31" s="546">
        <f>AF31-AD31</f>
        <v>-21</v>
      </c>
      <c r="AJ31" s="553"/>
      <c r="AY31"/>
      <c r="AZ31"/>
      <c r="BA31"/>
      <c r="BB31"/>
      <c r="BC31"/>
      <c r="BD31"/>
      <c r="BE31"/>
      <c r="BF31"/>
      <c r="BG31"/>
      <c r="BH31"/>
      <c r="BI31"/>
      <c r="BJ31"/>
      <c r="BK31"/>
    </row>
    <row r="32" spans="1:63" s="218" customFormat="1" ht="14.35" customHeight="1">
      <c r="A32" s="545" t="s">
        <v>715</v>
      </c>
      <c r="B32" s="545" t="s">
        <v>764</v>
      </c>
      <c r="C32" s="386" t="s">
        <v>819</v>
      </c>
      <c r="D32" s="392">
        <v>42886</v>
      </c>
      <c r="E32" s="392">
        <v>42881</v>
      </c>
      <c r="F32" s="392">
        <v>42881</v>
      </c>
      <c r="G32" s="577">
        <v>42911</v>
      </c>
      <c r="H32" s="668">
        <v>42977</v>
      </c>
      <c r="I32" s="576">
        <v>42900</v>
      </c>
      <c r="J32" s="576">
        <v>43005</v>
      </c>
      <c r="K32" s="386"/>
      <c r="L32" s="392" t="str">
        <f t="shared" si="0"/>
        <v>May-17</v>
      </c>
      <c r="M32" s="392" t="str">
        <f t="shared" si="1"/>
        <v>Sep-17</v>
      </c>
      <c r="N32" s="397" t="s">
        <v>1085</v>
      </c>
      <c r="O32" s="445" t="s">
        <v>765</v>
      </c>
      <c r="P32" s="538">
        <v>4074.14</v>
      </c>
      <c r="Q32" s="418">
        <v>936.42678571428553</v>
      </c>
      <c r="R32" s="538">
        <f t="shared" si="2"/>
        <v>5010.5667857142853</v>
      </c>
      <c r="S32" s="494">
        <f t="shared" si="3"/>
        <v>5511.6234642857144</v>
      </c>
      <c r="T32" s="539"/>
      <c r="U32" s="539"/>
      <c r="V32" s="389">
        <f t="shared" si="4"/>
        <v>0</v>
      </c>
      <c r="W32" s="388">
        <f t="shared" si="5"/>
        <v>5010.5667857142853</v>
      </c>
      <c r="X32" s="390">
        <f t="shared" si="6"/>
        <v>1</v>
      </c>
      <c r="Y32" s="608" t="s">
        <v>199</v>
      </c>
      <c r="Z32" s="392">
        <f t="shared" si="10"/>
        <v>42895</v>
      </c>
      <c r="AA32" s="383" t="s">
        <v>200</v>
      </c>
      <c r="AB32" s="442" t="s">
        <v>201</v>
      </c>
      <c r="AC32" s="392">
        <v>42829</v>
      </c>
      <c r="AD32" s="392">
        <v>42851</v>
      </c>
      <c r="AE32" s="545">
        <f>AD32-AC32</f>
        <v>22</v>
      </c>
      <c r="AF32" s="392">
        <v>42839</v>
      </c>
      <c r="AG32" s="546">
        <f>AF32-AD32</f>
        <v>-12</v>
      </c>
      <c r="AJ32" s="553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 spans="1:63" s="218" customFormat="1" ht="14.35" customHeight="1">
      <c r="A33" s="545" t="s">
        <v>715</v>
      </c>
      <c r="B33" s="545" t="s">
        <v>722</v>
      </c>
      <c r="C33" s="386" t="s">
        <v>820</v>
      </c>
      <c r="D33" s="386">
        <v>42886</v>
      </c>
      <c r="E33" s="392">
        <v>42885</v>
      </c>
      <c r="F33" s="392">
        <v>42885</v>
      </c>
      <c r="G33" s="577">
        <v>42916</v>
      </c>
      <c r="H33" s="668">
        <v>42941</v>
      </c>
      <c r="I33" s="576">
        <v>42902</v>
      </c>
      <c r="J33" s="576">
        <v>42976</v>
      </c>
      <c r="K33" s="386"/>
      <c r="L33" s="392" t="str">
        <f t="shared" si="0"/>
        <v>May-17</v>
      </c>
      <c r="M33" s="392" t="str">
        <f t="shared" si="1"/>
        <v>Aug-17</v>
      </c>
      <c r="N33" s="397" t="s">
        <v>1071</v>
      </c>
      <c r="O33" s="445" t="s">
        <v>198</v>
      </c>
      <c r="P33" s="538">
        <v>2277.5100000000002</v>
      </c>
      <c r="Q33" s="418">
        <v>2122.87</v>
      </c>
      <c r="R33" s="538">
        <f t="shared" si="2"/>
        <v>4400.38</v>
      </c>
      <c r="S33" s="494">
        <f t="shared" si="3"/>
        <v>4840.4180000000006</v>
      </c>
      <c r="T33" s="539">
        <v>235</v>
      </c>
      <c r="U33" s="539"/>
      <c r="V33" s="389">
        <f t="shared" si="4"/>
        <v>235</v>
      </c>
      <c r="W33" s="388">
        <f t="shared" si="5"/>
        <v>4165.38</v>
      </c>
      <c r="X33" s="390">
        <f t="shared" si="6"/>
        <v>0.94659552129588809</v>
      </c>
      <c r="Y33" s="608" t="s">
        <v>199</v>
      </c>
      <c r="Z33" s="392">
        <f t="shared" si="10"/>
        <v>42899</v>
      </c>
      <c r="AA33" s="383" t="s">
        <v>200</v>
      </c>
      <c r="AB33" s="442" t="s">
        <v>201</v>
      </c>
      <c r="AC33" s="392">
        <v>42830</v>
      </c>
      <c r="AD33" s="392">
        <v>42851</v>
      </c>
      <c r="AE33" s="545">
        <f>AD33-AC33</f>
        <v>21</v>
      </c>
      <c r="AF33" s="392">
        <v>42843</v>
      </c>
      <c r="AG33" s="546">
        <f>AF33-AD33</f>
        <v>-8</v>
      </c>
      <c r="AJ33" s="55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 spans="1:63" s="218" customFormat="1" ht="14.35" customHeight="1">
      <c r="A34" s="545" t="s">
        <v>715</v>
      </c>
      <c r="B34" s="545" t="s">
        <v>722</v>
      </c>
      <c r="C34" s="386" t="s">
        <v>821</v>
      </c>
      <c r="D34" s="392">
        <v>42886</v>
      </c>
      <c r="E34" s="392">
        <v>42857</v>
      </c>
      <c r="F34" s="392">
        <v>42857</v>
      </c>
      <c r="G34" s="745"/>
      <c r="H34" s="746"/>
      <c r="I34" s="603">
        <v>42870</v>
      </c>
      <c r="J34" s="577">
        <v>42942</v>
      </c>
      <c r="K34" s="386" t="s">
        <v>960</v>
      </c>
      <c r="L34" s="392" t="str">
        <f t="shared" ref="L34:L65" si="11">TEXT(F34,"mmm-yy")</f>
        <v>May-17</v>
      </c>
      <c r="M34" s="392" t="str">
        <f t="shared" ref="M34:M65" si="12">TEXT(J34,"mmm-yy")</f>
        <v>Jul-17</v>
      </c>
      <c r="N34" s="397" t="s">
        <v>1072</v>
      </c>
      <c r="O34" s="445" t="s">
        <v>769</v>
      </c>
      <c r="P34" s="538">
        <v>2943.37</v>
      </c>
      <c r="Q34" s="521"/>
      <c r="R34" s="538">
        <f t="shared" si="2"/>
        <v>2943.37</v>
      </c>
      <c r="S34" s="494">
        <f t="shared" ref="S34:S65" si="13">R34*1.1</f>
        <v>3237.7070000000003</v>
      </c>
      <c r="T34" s="539"/>
      <c r="U34" s="539"/>
      <c r="V34" s="389">
        <f t="shared" ref="V34:V65" si="14">SUM(T34:U34)</f>
        <v>0</v>
      </c>
      <c r="W34" s="388">
        <f t="shared" ref="W34:W65" si="15">R34-V34</f>
        <v>2943.37</v>
      </c>
      <c r="X34" s="390">
        <f t="shared" ref="X34:X65" si="16">W34/R34</f>
        <v>1</v>
      </c>
      <c r="Y34" s="608" t="s">
        <v>199</v>
      </c>
      <c r="Z34" s="392">
        <f t="shared" si="10"/>
        <v>42871</v>
      </c>
      <c r="AA34" s="383" t="s">
        <v>200</v>
      </c>
      <c r="AB34" s="442" t="s">
        <v>201</v>
      </c>
      <c r="AC34" s="392">
        <v>42780</v>
      </c>
      <c r="AD34" s="392">
        <v>42795</v>
      </c>
      <c r="AE34" s="545">
        <f>AD34-AC34</f>
        <v>15</v>
      </c>
      <c r="AF34" s="392">
        <v>42796</v>
      </c>
      <c r="AG34" s="546">
        <f>AF34-AD34</f>
        <v>1</v>
      </c>
      <c r="AJ34" s="553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 spans="1:63" s="218" customFormat="1" ht="14.35" customHeight="1">
      <c r="A35" s="545" t="s">
        <v>714</v>
      </c>
      <c r="B35" s="545" t="s">
        <v>190</v>
      </c>
      <c r="C35" s="386" t="s">
        <v>1194</v>
      </c>
      <c r="D35" s="386">
        <v>42997</v>
      </c>
      <c r="E35" s="392">
        <v>42900</v>
      </c>
      <c r="F35" s="392">
        <v>42900</v>
      </c>
      <c r="G35" s="634">
        <v>42957</v>
      </c>
      <c r="H35" s="663">
        <v>42978</v>
      </c>
      <c r="I35" s="577">
        <v>42927</v>
      </c>
      <c r="J35" s="576">
        <v>43007</v>
      </c>
      <c r="K35" s="543"/>
      <c r="L35" s="392" t="str">
        <f t="shared" si="11"/>
        <v>Jun-17</v>
      </c>
      <c r="M35" s="392" t="str">
        <f t="shared" si="12"/>
        <v>Sep-17</v>
      </c>
      <c r="N35" s="397" t="s">
        <v>1077</v>
      </c>
      <c r="O35" s="445" t="s">
        <v>770</v>
      </c>
      <c r="P35" s="538">
        <v>621.32000000000005</v>
      </c>
      <c r="Q35" s="418">
        <v>340.31</v>
      </c>
      <c r="R35" s="538">
        <f t="shared" si="2"/>
        <v>961.63000000000011</v>
      </c>
      <c r="S35" s="494">
        <f t="shared" si="13"/>
        <v>1057.7930000000001</v>
      </c>
      <c r="T35" s="539"/>
      <c r="U35" s="539"/>
      <c r="V35" s="389">
        <f t="shared" si="14"/>
        <v>0</v>
      </c>
      <c r="W35" s="388">
        <f t="shared" si="15"/>
        <v>961.63000000000011</v>
      </c>
      <c r="X35" s="390">
        <f t="shared" si="16"/>
        <v>1</v>
      </c>
      <c r="Y35" s="608" t="s">
        <v>199</v>
      </c>
      <c r="Z35" s="392">
        <f t="shared" si="10"/>
        <v>42914</v>
      </c>
      <c r="AA35" s="383" t="s">
        <v>200</v>
      </c>
      <c r="AB35" s="442" t="s">
        <v>201</v>
      </c>
      <c r="AC35" s="392" t="s">
        <v>752</v>
      </c>
      <c r="AD35" s="392">
        <v>42857</v>
      </c>
      <c r="AE35" s="545"/>
      <c r="AF35" s="392"/>
      <c r="AG35" s="546"/>
      <c r="AJ35" s="553"/>
      <c r="AY35"/>
      <c r="AZ35"/>
      <c r="BA35"/>
      <c r="BB35"/>
      <c r="BC35"/>
      <c r="BD35"/>
      <c r="BE35"/>
      <c r="BF35"/>
      <c r="BG35"/>
      <c r="BH35"/>
      <c r="BI35"/>
      <c r="BJ35"/>
      <c r="BK35"/>
    </row>
    <row r="36" spans="1:63" s="218" customFormat="1" ht="14.35" customHeight="1">
      <c r="A36" s="545" t="s">
        <v>715</v>
      </c>
      <c r="B36" s="545" t="s">
        <v>724</v>
      </c>
      <c r="C36" s="386" t="s">
        <v>1216</v>
      </c>
      <c r="D36" s="386">
        <v>43011</v>
      </c>
      <c r="E36" s="392">
        <v>42937</v>
      </c>
      <c r="F36" s="392">
        <v>42937</v>
      </c>
      <c r="G36" s="636">
        <v>42983</v>
      </c>
      <c r="H36" s="722">
        <v>42996</v>
      </c>
      <c r="I36" s="576">
        <v>42955</v>
      </c>
      <c r="J36" s="577">
        <v>43013</v>
      </c>
      <c r="K36" s="386" t="s">
        <v>939</v>
      </c>
      <c r="L36" s="392" t="str">
        <f t="shared" si="11"/>
        <v>Jul-17</v>
      </c>
      <c r="M36" s="392" t="str">
        <f t="shared" si="12"/>
        <v>Oct-17</v>
      </c>
      <c r="N36" s="445" t="s">
        <v>1215</v>
      </c>
      <c r="O36" s="445" t="s">
        <v>771</v>
      </c>
      <c r="P36" s="538">
        <v>7728.82</v>
      </c>
      <c r="Q36" s="551">
        <v>12183.400428571427</v>
      </c>
      <c r="R36" s="538">
        <f t="shared" si="2"/>
        <v>19912.220428571425</v>
      </c>
      <c r="S36" s="494">
        <f t="shared" si="13"/>
        <v>21903.442471428571</v>
      </c>
      <c r="T36" s="539">
        <v>9914.77</v>
      </c>
      <c r="U36" s="539"/>
      <c r="V36" s="389">
        <f t="shared" si="14"/>
        <v>9914.77</v>
      </c>
      <c r="W36" s="388">
        <f t="shared" si="15"/>
        <v>9997.4504285714247</v>
      </c>
      <c r="X36" s="390">
        <f t="shared" si="16"/>
        <v>0.50207612277264646</v>
      </c>
      <c r="Y36" s="608" t="s">
        <v>199</v>
      </c>
      <c r="Z36" s="392">
        <f t="shared" si="10"/>
        <v>42951</v>
      </c>
      <c r="AA36" s="383" t="s">
        <v>200</v>
      </c>
      <c r="AB36" s="442" t="s">
        <v>220</v>
      </c>
      <c r="AC36" s="392">
        <v>42835</v>
      </c>
      <c r="AD36" s="392">
        <v>42858</v>
      </c>
      <c r="AE36" s="545">
        <f>AD36-AC36</f>
        <v>23</v>
      </c>
      <c r="AF36" s="392">
        <v>42851</v>
      </c>
      <c r="AG36" s="546">
        <f>AF36-AD36</f>
        <v>-7</v>
      </c>
      <c r="AJ36" s="553"/>
      <c r="AY36"/>
      <c r="AZ36"/>
      <c r="BA36"/>
      <c r="BB36"/>
      <c r="BC36"/>
      <c r="BD36"/>
      <c r="BE36"/>
      <c r="BF36"/>
      <c r="BG36"/>
      <c r="BH36"/>
      <c r="BI36"/>
      <c r="BJ36"/>
      <c r="BK36"/>
    </row>
    <row r="37" spans="1:63" s="587" customFormat="1" ht="14.35" customHeight="1">
      <c r="A37" s="586" t="s">
        <v>715</v>
      </c>
      <c r="B37" s="586" t="s">
        <v>722</v>
      </c>
      <c r="C37" s="386" t="s">
        <v>880</v>
      </c>
      <c r="D37" s="541">
        <v>42916</v>
      </c>
      <c r="E37" s="536">
        <v>42905</v>
      </c>
      <c r="F37" s="536">
        <v>42911</v>
      </c>
      <c r="G37" s="634">
        <v>42919</v>
      </c>
      <c r="H37" s="663">
        <v>42983</v>
      </c>
      <c r="I37" s="577">
        <v>42956</v>
      </c>
      <c r="J37" s="577">
        <v>43005</v>
      </c>
      <c r="K37" s="541" t="s">
        <v>882</v>
      </c>
      <c r="L37" s="536" t="str">
        <f t="shared" si="11"/>
        <v>Jun-17</v>
      </c>
      <c r="M37" s="392" t="str">
        <f t="shared" si="12"/>
        <v>Sep-17</v>
      </c>
      <c r="N37" s="445" t="s">
        <v>881</v>
      </c>
      <c r="O37" s="445" t="s">
        <v>772</v>
      </c>
      <c r="P37" s="552">
        <v>4242.71</v>
      </c>
      <c r="Q37" s="551">
        <v>2751.05</v>
      </c>
      <c r="R37" s="552">
        <f t="shared" si="2"/>
        <v>6993.76</v>
      </c>
      <c r="S37" s="494">
        <f t="shared" si="13"/>
        <v>7693.1360000000004</v>
      </c>
      <c r="T37" s="409"/>
      <c r="U37" s="409"/>
      <c r="V37" s="389">
        <f t="shared" si="14"/>
        <v>0</v>
      </c>
      <c r="W37" s="389">
        <f t="shared" si="15"/>
        <v>6993.76</v>
      </c>
      <c r="X37" s="589">
        <f t="shared" si="16"/>
        <v>1</v>
      </c>
      <c r="Y37" s="608" t="s">
        <v>199</v>
      </c>
      <c r="Z37" s="536">
        <f t="shared" si="10"/>
        <v>42925</v>
      </c>
      <c r="AA37" s="383" t="s">
        <v>200</v>
      </c>
      <c r="AB37" s="590" t="s">
        <v>201</v>
      </c>
      <c r="AC37" s="536">
        <v>42844</v>
      </c>
      <c r="AD37" s="536">
        <v>42860</v>
      </c>
      <c r="AE37" s="545">
        <f>AD37-AC37</f>
        <v>16</v>
      </c>
      <c r="AF37" s="536">
        <v>42857</v>
      </c>
      <c r="AG37" s="546">
        <f>AF37-AD37</f>
        <v>-3</v>
      </c>
      <c r="AJ37" s="588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 spans="1:63" s="587" customFormat="1" ht="14.35" customHeight="1">
      <c r="A38" s="586" t="s">
        <v>714</v>
      </c>
      <c r="B38" s="586" t="s">
        <v>190</v>
      </c>
      <c r="C38" s="541" t="s">
        <v>893</v>
      </c>
      <c r="D38" s="541">
        <v>42912</v>
      </c>
      <c r="E38" s="536">
        <v>42886</v>
      </c>
      <c r="F38" s="536">
        <v>42885</v>
      </c>
      <c r="G38" s="747"/>
      <c r="H38" s="748"/>
      <c r="I38" s="731">
        <v>42893</v>
      </c>
      <c r="J38" s="576">
        <v>42957</v>
      </c>
      <c r="K38" s="543" t="s">
        <v>1004</v>
      </c>
      <c r="L38" s="536" t="str">
        <f t="shared" si="11"/>
        <v>May-17</v>
      </c>
      <c r="M38" s="392" t="str">
        <f t="shared" si="12"/>
        <v>Aug-17</v>
      </c>
      <c r="N38" s="445" t="s">
        <v>1023</v>
      </c>
      <c r="O38" s="445" t="s">
        <v>725</v>
      </c>
      <c r="P38" s="418">
        <v>1134.2699999999998</v>
      </c>
      <c r="Q38" s="578"/>
      <c r="R38" s="418">
        <f t="shared" si="2"/>
        <v>1134.2699999999998</v>
      </c>
      <c r="S38" s="494">
        <f t="shared" si="13"/>
        <v>1247.6969999999999</v>
      </c>
      <c r="T38" s="418"/>
      <c r="U38" s="418"/>
      <c r="V38" s="389">
        <f t="shared" si="14"/>
        <v>0</v>
      </c>
      <c r="W38" s="389">
        <f t="shared" si="15"/>
        <v>1134.2699999999998</v>
      </c>
      <c r="X38" s="589">
        <f t="shared" si="16"/>
        <v>1</v>
      </c>
      <c r="Y38" s="608" t="s">
        <v>199</v>
      </c>
      <c r="Z38" s="536">
        <f t="shared" si="10"/>
        <v>42899</v>
      </c>
      <c r="AA38" s="383" t="s">
        <v>200</v>
      </c>
      <c r="AB38" s="590" t="s">
        <v>210</v>
      </c>
      <c r="AC38" s="536" t="s">
        <v>752</v>
      </c>
      <c r="AD38" s="536">
        <v>42859</v>
      </c>
      <c r="AE38" s="586"/>
      <c r="AF38" s="536"/>
      <c r="AG38" s="591"/>
      <c r="AJ38" s="58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 spans="1:63" s="587" customFormat="1" ht="14.35" customHeight="1">
      <c r="A39" s="586" t="s">
        <v>715</v>
      </c>
      <c r="B39" s="586" t="s">
        <v>179</v>
      </c>
      <c r="C39" s="386" t="s">
        <v>1026</v>
      </c>
      <c r="D39" s="541">
        <v>42964</v>
      </c>
      <c r="E39" s="536">
        <v>42919</v>
      </c>
      <c r="F39" s="536">
        <v>42919</v>
      </c>
      <c r="G39" s="747"/>
      <c r="H39" s="748"/>
      <c r="I39" s="576">
        <v>42955</v>
      </c>
      <c r="J39" s="577">
        <v>42971</v>
      </c>
      <c r="K39" s="541"/>
      <c r="L39" s="536" t="str">
        <f t="shared" si="11"/>
        <v>Jul-17</v>
      </c>
      <c r="M39" s="392" t="str">
        <f t="shared" si="12"/>
        <v>Aug-17</v>
      </c>
      <c r="N39" s="379" t="s">
        <v>935</v>
      </c>
      <c r="O39" s="445" t="s">
        <v>773</v>
      </c>
      <c r="P39" s="552">
        <v>3471.5</v>
      </c>
      <c r="Q39" s="578"/>
      <c r="R39" s="552">
        <f t="shared" si="2"/>
        <v>3471.5</v>
      </c>
      <c r="S39" s="494">
        <f t="shared" si="13"/>
        <v>3818.65</v>
      </c>
      <c r="T39" s="409"/>
      <c r="U39" s="409"/>
      <c r="V39" s="389">
        <f t="shared" si="14"/>
        <v>0</v>
      </c>
      <c r="W39" s="389">
        <f t="shared" si="15"/>
        <v>3471.5</v>
      </c>
      <c r="X39" s="589">
        <f t="shared" si="16"/>
        <v>1</v>
      </c>
      <c r="Y39" s="608" t="s">
        <v>199</v>
      </c>
      <c r="Z39" s="536">
        <f t="shared" si="10"/>
        <v>42933</v>
      </c>
      <c r="AA39" s="383" t="s">
        <v>200</v>
      </c>
      <c r="AB39" s="590" t="s">
        <v>220</v>
      </c>
      <c r="AC39" s="536">
        <v>42844</v>
      </c>
      <c r="AD39" s="536">
        <v>42860</v>
      </c>
      <c r="AE39" s="545">
        <f>AD39-AC39</f>
        <v>16</v>
      </c>
      <c r="AF39" s="536">
        <v>42857</v>
      </c>
      <c r="AG39" s="546">
        <f>AF39-AD39</f>
        <v>-3</v>
      </c>
      <c r="AJ39" s="588"/>
      <c r="AY39"/>
      <c r="AZ39"/>
      <c r="BA39"/>
      <c r="BB39"/>
      <c r="BC39"/>
      <c r="BD39"/>
      <c r="BE39"/>
      <c r="BF39"/>
      <c r="BG39"/>
      <c r="BH39"/>
      <c r="BI39"/>
      <c r="BJ39"/>
      <c r="BK39"/>
    </row>
    <row r="40" spans="1:63" s="587" customFormat="1" ht="14.35" customHeight="1">
      <c r="A40" s="586" t="s">
        <v>714</v>
      </c>
      <c r="B40" s="586" t="s">
        <v>190</v>
      </c>
      <c r="C40" s="541" t="s">
        <v>883</v>
      </c>
      <c r="D40" s="541">
        <v>42916</v>
      </c>
      <c r="E40" s="536">
        <v>42888</v>
      </c>
      <c r="F40" s="536">
        <v>42887</v>
      </c>
      <c r="G40" s="747"/>
      <c r="H40" s="748"/>
      <c r="I40" s="731">
        <v>42899</v>
      </c>
      <c r="J40" s="576">
        <v>42957</v>
      </c>
      <c r="K40" s="386" t="s">
        <v>1005</v>
      </c>
      <c r="L40" s="536" t="str">
        <f t="shared" si="11"/>
        <v>Jun-17</v>
      </c>
      <c r="M40" s="392" t="str">
        <f t="shared" si="12"/>
        <v>Aug-17</v>
      </c>
      <c r="N40" s="445" t="s">
        <v>1330</v>
      </c>
      <c r="O40" s="445" t="s">
        <v>695</v>
      </c>
      <c r="P40" s="552">
        <v>345.37</v>
      </c>
      <c r="Q40" s="418">
        <f>485.33-P40</f>
        <v>139.95999999999998</v>
      </c>
      <c r="R40" s="538">
        <f t="shared" si="2"/>
        <v>485.33</v>
      </c>
      <c r="S40" s="494">
        <f t="shared" si="13"/>
        <v>533.86300000000006</v>
      </c>
      <c r="T40" s="409"/>
      <c r="U40" s="409"/>
      <c r="V40" s="389">
        <f t="shared" si="14"/>
        <v>0</v>
      </c>
      <c r="W40" s="389">
        <f t="shared" si="15"/>
        <v>485.33</v>
      </c>
      <c r="X40" s="589">
        <f t="shared" si="16"/>
        <v>1</v>
      </c>
      <c r="Y40" s="608" t="s">
        <v>199</v>
      </c>
      <c r="Z40" s="536">
        <f t="shared" si="10"/>
        <v>42901</v>
      </c>
      <c r="AA40" s="383" t="s">
        <v>200</v>
      </c>
      <c r="AB40" s="590" t="s">
        <v>210</v>
      </c>
      <c r="AC40" s="536" t="s">
        <v>752</v>
      </c>
      <c r="AD40" s="536">
        <v>42859</v>
      </c>
      <c r="AE40" s="586"/>
      <c r="AF40" s="536"/>
      <c r="AG40" s="591"/>
      <c r="AJ40" s="588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</row>
    <row r="41" spans="1:63" s="379" customFormat="1" ht="14.35">
      <c r="A41" s="586" t="s">
        <v>714</v>
      </c>
      <c r="B41" s="586" t="s">
        <v>190</v>
      </c>
      <c r="C41" s="386" t="s">
        <v>1199</v>
      </c>
      <c r="D41" s="541">
        <v>43035</v>
      </c>
      <c r="E41" s="536">
        <v>42921</v>
      </c>
      <c r="F41" s="536">
        <v>42921</v>
      </c>
      <c r="G41" s="634">
        <v>42956</v>
      </c>
      <c r="H41" s="663">
        <v>42989</v>
      </c>
      <c r="I41" s="577">
        <v>42989</v>
      </c>
      <c r="J41" s="577">
        <v>43006</v>
      </c>
      <c r="K41" s="541"/>
      <c r="L41" s="536" t="str">
        <f t="shared" si="11"/>
        <v>Jul-17</v>
      </c>
      <c r="M41" s="392" t="str">
        <f t="shared" si="12"/>
        <v>Sep-17</v>
      </c>
      <c r="N41" s="445" t="s">
        <v>1100</v>
      </c>
      <c r="O41" s="445" t="s">
        <v>458</v>
      </c>
      <c r="P41" s="552">
        <v>1532.61</v>
      </c>
      <c r="Q41" s="551">
        <v>1946.79</v>
      </c>
      <c r="R41" s="552">
        <f t="shared" si="2"/>
        <v>3479.3999999999996</v>
      </c>
      <c r="S41" s="494">
        <f t="shared" si="13"/>
        <v>3827.3399999999997</v>
      </c>
      <c r="T41" s="409">
        <v>935.3</v>
      </c>
      <c r="U41" s="409"/>
      <c r="V41" s="389">
        <f t="shared" si="14"/>
        <v>935.3</v>
      </c>
      <c r="W41" s="389">
        <f t="shared" si="15"/>
        <v>2544.0999999999995</v>
      </c>
      <c r="X41" s="589">
        <f t="shared" si="16"/>
        <v>0.73118928550899576</v>
      </c>
      <c r="Y41" s="608" t="s">
        <v>199</v>
      </c>
      <c r="Z41" s="536">
        <f t="shared" si="10"/>
        <v>42935</v>
      </c>
      <c r="AA41" s="383" t="s">
        <v>200</v>
      </c>
      <c r="AB41" s="590" t="s">
        <v>223</v>
      </c>
      <c r="AC41" s="536" t="s">
        <v>752</v>
      </c>
      <c r="AD41" s="536">
        <v>42866</v>
      </c>
      <c r="AE41" s="586"/>
      <c r="AF41" s="536"/>
      <c r="AG41" s="591"/>
      <c r="AJ41" s="592"/>
      <c r="AK41" s="587"/>
      <c r="AL41" s="587"/>
      <c r="AM41" s="704"/>
      <c r="AO41" s="218"/>
      <c r="AP41" s="218"/>
      <c r="AQ41" s="704"/>
      <c r="AR41" s="704"/>
      <c r="AS41" s="704"/>
      <c r="AT41" s="704"/>
    </row>
    <row r="42" spans="1:63" s="587" customFormat="1" ht="14.35">
      <c r="A42" s="586" t="s">
        <v>714</v>
      </c>
      <c r="B42" s="586" t="s">
        <v>190</v>
      </c>
      <c r="C42" s="541" t="s">
        <v>888</v>
      </c>
      <c r="D42" s="541">
        <v>42916</v>
      </c>
      <c r="E42" s="536">
        <v>42900</v>
      </c>
      <c r="F42" s="536">
        <v>42900</v>
      </c>
      <c r="G42" s="636">
        <v>42956</v>
      </c>
      <c r="H42" s="722">
        <v>42961</v>
      </c>
      <c r="I42" s="577">
        <v>42930</v>
      </c>
      <c r="J42" s="577">
        <v>42971</v>
      </c>
      <c r="K42" s="386" t="s">
        <v>992</v>
      </c>
      <c r="L42" s="536" t="str">
        <f t="shared" si="11"/>
        <v>Jun-17</v>
      </c>
      <c r="M42" s="392" t="str">
        <f t="shared" si="12"/>
        <v>Aug-17</v>
      </c>
      <c r="N42" s="445" t="s">
        <v>1329</v>
      </c>
      <c r="O42" s="445" t="s">
        <v>774</v>
      </c>
      <c r="P42" s="552">
        <v>1166.1099999999999</v>
      </c>
      <c r="Q42" s="551">
        <v>7788.37</v>
      </c>
      <c r="R42" s="552">
        <f t="shared" si="2"/>
        <v>8954.48</v>
      </c>
      <c r="S42" s="494">
        <f t="shared" si="13"/>
        <v>9849.9279999999999</v>
      </c>
      <c r="T42" s="409"/>
      <c r="U42" s="409"/>
      <c r="V42" s="389">
        <f t="shared" si="14"/>
        <v>0</v>
      </c>
      <c r="W42" s="389">
        <f t="shared" si="15"/>
        <v>8954.48</v>
      </c>
      <c r="X42" s="589">
        <f t="shared" si="16"/>
        <v>1</v>
      </c>
      <c r="Y42" s="608" t="s">
        <v>199</v>
      </c>
      <c r="Z42" s="536">
        <f t="shared" si="10"/>
        <v>42914</v>
      </c>
      <c r="AA42" s="383" t="s">
        <v>200</v>
      </c>
      <c r="AB42" s="590" t="s">
        <v>693</v>
      </c>
      <c r="AC42" s="536" t="s">
        <v>752</v>
      </c>
      <c r="AD42" s="536">
        <v>42859</v>
      </c>
      <c r="AE42" s="586"/>
      <c r="AF42" s="536"/>
      <c r="AG42" s="591"/>
      <c r="AJ42" s="588"/>
      <c r="AL42" s="704"/>
      <c r="AM42"/>
      <c r="AN42" s="218"/>
      <c r="AO42" s="218"/>
      <c r="AP42" s="218"/>
      <c r="AQ42" s="704"/>
      <c r="AR42" s="704"/>
      <c r="AS42" s="704"/>
      <c r="AT42" s="704"/>
    </row>
    <row r="43" spans="1:63" s="379" customFormat="1" ht="14.35" customHeight="1">
      <c r="A43" s="586" t="s">
        <v>714</v>
      </c>
      <c r="B43" s="586" t="s">
        <v>190</v>
      </c>
      <c r="C43" s="386" t="s">
        <v>1275</v>
      </c>
      <c r="D43" s="541">
        <v>43026</v>
      </c>
      <c r="E43" s="536">
        <v>42916</v>
      </c>
      <c r="F43" s="536">
        <v>42917</v>
      </c>
      <c r="G43" s="634">
        <v>42956</v>
      </c>
      <c r="H43" s="663">
        <v>42985</v>
      </c>
      <c r="I43" s="576">
        <v>42955</v>
      </c>
      <c r="J43" s="576">
        <v>43032</v>
      </c>
      <c r="K43" s="541" t="s">
        <v>991</v>
      </c>
      <c r="L43" s="536" t="str">
        <f t="shared" si="11"/>
        <v>Jul-17</v>
      </c>
      <c r="M43" s="392" t="str">
        <f t="shared" si="12"/>
        <v>Oct-17</v>
      </c>
      <c r="N43" s="445" t="s">
        <v>1057</v>
      </c>
      <c r="O43" s="445" t="s">
        <v>745</v>
      </c>
      <c r="P43" s="552">
        <v>1633.8</v>
      </c>
      <c r="Q43" s="551">
        <v>826.67</v>
      </c>
      <c r="R43" s="552">
        <f t="shared" si="2"/>
        <v>2460.4699999999998</v>
      </c>
      <c r="S43" s="494">
        <f t="shared" si="13"/>
        <v>2706.5169999999998</v>
      </c>
      <c r="T43" s="409"/>
      <c r="U43" s="409"/>
      <c r="V43" s="389">
        <f t="shared" si="14"/>
        <v>0</v>
      </c>
      <c r="W43" s="389">
        <f t="shared" si="15"/>
        <v>2460.4699999999998</v>
      </c>
      <c r="X43" s="589">
        <f t="shared" si="16"/>
        <v>1</v>
      </c>
      <c r="Y43" s="608" t="s">
        <v>199</v>
      </c>
      <c r="Z43" s="536">
        <f t="shared" si="10"/>
        <v>42931</v>
      </c>
      <c r="AA43" s="383" t="s">
        <v>200</v>
      </c>
      <c r="AB43" s="590" t="s">
        <v>223</v>
      </c>
      <c r="AC43" s="536" t="s">
        <v>752</v>
      </c>
      <c r="AD43" s="536">
        <v>42863</v>
      </c>
      <c r="AE43" s="586"/>
      <c r="AF43" s="536"/>
      <c r="AG43" s="591"/>
      <c r="AJ43" s="592"/>
      <c r="AL43" s="6"/>
      <c r="AM43" s="31"/>
      <c r="AO43" s="218"/>
      <c r="AP43" s="218"/>
      <c r="AQ43" s="704"/>
      <c r="AR43" s="704"/>
      <c r="AS43" s="704"/>
      <c r="AT43" s="704"/>
    </row>
    <row r="44" spans="1:63" s="379" customFormat="1" ht="14.35" customHeight="1">
      <c r="A44" s="586" t="s">
        <v>714</v>
      </c>
      <c r="B44" s="586" t="s">
        <v>190</v>
      </c>
      <c r="C44" s="541"/>
      <c r="D44" s="541"/>
      <c r="E44" s="536"/>
      <c r="F44" s="392">
        <v>43311</v>
      </c>
      <c r="G44" s="741"/>
      <c r="H44" s="742"/>
      <c r="I44" s="741"/>
      <c r="J44" s="741"/>
      <c r="K44" s="541"/>
      <c r="L44" s="536" t="str">
        <f t="shared" si="11"/>
        <v>Jul-18</v>
      </c>
      <c r="M44" s="392" t="str">
        <f t="shared" si="12"/>
        <v>Jan-00</v>
      </c>
      <c r="N44" s="445" t="s">
        <v>1183</v>
      </c>
      <c r="O44" s="445" t="s">
        <v>743</v>
      </c>
      <c r="P44" s="552">
        <v>1056.78</v>
      </c>
      <c r="Q44" s="551"/>
      <c r="R44" s="552">
        <f t="shared" si="2"/>
        <v>1056.78</v>
      </c>
      <c r="S44" s="494">
        <f t="shared" si="13"/>
        <v>1162.4580000000001</v>
      </c>
      <c r="T44" s="409">
        <v>235</v>
      </c>
      <c r="U44" s="409"/>
      <c r="V44" s="389">
        <f t="shared" si="14"/>
        <v>235</v>
      </c>
      <c r="W44" s="389">
        <f t="shared" si="15"/>
        <v>821.78</v>
      </c>
      <c r="X44" s="589">
        <f t="shared" si="16"/>
        <v>0.77762637445825999</v>
      </c>
      <c r="Y44" s="586"/>
      <c r="Z44" s="536">
        <f t="shared" si="10"/>
        <v>43325</v>
      </c>
      <c r="AA44" s="445"/>
      <c r="AB44" s="590" t="s">
        <v>223</v>
      </c>
      <c r="AC44" s="536" t="s">
        <v>752</v>
      </c>
      <c r="AD44" s="536">
        <v>42863</v>
      </c>
      <c r="AE44" s="586"/>
      <c r="AF44" s="536"/>
      <c r="AG44" s="591"/>
      <c r="AJ44" s="592"/>
      <c r="AL44" s="6"/>
      <c r="AM44" s="31"/>
      <c r="AO44" s="218"/>
      <c r="AP44" s="218"/>
      <c r="AQ44" s="704"/>
      <c r="AR44" s="704"/>
      <c r="AS44" s="704"/>
    </row>
    <row r="45" spans="1:63" s="379" customFormat="1" ht="14.35" customHeight="1">
      <c r="A45" s="586" t="s">
        <v>714</v>
      </c>
      <c r="B45" s="586" t="s">
        <v>190</v>
      </c>
      <c r="C45" s="386" t="s">
        <v>1175</v>
      </c>
      <c r="D45" s="541">
        <v>42993</v>
      </c>
      <c r="E45" s="536">
        <v>42927</v>
      </c>
      <c r="F45" s="536">
        <v>42927</v>
      </c>
      <c r="G45" s="640">
        <v>42956</v>
      </c>
      <c r="H45" s="670">
        <v>42979</v>
      </c>
      <c r="I45" s="576">
        <v>42955</v>
      </c>
      <c r="J45" s="576">
        <v>42999</v>
      </c>
      <c r="K45" s="541"/>
      <c r="L45" s="536" t="str">
        <f t="shared" si="11"/>
        <v>Jul-17</v>
      </c>
      <c r="M45" s="392" t="str">
        <f t="shared" si="12"/>
        <v>Sep-17</v>
      </c>
      <c r="N45" s="445" t="s">
        <v>1058</v>
      </c>
      <c r="O45" s="445" t="s">
        <v>458</v>
      </c>
      <c r="P45" s="552">
        <v>1317.54</v>
      </c>
      <c r="Q45" s="551">
        <v>7782.07</v>
      </c>
      <c r="R45" s="552">
        <f t="shared" si="2"/>
        <v>9099.61</v>
      </c>
      <c r="S45" s="494">
        <f t="shared" si="13"/>
        <v>10009.571000000002</v>
      </c>
      <c r="T45" s="409">
        <v>2486.86</v>
      </c>
      <c r="U45" s="409"/>
      <c r="V45" s="389">
        <f t="shared" si="14"/>
        <v>2486.86</v>
      </c>
      <c r="W45" s="389">
        <f t="shared" si="15"/>
        <v>6612.75</v>
      </c>
      <c r="X45" s="589">
        <f t="shared" si="16"/>
        <v>0.72670696876019958</v>
      </c>
      <c r="Y45" s="608" t="s">
        <v>199</v>
      </c>
      <c r="Z45" s="536">
        <f t="shared" si="10"/>
        <v>42941</v>
      </c>
      <c r="AA45" s="383" t="s">
        <v>200</v>
      </c>
      <c r="AB45" s="590" t="s">
        <v>693</v>
      </c>
      <c r="AC45" s="536" t="s">
        <v>752</v>
      </c>
      <c r="AD45" s="536">
        <v>42866</v>
      </c>
      <c r="AE45" s="586"/>
      <c r="AF45" s="536"/>
      <c r="AG45" s="591"/>
      <c r="AJ45" s="592"/>
      <c r="AL45" s="6"/>
      <c r="AM45" s="31"/>
      <c r="AO45" s="218"/>
      <c r="AP45" s="218"/>
      <c r="AQ45" s="704"/>
      <c r="AR45" s="704"/>
      <c r="AS45" s="704"/>
    </row>
    <row r="46" spans="1:63" s="379" customFormat="1" ht="14.35" customHeight="1">
      <c r="A46" s="586" t="s">
        <v>714</v>
      </c>
      <c r="B46" s="586" t="s">
        <v>190</v>
      </c>
      <c r="C46" s="541" t="s">
        <v>2149</v>
      </c>
      <c r="D46" s="541">
        <v>43123</v>
      </c>
      <c r="E46" s="536">
        <v>43062</v>
      </c>
      <c r="F46" s="392">
        <v>43062</v>
      </c>
      <c r="G46" s="731">
        <v>43073</v>
      </c>
      <c r="H46" s="732">
        <v>43077</v>
      </c>
      <c r="I46" s="577">
        <v>43083</v>
      </c>
      <c r="J46" s="577">
        <v>43137</v>
      </c>
      <c r="K46" s="541"/>
      <c r="L46" s="536" t="str">
        <f>TEXT(F46,"mmm-yy")</f>
        <v>Nov-17</v>
      </c>
      <c r="M46" s="392" t="str">
        <f>TEXT(J46,"mmm-yy")</f>
        <v>Feb-18</v>
      </c>
      <c r="N46" s="445" t="s">
        <v>1184</v>
      </c>
      <c r="O46" s="445" t="s">
        <v>796</v>
      </c>
      <c r="P46" s="551">
        <v>2134.75</v>
      </c>
      <c r="Q46" s="551">
        <v>8039.13</v>
      </c>
      <c r="R46" s="552">
        <f>SUM(P46:Q46)</f>
        <v>10173.880000000001</v>
      </c>
      <c r="S46" s="494">
        <f>R46*1.1</f>
        <v>11191.268000000002</v>
      </c>
      <c r="T46" s="409">
        <v>7738.49</v>
      </c>
      <c r="U46" s="409"/>
      <c r="V46" s="389">
        <f>SUM(T46:U46)</f>
        <v>7738.49</v>
      </c>
      <c r="W46" s="389">
        <f>R46-V46</f>
        <v>2435.3900000000012</v>
      </c>
      <c r="X46" s="589">
        <f>W46/R46</f>
        <v>0.23937671763378388</v>
      </c>
      <c r="Y46" s="608" t="s">
        <v>199</v>
      </c>
      <c r="Z46" s="536">
        <f>F46+14</f>
        <v>43076</v>
      </c>
      <c r="AA46" s="383" t="s">
        <v>200</v>
      </c>
      <c r="AB46" s="590" t="s">
        <v>693</v>
      </c>
      <c r="AC46" s="536" t="s">
        <v>752</v>
      </c>
      <c r="AD46" s="536">
        <v>42881</v>
      </c>
      <c r="AE46" s="586"/>
      <c r="AF46" s="536"/>
      <c r="AG46" s="591"/>
      <c r="AJ46" s="592"/>
      <c r="AL46" s="704"/>
      <c r="AM46" s="704"/>
      <c r="AO46" s="218"/>
      <c r="AP46" s="218"/>
      <c r="AQ46" s="704"/>
      <c r="AR46" s="704"/>
      <c r="AS46" s="704"/>
    </row>
    <row r="47" spans="1:63" s="379" customFormat="1" ht="14.35" customHeight="1">
      <c r="A47" s="586" t="s">
        <v>714</v>
      </c>
      <c r="B47" s="586" t="s">
        <v>190</v>
      </c>
      <c r="C47" s="541" t="s">
        <v>1164</v>
      </c>
      <c r="D47" s="541">
        <v>42916</v>
      </c>
      <c r="E47" s="536">
        <v>42917</v>
      </c>
      <c r="F47" s="536">
        <v>42916</v>
      </c>
      <c r="G47" s="634">
        <v>42956</v>
      </c>
      <c r="H47" s="663">
        <v>42985</v>
      </c>
      <c r="I47" s="577">
        <v>42955</v>
      </c>
      <c r="J47" s="577">
        <v>42992</v>
      </c>
      <c r="K47" s="386" t="s">
        <v>987</v>
      </c>
      <c r="L47" s="536" t="str">
        <f>TEXT(F47,"mmm-yy")</f>
        <v>Jun-17</v>
      </c>
      <c r="M47" s="392" t="str">
        <f>TEXT(J47,"mmm-yy")</f>
        <v>Sep-17</v>
      </c>
      <c r="N47" s="445" t="s">
        <v>989</v>
      </c>
      <c r="O47" s="445" t="s">
        <v>580</v>
      </c>
      <c r="P47" s="552">
        <v>254.28</v>
      </c>
      <c r="Q47" s="552">
        <v>780</v>
      </c>
      <c r="R47" s="552">
        <f>SUBTOTAL(9,P47:Q47)</f>
        <v>1034.28</v>
      </c>
      <c r="S47" s="494">
        <f>R47*1.1</f>
        <v>1137.7080000000001</v>
      </c>
      <c r="T47" s="409"/>
      <c r="U47" s="409"/>
      <c r="V47" s="389">
        <f>SUM(T47:U47)</f>
        <v>0</v>
      </c>
      <c r="W47" s="389">
        <f>R47-V47</f>
        <v>1034.28</v>
      </c>
      <c r="X47" s="589">
        <f>W47/R47</f>
        <v>1</v>
      </c>
      <c r="Y47" s="608" t="s">
        <v>199</v>
      </c>
      <c r="Z47" s="536">
        <f>F47+14</f>
        <v>42930</v>
      </c>
      <c r="AA47" s="383" t="s">
        <v>200</v>
      </c>
      <c r="AB47" s="442" t="s">
        <v>210</v>
      </c>
      <c r="AC47" s="536" t="s">
        <v>752</v>
      </c>
      <c r="AD47" s="536">
        <v>42863</v>
      </c>
      <c r="AE47" s="586"/>
      <c r="AF47" s="536"/>
      <c r="AG47" s="591"/>
      <c r="AJ47" s="592"/>
      <c r="AL47"/>
      <c r="AM47"/>
      <c r="AO47" s="587"/>
      <c r="AP47" s="587"/>
      <c r="AQ47" s="704"/>
      <c r="AR47" s="704"/>
      <c r="AS47" s="704"/>
    </row>
    <row r="48" spans="1:63" s="379" customFormat="1" ht="14.35" customHeight="1">
      <c r="A48" s="586" t="s">
        <v>714</v>
      </c>
      <c r="B48" s="586" t="s">
        <v>190</v>
      </c>
      <c r="C48" s="386" t="s">
        <v>1619</v>
      </c>
      <c r="D48" s="541">
        <v>43068</v>
      </c>
      <c r="E48" s="536">
        <v>42956</v>
      </c>
      <c r="F48" s="536">
        <v>42984</v>
      </c>
      <c r="G48" s="747"/>
      <c r="H48" s="748"/>
      <c r="I48" s="741">
        <f>F48+14</f>
        <v>42998</v>
      </c>
      <c r="J48" s="577">
        <v>43069</v>
      </c>
      <c r="K48" s="541"/>
      <c r="L48" s="536" t="str">
        <f>TEXT(F48,"mmm-yy")</f>
        <v>Sep-17</v>
      </c>
      <c r="M48" s="392" t="str">
        <f>TEXT(J48,"mmm-yy")</f>
        <v>Nov-17</v>
      </c>
      <c r="N48" s="445" t="s">
        <v>1103</v>
      </c>
      <c r="O48" s="445" t="s">
        <v>675</v>
      </c>
      <c r="P48" s="551">
        <v>1120</v>
      </c>
      <c r="Q48" s="606"/>
      <c r="R48" s="538">
        <f>SUM(P48:Q48)</f>
        <v>1120</v>
      </c>
      <c r="S48" s="494">
        <f>R48*1.1</f>
        <v>1232</v>
      </c>
      <c r="T48" s="409"/>
      <c r="U48" s="409"/>
      <c r="V48" s="389">
        <f>SUM(T48:U48)</f>
        <v>0</v>
      </c>
      <c r="W48" s="389">
        <f>R48-V48</f>
        <v>1120</v>
      </c>
      <c r="X48" s="589">
        <f>W48/R48</f>
        <v>1</v>
      </c>
      <c r="Y48" s="608" t="s">
        <v>199</v>
      </c>
      <c r="Z48" s="536">
        <f>F48+14</f>
        <v>42998</v>
      </c>
      <c r="AA48" s="383" t="s">
        <v>200</v>
      </c>
      <c r="AB48" s="590" t="s">
        <v>727</v>
      </c>
      <c r="AC48" s="536" t="s">
        <v>752</v>
      </c>
      <c r="AD48" s="536">
        <v>42866</v>
      </c>
      <c r="AE48" s="586"/>
      <c r="AF48" s="536">
        <v>42885</v>
      </c>
      <c r="AG48" s="591"/>
      <c r="AJ48" s="592"/>
      <c r="AL48"/>
      <c r="AM48"/>
      <c r="AO48" s="587"/>
      <c r="AP48" s="587"/>
      <c r="AQ48"/>
      <c r="AR48"/>
      <c r="AS48"/>
      <c r="AT48"/>
      <c r="AU48"/>
      <c r="AV48" s="704"/>
      <c r="AW48" s="704"/>
      <c r="AX48" s="704"/>
    </row>
    <row r="49" spans="1:50" s="218" customFormat="1" ht="14.35" customHeight="1">
      <c r="A49" s="545" t="s">
        <v>715</v>
      </c>
      <c r="B49" s="586" t="s">
        <v>227</v>
      </c>
      <c r="C49" s="386" t="s">
        <v>822</v>
      </c>
      <c r="D49" s="392">
        <v>42886</v>
      </c>
      <c r="E49" s="536">
        <v>42874</v>
      </c>
      <c r="F49" s="536">
        <v>42885</v>
      </c>
      <c r="G49" s="747"/>
      <c r="H49" s="748"/>
      <c r="I49" s="576">
        <v>42955</v>
      </c>
      <c r="J49" s="576">
        <v>42971</v>
      </c>
      <c r="K49" s="386" t="s">
        <v>983</v>
      </c>
      <c r="L49" s="536" t="str">
        <f>TEXT(F49,"mmm-yy")</f>
        <v>May-17</v>
      </c>
      <c r="M49" s="392" t="str">
        <f>TEXT(J49,"mmm-yy")</f>
        <v>Aug-17</v>
      </c>
      <c r="N49" s="397" t="s">
        <v>1088</v>
      </c>
      <c r="O49" s="445" t="s">
        <v>792</v>
      </c>
      <c r="P49" s="538">
        <v>2760</v>
      </c>
      <c r="Q49" s="521"/>
      <c r="R49" s="538">
        <f>SUM(P49:Q49)</f>
        <v>2760</v>
      </c>
      <c r="S49" s="494">
        <f>R49*1.1</f>
        <v>3036.0000000000005</v>
      </c>
      <c r="T49" s="409"/>
      <c r="U49" s="409"/>
      <c r="V49" s="389">
        <f>SUM(T49:U49)</f>
        <v>0</v>
      </c>
      <c r="W49" s="389">
        <f>R49-V49</f>
        <v>2760</v>
      </c>
      <c r="X49" s="589">
        <f>W49/R49</f>
        <v>1</v>
      </c>
      <c r="Y49" s="608" t="s">
        <v>199</v>
      </c>
      <c r="Z49" s="536">
        <f>F49+14</f>
        <v>42899</v>
      </c>
      <c r="AA49" s="383" t="s">
        <v>200</v>
      </c>
      <c r="AB49" s="442" t="s">
        <v>220</v>
      </c>
      <c r="AC49" s="392">
        <v>42865</v>
      </c>
      <c r="AD49" s="392">
        <v>42878</v>
      </c>
      <c r="AE49" s="550">
        <f>AD49-AC49</f>
        <v>13</v>
      </c>
      <c r="AF49" s="392"/>
      <c r="AG49" s="546"/>
      <c r="AJ49" s="553"/>
      <c r="AL49"/>
      <c r="AM49"/>
      <c r="AO49" s="587"/>
      <c r="AP49" s="587"/>
      <c r="AQ49"/>
      <c r="AR49"/>
      <c r="AS49"/>
      <c r="AT49"/>
      <c r="AU49"/>
      <c r="AV49" s="704"/>
      <c r="AW49" s="704"/>
      <c r="AX49" s="704"/>
    </row>
    <row r="50" spans="1:50" s="218" customFormat="1" ht="14.35" customHeight="1">
      <c r="A50" s="586" t="s">
        <v>714</v>
      </c>
      <c r="B50" s="586" t="s">
        <v>190</v>
      </c>
      <c r="C50" s="386" t="s">
        <v>823</v>
      </c>
      <c r="D50" s="392">
        <v>42886</v>
      </c>
      <c r="E50" s="392">
        <v>42886</v>
      </c>
      <c r="F50" s="392">
        <v>42886</v>
      </c>
      <c r="G50" s="756"/>
      <c r="H50" s="756"/>
      <c r="I50" s="749">
        <v>42895</v>
      </c>
      <c r="J50" s="613">
        <v>42962</v>
      </c>
      <c r="K50" s="386"/>
      <c r="L50" s="536" t="str">
        <f>TEXT(F50,"mmm-yy")</f>
        <v>May-17</v>
      </c>
      <c r="M50" s="392" t="str">
        <f>TEXT(J50,"mmm-yy")</f>
        <v>Aug-17</v>
      </c>
      <c r="N50" s="397" t="s">
        <v>853</v>
      </c>
      <c r="O50" s="445" t="s">
        <v>458</v>
      </c>
      <c r="P50" s="538">
        <v>465.57</v>
      </c>
      <c r="Q50" s="756"/>
      <c r="R50" s="538">
        <f>SUM(P50:Q50)</f>
        <v>465.57</v>
      </c>
      <c r="S50" s="494">
        <f>R50*1.1</f>
        <v>512.12700000000007</v>
      </c>
      <c r="T50" s="409"/>
      <c r="U50" s="409"/>
      <c r="V50" s="389">
        <f>SUM(T50:U50)</f>
        <v>0</v>
      </c>
      <c r="W50" s="389">
        <f>R50-V50</f>
        <v>465.57</v>
      </c>
      <c r="X50" s="589">
        <f>W50/R50</f>
        <v>1</v>
      </c>
      <c r="Y50" s="608" t="s">
        <v>199</v>
      </c>
      <c r="Z50" s="536">
        <f>F50+14</f>
        <v>42900</v>
      </c>
      <c r="AA50" s="383" t="s">
        <v>200</v>
      </c>
      <c r="AB50" s="442" t="s">
        <v>210</v>
      </c>
      <c r="AC50" s="536" t="s">
        <v>752</v>
      </c>
      <c r="AD50" s="392">
        <v>42872</v>
      </c>
      <c r="AE50" s="545"/>
      <c r="AF50" s="392"/>
      <c r="AG50" s="546"/>
      <c r="AJ50" s="553"/>
      <c r="AL50"/>
      <c r="AM50"/>
      <c r="AO50" s="587"/>
      <c r="AP50" s="587"/>
      <c r="AQ50"/>
      <c r="AR50"/>
      <c r="AS50"/>
      <c r="AT50"/>
      <c r="AU50"/>
      <c r="AV50" s="704"/>
      <c r="AW50" s="704"/>
      <c r="AX50" s="704"/>
    </row>
    <row r="51" spans="1:50" s="218" customFormat="1" ht="14.35" customHeight="1">
      <c r="A51" s="545" t="s">
        <v>716</v>
      </c>
      <c r="B51" s="545" t="s">
        <v>190</v>
      </c>
      <c r="C51" s="386" t="s">
        <v>824</v>
      </c>
      <c r="D51" s="392">
        <v>42886</v>
      </c>
      <c r="E51" s="531">
        <v>42825</v>
      </c>
      <c r="F51" s="531">
        <v>42871</v>
      </c>
      <c r="G51" s="579">
        <v>42923</v>
      </c>
      <c r="H51" s="671">
        <v>42957</v>
      </c>
      <c r="I51" s="579">
        <v>42845</v>
      </c>
      <c r="J51" s="576">
        <v>42971</v>
      </c>
      <c r="K51" s="543" t="s">
        <v>1006</v>
      </c>
      <c r="L51" s="392" t="str">
        <f>TEXT(F51,"mmm-yy")</f>
        <v>May-17</v>
      </c>
      <c r="M51" s="392" t="str">
        <f>TEXT(J51,"mmm-yy")</f>
        <v>Aug-17</v>
      </c>
      <c r="N51" s="397" t="s">
        <v>793</v>
      </c>
      <c r="O51" s="397" t="s">
        <v>354</v>
      </c>
      <c r="P51" s="538">
        <v>0</v>
      </c>
      <c r="Q51" s="538">
        <v>39403.65</v>
      </c>
      <c r="R51" s="387">
        <f>SUM(P51:Q51)</f>
        <v>39403.65</v>
      </c>
      <c r="S51" s="494">
        <f>R51*1.1</f>
        <v>43344.015000000007</v>
      </c>
      <c r="T51" s="539"/>
      <c r="U51" s="539"/>
      <c r="V51" s="389">
        <f>SUM(T51:U51)</f>
        <v>0</v>
      </c>
      <c r="W51" s="388">
        <f>R51-V51</f>
        <v>39403.65</v>
      </c>
      <c r="X51" s="390">
        <f>W51/R51</f>
        <v>1</v>
      </c>
      <c r="Y51" s="391" t="s">
        <v>199</v>
      </c>
      <c r="Z51" s="392">
        <f>F51+14</f>
        <v>42885</v>
      </c>
      <c r="AA51" s="383" t="s">
        <v>200</v>
      </c>
      <c r="AB51" s="442" t="s">
        <v>538</v>
      </c>
      <c r="AC51" s="531">
        <v>42662</v>
      </c>
      <c r="AD51" s="531">
        <v>42695</v>
      </c>
      <c r="AE51" s="550">
        <f>AD51-AC51</f>
        <v>33</v>
      </c>
      <c r="AF51" s="531">
        <v>42765</v>
      </c>
      <c r="AG51" s="546">
        <f>AF51-AD51</f>
        <v>70</v>
      </c>
      <c r="AJ51" s="553"/>
      <c r="AK51"/>
      <c r="AL51"/>
      <c r="AM51"/>
      <c r="AO51" s="379"/>
      <c r="AP51" s="379"/>
      <c r="AQ51"/>
      <c r="AR51"/>
      <c r="AS51"/>
      <c r="AT51"/>
      <c r="AU51"/>
      <c r="AV51" s="704"/>
      <c r="AW51" s="704"/>
      <c r="AX51" s="704"/>
    </row>
    <row r="52" spans="1:50" s="218" customFormat="1" ht="14.35" customHeight="1">
      <c r="A52" s="586" t="s">
        <v>715</v>
      </c>
      <c r="B52" s="545" t="s">
        <v>190</v>
      </c>
      <c r="C52" s="386" t="s">
        <v>864</v>
      </c>
      <c r="D52" s="386">
        <v>42913</v>
      </c>
      <c r="E52" s="536">
        <v>42891</v>
      </c>
      <c r="F52" s="536">
        <v>42891</v>
      </c>
      <c r="G52" s="756"/>
      <c r="H52" s="756"/>
      <c r="I52" s="576">
        <v>42955</v>
      </c>
      <c r="J52" s="731">
        <f>I52+14</f>
        <v>42969</v>
      </c>
      <c r="K52" s="386"/>
      <c r="L52" s="392" t="str">
        <f>TEXT(F52,"mmm-yy")</f>
        <v>Jun-17</v>
      </c>
      <c r="M52" s="392" t="str">
        <f>TEXT(J52,"mmm-yy")</f>
        <v>Aug-17</v>
      </c>
      <c r="N52" s="397" t="s">
        <v>1365</v>
      </c>
      <c r="O52" s="445" t="s">
        <v>458</v>
      </c>
      <c r="P52" s="538">
        <v>2100</v>
      </c>
      <c r="Q52" s="756"/>
      <c r="R52" s="387">
        <f>SUM(P52:Q52)</f>
        <v>2100</v>
      </c>
      <c r="S52" s="494">
        <f>R52*1.1</f>
        <v>2310</v>
      </c>
      <c r="T52" s="539"/>
      <c r="U52" s="539"/>
      <c r="V52" s="389">
        <f>SUM(T52:U52)</f>
        <v>0</v>
      </c>
      <c r="W52" s="388">
        <f>R52-V52</f>
        <v>2100</v>
      </c>
      <c r="X52" s="390">
        <f>W52/R52</f>
        <v>1</v>
      </c>
      <c r="Y52" s="608" t="s">
        <v>199</v>
      </c>
      <c r="Z52" s="392">
        <f>F52+14</f>
        <v>42905</v>
      </c>
      <c r="AA52" s="383" t="s">
        <v>200</v>
      </c>
      <c r="AB52" s="442" t="s">
        <v>210</v>
      </c>
      <c r="AC52" s="392">
        <v>42866</v>
      </c>
      <c r="AD52" s="392">
        <v>42880</v>
      </c>
      <c r="AE52" s="550">
        <f>AD52-AC52</f>
        <v>14</v>
      </c>
      <c r="AF52" s="392">
        <v>42885</v>
      </c>
      <c r="AG52" s="546">
        <f>AF52-AD52</f>
        <v>5</v>
      </c>
      <c r="AJ52" s="553"/>
      <c r="AK52"/>
      <c r="AL52"/>
      <c r="AM52"/>
      <c r="AO52" s="587"/>
      <c r="AP52" s="587"/>
      <c r="AQ52"/>
      <c r="AR52"/>
      <c r="AS52"/>
      <c r="AT52"/>
      <c r="AU52"/>
      <c r="AV52" s="704"/>
      <c r="AW52" s="704"/>
      <c r="AX52" s="704"/>
    </row>
    <row r="53" spans="1:50" s="218" customFormat="1" ht="14.35" customHeight="1">
      <c r="A53" s="586" t="s">
        <v>715</v>
      </c>
      <c r="B53" s="545" t="s">
        <v>190</v>
      </c>
      <c r="C53" s="386" t="s">
        <v>887</v>
      </c>
      <c r="D53" s="386">
        <v>42916</v>
      </c>
      <c r="E53" s="536">
        <v>42912</v>
      </c>
      <c r="F53" s="536">
        <v>42916</v>
      </c>
      <c r="G53" s="759"/>
      <c r="H53" s="760"/>
      <c r="I53" s="576">
        <v>42955</v>
      </c>
      <c r="J53" s="731">
        <v>42976</v>
      </c>
      <c r="K53" s="386" t="s">
        <v>983</v>
      </c>
      <c r="L53" s="392" t="str">
        <f>TEXT(F53,"mmm-yy")</f>
        <v>Jun-17</v>
      </c>
      <c r="M53" s="392" t="str">
        <f>TEXT(J53,"mmm-yy")</f>
        <v>Aug-17</v>
      </c>
      <c r="N53" s="397" t="s">
        <v>1364</v>
      </c>
      <c r="O53" s="445" t="s">
        <v>491</v>
      </c>
      <c r="P53" s="538">
        <v>2100</v>
      </c>
      <c r="Q53" s="800"/>
      <c r="R53" s="387">
        <f>SUM(P53:Q53)</f>
        <v>2100</v>
      </c>
      <c r="S53" s="494">
        <f>R53*1.1</f>
        <v>2310</v>
      </c>
      <c r="T53" s="539"/>
      <c r="U53" s="539"/>
      <c r="V53" s="389">
        <f>SUM(T53:U53)</f>
        <v>0</v>
      </c>
      <c r="W53" s="388">
        <f>R53-V53</f>
        <v>2100</v>
      </c>
      <c r="X53" s="390">
        <f>W53/R53</f>
        <v>1</v>
      </c>
      <c r="Y53" s="608" t="s">
        <v>199</v>
      </c>
      <c r="Z53" s="392">
        <f>F53+14</f>
        <v>42930</v>
      </c>
      <c r="AA53" s="383" t="s">
        <v>200</v>
      </c>
      <c r="AB53" s="442" t="s">
        <v>210</v>
      </c>
      <c r="AC53" s="392">
        <v>42866</v>
      </c>
      <c r="AD53" s="392">
        <v>42880</v>
      </c>
      <c r="AE53" s="550">
        <f>AD53-AC53</f>
        <v>14</v>
      </c>
      <c r="AF53" s="392">
        <v>42885</v>
      </c>
      <c r="AG53" s="546">
        <f>AF53-AD53</f>
        <v>5</v>
      </c>
      <c r="AJ53" s="553"/>
      <c r="AK53"/>
      <c r="AL53"/>
      <c r="AM53"/>
      <c r="AO53" s="379"/>
      <c r="AP53" s="379"/>
      <c r="AQ53"/>
      <c r="AR53"/>
      <c r="AS53"/>
      <c r="AT53"/>
      <c r="AU53"/>
      <c r="AV53" s="704"/>
      <c r="AW53" s="704"/>
      <c r="AX53" s="704"/>
    </row>
    <row r="54" spans="1:50" s="218" customFormat="1" ht="14.35" customHeight="1">
      <c r="A54" s="586" t="s">
        <v>715</v>
      </c>
      <c r="B54" s="545" t="s">
        <v>722</v>
      </c>
      <c r="C54" s="386" t="s">
        <v>1027</v>
      </c>
      <c r="D54" s="386">
        <v>42964</v>
      </c>
      <c r="E54" s="392">
        <v>42929</v>
      </c>
      <c r="F54" s="536">
        <v>42934</v>
      </c>
      <c r="G54" s="658">
        <v>42934</v>
      </c>
      <c r="H54" s="658">
        <v>42958</v>
      </c>
      <c r="I54" s="658">
        <v>42965</v>
      </c>
      <c r="J54" s="658">
        <v>42997</v>
      </c>
      <c r="K54" s="386"/>
      <c r="L54" s="392" t="str">
        <f>TEXT(F54,"mmm-yy")</f>
        <v>Jul-17</v>
      </c>
      <c r="M54" s="392" t="str">
        <f>TEXT(J54,"mmm-yy")</f>
        <v>Sep-17</v>
      </c>
      <c r="N54" s="397" t="s">
        <v>1022</v>
      </c>
      <c r="O54" s="445" t="s">
        <v>726</v>
      </c>
      <c r="P54" s="538">
        <v>10585.7</v>
      </c>
      <c r="Q54" s="538">
        <v>2720.57</v>
      </c>
      <c r="R54" s="387">
        <f>SUM(P54:Q54)</f>
        <v>13306.27</v>
      </c>
      <c r="S54" s="494">
        <f>R54*1.1</f>
        <v>14636.897000000001</v>
      </c>
      <c r="T54" s="539"/>
      <c r="U54" s="539"/>
      <c r="V54" s="389">
        <f>SUM(T54:U54)</f>
        <v>0</v>
      </c>
      <c r="W54" s="388">
        <f>R54-V54</f>
        <v>13306.27</v>
      </c>
      <c r="X54" s="390">
        <f>W54/R54</f>
        <v>1</v>
      </c>
      <c r="Y54" s="608" t="s">
        <v>199</v>
      </c>
      <c r="Z54" s="392">
        <f>F54+14</f>
        <v>42948</v>
      </c>
      <c r="AA54" s="383" t="s">
        <v>200</v>
      </c>
      <c r="AB54" s="442" t="s">
        <v>210</v>
      </c>
      <c r="AC54" s="392">
        <v>42870</v>
      </c>
      <c r="AD54" s="392">
        <v>42878</v>
      </c>
      <c r="AE54" s="550">
        <f>AD54-AC54</f>
        <v>8</v>
      </c>
      <c r="AF54" s="392">
        <v>42885</v>
      </c>
      <c r="AG54" s="546">
        <f>AF54-AD54</f>
        <v>7</v>
      </c>
      <c r="AJ54" s="553"/>
      <c r="AK54"/>
      <c r="AL54"/>
      <c r="AM54"/>
      <c r="AO54" s="379"/>
      <c r="AP54" s="379"/>
      <c r="AQ54"/>
      <c r="AR54"/>
      <c r="AS54"/>
      <c r="AT54"/>
      <c r="AU54"/>
      <c r="AV54" s="704"/>
      <c r="AW54" s="704"/>
      <c r="AX54" s="704"/>
    </row>
    <row r="55" spans="1:50" s="218" customFormat="1" ht="14.35" customHeight="1">
      <c r="A55" s="586" t="s">
        <v>715</v>
      </c>
      <c r="B55" s="545" t="s">
        <v>179</v>
      </c>
      <c r="C55" s="541" t="s">
        <v>1272</v>
      </c>
      <c r="D55" s="386">
        <v>43019</v>
      </c>
      <c r="E55" s="392">
        <v>42964</v>
      </c>
      <c r="F55" s="536">
        <v>42964</v>
      </c>
      <c r="G55" s="658">
        <v>42964</v>
      </c>
      <c r="H55" s="658">
        <v>42989</v>
      </c>
      <c r="I55" s="658">
        <v>42989</v>
      </c>
      <c r="J55" s="658">
        <v>43025</v>
      </c>
      <c r="K55" s="386" t="s">
        <v>848</v>
      </c>
      <c r="L55" s="392" t="str">
        <f>TEXT(F55,"mmm-yy")</f>
        <v>Aug-17</v>
      </c>
      <c r="M55" s="392" t="str">
        <f>TEXT(J55,"mmm-yy")</f>
        <v>Oct-17</v>
      </c>
      <c r="N55" s="397" t="s">
        <v>1093</v>
      </c>
      <c r="O55" s="445" t="s">
        <v>795</v>
      </c>
      <c r="P55" s="538">
        <v>6610.72</v>
      </c>
      <c r="Q55" s="538">
        <v>2460.3428571428572</v>
      </c>
      <c r="R55" s="387">
        <f>SUM(P55:Q55)</f>
        <v>9071.062857142857</v>
      </c>
      <c r="S55" s="494">
        <f>R55*1.1</f>
        <v>9978.169142857143</v>
      </c>
      <c r="T55" s="539">
        <v>6348.9</v>
      </c>
      <c r="U55" s="539"/>
      <c r="V55" s="389">
        <f>SUM(T55:U55)</f>
        <v>6348.9</v>
      </c>
      <c r="W55" s="388">
        <f>R55-V55</f>
        <v>2722.1628571428573</v>
      </c>
      <c r="X55" s="390">
        <f>W55/R55</f>
        <v>0.30009304312110852</v>
      </c>
      <c r="Y55" s="608" t="s">
        <v>199</v>
      </c>
      <c r="Z55" s="392">
        <f>F55+14</f>
        <v>42978</v>
      </c>
      <c r="AA55" s="383" t="s">
        <v>200</v>
      </c>
      <c r="AB55" s="442" t="s">
        <v>517</v>
      </c>
      <c r="AC55" s="392">
        <v>42874</v>
      </c>
      <c r="AD55" s="392"/>
      <c r="AE55" s="545"/>
      <c r="AF55" s="392"/>
      <c r="AG55" s="546"/>
      <c r="AJ55" s="553"/>
      <c r="AK55" s="704"/>
    </row>
    <row r="56" spans="1:50" s="218" customFormat="1" ht="14.35" customHeight="1">
      <c r="A56" s="545" t="s">
        <v>716</v>
      </c>
      <c r="B56" s="545" t="s">
        <v>179</v>
      </c>
      <c r="C56" s="386" t="s">
        <v>1036</v>
      </c>
      <c r="D56" s="386">
        <v>42916</v>
      </c>
      <c r="E56" s="536">
        <v>42912</v>
      </c>
      <c r="F56" s="536">
        <v>42912</v>
      </c>
      <c r="G56" s="658">
        <v>42936</v>
      </c>
      <c r="H56" s="658">
        <v>42944</v>
      </c>
      <c r="I56" s="658">
        <v>42936</v>
      </c>
      <c r="J56" s="658">
        <v>42978</v>
      </c>
      <c r="K56" s="386" t="s">
        <v>1010</v>
      </c>
      <c r="L56" s="392" t="str">
        <f>TEXT(F56,"mmm-yy")</f>
        <v>Jun-17</v>
      </c>
      <c r="M56" s="392" t="str">
        <f>TEXT(J56,"mmm-yy")</f>
        <v>Aug-17</v>
      </c>
      <c r="N56" s="397" t="s">
        <v>784</v>
      </c>
      <c r="O56" s="445" t="s">
        <v>717</v>
      </c>
      <c r="P56" s="538">
        <v>6239.62</v>
      </c>
      <c r="Q56" s="610">
        <v>-4880.3</v>
      </c>
      <c r="R56" s="387">
        <f>SUM(P56:Q56)</f>
        <v>1359.3199999999997</v>
      </c>
      <c r="S56" s="494">
        <f>R56*1.1</f>
        <v>1495.2519999999997</v>
      </c>
      <c r="T56" s="539"/>
      <c r="U56" s="539"/>
      <c r="V56" s="389">
        <f>SUM(T56:U56)</f>
        <v>0</v>
      </c>
      <c r="W56" s="388">
        <f>R56-V56</f>
        <v>1359.3199999999997</v>
      </c>
      <c r="X56" s="390">
        <f>W56/R56</f>
        <v>1</v>
      </c>
      <c r="Y56" s="608" t="s">
        <v>199</v>
      </c>
      <c r="Z56" s="392">
        <f>F56+14</f>
        <v>42926</v>
      </c>
      <c r="AA56" s="383" t="s">
        <v>200</v>
      </c>
      <c r="AB56" s="442" t="s">
        <v>347</v>
      </c>
      <c r="AC56" s="392">
        <v>42871</v>
      </c>
      <c r="AD56" s="392">
        <v>42878</v>
      </c>
      <c r="AE56" s="550">
        <f>AD56-AC56</f>
        <v>7</v>
      </c>
      <c r="AF56" s="392">
        <v>42902</v>
      </c>
      <c r="AG56" s="546">
        <f>AF56-AD56</f>
        <v>24</v>
      </c>
      <c r="AJ56" s="553"/>
      <c r="AK56" s="704"/>
    </row>
    <row r="57" spans="1:50" s="218" customFormat="1" ht="14.35" customHeight="1">
      <c r="A57" s="586" t="s">
        <v>715</v>
      </c>
      <c r="B57" s="545" t="s">
        <v>190</v>
      </c>
      <c r="C57" s="386" t="s">
        <v>2454</v>
      </c>
      <c r="D57" s="386">
        <v>43186</v>
      </c>
      <c r="E57" s="392">
        <v>43166</v>
      </c>
      <c r="F57" s="536">
        <v>43167</v>
      </c>
      <c r="G57" s="756"/>
      <c r="H57" s="757"/>
      <c r="I57" s="658">
        <v>43180</v>
      </c>
      <c r="J57" s="658">
        <v>43187</v>
      </c>
      <c r="K57" s="386"/>
      <c r="L57" s="392" t="str">
        <f>TEXT(F57,"mmm-yy")</f>
        <v>Mar-18</v>
      </c>
      <c r="M57" s="392" t="str">
        <f>TEXT(J57,"mmm-yy")</f>
        <v>Mar-18</v>
      </c>
      <c r="N57" s="397" t="s">
        <v>1779</v>
      </c>
      <c r="O57" s="418" t="s">
        <v>1780</v>
      </c>
      <c r="P57" s="538">
        <v>2107.06</v>
      </c>
      <c r="Q57" s="700"/>
      <c r="R57" s="418">
        <f>SUM(P57:Q57)</f>
        <v>2107.06</v>
      </c>
      <c r="S57" s="494">
        <f>R57*1.1</f>
        <v>2317.7660000000001</v>
      </c>
      <c r="T57" s="539">
        <v>676.5</v>
      </c>
      <c r="U57" s="539"/>
      <c r="V57" s="389">
        <f>SUM(T57:U57)</f>
        <v>676.5</v>
      </c>
      <c r="W57" s="388">
        <f>R57-V57</f>
        <v>1430.56</v>
      </c>
      <c r="X57" s="589">
        <f>W57/R57</f>
        <v>0.67893652767363055</v>
      </c>
      <c r="Y57" s="608" t="s">
        <v>199</v>
      </c>
      <c r="Z57" s="536">
        <f>F57+14</f>
        <v>43181</v>
      </c>
      <c r="AA57" s="383" t="s">
        <v>200</v>
      </c>
      <c r="AB57" s="442" t="s">
        <v>210</v>
      </c>
      <c r="AC57" s="392">
        <v>43062</v>
      </c>
      <c r="AD57" s="392">
        <v>43104</v>
      </c>
      <c r="AE57" s="586">
        <f>AD57-AC57</f>
        <v>42</v>
      </c>
      <c r="AF57" s="392">
        <v>43110</v>
      </c>
      <c r="AG57" s="546">
        <f>AF57-AD57</f>
        <v>6</v>
      </c>
      <c r="AJ57" s="553"/>
      <c r="AK57" s="704"/>
    </row>
    <row r="58" spans="1:50" s="218" customFormat="1" ht="14.35" customHeight="1">
      <c r="A58" s="586" t="s">
        <v>714</v>
      </c>
      <c r="B58" s="545" t="s">
        <v>190</v>
      </c>
      <c r="C58" s="386" t="s">
        <v>1153</v>
      </c>
      <c r="D58" s="386">
        <v>42996</v>
      </c>
      <c r="E58" s="392">
        <v>42951</v>
      </c>
      <c r="F58" s="536">
        <v>42951</v>
      </c>
      <c r="G58" s="658">
        <v>42956</v>
      </c>
      <c r="H58" s="658">
        <v>42970</v>
      </c>
      <c r="I58" s="658">
        <v>42982</v>
      </c>
      <c r="J58" s="658">
        <v>42999</v>
      </c>
      <c r="K58" s="386" t="s">
        <v>990</v>
      </c>
      <c r="L58" s="392" t="str">
        <f>TEXT(F58,"mmm-yy")</f>
        <v>Aug-17</v>
      </c>
      <c r="M58" s="392" t="str">
        <f>TEXT(J58,"mmm-yy")</f>
        <v>Sep-17</v>
      </c>
      <c r="N58" s="397" t="s">
        <v>1137</v>
      </c>
      <c r="O58" s="445" t="s">
        <v>491</v>
      </c>
      <c r="P58" s="538">
        <v>945.25</v>
      </c>
      <c r="Q58" s="538">
        <v>2842.35</v>
      </c>
      <c r="R58" s="538">
        <f>SUM(P58:Q58)</f>
        <v>3787.6</v>
      </c>
      <c r="S58" s="494">
        <f>R58*1.1</f>
        <v>4166.3600000000006</v>
      </c>
      <c r="T58" s="539"/>
      <c r="U58" s="539"/>
      <c r="V58" s="389">
        <f>SUM(T58:U58)</f>
        <v>0</v>
      </c>
      <c r="W58" s="388">
        <f>R58-V58</f>
        <v>3787.6</v>
      </c>
      <c r="X58" s="390">
        <f>W58/R58</f>
        <v>1</v>
      </c>
      <c r="Y58" s="608" t="s">
        <v>199</v>
      </c>
      <c r="Z58" s="392">
        <f>F58+14</f>
        <v>42965</v>
      </c>
      <c r="AA58" s="383" t="s">
        <v>200</v>
      </c>
      <c r="AB58" s="442" t="s">
        <v>210</v>
      </c>
      <c r="AC58" s="536" t="s">
        <v>752</v>
      </c>
      <c r="AD58" s="392">
        <v>42880</v>
      </c>
      <c r="AE58" s="545"/>
      <c r="AF58" s="392"/>
      <c r="AG58" s="546"/>
      <c r="AJ58" s="553"/>
      <c r="AK58" s="379"/>
    </row>
    <row r="59" spans="1:50" s="218" customFormat="1" ht="14.35" customHeight="1">
      <c r="A59" s="586" t="s">
        <v>714</v>
      </c>
      <c r="B59" s="545" t="s">
        <v>190</v>
      </c>
      <c r="C59" s="386" t="s">
        <v>2406</v>
      </c>
      <c r="D59" s="386">
        <v>43181</v>
      </c>
      <c r="E59" s="392">
        <v>43157</v>
      </c>
      <c r="F59" s="392">
        <v>43158</v>
      </c>
      <c r="G59" s="658">
        <v>43158</v>
      </c>
      <c r="H59" s="658">
        <v>43173</v>
      </c>
      <c r="I59" s="658">
        <f>E59+14</f>
        <v>43171</v>
      </c>
      <c r="J59" s="658">
        <v>43181</v>
      </c>
      <c r="K59" s="386" t="s">
        <v>922</v>
      </c>
      <c r="L59" s="392" t="str">
        <f>TEXT(F59,"mmm-yy")</f>
        <v>Feb-18</v>
      </c>
      <c r="M59" s="392" t="str">
        <f>TEXT(J59,"mmm-yy")</f>
        <v>Mar-18</v>
      </c>
      <c r="N59" s="445" t="s">
        <v>2228</v>
      </c>
      <c r="O59" s="418" t="s">
        <v>803</v>
      </c>
      <c r="P59" s="538">
        <v>982.6</v>
      </c>
      <c r="Q59" s="538">
        <v>14413.24</v>
      </c>
      <c r="R59" s="538">
        <f>SUM(P59:Q59)</f>
        <v>15395.84</v>
      </c>
      <c r="S59" s="494">
        <f>R59*1.1</f>
        <v>16935.424000000003</v>
      </c>
      <c r="T59" s="544">
        <v>5328.82</v>
      </c>
      <c r="U59" s="544"/>
      <c r="V59" s="389">
        <f>SUM(T59:U59)</f>
        <v>5328.82</v>
      </c>
      <c r="W59" s="388">
        <f>R59-V59</f>
        <v>10067.02</v>
      </c>
      <c r="X59" s="390">
        <f>W59/R59</f>
        <v>0.6538792297140007</v>
      </c>
      <c r="Y59" s="608" t="s">
        <v>199</v>
      </c>
      <c r="Z59" s="392">
        <f>F59+14</f>
        <v>43172</v>
      </c>
      <c r="AA59" s="383" t="s">
        <v>200</v>
      </c>
      <c r="AB59" s="590" t="s">
        <v>693</v>
      </c>
      <c r="AC59" s="536" t="s">
        <v>752</v>
      </c>
      <c r="AD59" s="392">
        <v>42880</v>
      </c>
      <c r="AE59" s="545"/>
      <c r="AF59" s="392">
        <v>42917</v>
      </c>
      <c r="AG59" s="546">
        <f>AF59-AD59</f>
        <v>37</v>
      </c>
      <c r="AJ59" s="553"/>
    </row>
    <row r="60" spans="1:50" s="218" customFormat="1" ht="14.35" customHeight="1">
      <c r="A60" s="586" t="s">
        <v>715</v>
      </c>
      <c r="B60" s="545" t="s">
        <v>190</v>
      </c>
      <c r="C60" s="386" t="s">
        <v>1122</v>
      </c>
      <c r="D60" s="386">
        <v>42989</v>
      </c>
      <c r="E60" s="392">
        <v>42919</v>
      </c>
      <c r="F60" s="536">
        <v>42919</v>
      </c>
      <c r="G60" s="658">
        <v>42919</v>
      </c>
      <c r="H60" s="658">
        <v>42965</v>
      </c>
      <c r="I60" s="658">
        <v>42982</v>
      </c>
      <c r="J60" s="658">
        <v>42999</v>
      </c>
      <c r="K60" s="386" t="s">
        <v>875</v>
      </c>
      <c r="L60" s="392" t="str">
        <f>TEXT(F60,"mmm-yy")</f>
        <v>Jul-17</v>
      </c>
      <c r="M60" s="392" t="str">
        <f>TEXT(J60,"mmm-yy")</f>
        <v>Sep-17</v>
      </c>
      <c r="N60" s="397" t="s">
        <v>1059</v>
      </c>
      <c r="O60" s="418" t="s">
        <v>804</v>
      </c>
      <c r="P60" s="538">
        <v>4091.52</v>
      </c>
      <c r="Q60" s="538">
        <v>1416.6946428571423</v>
      </c>
      <c r="R60" s="538">
        <f>SUM(P60:Q60)</f>
        <v>5508.2146428571423</v>
      </c>
      <c r="S60" s="494">
        <f>R60*1.1</f>
        <v>6059.036107142857</v>
      </c>
      <c r="T60" s="544"/>
      <c r="U60" s="544"/>
      <c r="V60" s="389">
        <f>SUM(T60:U60)</f>
        <v>0</v>
      </c>
      <c r="W60" s="388">
        <f>R60-V60</f>
        <v>5508.2146428571423</v>
      </c>
      <c r="X60" s="390">
        <f>W60/R60</f>
        <v>1</v>
      </c>
      <c r="Y60" s="608" t="s">
        <v>199</v>
      </c>
      <c r="Z60" s="392">
        <f>F60+14</f>
        <v>42933</v>
      </c>
      <c r="AA60" s="383" t="s">
        <v>200</v>
      </c>
      <c r="AB60" s="590" t="s">
        <v>201</v>
      </c>
      <c r="AC60" s="392">
        <v>42873</v>
      </c>
      <c r="AD60" s="392">
        <v>42881</v>
      </c>
      <c r="AE60" s="550">
        <f>AD60-AC60</f>
        <v>8</v>
      </c>
      <c r="AF60" s="392">
        <v>42885</v>
      </c>
      <c r="AG60" s="546">
        <f>AF60-AD60</f>
        <v>4</v>
      </c>
      <c r="AJ60" s="553"/>
    </row>
    <row r="61" spans="1:50" s="218" customFormat="1" ht="14.35" customHeight="1">
      <c r="A61" s="586" t="s">
        <v>714</v>
      </c>
      <c r="B61" s="545" t="s">
        <v>190</v>
      </c>
      <c r="C61" s="386" t="s">
        <v>1615</v>
      </c>
      <c r="D61" s="386">
        <v>43048</v>
      </c>
      <c r="E61" s="392">
        <v>42990</v>
      </c>
      <c r="F61" s="536">
        <v>42990</v>
      </c>
      <c r="G61" s="658">
        <v>42990</v>
      </c>
      <c r="H61" s="658">
        <v>43011</v>
      </c>
      <c r="I61" s="658">
        <f>F61+14</f>
        <v>43004</v>
      </c>
      <c r="J61" s="658">
        <v>43062</v>
      </c>
      <c r="K61" s="386"/>
      <c r="L61" s="392" t="str">
        <f>TEXT(F61,"mmm-yy")</f>
        <v>Sep-17</v>
      </c>
      <c r="M61" s="392" t="str">
        <f>TEXT(J61,"mmm-yy")</f>
        <v>Nov-17</v>
      </c>
      <c r="N61" s="397" t="s">
        <v>1090</v>
      </c>
      <c r="O61" s="418" t="s">
        <v>663</v>
      </c>
      <c r="P61" s="538">
        <v>1984.44</v>
      </c>
      <c r="Q61" s="538">
        <v>2687.91</v>
      </c>
      <c r="R61" s="538">
        <f>SUM(P61:Q61)</f>
        <v>4672.3500000000004</v>
      </c>
      <c r="S61" s="494">
        <f>R61*1.1</f>
        <v>5139.5850000000009</v>
      </c>
      <c r="T61" s="544"/>
      <c r="U61" s="544"/>
      <c r="V61" s="389">
        <f>SUM(T61:U61)</f>
        <v>0</v>
      </c>
      <c r="W61" s="388">
        <f>R61-V61</f>
        <v>4672.3500000000004</v>
      </c>
      <c r="X61" s="390">
        <f>W61/R61</f>
        <v>1</v>
      </c>
      <c r="Y61" s="608" t="s">
        <v>199</v>
      </c>
      <c r="Z61" s="392">
        <f>F61+14</f>
        <v>43004</v>
      </c>
      <c r="AA61" s="383" t="s">
        <v>200</v>
      </c>
      <c r="AB61" s="393" t="s">
        <v>757</v>
      </c>
      <c r="AC61" s="536" t="s">
        <v>752</v>
      </c>
      <c r="AD61" s="392">
        <v>42879</v>
      </c>
      <c r="AE61" s="550"/>
      <c r="AF61" s="392"/>
      <c r="AG61" s="546"/>
      <c r="AJ61" s="553"/>
    </row>
    <row r="62" spans="1:50" s="218" customFormat="1" ht="14.35" customHeight="1">
      <c r="A62" s="545" t="s">
        <v>716</v>
      </c>
      <c r="B62" s="545" t="s">
        <v>190</v>
      </c>
      <c r="C62" s="386" t="s">
        <v>825</v>
      </c>
      <c r="D62" s="392">
        <v>42886</v>
      </c>
      <c r="E62" s="392">
        <v>42886</v>
      </c>
      <c r="F62" s="531">
        <v>42871</v>
      </c>
      <c r="G62" s="658"/>
      <c r="H62" s="658"/>
      <c r="I62" s="658">
        <v>42914</v>
      </c>
      <c r="J62" s="658">
        <v>42944</v>
      </c>
      <c r="K62" s="386"/>
      <c r="L62" s="392" t="str">
        <f>TEXT(F62,"mmm-yy")</f>
        <v>May-17</v>
      </c>
      <c r="M62" s="392" t="str">
        <f>TEXT(J62,"mmm-yy")</f>
        <v>Jul-17</v>
      </c>
      <c r="N62" s="397" t="s">
        <v>805</v>
      </c>
      <c r="O62" s="418" t="s">
        <v>725</v>
      </c>
      <c r="P62" s="538">
        <f>18758.95</f>
        <v>18758.95</v>
      </c>
      <c r="Q62" s="606"/>
      <c r="R62" s="538">
        <f>SUM(P62:Q62)</f>
        <v>18758.95</v>
      </c>
      <c r="S62" s="494">
        <f>R62*1.1</f>
        <v>20634.845000000001</v>
      </c>
      <c r="T62" s="544">
        <v>1501.72</v>
      </c>
      <c r="U62" s="544"/>
      <c r="V62" s="389">
        <f>SUM(T62:U62)</f>
        <v>1501.72</v>
      </c>
      <c r="W62" s="388">
        <f>R62-V62</f>
        <v>17257.23</v>
      </c>
      <c r="X62" s="390">
        <f>W62/R62</f>
        <v>0.91994647888074754</v>
      </c>
      <c r="Y62" s="608" t="s">
        <v>199</v>
      </c>
      <c r="Z62" s="392">
        <f>F62+14</f>
        <v>42885</v>
      </c>
      <c r="AA62" s="383" t="s">
        <v>200</v>
      </c>
      <c r="AB62" s="442" t="s">
        <v>347</v>
      </c>
      <c r="AC62" s="392">
        <v>42871</v>
      </c>
      <c r="AD62" s="392">
        <v>42880</v>
      </c>
      <c r="AE62" s="550">
        <f>AD62-AC62</f>
        <v>9</v>
      </c>
      <c r="AF62" s="392">
        <v>42902</v>
      </c>
      <c r="AG62" s="546">
        <f>AF62-AD62</f>
        <v>22</v>
      </c>
      <c r="AJ62" s="553"/>
    </row>
    <row r="63" spans="1:50" s="218" customFormat="1" ht="14.35" customHeight="1">
      <c r="A63" s="586" t="s">
        <v>714</v>
      </c>
      <c r="B63" s="545" t="s">
        <v>190</v>
      </c>
      <c r="C63" s="386" t="s">
        <v>1114</v>
      </c>
      <c r="D63" s="386">
        <v>42985</v>
      </c>
      <c r="E63" s="392">
        <v>42937</v>
      </c>
      <c r="F63" s="536">
        <v>42937</v>
      </c>
      <c r="G63" s="658">
        <v>42956</v>
      </c>
      <c r="H63" s="658">
        <v>42965</v>
      </c>
      <c r="I63" s="658">
        <v>42955</v>
      </c>
      <c r="J63" s="658">
        <v>42990</v>
      </c>
      <c r="K63" s="386"/>
      <c r="L63" s="392" t="str">
        <f>TEXT(F63,"mmm-yy")</f>
        <v>Jul-17</v>
      </c>
      <c r="M63" s="392" t="str">
        <f>TEXT(J63,"mmm-yy")</f>
        <v>Sep-17</v>
      </c>
      <c r="N63" s="397" t="s">
        <v>1062</v>
      </c>
      <c r="O63" s="418" t="s">
        <v>240</v>
      </c>
      <c r="P63" s="538">
        <v>891.6</v>
      </c>
      <c r="Q63" s="538">
        <v>601.80999999999995</v>
      </c>
      <c r="R63" s="538">
        <f>SUM(P63:Q63)</f>
        <v>1493.4099999999999</v>
      </c>
      <c r="S63" s="494">
        <f>R63*1.1</f>
        <v>1642.751</v>
      </c>
      <c r="T63" s="544"/>
      <c r="U63" s="544"/>
      <c r="V63" s="389">
        <f>SUM(T63:U63)</f>
        <v>0</v>
      </c>
      <c r="W63" s="388">
        <f>R63-V63</f>
        <v>1493.4099999999999</v>
      </c>
      <c r="X63" s="390">
        <f>W63/R63</f>
        <v>1</v>
      </c>
      <c r="Y63" s="608" t="s">
        <v>199</v>
      </c>
      <c r="Z63" s="392">
        <f>F63+14</f>
        <v>42951</v>
      </c>
      <c r="AA63" s="383" t="s">
        <v>200</v>
      </c>
      <c r="AB63" s="442" t="s">
        <v>210</v>
      </c>
      <c r="AC63" s="536" t="s">
        <v>752</v>
      </c>
      <c r="AD63" s="392">
        <v>42880</v>
      </c>
      <c r="AE63" s="550"/>
      <c r="AF63" s="392"/>
      <c r="AG63" s="546"/>
      <c r="AJ63" s="553"/>
    </row>
    <row r="64" spans="1:50" s="218" customFormat="1" ht="14.35" customHeight="1">
      <c r="A64" s="545" t="s">
        <v>715</v>
      </c>
      <c r="B64" s="586" t="s">
        <v>227</v>
      </c>
      <c r="C64" s="386" t="s">
        <v>1155</v>
      </c>
      <c r="D64" s="386">
        <v>42996</v>
      </c>
      <c r="E64" s="392">
        <v>42920</v>
      </c>
      <c r="F64" s="536">
        <v>42920</v>
      </c>
      <c r="G64" s="658"/>
      <c r="H64" s="658"/>
      <c r="I64" s="658">
        <v>42955</v>
      </c>
      <c r="J64" s="658">
        <v>42999</v>
      </c>
      <c r="K64" s="386"/>
      <c r="L64" s="392" t="str">
        <f>TEXT(F64,"mmm-yy")</f>
        <v>Jul-17</v>
      </c>
      <c r="M64" s="392" t="str">
        <f>TEXT(J64,"mmm-yy")</f>
        <v>Sep-17</v>
      </c>
      <c r="N64" s="445" t="s">
        <v>985</v>
      </c>
      <c r="O64" s="418" t="s">
        <v>811</v>
      </c>
      <c r="P64" s="538">
        <v>3684.78</v>
      </c>
      <c r="Q64" s="578"/>
      <c r="R64" s="538">
        <f>SUM(P64:Q64)</f>
        <v>3684.78</v>
      </c>
      <c r="S64" s="494">
        <f>R64*1.1</f>
        <v>4053.2580000000007</v>
      </c>
      <c r="T64" s="544"/>
      <c r="U64" s="544"/>
      <c r="V64" s="389">
        <f>SUM(T64:U64)</f>
        <v>0</v>
      </c>
      <c r="W64" s="388">
        <f>R64-V64</f>
        <v>3684.78</v>
      </c>
      <c r="X64" s="390">
        <f>W64/R64</f>
        <v>1</v>
      </c>
      <c r="Y64" s="608" t="s">
        <v>199</v>
      </c>
      <c r="Z64" s="392">
        <f>F64+14</f>
        <v>42934</v>
      </c>
      <c r="AA64" s="383" t="s">
        <v>200</v>
      </c>
      <c r="AB64" s="442" t="s">
        <v>220</v>
      </c>
      <c r="AC64" s="392">
        <v>42866</v>
      </c>
      <c r="AD64" s="392">
        <v>42884</v>
      </c>
      <c r="AE64" s="550">
        <f>AD64-AC64</f>
        <v>18</v>
      </c>
      <c r="AF64" s="392">
        <v>42884</v>
      </c>
      <c r="AG64" s="546">
        <f>AF64-AD64</f>
        <v>0</v>
      </c>
      <c r="AJ64" s="553"/>
    </row>
    <row r="65" spans="1:36" s="218" customFormat="1" ht="14.35" customHeight="1">
      <c r="A65" s="545" t="s">
        <v>715</v>
      </c>
      <c r="B65" s="545" t="s">
        <v>764</v>
      </c>
      <c r="C65" s="386" t="s">
        <v>1032</v>
      </c>
      <c r="D65" s="386">
        <v>42964</v>
      </c>
      <c r="E65" s="392">
        <v>42919</v>
      </c>
      <c r="F65" s="392">
        <v>42919</v>
      </c>
      <c r="G65" s="803"/>
      <c r="H65" s="803"/>
      <c r="I65" s="658">
        <v>42955</v>
      </c>
      <c r="J65" s="658">
        <v>42971</v>
      </c>
      <c r="K65" s="386"/>
      <c r="L65" s="392" t="str">
        <f>TEXT(F65,"mmm-yy")</f>
        <v>Jul-17</v>
      </c>
      <c r="M65" s="392" t="str">
        <f>TEXT(J65,"mmm-yy")</f>
        <v>Aug-17</v>
      </c>
      <c r="N65" s="354" t="s">
        <v>1065</v>
      </c>
      <c r="O65" s="418" t="s">
        <v>831</v>
      </c>
      <c r="P65" s="538">
        <v>3135.04</v>
      </c>
      <c r="Q65" s="578"/>
      <c r="R65" s="538">
        <f>SUM(P65:Q65)</f>
        <v>3135.04</v>
      </c>
      <c r="S65" s="494">
        <f>R65*1.1</f>
        <v>3448.5440000000003</v>
      </c>
      <c r="T65" s="544"/>
      <c r="U65" s="544"/>
      <c r="V65" s="389">
        <f>SUM(T65:U65)</f>
        <v>0</v>
      </c>
      <c r="W65" s="388">
        <f>R65-V65</f>
        <v>3135.04</v>
      </c>
      <c r="X65" s="390">
        <f>W65/R65</f>
        <v>1</v>
      </c>
      <c r="Y65" s="608" t="s">
        <v>199</v>
      </c>
      <c r="Z65" s="392">
        <f>F65+14</f>
        <v>42933</v>
      </c>
      <c r="AA65" s="383" t="s">
        <v>200</v>
      </c>
      <c r="AB65" s="442" t="s">
        <v>739</v>
      </c>
      <c r="AC65" s="392">
        <v>42876</v>
      </c>
      <c r="AD65" s="392">
        <v>42891</v>
      </c>
      <c r="AE65" s="550">
        <f>AD65-AC65</f>
        <v>15</v>
      </c>
      <c r="AF65" s="392">
        <v>42886</v>
      </c>
      <c r="AG65" s="546">
        <f>AF65-AD65</f>
        <v>-5</v>
      </c>
      <c r="AJ65" s="553"/>
    </row>
    <row r="66" spans="1:36" s="218" customFormat="1">
      <c r="A66" s="586" t="s">
        <v>714</v>
      </c>
      <c r="B66" s="545" t="s">
        <v>190</v>
      </c>
      <c r="C66" s="386" t="s">
        <v>1232</v>
      </c>
      <c r="D66" s="386">
        <v>43018</v>
      </c>
      <c r="E66" s="392">
        <v>42959</v>
      </c>
      <c r="F66" s="536">
        <v>42961</v>
      </c>
      <c r="G66" s="658">
        <v>42963</v>
      </c>
      <c r="H66" s="658">
        <v>42972</v>
      </c>
      <c r="I66" s="658">
        <v>42986</v>
      </c>
      <c r="J66" s="658">
        <v>43020</v>
      </c>
      <c r="K66" s="386"/>
      <c r="L66" s="392" t="str">
        <f>TEXT(F66,"mmm-yy")</f>
        <v>Aug-17</v>
      </c>
      <c r="M66" s="392" t="str">
        <f>TEXT(J66,"mmm-yy")</f>
        <v>Oct-17</v>
      </c>
      <c r="N66" s="397" t="s">
        <v>1133</v>
      </c>
      <c r="O66" s="418" t="s">
        <v>830</v>
      </c>
      <c r="P66" s="538">
        <v>1539.68</v>
      </c>
      <c r="Q66" s="418">
        <v>2526.21</v>
      </c>
      <c r="R66" s="538">
        <f>SUM(P66:Q66)</f>
        <v>4065.8900000000003</v>
      </c>
      <c r="S66" s="494">
        <f>R66*1.1</f>
        <v>4472.4790000000003</v>
      </c>
      <c r="T66" s="544"/>
      <c r="U66" s="544"/>
      <c r="V66" s="389">
        <f>SUM(T66:U66)</f>
        <v>0</v>
      </c>
      <c r="W66" s="388">
        <f>R66-V66</f>
        <v>4065.8900000000003</v>
      </c>
      <c r="X66" s="390">
        <f>W66/R66</f>
        <v>1</v>
      </c>
      <c r="Y66" s="608" t="s">
        <v>199</v>
      </c>
      <c r="Z66" s="392">
        <f>F66+14</f>
        <v>42975</v>
      </c>
      <c r="AA66" s="383" t="s">
        <v>200</v>
      </c>
      <c r="AB66" s="442" t="s">
        <v>210</v>
      </c>
      <c r="AC66" s="536" t="s">
        <v>752</v>
      </c>
      <c r="AD66" s="392">
        <v>42891</v>
      </c>
      <c r="AE66" s="550"/>
      <c r="AF66" s="392"/>
      <c r="AG66" s="546"/>
      <c r="AJ66" s="553"/>
    </row>
    <row r="67" spans="1:36" s="218" customFormat="1" ht="14.35" customHeight="1">
      <c r="A67" s="586" t="s">
        <v>714</v>
      </c>
      <c r="B67" s="545" t="s">
        <v>190</v>
      </c>
      <c r="C67" s="386" t="s">
        <v>1350</v>
      </c>
      <c r="D67" s="386">
        <v>43052</v>
      </c>
      <c r="E67" s="392">
        <v>42999</v>
      </c>
      <c r="F67" s="392">
        <v>43003</v>
      </c>
      <c r="G67" s="658">
        <v>43005</v>
      </c>
      <c r="H67" s="658">
        <v>43010</v>
      </c>
      <c r="I67" s="658">
        <v>43010</v>
      </c>
      <c r="J67" s="658">
        <v>43055</v>
      </c>
      <c r="K67" s="386"/>
      <c r="L67" s="392" t="str">
        <f>TEXT(F67,"mmm-yy")</f>
        <v>Sep-17</v>
      </c>
      <c r="M67" s="392" t="str">
        <f>TEXT(J67,"mmm-yy")</f>
        <v>Nov-17</v>
      </c>
      <c r="N67" s="397" t="s">
        <v>828</v>
      </c>
      <c r="O67" s="418" t="s">
        <v>829</v>
      </c>
      <c r="P67" s="538">
        <v>1876.95</v>
      </c>
      <c r="Q67" s="418">
        <v>2105.2800000000002</v>
      </c>
      <c r="R67" s="538">
        <f>SUM(P67:Q67)</f>
        <v>3982.2300000000005</v>
      </c>
      <c r="S67" s="494">
        <f>R67*1.1</f>
        <v>4380.4530000000004</v>
      </c>
      <c r="T67" s="544"/>
      <c r="U67" s="544"/>
      <c r="V67" s="389">
        <f>SUM(T67:U67)</f>
        <v>0</v>
      </c>
      <c r="W67" s="388">
        <f>R67-V67</f>
        <v>3982.2300000000005</v>
      </c>
      <c r="X67" s="390">
        <f>W67/R67</f>
        <v>1</v>
      </c>
      <c r="Y67" s="608" t="s">
        <v>199</v>
      </c>
      <c r="Z67" s="392">
        <f>F67+14</f>
        <v>43017</v>
      </c>
      <c r="AA67" s="383" t="s">
        <v>200</v>
      </c>
      <c r="AB67" s="442" t="s">
        <v>210</v>
      </c>
      <c r="AC67" s="536" t="s">
        <v>752</v>
      </c>
      <c r="AD67" s="392">
        <v>42891</v>
      </c>
      <c r="AE67" s="550"/>
      <c r="AF67" s="392"/>
      <c r="AG67" s="546"/>
      <c r="AJ67" s="553"/>
    </row>
    <row r="68" spans="1:36" s="218" customFormat="1" ht="14.35" customHeight="1">
      <c r="A68" s="586" t="s">
        <v>714</v>
      </c>
      <c r="B68" s="545" t="s">
        <v>190</v>
      </c>
      <c r="C68" s="386" t="s">
        <v>1196</v>
      </c>
      <c r="D68" s="386">
        <v>43005</v>
      </c>
      <c r="E68" s="392">
        <v>42937</v>
      </c>
      <c r="F68" s="536">
        <v>42937</v>
      </c>
      <c r="G68" s="658">
        <v>42956</v>
      </c>
      <c r="H68" s="658">
        <v>42978</v>
      </c>
      <c r="I68" s="658">
        <v>42985</v>
      </c>
      <c r="J68" s="658">
        <v>43005</v>
      </c>
      <c r="K68" s="386"/>
      <c r="L68" s="392" t="str">
        <f>TEXT(F68,"mmm-yy")</f>
        <v>Jul-17</v>
      </c>
      <c r="M68" s="392" t="str">
        <f>TEXT(J68,"mmm-yy")</f>
        <v>Sep-17</v>
      </c>
      <c r="N68" s="397" t="s">
        <v>1066</v>
      </c>
      <c r="O68" s="418" t="s">
        <v>690</v>
      </c>
      <c r="P68" s="538">
        <v>1706.42</v>
      </c>
      <c r="Q68" s="418">
        <v>2638</v>
      </c>
      <c r="R68" s="538">
        <f>SUM(P68:Q68)</f>
        <v>4344.42</v>
      </c>
      <c r="S68" s="494">
        <f>R68*1.1</f>
        <v>4778.8620000000001</v>
      </c>
      <c r="T68" s="544"/>
      <c r="U68" s="544"/>
      <c r="V68" s="389">
        <f>SUM(T68:U68)</f>
        <v>0</v>
      </c>
      <c r="W68" s="388">
        <f>R68-V68</f>
        <v>4344.42</v>
      </c>
      <c r="X68" s="390">
        <f>W68/R68</f>
        <v>1</v>
      </c>
      <c r="Y68" s="608" t="s">
        <v>199</v>
      </c>
      <c r="Z68" s="392">
        <f>F68+14</f>
        <v>42951</v>
      </c>
      <c r="AA68" s="383" t="s">
        <v>200</v>
      </c>
      <c r="AB68" s="442" t="s">
        <v>838</v>
      </c>
      <c r="AC68" s="536" t="s">
        <v>752</v>
      </c>
      <c r="AD68" s="392">
        <v>42892</v>
      </c>
      <c r="AE68" s="550"/>
      <c r="AF68" s="392"/>
      <c r="AG68" s="546"/>
      <c r="AJ68" s="553"/>
    </row>
    <row r="69" spans="1:36" s="218" customFormat="1" ht="14.35" customHeight="1">
      <c r="A69" s="586" t="s">
        <v>714</v>
      </c>
      <c r="B69" s="545" t="s">
        <v>190</v>
      </c>
      <c r="C69" s="386" t="s">
        <v>1150</v>
      </c>
      <c r="D69" s="386">
        <v>42964</v>
      </c>
      <c r="E69" s="392">
        <v>42937</v>
      </c>
      <c r="F69" s="536">
        <v>42937</v>
      </c>
      <c r="G69" s="658">
        <v>42957</v>
      </c>
      <c r="H69" s="658">
        <v>42971</v>
      </c>
      <c r="I69" s="658">
        <v>42956</v>
      </c>
      <c r="J69" s="658">
        <v>42992</v>
      </c>
      <c r="K69" s="386"/>
      <c r="L69" s="392" t="str">
        <f>TEXT(F69,"mmm-yy")</f>
        <v>Jul-17</v>
      </c>
      <c r="M69" s="392" t="str">
        <f>TEXT(J69,"mmm-yy")</f>
        <v>Sep-17</v>
      </c>
      <c r="N69" s="397" t="s">
        <v>998</v>
      </c>
      <c r="O69" s="418" t="s">
        <v>385</v>
      </c>
      <c r="P69" s="538">
        <v>815.12</v>
      </c>
      <c r="Q69" s="418">
        <v>142.16</v>
      </c>
      <c r="R69" s="538">
        <f>SUM(P69:Q69)</f>
        <v>957.28</v>
      </c>
      <c r="S69" s="494">
        <f>R69*1.1</f>
        <v>1053.008</v>
      </c>
      <c r="T69" s="544"/>
      <c r="U69" s="544"/>
      <c r="V69" s="389">
        <f>SUM(T69:U69)</f>
        <v>0</v>
      </c>
      <c r="W69" s="388">
        <f>R69-V69</f>
        <v>957.28</v>
      </c>
      <c r="X69" s="390">
        <f>W69/R69</f>
        <v>1</v>
      </c>
      <c r="Y69" s="608" t="s">
        <v>199</v>
      </c>
      <c r="Z69" s="392">
        <f>F69+14</f>
        <v>42951</v>
      </c>
      <c r="AA69" s="383" t="s">
        <v>200</v>
      </c>
      <c r="AB69" s="442" t="s">
        <v>210</v>
      </c>
      <c r="AC69" s="536" t="s">
        <v>752</v>
      </c>
      <c r="AD69" s="392">
        <v>42906</v>
      </c>
      <c r="AE69" s="550"/>
      <c r="AF69" s="392"/>
      <c r="AG69" s="546"/>
      <c r="AJ69" s="553"/>
    </row>
    <row r="70" spans="1:36" s="218" customFormat="1" ht="14.35" customHeight="1">
      <c r="A70" s="586" t="s">
        <v>714</v>
      </c>
      <c r="B70" s="545" t="s">
        <v>190</v>
      </c>
      <c r="C70" s="386" t="s">
        <v>1151</v>
      </c>
      <c r="D70" s="386">
        <v>42996</v>
      </c>
      <c r="E70" s="392">
        <v>42920</v>
      </c>
      <c r="F70" s="536">
        <v>42920</v>
      </c>
      <c r="G70" s="658">
        <v>42956</v>
      </c>
      <c r="H70" s="658">
        <v>42965</v>
      </c>
      <c r="I70" s="658">
        <v>42982</v>
      </c>
      <c r="J70" s="658">
        <v>42999</v>
      </c>
      <c r="K70" s="386"/>
      <c r="L70" s="392" t="str">
        <f>TEXT(F70,"mmm-yy")</f>
        <v>Jul-17</v>
      </c>
      <c r="M70" s="392" t="str">
        <f>TEXT(J70,"mmm-yy")</f>
        <v>Sep-17</v>
      </c>
      <c r="N70" s="397" t="s">
        <v>1067</v>
      </c>
      <c r="O70" s="418" t="s">
        <v>385</v>
      </c>
      <c r="P70" s="538">
        <v>124.97</v>
      </c>
      <c r="Q70" s="418">
        <v>390</v>
      </c>
      <c r="R70" s="538">
        <f>SUM(P70:Q70)</f>
        <v>514.97</v>
      </c>
      <c r="S70" s="494">
        <f>R70*1.1</f>
        <v>566.4670000000001</v>
      </c>
      <c r="T70" s="544"/>
      <c r="U70" s="544"/>
      <c r="V70" s="389">
        <f>SUM(T70:U70)</f>
        <v>0</v>
      </c>
      <c r="W70" s="388">
        <f>R70-V70</f>
        <v>514.97</v>
      </c>
      <c r="X70" s="390">
        <f>W70/R70</f>
        <v>1</v>
      </c>
      <c r="Y70" s="608" t="s">
        <v>199</v>
      </c>
      <c r="Z70" s="392">
        <f>F70+14</f>
        <v>42934</v>
      </c>
      <c r="AA70" s="383" t="s">
        <v>200</v>
      </c>
      <c r="AB70" s="442" t="s">
        <v>210</v>
      </c>
      <c r="AC70" s="536" t="s">
        <v>752</v>
      </c>
      <c r="AD70" s="392">
        <v>42906</v>
      </c>
      <c r="AE70" s="550"/>
      <c r="AF70" s="392"/>
      <c r="AG70" s="546"/>
      <c r="AJ70" s="553"/>
    </row>
    <row r="71" spans="1:36" s="218" customFormat="1" ht="14.35" customHeight="1">
      <c r="A71" s="586" t="s">
        <v>714</v>
      </c>
      <c r="B71" s="545" t="s">
        <v>190</v>
      </c>
      <c r="C71" s="386" t="s">
        <v>1124</v>
      </c>
      <c r="D71" s="386">
        <v>42986</v>
      </c>
      <c r="E71" s="392">
        <v>42937</v>
      </c>
      <c r="F71" s="536">
        <v>42937</v>
      </c>
      <c r="G71" s="658">
        <v>42956</v>
      </c>
      <c r="H71" s="658">
        <v>42965</v>
      </c>
      <c r="I71" s="658">
        <v>42955</v>
      </c>
      <c r="J71" s="658">
        <v>42986</v>
      </c>
      <c r="K71" s="386"/>
      <c r="L71" s="392" t="str">
        <f>TEXT(F71,"mmm-yy")</f>
        <v>Jul-17</v>
      </c>
      <c r="M71" s="392" t="str">
        <f>TEXT(J71,"mmm-yy")</f>
        <v>Sep-17</v>
      </c>
      <c r="N71" s="397" t="s">
        <v>1068</v>
      </c>
      <c r="O71" s="418" t="s">
        <v>725</v>
      </c>
      <c r="P71" s="538">
        <v>288.08</v>
      </c>
      <c r="Q71" s="418">
        <v>692.46</v>
      </c>
      <c r="R71" s="538">
        <f>SUM(P71:Q71)</f>
        <v>980.54</v>
      </c>
      <c r="S71" s="494">
        <f>R71*1.1</f>
        <v>1078.5940000000001</v>
      </c>
      <c r="T71" s="544"/>
      <c r="U71" s="544"/>
      <c r="V71" s="389">
        <f>SUM(T71:U71)</f>
        <v>0</v>
      </c>
      <c r="W71" s="388">
        <f>R71-V71</f>
        <v>980.54</v>
      </c>
      <c r="X71" s="390">
        <f>W71/R71</f>
        <v>1</v>
      </c>
      <c r="Y71" s="608" t="s">
        <v>199</v>
      </c>
      <c r="Z71" s="392">
        <f>F71+14</f>
        <v>42951</v>
      </c>
      <c r="AA71" s="383" t="s">
        <v>200</v>
      </c>
      <c r="AB71" s="442" t="s">
        <v>210</v>
      </c>
      <c r="AC71" s="536" t="s">
        <v>752</v>
      </c>
      <c r="AD71" s="392">
        <v>42902</v>
      </c>
      <c r="AE71" s="545"/>
      <c r="AF71" s="392"/>
      <c r="AG71" s="546"/>
      <c r="AJ71" s="553"/>
    </row>
    <row r="72" spans="1:36" s="218" customFormat="1" ht="14.35" customHeight="1">
      <c r="A72" s="586" t="s">
        <v>714</v>
      </c>
      <c r="B72" s="545" t="s">
        <v>190</v>
      </c>
      <c r="C72" s="386" t="s">
        <v>1176</v>
      </c>
      <c r="D72" s="386">
        <v>42984</v>
      </c>
      <c r="E72" s="392">
        <v>42928</v>
      </c>
      <c r="F72" s="536">
        <v>42919</v>
      </c>
      <c r="G72" s="658">
        <v>42956</v>
      </c>
      <c r="H72" s="658">
        <v>42979</v>
      </c>
      <c r="I72" s="658">
        <v>42955</v>
      </c>
      <c r="J72" s="658">
        <v>42999</v>
      </c>
      <c r="K72" s="386" t="s">
        <v>984</v>
      </c>
      <c r="L72" s="392" t="str">
        <f>TEXT(F72,"mmm-yy")</f>
        <v>Jul-17</v>
      </c>
      <c r="M72" s="392" t="str">
        <f>TEXT(J72,"mmm-yy")</f>
        <v>Sep-17</v>
      </c>
      <c r="N72" s="397" t="s">
        <v>1069</v>
      </c>
      <c r="O72" s="418" t="s">
        <v>842</v>
      </c>
      <c r="P72" s="538">
        <v>1026.45</v>
      </c>
      <c r="Q72" s="418">
        <v>112.25</v>
      </c>
      <c r="R72" s="538">
        <f>SUM(P72:Q72)</f>
        <v>1138.7</v>
      </c>
      <c r="S72" s="494">
        <f>R72*1.1</f>
        <v>1252.5700000000002</v>
      </c>
      <c r="T72" s="544"/>
      <c r="U72" s="544"/>
      <c r="V72" s="389">
        <f>SUM(T72:U72)</f>
        <v>0</v>
      </c>
      <c r="W72" s="388">
        <f>R72-V72</f>
        <v>1138.7</v>
      </c>
      <c r="X72" s="390">
        <f>W72/R72</f>
        <v>1</v>
      </c>
      <c r="Y72" s="608" t="s">
        <v>199</v>
      </c>
      <c r="Z72" s="536">
        <f>F72+14</f>
        <v>42933</v>
      </c>
      <c r="AA72" s="383" t="s">
        <v>200</v>
      </c>
      <c r="AB72" s="442" t="s">
        <v>210</v>
      </c>
      <c r="AC72" s="536" t="s">
        <v>752</v>
      </c>
      <c r="AD72" s="392">
        <v>42905</v>
      </c>
      <c r="AE72" s="545"/>
      <c r="AF72" s="392"/>
      <c r="AG72" s="546"/>
      <c r="AJ72" s="553"/>
    </row>
    <row r="73" spans="1:36" s="218" customFormat="1" ht="14.35" customHeight="1">
      <c r="A73" s="586" t="s">
        <v>714</v>
      </c>
      <c r="B73" s="545" t="s">
        <v>190</v>
      </c>
      <c r="C73" s="386" t="s">
        <v>1306</v>
      </c>
      <c r="D73" s="392">
        <v>43033</v>
      </c>
      <c r="E73" s="392">
        <v>42948</v>
      </c>
      <c r="F73" s="531">
        <v>42951</v>
      </c>
      <c r="G73" s="658">
        <v>42956</v>
      </c>
      <c r="H73" s="658">
        <v>42993</v>
      </c>
      <c r="I73" s="658">
        <v>42985</v>
      </c>
      <c r="J73" s="658">
        <v>43039</v>
      </c>
      <c r="K73" s="386"/>
      <c r="L73" s="392" t="str">
        <f>TEXT(F73,"mmm-yy")</f>
        <v>Aug-17</v>
      </c>
      <c r="M73" s="392" t="str">
        <f>TEXT(J73,"mmm-yy")</f>
        <v>Oct-17</v>
      </c>
      <c r="N73" s="397" t="s">
        <v>1331</v>
      </c>
      <c r="O73" s="418" t="s">
        <v>725</v>
      </c>
      <c r="P73" s="538">
        <v>182.87</v>
      </c>
      <c r="Q73" s="418">
        <v>375.17</v>
      </c>
      <c r="R73" s="538">
        <f>SUM(P73:Q73)</f>
        <v>558.04</v>
      </c>
      <c r="S73" s="494">
        <f>R73*1.1</f>
        <v>613.84400000000005</v>
      </c>
      <c r="T73" s="544"/>
      <c r="U73" s="544"/>
      <c r="V73" s="389">
        <f>SUM(T73:U73)</f>
        <v>0</v>
      </c>
      <c r="W73" s="388">
        <f>R73-V73</f>
        <v>558.04</v>
      </c>
      <c r="X73" s="390">
        <f>W73/R73</f>
        <v>1</v>
      </c>
      <c r="Y73" s="608" t="s">
        <v>199</v>
      </c>
      <c r="Z73" s="536">
        <f>F73+14</f>
        <v>42965</v>
      </c>
      <c r="AA73" s="383" t="s">
        <v>200</v>
      </c>
      <c r="AB73" s="442" t="s">
        <v>220</v>
      </c>
      <c r="AC73" s="536" t="s">
        <v>752</v>
      </c>
      <c r="AD73" s="392">
        <v>42906</v>
      </c>
      <c r="AE73" s="545"/>
      <c r="AF73" s="392"/>
      <c r="AG73" s="546"/>
      <c r="AJ73" s="553"/>
    </row>
    <row r="74" spans="1:36" s="218" customFormat="1" ht="14.35" customHeight="1">
      <c r="A74" s="545" t="s">
        <v>715</v>
      </c>
      <c r="B74" s="545" t="s">
        <v>190</v>
      </c>
      <c r="C74" s="386" t="s">
        <v>1620</v>
      </c>
      <c r="D74" s="386">
        <v>43068</v>
      </c>
      <c r="E74" s="392">
        <v>42982</v>
      </c>
      <c r="F74" s="536">
        <v>42982</v>
      </c>
      <c r="G74" s="658"/>
      <c r="H74" s="658"/>
      <c r="I74" s="658">
        <f>F74+14</f>
        <v>42996</v>
      </c>
      <c r="J74" s="658">
        <v>43069</v>
      </c>
      <c r="K74" s="397"/>
      <c r="L74" s="392" t="str">
        <f>TEXT(F74,"mmm-yy")</f>
        <v>Sep-17</v>
      </c>
      <c r="M74" s="392" t="str">
        <f>TEXT(J74,"mmm-yy")</f>
        <v>Nov-17</v>
      </c>
      <c r="N74" s="397" t="s">
        <v>1054</v>
      </c>
      <c r="O74" s="418" t="s">
        <v>458</v>
      </c>
      <c r="P74" s="538">
        <v>2090.71</v>
      </c>
      <c r="Q74" s="684"/>
      <c r="R74" s="538">
        <f>SUM(P74:Q74)</f>
        <v>2090.71</v>
      </c>
      <c r="S74" s="494">
        <f>R74*1.1</f>
        <v>2299.7810000000004</v>
      </c>
      <c r="T74" s="544"/>
      <c r="U74" s="544"/>
      <c r="V74" s="389">
        <f>SUM(T74:U74)</f>
        <v>0</v>
      </c>
      <c r="W74" s="388">
        <f>R74-V74</f>
        <v>2090.71</v>
      </c>
      <c r="X74" s="390">
        <f>W74/R74</f>
        <v>1</v>
      </c>
      <c r="Y74" s="608" t="s">
        <v>199</v>
      </c>
      <c r="Z74" s="536">
        <f>F74+14</f>
        <v>42996</v>
      </c>
      <c r="AA74" s="383" t="s">
        <v>200</v>
      </c>
      <c r="AB74" s="442" t="s">
        <v>517</v>
      </c>
      <c r="AC74" s="392">
        <v>42870</v>
      </c>
      <c r="AD74" s="392">
        <v>42902</v>
      </c>
      <c r="AE74" s="550">
        <f>AD74-AC74</f>
        <v>32</v>
      </c>
      <c r="AF74" s="392">
        <v>42946</v>
      </c>
      <c r="AG74" s="546">
        <f>AF74-AD74</f>
        <v>44</v>
      </c>
      <c r="AJ74" s="553"/>
    </row>
    <row r="75" spans="1:36" s="218" customFormat="1" ht="14.35" customHeight="1">
      <c r="A75" s="586" t="s">
        <v>714</v>
      </c>
      <c r="B75" s="545" t="s">
        <v>190</v>
      </c>
      <c r="C75" s="541" t="s">
        <v>1234</v>
      </c>
      <c r="D75" s="386">
        <v>43018</v>
      </c>
      <c r="E75" s="392">
        <v>42960</v>
      </c>
      <c r="F75" s="536">
        <v>42961</v>
      </c>
      <c r="G75" s="658">
        <v>42962</v>
      </c>
      <c r="H75" s="658">
        <v>42979</v>
      </c>
      <c r="I75" s="658">
        <f>F75+14</f>
        <v>42975</v>
      </c>
      <c r="J75" s="658">
        <v>43020</v>
      </c>
      <c r="K75" s="397"/>
      <c r="L75" s="392" t="str">
        <f>TEXT(F75,"mmm-yy")</f>
        <v>Aug-17</v>
      </c>
      <c r="M75" s="392" t="str">
        <f>TEXT(J75,"mmm-yy")</f>
        <v>Oct-17</v>
      </c>
      <c r="N75" s="397" t="s">
        <v>1012</v>
      </c>
      <c r="O75" s="418" t="s">
        <v>725</v>
      </c>
      <c r="P75" s="538">
        <v>300.05</v>
      </c>
      <c r="Q75" s="418">
        <v>3632.01</v>
      </c>
      <c r="R75" s="538">
        <f>SUM(P75:Q75)</f>
        <v>3932.0600000000004</v>
      </c>
      <c r="S75" s="494">
        <f>R75*1.1</f>
        <v>4325.2660000000005</v>
      </c>
      <c r="T75" s="544">
        <v>2573.9699999999998</v>
      </c>
      <c r="U75" s="544"/>
      <c r="V75" s="389">
        <f>SUM(T75:U75)</f>
        <v>2573.9699999999998</v>
      </c>
      <c r="W75" s="388">
        <f>R75-V75</f>
        <v>1358.0900000000006</v>
      </c>
      <c r="X75" s="390">
        <f>W75/R75</f>
        <v>0.34538893099291479</v>
      </c>
      <c r="Y75" s="608" t="s">
        <v>199</v>
      </c>
      <c r="Z75" s="536">
        <f>F75+14</f>
        <v>42975</v>
      </c>
      <c r="AA75" s="383" t="s">
        <v>200</v>
      </c>
      <c r="AB75" s="442" t="s">
        <v>210</v>
      </c>
      <c r="AC75" s="392" t="s">
        <v>752</v>
      </c>
      <c r="AD75" s="392">
        <v>42914</v>
      </c>
      <c r="AE75" s="545"/>
      <c r="AF75" s="392"/>
      <c r="AG75" s="546"/>
      <c r="AJ75" s="553"/>
    </row>
    <row r="76" spans="1:36" s="218" customFormat="1" ht="14.35" customHeight="1">
      <c r="A76" s="545" t="s">
        <v>715</v>
      </c>
      <c r="B76" s="545" t="s">
        <v>190</v>
      </c>
      <c r="C76" s="386" t="s">
        <v>1621</v>
      </c>
      <c r="D76" s="386">
        <v>43068</v>
      </c>
      <c r="E76" s="392">
        <v>43013</v>
      </c>
      <c r="F76" s="536">
        <v>43013</v>
      </c>
      <c r="G76" s="658">
        <v>43024</v>
      </c>
      <c r="H76" s="658">
        <v>43056</v>
      </c>
      <c r="I76" s="658">
        <v>43028</v>
      </c>
      <c r="J76" s="658">
        <v>43074</v>
      </c>
      <c r="K76" s="386"/>
      <c r="L76" s="392" t="str">
        <f>TEXT(F76,"mmm-yy")</f>
        <v>Oct-17</v>
      </c>
      <c r="M76" s="392" t="str">
        <f>TEXT(J76,"mmm-yy")</f>
        <v>Dec-17</v>
      </c>
      <c r="N76" s="397" t="s">
        <v>1042</v>
      </c>
      <c r="O76" s="418" t="s">
        <v>865</v>
      </c>
      <c r="P76" s="538">
        <v>2844.81</v>
      </c>
      <c r="Q76" s="418">
        <v>-106.5</v>
      </c>
      <c r="R76" s="538">
        <f>SUM(P76:Q76)</f>
        <v>2738.31</v>
      </c>
      <c r="S76" s="494">
        <f>R76*1.1</f>
        <v>3012.1410000000001</v>
      </c>
      <c r="T76" s="544"/>
      <c r="U76" s="544"/>
      <c r="V76" s="389">
        <f>SUM(T76:U76)</f>
        <v>0</v>
      </c>
      <c r="W76" s="388">
        <f>R76-V76</f>
        <v>2738.31</v>
      </c>
      <c r="X76" s="390">
        <f>W76/R76</f>
        <v>1</v>
      </c>
      <c r="Y76" s="608" t="s">
        <v>199</v>
      </c>
      <c r="Z76" s="536">
        <f>F76+14</f>
        <v>43027</v>
      </c>
      <c r="AA76" s="383" t="s">
        <v>200</v>
      </c>
      <c r="AB76" s="442" t="s">
        <v>220</v>
      </c>
      <c r="AC76" s="392">
        <v>42866</v>
      </c>
      <c r="AD76" s="392">
        <v>42870</v>
      </c>
      <c r="AE76" s="550">
        <f>AD76-AC76</f>
        <v>4</v>
      </c>
      <c r="AF76" s="392">
        <v>42874</v>
      </c>
      <c r="AG76" s="546">
        <f>AF76-AD76</f>
        <v>4</v>
      </c>
      <c r="AJ76" s="553"/>
    </row>
    <row r="77" spans="1:36" s="218" customFormat="1" ht="14.35" customHeight="1">
      <c r="A77" s="545" t="s">
        <v>715</v>
      </c>
      <c r="B77" s="545" t="s">
        <v>190</v>
      </c>
      <c r="C77" s="386" t="s">
        <v>1123</v>
      </c>
      <c r="D77" s="386">
        <v>42989</v>
      </c>
      <c r="E77" s="392">
        <v>42926</v>
      </c>
      <c r="F77" s="536">
        <v>42927</v>
      </c>
      <c r="G77" s="658"/>
      <c r="H77" s="658"/>
      <c r="I77" s="658">
        <v>42955</v>
      </c>
      <c r="J77" s="658">
        <v>42999</v>
      </c>
      <c r="K77" s="386"/>
      <c r="L77" s="392" t="str">
        <f>TEXT(F77,"mmm-yy")</f>
        <v>Jul-17</v>
      </c>
      <c r="M77" s="392" t="str">
        <f>TEXT(J77,"mmm-yy")</f>
        <v>Sep-17</v>
      </c>
      <c r="N77" s="445" t="s">
        <v>1043</v>
      </c>
      <c r="O77" s="418" t="s">
        <v>889</v>
      </c>
      <c r="P77" s="538">
        <v>12365.6</v>
      </c>
      <c r="Q77" s="418"/>
      <c r="R77" s="538">
        <f>SUM(P77:Q77)</f>
        <v>12365.6</v>
      </c>
      <c r="S77" s="494">
        <f>R77*1.1</f>
        <v>13602.160000000002</v>
      </c>
      <c r="T77" s="544"/>
      <c r="U77" s="544"/>
      <c r="V77" s="389">
        <f>SUM(T77:U77)</f>
        <v>0</v>
      </c>
      <c r="W77" s="388">
        <f>R77-V77</f>
        <v>12365.6</v>
      </c>
      <c r="X77" s="390">
        <f>W77/R77</f>
        <v>1</v>
      </c>
      <c r="Y77" s="608" t="s">
        <v>199</v>
      </c>
      <c r="Z77" s="536">
        <f>F77+14</f>
        <v>42941</v>
      </c>
      <c r="AA77" s="383" t="s">
        <v>200</v>
      </c>
      <c r="AB77" s="393" t="s">
        <v>757</v>
      </c>
      <c r="AC77" s="392">
        <v>42886</v>
      </c>
      <c r="AD77" s="392">
        <v>42919</v>
      </c>
      <c r="AE77" s="550">
        <f>AD77-AC77</f>
        <v>33</v>
      </c>
      <c r="AF77" s="392">
        <v>42895</v>
      </c>
      <c r="AG77" s="546">
        <f>AF77-AD77</f>
        <v>-24</v>
      </c>
      <c r="AJ77" s="553"/>
    </row>
    <row r="78" spans="1:36" s="218" customFormat="1" ht="14.35" customHeight="1">
      <c r="A78" s="586" t="s">
        <v>714</v>
      </c>
      <c r="B78" s="545" t="s">
        <v>190</v>
      </c>
      <c r="D78" s="386"/>
      <c r="E78" s="392"/>
      <c r="F78" s="392">
        <v>43311</v>
      </c>
      <c r="G78" s="658"/>
      <c r="H78" s="658"/>
      <c r="I78" s="601"/>
      <c r="J78" s="601"/>
      <c r="K78" s="386"/>
      <c r="L78" s="392" t="str">
        <f>TEXT(F78,"mmm-yy")</f>
        <v>Jul-18</v>
      </c>
      <c r="M78" s="392" t="str">
        <f>TEXT(J78,"mmm-yy")</f>
        <v>Jan-00</v>
      </c>
      <c r="N78" s="397" t="s">
        <v>1047</v>
      </c>
      <c r="O78" s="418" t="s">
        <v>891</v>
      </c>
      <c r="P78" s="538">
        <v>1035.19</v>
      </c>
      <c r="Q78" s="840"/>
      <c r="R78" s="538">
        <f>SUM(P78:Q78)</f>
        <v>1035.19</v>
      </c>
      <c r="S78" s="494">
        <f>R78*1.1</f>
        <v>1138.7090000000001</v>
      </c>
      <c r="T78" s="544">
        <v>2974.72</v>
      </c>
      <c r="U78" s="544"/>
      <c r="V78" s="389">
        <f>SUM(T78:U78)</f>
        <v>2974.72</v>
      </c>
      <c r="W78" s="388">
        <f>R78-V78</f>
        <v>-1939.5299999999997</v>
      </c>
      <c r="X78" s="390">
        <f>W78/R78</f>
        <v>-1.8735980834436188</v>
      </c>
      <c r="Y78" s="544"/>
      <c r="Z78" s="536">
        <f>F78+14</f>
        <v>43325</v>
      </c>
      <c r="AA78" s="544"/>
      <c r="AB78" s="393" t="s">
        <v>757</v>
      </c>
      <c r="AC78" s="392" t="s">
        <v>752</v>
      </c>
      <c r="AD78" s="392">
        <v>42920</v>
      </c>
      <c r="AE78" s="550"/>
      <c r="AF78" s="392"/>
      <c r="AG78" s="546"/>
      <c r="AJ78" s="553"/>
    </row>
    <row r="79" spans="1:36" s="218" customFormat="1" ht="14.35" customHeight="1">
      <c r="A79" s="545" t="s">
        <v>716</v>
      </c>
      <c r="B79" s="545" t="s">
        <v>764</v>
      </c>
      <c r="C79" s="541" t="s">
        <v>1762</v>
      </c>
      <c r="D79" s="386">
        <v>43076</v>
      </c>
      <c r="E79" s="392">
        <v>42957</v>
      </c>
      <c r="F79" s="536">
        <v>43031</v>
      </c>
      <c r="G79" s="658">
        <v>43043</v>
      </c>
      <c r="H79" s="658">
        <v>43063</v>
      </c>
      <c r="I79" s="658">
        <v>43041</v>
      </c>
      <c r="J79" s="658">
        <v>43082</v>
      </c>
      <c r="K79" s="397"/>
      <c r="L79" s="392" t="str">
        <f>TEXT(F79,"mmm-yy")</f>
        <v>Oct-17</v>
      </c>
      <c r="M79" s="392" t="str">
        <f>TEXT(J79,"mmm-yy")</f>
        <v>Dec-17</v>
      </c>
      <c r="N79" s="397" t="s">
        <v>1046</v>
      </c>
      <c r="O79" s="445" t="s">
        <v>899</v>
      </c>
      <c r="P79" s="538">
        <v>10612</v>
      </c>
      <c r="Q79" s="418">
        <v>9213</v>
      </c>
      <c r="R79" s="538">
        <f>SUM(P79:Q79)</f>
        <v>19825</v>
      </c>
      <c r="S79" s="494">
        <f>R79*1.1</f>
        <v>21807.5</v>
      </c>
      <c r="T79" s="544">
        <v>8083.95</v>
      </c>
      <c r="U79" s="544"/>
      <c r="V79" s="389">
        <f>SUM(T79:U79)</f>
        <v>8083.95</v>
      </c>
      <c r="W79" s="388">
        <f>R79-V79</f>
        <v>11741.05</v>
      </c>
      <c r="X79" s="390">
        <f>W79/R79</f>
        <v>0.592234552332913</v>
      </c>
      <c r="Y79" s="608" t="s">
        <v>199</v>
      </c>
      <c r="Z79" s="536">
        <f>F79+14</f>
        <v>43045</v>
      </c>
      <c r="AA79" s="383" t="s">
        <v>200</v>
      </c>
      <c r="AB79" s="393" t="s">
        <v>581</v>
      </c>
      <c r="AC79" s="392">
        <v>42892</v>
      </c>
      <c r="AD79" s="392">
        <v>42922</v>
      </c>
      <c r="AE79" s="550">
        <f>AD79-AC79</f>
        <v>30</v>
      </c>
      <c r="AF79" s="392">
        <v>42916</v>
      </c>
      <c r="AG79" s="546">
        <f>AF79-AD79</f>
        <v>-6</v>
      </c>
      <c r="AJ79" s="553"/>
    </row>
    <row r="80" spans="1:36" s="218" customFormat="1" ht="14.35" customHeight="1">
      <c r="A80" s="545" t="s">
        <v>716</v>
      </c>
      <c r="B80" s="545" t="s">
        <v>764</v>
      </c>
      <c r="C80" s="386" t="s">
        <v>1263</v>
      </c>
      <c r="D80" s="386">
        <v>43018</v>
      </c>
      <c r="E80" s="392">
        <v>42954</v>
      </c>
      <c r="F80" s="536">
        <v>42957</v>
      </c>
      <c r="G80" s="658"/>
      <c r="H80" s="658"/>
      <c r="I80" s="658">
        <v>42997</v>
      </c>
      <c r="J80" s="658">
        <v>43020</v>
      </c>
      <c r="K80" s="397"/>
      <c r="L80" s="392" t="str">
        <f>TEXT(F80,"mmm-yy")</f>
        <v>Aug-17</v>
      </c>
      <c r="M80" s="392" t="str">
        <f>TEXT(J80,"mmm-yy")</f>
        <v>Oct-17</v>
      </c>
      <c r="N80" s="397" t="s">
        <v>1045</v>
      </c>
      <c r="O80" s="445" t="s">
        <v>208</v>
      </c>
      <c r="P80" s="538">
        <v>6272.99</v>
      </c>
      <c r="Q80" s="684"/>
      <c r="R80" s="538">
        <f>SUM(P80:Q80)</f>
        <v>6272.99</v>
      </c>
      <c r="S80" s="494">
        <f>R80*1.1</f>
        <v>6900.2890000000007</v>
      </c>
      <c r="T80" s="544"/>
      <c r="U80" s="544"/>
      <c r="V80" s="389">
        <f>SUM(T80:U80)</f>
        <v>0</v>
      </c>
      <c r="W80" s="388">
        <f>R80-V80</f>
        <v>6272.99</v>
      </c>
      <c r="X80" s="390">
        <f>W80/R80</f>
        <v>1</v>
      </c>
      <c r="Y80" s="608" t="s">
        <v>199</v>
      </c>
      <c r="Z80" s="536">
        <f>F80+14</f>
        <v>42971</v>
      </c>
      <c r="AA80" s="383" t="s">
        <v>200</v>
      </c>
      <c r="AB80" s="393" t="s">
        <v>581</v>
      </c>
      <c r="AC80" s="392">
        <v>42892</v>
      </c>
      <c r="AD80" s="392">
        <v>42922</v>
      </c>
      <c r="AE80" s="550">
        <f>AD80-AC80</f>
        <v>30</v>
      </c>
      <c r="AF80" s="392">
        <v>42916</v>
      </c>
      <c r="AG80" s="546">
        <f>AF80-AD80</f>
        <v>-6</v>
      </c>
      <c r="AJ80" s="553"/>
    </row>
    <row r="81" spans="1:36" s="218" customFormat="1" ht="14.35" customHeight="1">
      <c r="A81" s="586" t="s">
        <v>714</v>
      </c>
      <c r="B81" s="545" t="s">
        <v>190</v>
      </c>
      <c r="C81" s="386" t="s">
        <v>1613</v>
      </c>
      <c r="D81" s="386">
        <v>43055</v>
      </c>
      <c r="E81" s="392">
        <v>43024</v>
      </c>
      <c r="F81" s="392">
        <v>43024</v>
      </c>
      <c r="G81" s="658">
        <v>43032</v>
      </c>
      <c r="H81" s="658">
        <v>43032</v>
      </c>
      <c r="I81" s="658">
        <v>43031</v>
      </c>
      <c r="J81" s="658">
        <v>43060</v>
      </c>
      <c r="K81" s="386"/>
      <c r="L81" s="392" t="str">
        <f>TEXT(F81,"mmm-yy")</f>
        <v>Oct-17</v>
      </c>
      <c r="M81" s="392" t="str">
        <f>TEXT(J81,"mmm-yy")</f>
        <v>Nov-17</v>
      </c>
      <c r="N81" s="397" t="s">
        <v>1267</v>
      </c>
      <c r="O81" s="418" t="s">
        <v>385</v>
      </c>
      <c r="P81" s="538">
        <v>2766.71</v>
      </c>
      <c r="Q81" s="418">
        <v>-1040.96</v>
      </c>
      <c r="R81" s="538">
        <f>SUM(P81:Q81)</f>
        <v>1725.75</v>
      </c>
      <c r="S81" s="494">
        <f>R81*1.1</f>
        <v>1898.325</v>
      </c>
      <c r="T81" s="544"/>
      <c r="U81" s="544"/>
      <c r="V81" s="389">
        <f>SUM(T81:U81)</f>
        <v>0</v>
      </c>
      <c r="W81" s="388">
        <f>R81-V81</f>
        <v>1725.75</v>
      </c>
      <c r="X81" s="390">
        <f>W81/R81</f>
        <v>1</v>
      </c>
      <c r="Y81" s="608" t="s">
        <v>199</v>
      </c>
      <c r="Z81" s="536">
        <f>F81+14</f>
        <v>43038</v>
      </c>
      <c r="AA81" s="383" t="s">
        <v>200</v>
      </c>
      <c r="AB81" s="393" t="s">
        <v>210</v>
      </c>
      <c r="AC81" s="392" t="s">
        <v>752</v>
      </c>
      <c r="AD81" s="392">
        <v>42921</v>
      </c>
      <c r="AE81" s="550"/>
      <c r="AF81" s="392"/>
      <c r="AG81" s="546"/>
      <c r="AJ81" s="553"/>
    </row>
    <row r="82" spans="1:36" s="218" customFormat="1" ht="14.35" customHeight="1">
      <c r="A82" s="586" t="s">
        <v>714</v>
      </c>
      <c r="B82" s="545" t="s">
        <v>190</v>
      </c>
      <c r="C82" s="386" t="s">
        <v>1612</v>
      </c>
      <c r="D82" s="386">
        <v>43055</v>
      </c>
      <c r="E82" s="392">
        <v>43005</v>
      </c>
      <c r="F82" s="392">
        <v>43005</v>
      </c>
      <c r="G82" s="658">
        <v>43006</v>
      </c>
      <c r="H82" s="658">
        <v>43011</v>
      </c>
      <c r="I82" s="658">
        <v>43021</v>
      </c>
      <c r="J82" s="658">
        <v>43060</v>
      </c>
      <c r="K82" s="386"/>
      <c r="L82" s="392" t="str">
        <f>TEXT(F82,"mmm-yy")</f>
        <v>Sep-17</v>
      </c>
      <c r="M82" s="392" t="str">
        <f>TEXT(J82,"mmm-yy")</f>
        <v>Nov-17</v>
      </c>
      <c r="N82" s="397" t="s">
        <v>900</v>
      </c>
      <c r="O82" s="418" t="s">
        <v>725</v>
      </c>
      <c r="P82" s="538">
        <v>232.27</v>
      </c>
      <c r="Q82" s="418">
        <v>7875.13</v>
      </c>
      <c r="R82" s="538">
        <f>SUM(P82:Q82)</f>
        <v>8107.4000000000005</v>
      </c>
      <c r="S82" s="494">
        <f>R82*1.1</f>
        <v>8918.1400000000012</v>
      </c>
      <c r="T82" s="544">
        <v>5913.37</v>
      </c>
      <c r="U82" s="544"/>
      <c r="V82" s="389">
        <f>SUM(T82:U82)</f>
        <v>5913.37</v>
      </c>
      <c r="W82" s="388">
        <f>R82-V82</f>
        <v>2194.0300000000007</v>
      </c>
      <c r="X82" s="390">
        <f>W82/R82</f>
        <v>0.27062066753829839</v>
      </c>
      <c r="Y82" s="608" t="s">
        <v>199</v>
      </c>
      <c r="Z82" s="536">
        <f>F82+14</f>
        <v>43019</v>
      </c>
      <c r="AA82" s="383" t="s">
        <v>200</v>
      </c>
      <c r="AB82" s="393" t="s">
        <v>210</v>
      </c>
      <c r="AC82" s="392" t="s">
        <v>752</v>
      </c>
      <c r="AD82" s="392">
        <v>42921</v>
      </c>
      <c r="AE82" s="550"/>
      <c r="AF82" s="392"/>
      <c r="AG82" s="546"/>
      <c r="AJ82" s="553"/>
    </row>
    <row r="83" spans="1:36" s="218" customFormat="1" ht="14.35" customHeight="1">
      <c r="A83" s="586" t="s">
        <v>714</v>
      </c>
      <c r="B83" s="545" t="s">
        <v>190</v>
      </c>
      <c r="C83" s="386" t="s">
        <v>1347</v>
      </c>
      <c r="D83" s="386">
        <v>43052</v>
      </c>
      <c r="E83" s="392">
        <v>43012</v>
      </c>
      <c r="F83" s="536">
        <v>43014</v>
      </c>
      <c r="G83" s="658">
        <v>43026</v>
      </c>
      <c r="H83" s="658">
        <v>43033</v>
      </c>
      <c r="I83" s="658">
        <f>F83+14</f>
        <v>43028</v>
      </c>
      <c r="J83" s="658">
        <v>43055</v>
      </c>
      <c r="K83" s="386"/>
      <c r="L83" s="392" t="str">
        <f>TEXT(F83,"mmm-yy")</f>
        <v>Oct-17</v>
      </c>
      <c r="M83" s="392" t="str">
        <f>TEXT(J83,"mmm-yy")</f>
        <v>Nov-17</v>
      </c>
      <c r="N83" s="397" t="s">
        <v>2477</v>
      </c>
      <c r="O83" s="418" t="s">
        <v>902</v>
      </c>
      <c r="P83" s="538">
        <v>1768.07</v>
      </c>
      <c r="Q83" s="418">
        <v>2146.79</v>
      </c>
      <c r="R83" s="538">
        <f>SUM(P83:Q83)</f>
        <v>3914.8599999999997</v>
      </c>
      <c r="S83" s="494">
        <f>R83*1.1</f>
        <v>4306.3459999999995</v>
      </c>
      <c r="T83" s="544">
        <v>2739.01</v>
      </c>
      <c r="U83" s="544"/>
      <c r="V83" s="389">
        <f>SUM(T83:U83)</f>
        <v>2739.01</v>
      </c>
      <c r="W83" s="388">
        <f>R83-V83</f>
        <v>1175.8499999999995</v>
      </c>
      <c r="X83" s="390">
        <f>W83/R83</f>
        <v>0.30035556827064047</v>
      </c>
      <c r="Y83" s="608" t="s">
        <v>199</v>
      </c>
      <c r="Z83" s="536">
        <f>F83+14</f>
        <v>43028</v>
      </c>
      <c r="AA83" s="383" t="s">
        <v>200</v>
      </c>
      <c r="AB83" s="393" t="s">
        <v>693</v>
      </c>
      <c r="AC83" s="392" t="s">
        <v>752</v>
      </c>
      <c r="AD83" s="392">
        <v>42922</v>
      </c>
      <c r="AE83" s="550"/>
      <c r="AF83" s="392"/>
      <c r="AG83" s="546"/>
      <c r="AJ83" s="553"/>
    </row>
    <row r="84" spans="1:36" s="218" customFormat="1" ht="14.35" customHeight="1">
      <c r="A84" s="545" t="s">
        <v>715</v>
      </c>
      <c r="B84" s="545" t="s">
        <v>190</v>
      </c>
      <c r="C84" s="386" t="s">
        <v>1351</v>
      </c>
      <c r="D84" s="386">
        <v>43052</v>
      </c>
      <c r="E84" s="392">
        <v>43003</v>
      </c>
      <c r="F84" s="536">
        <v>43003</v>
      </c>
      <c r="G84" s="658">
        <v>43005</v>
      </c>
      <c r="H84" s="658">
        <v>43010</v>
      </c>
      <c r="I84" s="658">
        <v>43012</v>
      </c>
      <c r="J84" s="658">
        <v>43055</v>
      </c>
      <c r="K84" s="386"/>
      <c r="L84" s="392" t="str">
        <f>TEXT(F84,"mmm-yy")</f>
        <v>Sep-17</v>
      </c>
      <c r="M84" s="392" t="str">
        <f>TEXT(J84,"mmm-yy")</f>
        <v>Nov-17</v>
      </c>
      <c r="N84" s="397" t="s">
        <v>903</v>
      </c>
      <c r="O84" s="418" t="s">
        <v>904</v>
      </c>
      <c r="P84" s="538">
        <v>6073.69</v>
      </c>
      <c r="Q84" s="418">
        <v>3516.71</v>
      </c>
      <c r="R84" s="538">
        <f>SUM(P84:Q84)</f>
        <v>9590.4</v>
      </c>
      <c r="S84" s="494">
        <f>R84*1.1</f>
        <v>10549.44</v>
      </c>
      <c r="T84" s="544">
        <v>6233.7</v>
      </c>
      <c r="U84" s="544"/>
      <c r="V84" s="389">
        <f>SUM(T84:U84)</f>
        <v>6233.7</v>
      </c>
      <c r="W84" s="388">
        <f>R84-V84</f>
        <v>3356.7</v>
      </c>
      <c r="X84" s="390">
        <f>W84/R84</f>
        <v>0.35000625625625625</v>
      </c>
      <c r="Y84" s="608" t="s">
        <v>199</v>
      </c>
      <c r="Z84" s="536">
        <f>F84+14</f>
        <v>43017</v>
      </c>
      <c r="AA84" s="383" t="s">
        <v>200</v>
      </c>
      <c r="AB84" s="393" t="s">
        <v>210</v>
      </c>
      <c r="AC84" s="392">
        <v>42899</v>
      </c>
      <c r="AD84" s="392">
        <v>42916</v>
      </c>
      <c r="AE84" s="550">
        <f>AD84-AC84</f>
        <v>17</v>
      </c>
      <c r="AF84" s="392">
        <v>42944</v>
      </c>
      <c r="AG84" s="546">
        <f>AF84-AD84</f>
        <v>28</v>
      </c>
      <c r="AJ84" s="553"/>
    </row>
    <row r="85" spans="1:36" s="218" customFormat="1" ht="14.35" customHeight="1">
      <c r="A85" s="545" t="s">
        <v>715</v>
      </c>
      <c r="B85" s="545" t="s">
        <v>227</v>
      </c>
      <c r="C85" s="386" t="s">
        <v>1214</v>
      </c>
      <c r="D85" s="848">
        <v>43011</v>
      </c>
      <c r="E85" s="392">
        <v>42961</v>
      </c>
      <c r="F85" s="392">
        <v>42961</v>
      </c>
      <c r="G85" s="658">
        <v>42962</v>
      </c>
      <c r="H85" s="658">
        <v>42993</v>
      </c>
      <c r="I85" s="658">
        <v>42972</v>
      </c>
      <c r="J85" s="658">
        <v>43013</v>
      </c>
      <c r="K85" s="386"/>
      <c r="L85" s="536" t="str">
        <f>TEXT(F85,"mmm-yy")</f>
        <v>Aug-17</v>
      </c>
      <c r="M85" s="392" t="str">
        <f>TEXT(J85,"mmm-yy")</f>
        <v>Oct-17</v>
      </c>
      <c r="N85" s="397" t="s">
        <v>1089</v>
      </c>
      <c r="O85" s="418" t="s">
        <v>921</v>
      </c>
      <c r="P85" s="538">
        <v>7531.6314285714288</v>
      </c>
      <c r="Q85" s="418">
        <v>464.5</v>
      </c>
      <c r="R85" s="538">
        <f>SUM(P85:Q85)</f>
        <v>7996.1314285714288</v>
      </c>
      <c r="S85" s="494">
        <f>R85*1.1</f>
        <v>8795.7445714285732</v>
      </c>
      <c r="T85" s="544">
        <v>6043.99</v>
      </c>
      <c r="U85" s="544"/>
      <c r="V85" s="389">
        <f>SUM(T85:U85)</f>
        <v>6043.99</v>
      </c>
      <c r="W85" s="388">
        <f>R85-V85</f>
        <v>1952.1414285714291</v>
      </c>
      <c r="X85" s="390">
        <f>W85/R85</f>
        <v>0.24413573563787636</v>
      </c>
      <c r="Y85" s="608" t="s">
        <v>199</v>
      </c>
      <c r="Z85" s="536">
        <f>F85+14</f>
        <v>42975</v>
      </c>
      <c r="AA85" s="383" t="s">
        <v>200</v>
      </c>
      <c r="AB85" s="393" t="s">
        <v>220</v>
      </c>
      <c r="AC85" s="392">
        <v>42888</v>
      </c>
      <c r="AD85" s="392">
        <v>42927</v>
      </c>
      <c r="AE85" s="550">
        <f>AD85-AC85</f>
        <v>39</v>
      </c>
      <c r="AF85" s="392">
        <v>42929</v>
      </c>
      <c r="AG85" s="546">
        <f>AF85-AD85</f>
        <v>2</v>
      </c>
      <c r="AJ85" s="553"/>
    </row>
    <row r="86" spans="1:36" s="218" customFormat="1" ht="14.35" customHeight="1">
      <c r="A86" s="586" t="s">
        <v>714</v>
      </c>
      <c r="B86" s="545" t="s">
        <v>190</v>
      </c>
      <c r="C86" s="386" t="s">
        <v>1354</v>
      </c>
      <c r="D86" s="386">
        <v>43053</v>
      </c>
      <c r="E86" s="392">
        <v>42969</v>
      </c>
      <c r="F86" s="536">
        <v>42969</v>
      </c>
      <c r="G86" s="658">
        <v>42969</v>
      </c>
      <c r="H86" s="658">
        <v>43014</v>
      </c>
      <c r="I86" s="658">
        <v>42985</v>
      </c>
      <c r="J86" s="658">
        <v>43055</v>
      </c>
      <c r="K86" s="386"/>
      <c r="L86" s="392" t="str">
        <f>TEXT(F86,"mmm-yy")</f>
        <v>Aug-17</v>
      </c>
      <c r="M86" s="392" t="str">
        <f>TEXT(J86,"mmm-yy")</f>
        <v>Nov-17</v>
      </c>
      <c r="N86" s="397" t="s">
        <v>1044</v>
      </c>
      <c r="O86" s="418" t="s">
        <v>923</v>
      </c>
      <c r="P86" s="538">
        <v>3340.88</v>
      </c>
      <c r="Q86" s="418">
        <v>2772.83</v>
      </c>
      <c r="R86" s="538">
        <f>SUM(P86:Q86)</f>
        <v>6113.71</v>
      </c>
      <c r="S86" s="494">
        <f>R86*1.1</f>
        <v>6725.0810000000001</v>
      </c>
      <c r="T86" s="544">
        <v>4280.95</v>
      </c>
      <c r="U86" s="544"/>
      <c r="V86" s="389">
        <f>SUM(T86:U86)</f>
        <v>4280.95</v>
      </c>
      <c r="W86" s="388">
        <f>R86-V86</f>
        <v>1832.7600000000002</v>
      </c>
      <c r="X86" s="390">
        <f>W86/R86</f>
        <v>0.29977869411535718</v>
      </c>
      <c r="Y86" s="608" t="s">
        <v>199</v>
      </c>
      <c r="Z86" s="536">
        <f>F86+14</f>
        <v>42983</v>
      </c>
      <c r="AA86" s="383" t="s">
        <v>200</v>
      </c>
      <c r="AB86" s="393" t="s">
        <v>693</v>
      </c>
      <c r="AC86" s="392" t="s">
        <v>752</v>
      </c>
      <c r="AD86" s="392">
        <v>42927</v>
      </c>
      <c r="AE86" s="550"/>
      <c r="AF86" s="392"/>
      <c r="AG86" s="546"/>
      <c r="AJ86" s="553"/>
    </row>
    <row r="87" spans="1:36" s="218" customFormat="1" ht="14.35" customHeight="1">
      <c r="A87" s="586" t="s">
        <v>714</v>
      </c>
      <c r="B87" s="545" t="s">
        <v>190</v>
      </c>
      <c r="C87" s="386" t="s">
        <v>1028</v>
      </c>
      <c r="D87" s="386">
        <v>42964</v>
      </c>
      <c r="E87" s="392">
        <v>42963</v>
      </c>
      <c r="F87" s="536">
        <v>42963</v>
      </c>
      <c r="G87" s="658">
        <v>42963</v>
      </c>
      <c r="H87" s="658">
        <v>43001</v>
      </c>
      <c r="I87" s="658">
        <v>43024</v>
      </c>
      <c r="J87" s="658">
        <v>43034</v>
      </c>
      <c r="K87" s="386"/>
      <c r="L87" s="392" t="str">
        <f>TEXT(F87,"mmm-yy")</f>
        <v>Aug-17</v>
      </c>
      <c r="M87" s="392" t="str">
        <f>TEXT(J87,"mmm-yy")</f>
        <v>Oct-17</v>
      </c>
      <c r="N87" s="397" t="s">
        <v>2545</v>
      </c>
      <c r="O87" s="418" t="s">
        <v>458</v>
      </c>
      <c r="P87" s="538">
        <v>10316</v>
      </c>
      <c r="Q87" s="418">
        <v>155.54</v>
      </c>
      <c r="R87" s="538">
        <f>SUM(P87:Q87)</f>
        <v>10471.540000000001</v>
      </c>
      <c r="S87" s="494">
        <f>R87*1.1</f>
        <v>11518.694000000001</v>
      </c>
      <c r="T87" s="544"/>
      <c r="U87" s="544"/>
      <c r="V87" s="389">
        <f>SUM(T87:U87)</f>
        <v>0</v>
      </c>
      <c r="W87" s="388">
        <f>R87-V87</f>
        <v>10471.540000000001</v>
      </c>
      <c r="X87" s="390">
        <f>W87/R87</f>
        <v>1</v>
      </c>
      <c r="Y87" s="608" t="s">
        <v>199</v>
      </c>
      <c r="Z87" s="536">
        <f>F87+14</f>
        <v>42977</v>
      </c>
      <c r="AA87" s="383" t="s">
        <v>200</v>
      </c>
      <c r="AB87" s="393" t="s">
        <v>210</v>
      </c>
      <c r="AC87" s="392" t="s">
        <v>752</v>
      </c>
      <c r="AD87" s="392">
        <v>42900</v>
      </c>
      <c r="AE87" s="550"/>
      <c r="AF87" s="392"/>
      <c r="AG87" s="546"/>
      <c r="AJ87" s="553"/>
    </row>
    <row r="88" spans="1:36" s="218" customFormat="1" ht="14.35" customHeight="1">
      <c r="A88" s="586" t="s">
        <v>715</v>
      </c>
      <c r="B88" s="545" t="s">
        <v>724</v>
      </c>
      <c r="C88" s="386" t="s">
        <v>1614</v>
      </c>
      <c r="D88" s="386">
        <v>43056</v>
      </c>
      <c r="E88" s="392">
        <v>42974</v>
      </c>
      <c r="F88" s="536">
        <v>42974</v>
      </c>
      <c r="G88" s="750"/>
      <c r="H88" s="751"/>
      <c r="I88" s="658">
        <v>43040</v>
      </c>
      <c r="J88" s="658">
        <v>43062</v>
      </c>
      <c r="K88" s="386"/>
      <c r="L88" s="392" t="str">
        <f>TEXT(F88,"mmm-yy")</f>
        <v>Aug-17</v>
      </c>
      <c r="M88" s="392" t="str">
        <f>TEXT(J88,"mmm-yy")</f>
        <v>Nov-17</v>
      </c>
      <c r="N88" s="397" t="s">
        <v>1037</v>
      </c>
      <c r="O88" s="418" t="s">
        <v>933</v>
      </c>
      <c r="P88" s="538">
        <v>1430</v>
      </c>
      <c r="Q88" s="684"/>
      <c r="R88" s="538">
        <f>SUM(P88:Q88)</f>
        <v>1430</v>
      </c>
      <c r="S88" s="494">
        <f>R88*1.1</f>
        <v>1573.0000000000002</v>
      </c>
      <c r="T88" s="544"/>
      <c r="U88" s="544"/>
      <c r="V88" s="389">
        <f>SUM(T88:U88)</f>
        <v>0</v>
      </c>
      <c r="W88" s="388">
        <f>R88-V88</f>
        <v>1430</v>
      </c>
      <c r="X88" s="390">
        <f>W88/R88</f>
        <v>1</v>
      </c>
      <c r="Y88" s="608" t="s">
        <v>199</v>
      </c>
      <c r="Z88" s="536">
        <f>F88+14</f>
        <v>42988</v>
      </c>
      <c r="AA88" s="383" t="s">
        <v>200</v>
      </c>
      <c r="AB88" s="393" t="s">
        <v>220</v>
      </c>
      <c r="AC88" s="392">
        <v>42899</v>
      </c>
      <c r="AD88" s="392">
        <v>42933</v>
      </c>
      <c r="AE88" s="550">
        <f>AD88-AC88</f>
        <v>34</v>
      </c>
      <c r="AF88" s="392">
        <v>42899</v>
      </c>
      <c r="AG88" s="546">
        <f>AF88-AD88</f>
        <v>-34</v>
      </c>
      <c r="AJ88" s="553"/>
    </row>
    <row r="89" spans="1:36" s="218" customFormat="1" ht="14.35" customHeight="1">
      <c r="A89" s="586" t="s">
        <v>714</v>
      </c>
      <c r="B89" s="545" t="s">
        <v>190</v>
      </c>
      <c r="C89" s="386" t="s">
        <v>1622</v>
      </c>
      <c r="D89" s="386">
        <v>43068</v>
      </c>
      <c r="E89" s="392">
        <v>42976</v>
      </c>
      <c r="F89" s="536">
        <v>42976</v>
      </c>
      <c r="G89" s="658">
        <v>42992</v>
      </c>
      <c r="H89" s="658">
        <v>43017</v>
      </c>
      <c r="I89" s="658">
        <v>43039</v>
      </c>
      <c r="J89" s="658">
        <v>43068</v>
      </c>
      <c r="K89" s="386"/>
      <c r="L89" s="392" t="str">
        <f>TEXT(F89,"mmm-yy")</f>
        <v>Aug-17</v>
      </c>
      <c r="M89" s="392" t="str">
        <f>TEXT(J89,"mmm-yy")</f>
        <v>Nov-17</v>
      </c>
      <c r="N89" s="397" t="s">
        <v>1041</v>
      </c>
      <c r="O89" s="418" t="s">
        <v>936</v>
      </c>
      <c r="P89" s="538">
        <v>4035.55</v>
      </c>
      <c r="Q89" s="418">
        <v>1147.97</v>
      </c>
      <c r="R89" s="538">
        <f>SUM(P89:Q89)</f>
        <v>5183.5200000000004</v>
      </c>
      <c r="S89" s="494">
        <f>R89*1.1</f>
        <v>5701.8720000000012</v>
      </c>
      <c r="T89" s="544"/>
      <c r="U89" s="544"/>
      <c r="V89" s="389">
        <f>SUM(T89:U89)</f>
        <v>0</v>
      </c>
      <c r="W89" s="388">
        <f>R89-V89</f>
        <v>5183.5200000000004</v>
      </c>
      <c r="X89" s="390">
        <f>W89/R89</f>
        <v>1</v>
      </c>
      <c r="Y89" s="608" t="s">
        <v>199</v>
      </c>
      <c r="Z89" s="536">
        <f>F89+14</f>
        <v>42990</v>
      </c>
      <c r="AA89" s="383" t="s">
        <v>200</v>
      </c>
      <c r="AB89" s="393" t="s">
        <v>223</v>
      </c>
      <c r="AC89" s="392" t="s">
        <v>752</v>
      </c>
      <c r="AD89" s="392">
        <v>42935</v>
      </c>
      <c r="AE89" s="550"/>
      <c r="AF89" s="392"/>
      <c r="AG89" s="546"/>
      <c r="AJ89" s="553"/>
    </row>
    <row r="90" spans="1:36" s="218" customFormat="1" ht="14.35" customHeight="1">
      <c r="A90" s="586" t="s">
        <v>716</v>
      </c>
      <c r="B90" s="545" t="s">
        <v>179</v>
      </c>
      <c r="C90" s="386" t="s">
        <v>1769</v>
      </c>
      <c r="D90" s="386">
        <v>43088</v>
      </c>
      <c r="E90" s="392">
        <v>43043</v>
      </c>
      <c r="F90" s="392">
        <v>43043</v>
      </c>
      <c r="G90" s="661">
        <v>43056</v>
      </c>
      <c r="H90" s="739">
        <v>43063</v>
      </c>
      <c r="I90" s="576">
        <v>43073</v>
      </c>
      <c r="J90" s="667">
        <v>43453</v>
      </c>
      <c r="K90" s="386"/>
      <c r="L90" s="392" t="str">
        <f>TEXT(F90,"mmm-yy")</f>
        <v>Nov-17</v>
      </c>
      <c r="M90" s="392" t="str">
        <f>TEXT(J90,"mmm-yy")</f>
        <v>Dec-18</v>
      </c>
      <c r="N90" s="397" t="s">
        <v>940</v>
      </c>
      <c r="O90" s="418" t="s">
        <v>717</v>
      </c>
      <c r="P90" s="538">
        <v>1829.49</v>
      </c>
      <c r="Q90" s="418">
        <v>11994.14</v>
      </c>
      <c r="R90" s="538">
        <f>SUM(P90:Q90)</f>
        <v>13823.63</v>
      </c>
      <c r="S90" s="494">
        <f>R90*1.1</f>
        <v>15205.993</v>
      </c>
      <c r="T90" s="544"/>
      <c r="U90" s="544"/>
      <c r="V90" s="389">
        <f>SUM(T90:U90)</f>
        <v>0</v>
      </c>
      <c r="W90" s="388">
        <f>R90-V90</f>
        <v>13823.63</v>
      </c>
      <c r="X90" s="390">
        <f>W90/R90</f>
        <v>1</v>
      </c>
      <c r="Y90" s="608" t="s">
        <v>199</v>
      </c>
      <c r="Z90" s="536">
        <f>F90+14</f>
        <v>43057</v>
      </c>
      <c r="AA90" s="383" t="s">
        <v>200</v>
      </c>
      <c r="AB90" s="393" t="s">
        <v>347</v>
      </c>
      <c r="AC90" s="392"/>
      <c r="AD90" s="392"/>
      <c r="AE90" s="550"/>
      <c r="AF90" s="392"/>
      <c r="AG90" s="546"/>
      <c r="AJ90" s="553"/>
    </row>
    <row r="91" spans="1:36" s="218" customFormat="1" ht="14.35" customHeight="1">
      <c r="A91" s="586" t="s">
        <v>716</v>
      </c>
      <c r="B91" s="545" t="s">
        <v>179</v>
      </c>
      <c r="C91" s="386" t="s">
        <v>1761</v>
      </c>
      <c r="D91" s="386">
        <v>43076</v>
      </c>
      <c r="E91" s="392">
        <v>43004</v>
      </c>
      <c r="F91" s="536">
        <v>43004</v>
      </c>
      <c r="G91" s="658">
        <v>43043</v>
      </c>
      <c r="H91" s="658">
        <v>43063</v>
      </c>
      <c r="I91" s="576">
        <v>43042</v>
      </c>
      <c r="J91" s="576">
        <v>43082</v>
      </c>
      <c r="K91" s="386"/>
      <c r="L91" s="392" t="str">
        <f>TEXT(F91,"mmm-yy")</f>
        <v>Sep-17</v>
      </c>
      <c r="M91" s="392" t="str">
        <f>TEXT(J91,"mmm-yy")</f>
        <v>Dec-17</v>
      </c>
      <c r="N91" s="397" t="s">
        <v>941</v>
      </c>
      <c r="O91" s="418" t="s">
        <v>449</v>
      </c>
      <c r="P91" s="538">
        <v>1829.49</v>
      </c>
      <c r="Q91" s="418">
        <v>2155.37</v>
      </c>
      <c r="R91" s="538">
        <f>SUM(P91:Q91)</f>
        <v>3984.8599999999997</v>
      </c>
      <c r="S91" s="494">
        <f>R91*1.1</f>
        <v>4383.3459999999995</v>
      </c>
      <c r="T91" s="544"/>
      <c r="U91" s="544"/>
      <c r="V91" s="389">
        <f>SUM(T91:U91)</f>
        <v>0</v>
      </c>
      <c r="W91" s="388">
        <f>R91-V91</f>
        <v>3984.8599999999997</v>
      </c>
      <c r="X91" s="390">
        <f>W91/R91</f>
        <v>1</v>
      </c>
      <c r="Y91" s="608" t="s">
        <v>199</v>
      </c>
      <c r="Z91" s="536">
        <f>F91+14</f>
        <v>43018</v>
      </c>
      <c r="AA91" s="383" t="s">
        <v>200</v>
      </c>
      <c r="AB91" s="393" t="s">
        <v>347</v>
      </c>
      <c r="AC91" s="392"/>
      <c r="AD91" s="392"/>
      <c r="AE91" s="550"/>
      <c r="AF91" s="392"/>
      <c r="AG91" s="546"/>
      <c r="AJ91" s="553"/>
    </row>
    <row r="92" spans="1:36" s="218" customFormat="1" ht="14.35" customHeight="1">
      <c r="A92" s="586" t="s">
        <v>716</v>
      </c>
      <c r="B92" s="545" t="s">
        <v>190</v>
      </c>
      <c r="C92" s="386" t="s">
        <v>1799</v>
      </c>
      <c r="D92" s="386">
        <v>43108</v>
      </c>
      <c r="E92" s="392">
        <v>43066</v>
      </c>
      <c r="F92" s="392">
        <v>43070</v>
      </c>
      <c r="G92" s="576">
        <v>43066</v>
      </c>
      <c r="H92" s="669">
        <v>43083</v>
      </c>
      <c r="I92" s="603">
        <v>43082</v>
      </c>
      <c r="J92" s="576">
        <v>43111</v>
      </c>
      <c r="K92" s="386"/>
      <c r="L92" s="392" t="str">
        <f>TEXT(F92,"mmm-yy")</f>
        <v>Dec-17</v>
      </c>
      <c r="M92" s="392" t="str">
        <f>TEXT(J92,"mmm-yy")</f>
        <v>Jan-18</v>
      </c>
      <c r="N92" s="397" t="s">
        <v>942</v>
      </c>
      <c r="O92" s="418" t="s">
        <v>725</v>
      </c>
      <c r="P92" s="538">
        <v>1829.49</v>
      </c>
      <c r="Q92" s="418">
        <v>37470.15</v>
      </c>
      <c r="R92" s="538">
        <f>SUM(P92:Q92)</f>
        <v>39299.64</v>
      </c>
      <c r="S92" s="494">
        <f>R92*1.1</f>
        <v>43229.603999999999</v>
      </c>
      <c r="T92" s="544">
        <v>9711.4490909090891</v>
      </c>
      <c r="U92" s="544"/>
      <c r="V92" s="389">
        <f>SUM(T92:U92)</f>
        <v>9711.4490909090891</v>
      </c>
      <c r="W92" s="388">
        <f>R92-V92</f>
        <v>29588.19090909091</v>
      </c>
      <c r="X92" s="390">
        <f>W92/R92</f>
        <v>0.75288707247931308</v>
      </c>
      <c r="Y92" s="608" t="s">
        <v>199</v>
      </c>
      <c r="Z92" s="536">
        <f>F92+14</f>
        <v>43084</v>
      </c>
      <c r="AA92" s="383" t="s">
        <v>200</v>
      </c>
      <c r="AB92" s="393" t="s">
        <v>347</v>
      </c>
      <c r="AC92" s="392">
        <v>42888</v>
      </c>
      <c r="AD92" s="392">
        <v>42940</v>
      </c>
      <c r="AE92" s="550">
        <f>AD92-AC92</f>
        <v>52</v>
      </c>
      <c r="AF92" s="392"/>
      <c r="AG92" s="546"/>
      <c r="AJ92" s="553"/>
    </row>
    <row r="93" spans="1:36" s="218" customFormat="1" ht="14.35" customHeight="1">
      <c r="A93" s="586" t="s">
        <v>714</v>
      </c>
      <c r="B93" s="545" t="s">
        <v>190</v>
      </c>
      <c r="C93" s="386" t="s">
        <v>1357</v>
      </c>
      <c r="D93" s="386">
        <v>43055</v>
      </c>
      <c r="E93" s="392">
        <v>43010</v>
      </c>
      <c r="F93" s="536">
        <v>43012</v>
      </c>
      <c r="G93" s="661">
        <v>43024</v>
      </c>
      <c r="H93" s="661">
        <v>43032</v>
      </c>
      <c r="I93" s="603">
        <v>43021</v>
      </c>
      <c r="J93" s="658">
        <v>43055</v>
      </c>
      <c r="K93" s="386"/>
      <c r="L93" s="392" t="str">
        <f>TEXT(F93,"mmm-yy")</f>
        <v>Oct-17</v>
      </c>
      <c r="M93" s="392" t="str">
        <f>TEXT(J93,"mmm-yy")</f>
        <v>Nov-17</v>
      </c>
      <c r="N93" s="397" t="s">
        <v>943</v>
      </c>
      <c r="O93" s="418" t="s">
        <v>458</v>
      </c>
      <c r="P93" s="538">
        <v>9841.41</v>
      </c>
      <c r="Q93" s="418">
        <v>4157.68</v>
      </c>
      <c r="R93" s="538">
        <f>SUM(P93:Q93)</f>
        <v>13999.09</v>
      </c>
      <c r="S93" s="494">
        <f>R93*1.1</f>
        <v>15398.999000000002</v>
      </c>
      <c r="T93" s="544"/>
      <c r="U93" s="544"/>
      <c r="V93" s="389">
        <f>SUM(T93:U93)</f>
        <v>0</v>
      </c>
      <c r="W93" s="388">
        <f>R93-V93</f>
        <v>13999.09</v>
      </c>
      <c r="X93" s="390">
        <f>W93/R93</f>
        <v>1</v>
      </c>
      <c r="Y93" s="608" t="s">
        <v>199</v>
      </c>
      <c r="Z93" s="536">
        <f>F93+14</f>
        <v>43026</v>
      </c>
      <c r="AA93" s="383" t="s">
        <v>200</v>
      </c>
      <c r="AB93" s="393" t="s">
        <v>210</v>
      </c>
      <c r="AC93" s="392" t="s">
        <v>752</v>
      </c>
      <c r="AD93" s="392">
        <v>42941</v>
      </c>
      <c r="AE93" s="550"/>
      <c r="AF93" s="392"/>
      <c r="AG93" s="546"/>
      <c r="AJ93" s="553"/>
    </row>
    <row r="94" spans="1:36" s="218" customFormat="1" ht="14.35" customHeight="1">
      <c r="A94" s="586" t="s">
        <v>714</v>
      </c>
      <c r="B94" s="545" t="s">
        <v>541</v>
      </c>
      <c r="C94" s="386" t="s">
        <v>1650</v>
      </c>
      <c r="D94" s="386">
        <v>43073</v>
      </c>
      <c r="E94" s="392">
        <v>42998</v>
      </c>
      <c r="F94" s="392">
        <v>43003</v>
      </c>
      <c r="G94" s="576">
        <v>43005</v>
      </c>
      <c r="H94" s="669">
        <v>43056</v>
      </c>
      <c r="I94" s="603">
        <v>43012</v>
      </c>
      <c r="J94" s="576">
        <v>43076</v>
      </c>
      <c r="K94" s="386"/>
      <c r="L94" s="392" t="str">
        <f>TEXT(F94,"mmm-yy")</f>
        <v>Sep-17</v>
      </c>
      <c r="M94" s="392" t="str">
        <f>TEXT(J94,"mmm-yy")</f>
        <v>Dec-17</v>
      </c>
      <c r="N94" s="397" t="s">
        <v>946</v>
      </c>
      <c r="O94" s="418" t="s">
        <v>944</v>
      </c>
      <c r="P94" s="538">
        <v>5109.41</v>
      </c>
      <c r="Q94" s="418">
        <v>883.35</v>
      </c>
      <c r="R94" s="538">
        <f>SUM(P94:Q94)</f>
        <v>5992.76</v>
      </c>
      <c r="S94" s="494">
        <f>R94*1.1</f>
        <v>6592.036000000001</v>
      </c>
      <c r="T94" s="544"/>
      <c r="U94" s="544"/>
      <c r="V94" s="389">
        <f>SUM(T94:U94)</f>
        <v>0</v>
      </c>
      <c r="W94" s="388">
        <f>R94-V94</f>
        <v>5992.76</v>
      </c>
      <c r="X94" s="390">
        <f>W94/R94</f>
        <v>1</v>
      </c>
      <c r="Y94" s="608" t="s">
        <v>199</v>
      </c>
      <c r="Z94" s="536">
        <f>F94+14</f>
        <v>43017</v>
      </c>
      <c r="AA94" s="383" t="s">
        <v>200</v>
      </c>
      <c r="AB94" s="393" t="s">
        <v>542</v>
      </c>
      <c r="AC94" s="392" t="s">
        <v>752</v>
      </c>
      <c r="AD94" s="392">
        <v>42937</v>
      </c>
      <c r="AE94" s="550"/>
      <c r="AF94" s="392"/>
      <c r="AG94" s="546"/>
      <c r="AJ94" s="553"/>
    </row>
    <row r="95" spans="1:36" s="218" customFormat="1" ht="14.35" customHeight="1">
      <c r="A95" s="586" t="s">
        <v>714</v>
      </c>
      <c r="B95" s="545" t="s">
        <v>541</v>
      </c>
      <c r="C95" s="386" t="s">
        <v>1651</v>
      </c>
      <c r="D95" s="386">
        <v>43073</v>
      </c>
      <c r="E95" s="392">
        <v>42998</v>
      </c>
      <c r="F95" s="392">
        <v>43003</v>
      </c>
      <c r="G95" s="727"/>
      <c r="H95" s="728"/>
      <c r="I95" s="603">
        <v>43012</v>
      </c>
      <c r="J95" s="576">
        <v>43076</v>
      </c>
      <c r="K95" s="386"/>
      <c r="L95" s="392" t="str">
        <f>TEXT(F95,"mmm-yy")</f>
        <v>Sep-17</v>
      </c>
      <c r="M95" s="392" t="str">
        <f>TEXT(J95,"mmm-yy")</f>
        <v>Dec-17</v>
      </c>
      <c r="N95" s="397" t="s">
        <v>945</v>
      </c>
      <c r="O95" s="418" t="s">
        <v>944</v>
      </c>
      <c r="P95" s="538">
        <v>10627.34</v>
      </c>
      <c r="Q95" s="684"/>
      <c r="R95" s="538">
        <f>SUM(P95:Q95)</f>
        <v>10627.34</v>
      </c>
      <c r="S95" s="494">
        <f>R95*1.1</f>
        <v>11690.074000000001</v>
      </c>
      <c r="T95" s="544"/>
      <c r="U95" s="544"/>
      <c r="V95" s="389">
        <f>SUM(T95:U95)</f>
        <v>0</v>
      </c>
      <c r="W95" s="388">
        <f>R95-V95</f>
        <v>10627.34</v>
      </c>
      <c r="X95" s="390">
        <f>W95/R95</f>
        <v>1</v>
      </c>
      <c r="Y95" s="608" t="s">
        <v>199</v>
      </c>
      <c r="Z95" s="536">
        <f>F95+14</f>
        <v>43017</v>
      </c>
      <c r="AA95" s="383" t="s">
        <v>200</v>
      </c>
      <c r="AB95" s="393" t="s">
        <v>542</v>
      </c>
      <c r="AC95" s="392" t="s">
        <v>752</v>
      </c>
      <c r="AD95" s="392">
        <v>42938</v>
      </c>
      <c r="AE95" s="550"/>
      <c r="AF95" s="392"/>
      <c r="AG95" s="546"/>
      <c r="AJ95" s="553"/>
    </row>
    <row r="96" spans="1:36" s="218" customFormat="1" ht="14.35" customHeight="1">
      <c r="A96" s="586" t="s">
        <v>714</v>
      </c>
      <c r="B96" s="545" t="s">
        <v>190</v>
      </c>
      <c r="C96" s="386" t="s">
        <v>1358</v>
      </c>
      <c r="D96" s="386">
        <v>43055</v>
      </c>
      <c r="E96" s="392">
        <v>43018</v>
      </c>
      <c r="F96" s="536">
        <v>43020</v>
      </c>
      <c r="G96" s="661">
        <v>43025</v>
      </c>
      <c r="H96" s="661">
        <v>43033</v>
      </c>
      <c r="I96" s="603">
        <v>43028</v>
      </c>
      <c r="J96" s="576">
        <v>43060</v>
      </c>
      <c r="K96" s="386"/>
      <c r="L96" s="392" t="str">
        <f>TEXT(F96,"mmm-yy")</f>
        <v>Oct-17</v>
      </c>
      <c r="M96" s="392" t="str">
        <f>TEXT(J96,"mmm-yy")</f>
        <v>Nov-17</v>
      </c>
      <c r="N96" s="397" t="s">
        <v>947</v>
      </c>
      <c r="O96" s="418" t="s">
        <v>254</v>
      </c>
      <c r="P96" s="538">
        <v>2496.87</v>
      </c>
      <c r="Q96" s="418">
        <v>-147.13999999999999</v>
      </c>
      <c r="R96" s="538">
        <f>SUM(P96:Q96)</f>
        <v>2349.73</v>
      </c>
      <c r="S96" s="494">
        <f>R96*1.1</f>
        <v>2584.7030000000004</v>
      </c>
      <c r="T96" s="544">
        <v>689.79</v>
      </c>
      <c r="U96" s="544"/>
      <c r="V96" s="389">
        <f>SUM(T96:U96)</f>
        <v>689.79</v>
      </c>
      <c r="W96" s="388">
        <f>R96-V96</f>
        <v>1659.94</v>
      </c>
      <c r="X96" s="390">
        <f>W96/R96</f>
        <v>0.70643861209585779</v>
      </c>
      <c r="Y96" s="608" t="s">
        <v>199</v>
      </c>
      <c r="Z96" s="536">
        <f>F96+14</f>
        <v>43034</v>
      </c>
      <c r="AA96" s="383" t="s">
        <v>200</v>
      </c>
      <c r="AB96" s="393" t="s">
        <v>693</v>
      </c>
      <c r="AC96" s="392" t="s">
        <v>752</v>
      </c>
      <c r="AD96" s="392">
        <v>42940</v>
      </c>
      <c r="AE96" s="550"/>
      <c r="AF96" s="392"/>
      <c r="AG96" s="546"/>
      <c r="AJ96" s="553"/>
    </row>
    <row r="97" spans="1:43" s="218" customFormat="1" ht="14.35" customHeight="1">
      <c r="A97" s="586" t="s">
        <v>714</v>
      </c>
      <c r="B97" s="545" t="s">
        <v>227</v>
      </c>
      <c r="C97" s="386" t="s">
        <v>1218</v>
      </c>
      <c r="D97" s="386">
        <v>43011</v>
      </c>
      <c r="E97" s="392">
        <v>42967</v>
      </c>
      <c r="F97" s="536">
        <v>42972</v>
      </c>
      <c r="G97" s="661">
        <v>42997</v>
      </c>
      <c r="H97" s="661">
        <v>43000</v>
      </c>
      <c r="I97" s="603">
        <v>42984</v>
      </c>
      <c r="J97" s="577">
        <v>43013</v>
      </c>
      <c r="K97" s="386"/>
      <c r="L97" s="392" t="str">
        <f>TEXT(F97,"mmm-yy")</f>
        <v>Aug-17</v>
      </c>
      <c r="M97" s="392" t="str">
        <f>TEXT(J97,"mmm-yy")</f>
        <v>Oct-17</v>
      </c>
      <c r="N97" s="445" t="s">
        <v>954</v>
      </c>
      <c r="O97" s="551" t="s">
        <v>921</v>
      </c>
      <c r="P97" s="538">
        <v>3600</v>
      </c>
      <c r="Q97" s="418">
        <v>5391.9</v>
      </c>
      <c r="R97" s="538">
        <f>SUM(P97:Q97)</f>
        <v>8991.9</v>
      </c>
      <c r="S97" s="494">
        <f>R97*1.1</f>
        <v>9891.09</v>
      </c>
      <c r="T97" s="544">
        <v>6294.34</v>
      </c>
      <c r="U97" s="544"/>
      <c r="V97" s="389">
        <f>SUM(T97:U97)</f>
        <v>6294.34</v>
      </c>
      <c r="W97" s="388">
        <f>R97-V97</f>
        <v>2697.5599999999995</v>
      </c>
      <c r="X97" s="390">
        <f>W97/R97</f>
        <v>0.29999888788798801</v>
      </c>
      <c r="Y97" s="608" t="s">
        <v>199</v>
      </c>
      <c r="Z97" s="536">
        <f>F97+14</f>
        <v>42986</v>
      </c>
      <c r="AA97" s="383" t="s">
        <v>200</v>
      </c>
      <c r="AB97" s="393" t="s">
        <v>542</v>
      </c>
      <c r="AC97" s="392" t="s">
        <v>752</v>
      </c>
      <c r="AD97" s="392">
        <v>42937</v>
      </c>
      <c r="AE97" s="550"/>
      <c r="AF97" s="392"/>
      <c r="AG97" s="546"/>
      <c r="AJ97" s="553"/>
    </row>
    <row r="98" spans="1:43" s="218" customFormat="1" ht="14.35" customHeight="1">
      <c r="A98" s="586" t="s">
        <v>714</v>
      </c>
      <c r="B98" s="545" t="s">
        <v>227</v>
      </c>
      <c r="C98" s="386" t="s">
        <v>2291</v>
      </c>
      <c r="D98" s="386">
        <v>43165</v>
      </c>
      <c r="E98" s="392">
        <v>43137</v>
      </c>
      <c r="F98" s="392">
        <v>43137</v>
      </c>
      <c r="G98" s="603">
        <v>43152</v>
      </c>
      <c r="H98" s="753">
        <v>43158</v>
      </c>
      <c r="I98" s="576">
        <f>E98+14</f>
        <v>43151</v>
      </c>
      <c r="J98" s="576">
        <v>43161</v>
      </c>
      <c r="K98" s="386"/>
      <c r="L98" s="392" t="str">
        <f>TEXT(F98,"mmm-yy")</f>
        <v>Feb-18</v>
      </c>
      <c r="M98" s="392" t="str">
        <f>TEXT(J98,"mmm-yy")</f>
        <v>Mar-18</v>
      </c>
      <c r="N98" s="397" t="s">
        <v>952</v>
      </c>
      <c r="O98" s="418" t="s">
        <v>949</v>
      </c>
      <c r="P98" s="538">
        <v>5760</v>
      </c>
      <c r="Q98" s="418">
        <v>-5760</v>
      </c>
      <c r="R98" s="538">
        <v>288</v>
      </c>
      <c r="S98" s="494">
        <f>R98*1.1</f>
        <v>316.8</v>
      </c>
      <c r="T98" s="544"/>
      <c r="U98" s="544"/>
      <c r="V98" s="389">
        <f>SUM(T98:U98)</f>
        <v>0</v>
      </c>
      <c r="W98" s="388">
        <f>R98-V98</f>
        <v>288</v>
      </c>
      <c r="X98" s="390">
        <f>W98/R98</f>
        <v>1</v>
      </c>
      <c r="Y98" s="608" t="s">
        <v>199</v>
      </c>
      <c r="Z98" s="536">
        <f>F98+14</f>
        <v>43151</v>
      </c>
      <c r="AA98" s="383" t="s">
        <v>200</v>
      </c>
      <c r="AB98" s="393" t="s">
        <v>542</v>
      </c>
      <c r="AC98" s="392" t="s">
        <v>752</v>
      </c>
      <c r="AD98" s="392">
        <v>42937</v>
      </c>
      <c r="AE98" s="550"/>
      <c r="AF98" s="392"/>
      <c r="AG98" s="546"/>
      <c r="AJ98" s="553"/>
    </row>
    <row r="99" spans="1:43" s="218" customFormat="1" ht="14.35" customHeight="1">
      <c r="A99" s="586" t="s">
        <v>714</v>
      </c>
      <c r="B99" s="545" t="s">
        <v>190</v>
      </c>
      <c r="C99" s="386" t="s">
        <v>1858</v>
      </c>
      <c r="D99" s="386">
        <v>43130</v>
      </c>
      <c r="E99" s="392">
        <v>43082</v>
      </c>
      <c r="F99" s="392">
        <v>43082</v>
      </c>
      <c r="G99" s="667">
        <v>43090</v>
      </c>
      <c r="H99" s="754">
        <v>42738</v>
      </c>
      <c r="I99" s="576">
        <v>43103</v>
      </c>
      <c r="J99" s="576">
        <v>43125</v>
      </c>
      <c r="K99" s="386"/>
      <c r="L99" s="392" t="str">
        <f>TEXT(F99,"mmm-yy")</f>
        <v>Dec-17</v>
      </c>
      <c r="M99" s="392" t="str">
        <f>TEXT(J99,"mmm-yy")</f>
        <v>Jan-18</v>
      </c>
      <c r="N99" s="397" t="s">
        <v>950</v>
      </c>
      <c r="O99" s="418" t="s">
        <v>951</v>
      </c>
      <c r="P99" s="538">
        <v>2338.56</v>
      </c>
      <c r="Q99" s="418">
        <v>1630.43</v>
      </c>
      <c r="R99" s="538">
        <f>SUM(P99:Q99)</f>
        <v>3968.99</v>
      </c>
      <c r="S99" s="494">
        <f>R99*1.1</f>
        <v>4365.8890000000001</v>
      </c>
      <c r="T99" s="544">
        <v>2919.77</v>
      </c>
      <c r="U99" s="544"/>
      <c r="V99" s="389">
        <f>SUM(T99:U99)</f>
        <v>2919.77</v>
      </c>
      <c r="W99" s="388">
        <f>R99-V99</f>
        <v>1049.2199999999998</v>
      </c>
      <c r="X99" s="390">
        <f>W99/R99</f>
        <v>0.26435440754448863</v>
      </c>
      <c r="Y99" s="608" t="s">
        <v>199</v>
      </c>
      <c r="Z99" s="536">
        <f>F99+14</f>
        <v>43096</v>
      </c>
      <c r="AA99" s="383" t="s">
        <v>200</v>
      </c>
      <c r="AB99" s="393" t="s">
        <v>757</v>
      </c>
      <c r="AC99" s="392" t="s">
        <v>752</v>
      </c>
      <c r="AD99" s="392">
        <v>42935</v>
      </c>
      <c r="AE99" s="550"/>
      <c r="AF99" s="392"/>
      <c r="AG99" s="546"/>
      <c r="AJ99" s="553"/>
    </row>
    <row r="100" spans="1:43" s="218" customFormat="1" ht="14.35" customHeight="1">
      <c r="A100" s="586" t="s">
        <v>716</v>
      </c>
      <c r="B100" s="545" t="s">
        <v>190</v>
      </c>
      <c r="C100" s="386" t="s">
        <v>1219</v>
      </c>
      <c r="D100" s="386">
        <v>43011</v>
      </c>
      <c r="E100" s="392">
        <v>42969</v>
      </c>
      <c r="F100" s="536">
        <v>42969</v>
      </c>
      <c r="G100" s="636">
        <v>42975</v>
      </c>
      <c r="H100" s="636">
        <v>42984</v>
      </c>
      <c r="I100" s="576">
        <v>42984</v>
      </c>
      <c r="J100" s="576">
        <v>43013</v>
      </c>
      <c r="K100" s="386"/>
      <c r="L100" s="392" t="str">
        <f>TEXT(F100,"mmm-yy")</f>
        <v>Aug-17</v>
      </c>
      <c r="M100" s="392" t="str">
        <f>TEXT(J100,"mmm-yy")</f>
        <v>Oct-17</v>
      </c>
      <c r="N100" s="397" t="s">
        <v>1040</v>
      </c>
      <c r="O100" s="418" t="s">
        <v>956</v>
      </c>
      <c r="P100" s="538">
        <v>8099.36</v>
      </c>
      <c r="Q100" s="418">
        <v>-3540</v>
      </c>
      <c r="R100" s="538">
        <f>SUM(P100:Q100)</f>
        <v>4559.3599999999997</v>
      </c>
      <c r="S100" s="494">
        <f>R100*1.1</f>
        <v>5015.2960000000003</v>
      </c>
      <c r="T100" s="544">
        <v>1725.57</v>
      </c>
      <c r="U100" s="544"/>
      <c r="V100" s="389">
        <f>SUM(T100:U100)</f>
        <v>1725.57</v>
      </c>
      <c r="W100" s="388">
        <f>R100-V100</f>
        <v>2833.79</v>
      </c>
      <c r="X100" s="390">
        <f>W100/R100</f>
        <v>0.62153240805727128</v>
      </c>
      <c r="Y100" s="608" t="s">
        <v>199</v>
      </c>
      <c r="Z100" s="536">
        <f>F100+14</f>
        <v>42983</v>
      </c>
      <c r="AA100" s="383" t="s">
        <v>200</v>
      </c>
      <c r="AB100" s="393" t="s">
        <v>868</v>
      </c>
      <c r="AC100" s="392">
        <v>42950</v>
      </c>
      <c r="AD100" s="392">
        <v>42957</v>
      </c>
      <c r="AE100" s="550">
        <f>AD100-AC100</f>
        <v>7</v>
      </c>
      <c r="AF100" s="392">
        <v>42965</v>
      </c>
      <c r="AG100" s="546">
        <f>AF100-AD100</f>
        <v>8</v>
      </c>
      <c r="AJ100" s="553"/>
    </row>
    <row r="101" spans="1:43" s="218" customFormat="1" ht="14.35" customHeight="1">
      <c r="A101" s="586" t="s">
        <v>714</v>
      </c>
      <c r="B101" s="545" t="s">
        <v>190</v>
      </c>
      <c r="C101" s="386" t="s">
        <v>1857</v>
      </c>
      <c r="D101" s="386">
        <v>43110</v>
      </c>
      <c r="E101" s="392">
        <v>43070</v>
      </c>
      <c r="F101" s="392">
        <v>43070</v>
      </c>
      <c r="G101" s="603">
        <v>43074</v>
      </c>
      <c r="H101" s="753">
        <v>43081</v>
      </c>
      <c r="I101" s="603">
        <f>F101+14</f>
        <v>43084</v>
      </c>
      <c r="J101" s="601">
        <f>H101+14</f>
        <v>43095</v>
      </c>
      <c r="K101" s="386"/>
      <c r="L101" s="392" t="str">
        <f>TEXT(F101,"mmm-yy")</f>
        <v>Dec-17</v>
      </c>
      <c r="M101" s="392" t="str">
        <f>TEXT(J101,"mmm-yy")</f>
        <v>Dec-17</v>
      </c>
      <c r="N101" s="397" t="s">
        <v>955</v>
      </c>
      <c r="O101" s="418" t="s">
        <v>458</v>
      </c>
      <c r="P101" s="538">
        <v>7372.49</v>
      </c>
      <c r="Q101" s="418">
        <v>6818.21</v>
      </c>
      <c r="R101" s="538">
        <f>SUM(P101:Q101)</f>
        <v>14190.7</v>
      </c>
      <c r="S101" s="494">
        <f>R101*1.1</f>
        <v>15609.770000000002</v>
      </c>
      <c r="T101" s="544"/>
      <c r="U101" s="544"/>
      <c r="V101" s="389">
        <f>SUM(T101:U101)</f>
        <v>0</v>
      </c>
      <c r="W101" s="388">
        <f>R101-V101</f>
        <v>14190.7</v>
      </c>
      <c r="X101" s="390">
        <f>W101/R101</f>
        <v>1</v>
      </c>
      <c r="Y101" s="608" t="s">
        <v>199</v>
      </c>
      <c r="Z101" s="536">
        <f>F101+14</f>
        <v>43084</v>
      </c>
      <c r="AA101" s="383" t="s">
        <v>200</v>
      </c>
      <c r="AB101" s="393" t="s">
        <v>210</v>
      </c>
      <c r="AC101" s="392" t="s">
        <v>752</v>
      </c>
      <c r="AD101" s="392">
        <v>42935</v>
      </c>
      <c r="AE101" s="550"/>
      <c r="AF101" s="392"/>
      <c r="AG101" s="546"/>
      <c r="AJ101" s="553"/>
    </row>
    <row r="102" spans="1:43" s="218" customFormat="1" ht="14.35" customHeight="1">
      <c r="A102" s="586" t="s">
        <v>714</v>
      </c>
      <c r="B102" s="545" t="s">
        <v>190</v>
      </c>
      <c r="C102" s="386" t="s">
        <v>1217</v>
      </c>
      <c r="D102" s="386">
        <v>43011</v>
      </c>
      <c r="E102" s="392">
        <v>42971</v>
      </c>
      <c r="F102" s="536">
        <v>42971</v>
      </c>
      <c r="G102" s="721">
        <v>42984</v>
      </c>
      <c r="H102" s="721">
        <v>42993</v>
      </c>
      <c r="I102" s="577">
        <v>43080</v>
      </c>
      <c r="J102" s="577">
        <v>43013</v>
      </c>
      <c r="K102" s="386"/>
      <c r="L102" s="392" t="str">
        <f>TEXT(F102,"mmm-yy")</f>
        <v>Aug-17</v>
      </c>
      <c r="M102" s="392" t="str">
        <f>TEXT(J102,"mmm-yy")</f>
        <v>Oct-17</v>
      </c>
      <c r="N102" s="397" t="s">
        <v>957</v>
      </c>
      <c r="O102" s="418" t="s">
        <v>491</v>
      </c>
      <c r="P102" s="538">
        <v>1096.17</v>
      </c>
      <c r="Q102" s="418">
        <v>-1.1200000000000001</v>
      </c>
      <c r="R102" s="538">
        <f>SUM(P102:Q102)</f>
        <v>1095.0500000000002</v>
      </c>
      <c r="S102" s="494">
        <f>R102*1.1</f>
        <v>1204.5550000000003</v>
      </c>
      <c r="T102" s="544"/>
      <c r="U102" s="544"/>
      <c r="V102" s="389">
        <f>SUM(T102:U102)</f>
        <v>0</v>
      </c>
      <c r="W102" s="388">
        <f>R102-V102</f>
        <v>1095.0500000000002</v>
      </c>
      <c r="X102" s="390">
        <f>W102/R102</f>
        <v>1</v>
      </c>
      <c r="Y102" s="608" t="s">
        <v>199</v>
      </c>
      <c r="Z102" s="536">
        <f>F102+14</f>
        <v>42985</v>
      </c>
      <c r="AA102" s="383" t="s">
        <v>200</v>
      </c>
      <c r="AB102" s="393" t="s">
        <v>727</v>
      </c>
      <c r="AC102" s="392" t="s">
        <v>752</v>
      </c>
      <c r="AD102" s="392">
        <v>42935</v>
      </c>
      <c r="AE102" s="550"/>
      <c r="AF102" s="392"/>
      <c r="AG102" s="546"/>
      <c r="AJ102" s="553"/>
      <c r="AK102"/>
      <c r="AL102" s="704"/>
      <c r="AM102" s="704"/>
      <c r="AN102" s="704"/>
      <c r="AQ102" s="704"/>
    </row>
    <row r="103" spans="1:43" s="218" customFormat="1" ht="14.35" customHeight="1">
      <c r="A103" s="586" t="s">
        <v>714</v>
      </c>
      <c r="B103" s="545" t="s">
        <v>190</v>
      </c>
      <c r="C103" s="386" t="s">
        <v>1262</v>
      </c>
      <c r="D103" s="386">
        <v>42746</v>
      </c>
      <c r="E103" s="392">
        <v>42975</v>
      </c>
      <c r="F103" s="392">
        <v>42975</v>
      </c>
      <c r="G103" s="636">
        <v>42984</v>
      </c>
      <c r="H103" s="636">
        <v>42993</v>
      </c>
      <c r="I103" s="667">
        <f>F103+14</f>
        <v>42989</v>
      </c>
      <c r="J103" s="576">
        <v>43025</v>
      </c>
      <c r="K103" s="386"/>
      <c r="L103" s="392" t="str">
        <f>TEXT(F103,"mmm-yy")</f>
        <v>Aug-17</v>
      </c>
      <c r="M103" s="392" t="str">
        <f>TEXT(J103,"mmm-yy")</f>
        <v>Oct-17</v>
      </c>
      <c r="N103" s="397" t="s">
        <v>2484</v>
      </c>
      <c r="O103" s="418" t="s">
        <v>385</v>
      </c>
      <c r="P103" s="538">
        <v>2908.06</v>
      </c>
      <c r="Q103" s="418">
        <v>-95.96</v>
      </c>
      <c r="R103" s="538">
        <f>SUM(P103:Q103)</f>
        <v>2812.1</v>
      </c>
      <c r="S103" s="494">
        <f>R103*1.1</f>
        <v>3093.31</v>
      </c>
      <c r="T103" s="544">
        <v>1039.3</v>
      </c>
      <c r="U103" s="544"/>
      <c r="V103" s="389">
        <f>SUM(T103:U103)</f>
        <v>1039.3</v>
      </c>
      <c r="W103" s="388">
        <f>R103-V103</f>
        <v>1772.8</v>
      </c>
      <c r="X103" s="390">
        <f>W103/R103</f>
        <v>0.63041854841577472</v>
      </c>
      <c r="Y103" s="608" t="s">
        <v>199</v>
      </c>
      <c r="Z103" s="536">
        <f>F103+14</f>
        <v>42989</v>
      </c>
      <c r="AA103" s="383" t="s">
        <v>200</v>
      </c>
      <c r="AB103" s="393" t="s">
        <v>959</v>
      </c>
      <c r="AC103" s="392" t="s">
        <v>752</v>
      </c>
      <c r="AD103" s="392">
        <v>42942</v>
      </c>
      <c r="AE103" s="550"/>
      <c r="AF103" s="392"/>
      <c r="AG103" s="546"/>
      <c r="AJ103" s="553"/>
      <c r="AK103"/>
      <c r="AL103" s="704"/>
      <c r="AM103" s="704"/>
      <c r="AN103" s="704"/>
      <c r="AQ103" s="704"/>
    </row>
    <row r="104" spans="1:43" s="218" customFormat="1" ht="14.35" customHeight="1">
      <c r="A104" s="586" t="s">
        <v>715</v>
      </c>
      <c r="B104" s="545" t="s">
        <v>190</v>
      </c>
      <c r="C104" s="386" t="s">
        <v>1174</v>
      </c>
      <c r="D104" s="386">
        <v>42989</v>
      </c>
      <c r="E104" s="392">
        <v>42947</v>
      </c>
      <c r="F104" s="392">
        <v>42947</v>
      </c>
      <c r="G104" s="634">
        <v>42962</v>
      </c>
      <c r="H104" s="634">
        <v>42982</v>
      </c>
      <c r="I104" s="667">
        <v>42962</v>
      </c>
      <c r="J104" s="576">
        <v>42997</v>
      </c>
      <c r="K104" s="386"/>
      <c r="L104" s="392" t="str">
        <f>TEXT(F104,"mmm-yy")</f>
        <v>Jul-17</v>
      </c>
      <c r="M104" s="392" t="str">
        <f>TEXT(J104,"mmm-yy")</f>
        <v>Sep-17</v>
      </c>
      <c r="N104" s="397" t="s">
        <v>965</v>
      </c>
      <c r="O104" s="418" t="s">
        <v>742</v>
      </c>
      <c r="P104" s="538">
        <v>8858.31</v>
      </c>
      <c r="Q104" s="418">
        <v>512.57000000000005</v>
      </c>
      <c r="R104" s="538">
        <f>SUM(P104:Q104)</f>
        <v>9370.8799999999992</v>
      </c>
      <c r="S104" s="494">
        <f>R104*1.1</f>
        <v>10307.968000000001</v>
      </c>
      <c r="T104" s="544">
        <v>2095.98</v>
      </c>
      <c r="U104" s="544"/>
      <c r="V104" s="389">
        <f>SUM(T104:U104)</f>
        <v>2095.98</v>
      </c>
      <c r="W104" s="388">
        <f>R104-V104</f>
        <v>7274.9</v>
      </c>
      <c r="X104" s="390">
        <f>W104/R104</f>
        <v>0.776330504712471</v>
      </c>
      <c r="Y104" s="608" t="s">
        <v>199</v>
      </c>
      <c r="Z104" s="536">
        <f>F104+14</f>
        <v>42961</v>
      </c>
      <c r="AA104" s="383" t="s">
        <v>200</v>
      </c>
      <c r="AB104" s="393" t="s">
        <v>727</v>
      </c>
      <c r="AC104" s="392">
        <v>42856</v>
      </c>
      <c r="AD104" s="392">
        <v>42865</v>
      </c>
      <c r="AE104" s="550">
        <f>AD104-AC104</f>
        <v>9</v>
      </c>
      <c r="AF104" s="392">
        <v>42865</v>
      </c>
      <c r="AG104" s="546">
        <f>AF104-AD104</f>
        <v>0</v>
      </c>
      <c r="AJ104" s="553"/>
      <c r="AK104"/>
      <c r="AL104" s="704"/>
      <c r="AM104" s="704"/>
      <c r="AN104" s="704"/>
      <c r="AQ104" s="704"/>
    </row>
    <row r="105" spans="1:43" s="218" customFormat="1" ht="14.35" customHeight="1">
      <c r="A105" s="586" t="s">
        <v>714</v>
      </c>
      <c r="B105" s="545" t="s">
        <v>190</v>
      </c>
      <c r="C105" s="386" t="s">
        <v>1179</v>
      </c>
      <c r="D105" s="386">
        <v>43003</v>
      </c>
      <c r="E105" s="392">
        <v>42948</v>
      </c>
      <c r="F105" s="392">
        <v>42948</v>
      </c>
      <c r="G105" s="641">
        <v>42962</v>
      </c>
      <c r="H105" s="641">
        <v>42979</v>
      </c>
      <c r="I105" s="603">
        <v>42961</v>
      </c>
      <c r="J105" s="576">
        <v>42997</v>
      </c>
      <c r="K105" s="386"/>
      <c r="L105" s="392" t="str">
        <f>TEXT(F105,"mmm-yy")</f>
        <v>Aug-17</v>
      </c>
      <c r="M105" s="392" t="str">
        <f>TEXT(J105,"mmm-yy")</f>
        <v>Sep-17</v>
      </c>
      <c r="N105" s="397" t="s">
        <v>966</v>
      </c>
      <c r="O105" s="418" t="s">
        <v>967</v>
      </c>
      <c r="P105" s="538">
        <v>1561.37</v>
      </c>
      <c r="Q105" s="418">
        <v>698.01</v>
      </c>
      <c r="R105" s="538">
        <f>SUM(P105:Q105)</f>
        <v>2259.38</v>
      </c>
      <c r="S105" s="494">
        <f>R105*1.1</f>
        <v>2485.3180000000002</v>
      </c>
      <c r="T105" s="544"/>
      <c r="U105" s="544"/>
      <c r="V105" s="389">
        <f>SUM(T105:U105)</f>
        <v>0</v>
      </c>
      <c r="W105" s="388">
        <f>R105-V105</f>
        <v>2259.38</v>
      </c>
      <c r="X105" s="390">
        <f>W105/R105</f>
        <v>1</v>
      </c>
      <c r="Y105" s="608" t="s">
        <v>199</v>
      </c>
      <c r="Z105" s="536">
        <f>F105+14</f>
        <v>42962</v>
      </c>
      <c r="AA105" s="383" t="s">
        <v>200</v>
      </c>
      <c r="AB105" s="393" t="s">
        <v>210</v>
      </c>
      <c r="AC105" s="392" t="s">
        <v>752</v>
      </c>
      <c r="AD105" s="392">
        <v>42942</v>
      </c>
      <c r="AE105" s="550"/>
      <c r="AF105" s="392"/>
      <c r="AG105" s="546"/>
      <c r="AJ105" s="553"/>
      <c r="AK105"/>
      <c r="AL105" s="704"/>
      <c r="AM105" s="704"/>
      <c r="AN105" s="704"/>
      <c r="AQ105" s="704"/>
    </row>
    <row r="106" spans="1:43" s="218" customFormat="1" ht="14.35" customHeight="1">
      <c r="A106" s="586" t="s">
        <v>715</v>
      </c>
      <c r="B106" s="545" t="s">
        <v>722</v>
      </c>
      <c r="C106" s="386" t="s">
        <v>1353</v>
      </c>
      <c r="D106" s="386">
        <v>43053</v>
      </c>
      <c r="E106" s="392">
        <v>43003</v>
      </c>
      <c r="F106" s="384">
        <v>43003</v>
      </c>
      <c r="G106" s="661">
        <v>43005</v>
      </c>
      <c r="H106" s="661">
        <v>43012</v>
      </c>
      <c r="I106" s="576">
        <v>43021</v>
      </c>
      <c r="J106" s="696">
        <v>43055</v>
      </c>
      <c r="K106" s="386"/>
      <c r="L106" s="392" t="str">
        <f>TEXT(F106,"mmm-yy")</f>
        <v>Sep-17</v>
      </c>
      <c r="M106" s="392" t="str">
        <f>TEXT(J106,"mmm-yy")</f>
        <v>Nov-17</v>
      </c>
      <c r="N106" s="397" t="s">
        <v>968</v>
      </c>
      <c r="O106" s="418" t="s">
        <v>969</v>
      </c>
      <c r="P106" s="538">
        <v>6869.8742857142852</v>
      </c>
      <c r="Q106" s="418">
        <v>8608.4699999999993</v>
      </c>
      <c r="R106" s="538">
        <f>SUM(P106:Q106)</f>
        <v>15478.344285714284</v>
      </c>
      <c r="S106" s="494">
        <f>R106*1.1</f>
        <v>17026.178714285714</v>
      </c>
      <c r="T106" s="544">
        <v>6117.91</v>
      </c>
      <c r="U106" s="544"/>
      <c r="V106" s="389">
        <f>SUM(T106:U106)</f>
        <v>6117.91</v>
      </c>
      <c r="W106" s="388">
        <f>R106-V106</f>
        <v>9360.4342857142838</v>
      </c>
      <c r="X106" s="390">
        <f>W106/R106</f>
        <v>0.60474389979511467</v>
      </c>
      <c r="Y106" s="608" t="s">
        <v>199</v>
      </c>
      <c r="Z106" s="536">
        <f>F106+14</f>
        <v>43017</v>
      </c>
      <c r="AA106" s="383" t="s">
        <v>200</v>
      </c>
      <c r="AB106" s="393" t="s">
        <v>959</v>
      </c>
      <c r="AC106" s="392">
        <v>42923</v>
      </c>
      <c r="AD106" s="536">
        <v>42961</v>
      </c>
      <c r="AE106" s="550">
        <f>AD106-AC106</f>
        <v>38</v>
      </c>
      <c r="AF106" s="392">
        <v>42972</v>
      </c>
      <c r="AG106" s="546">
        <f>AF106-AD106</f>
        <v>11</v>
      </c>
      <c r="AJ106" s="553"/>
      <c r="AK106"/>
      <c r="AL106" s="704"/>
      <c r="AM106" s="704"/>
      <c r="AN106" s="704"/>
      <c r="AQ106" s="704"/>
    </row>
    <row r="107" spans="1:43" s="218" customFormat="1" ht="14.35" customHeight="1">
      <c r="A107" s="586" t="s">
        <v>714</v>
      </c>
      <c r="B107" s="545" t="s">
        <v>190</v>
      </c>
      <c r="C107" s="386" t="s">
        <v>1336</v>
      </c>
      <c r="D107" s="386">
        <v>43046</v>
      </c>
      <c r="E107" s="392">
        <v>42948</v>
      </c>
      <c r="F107" s="392">
        <v>42948</v>
      </c>
      <c r="G107" s="636">
        <v>42956</v>
      </c>
      <c r="H107" s="636">
        <v>42965</v>
      </c>
      <c r="I107" s="576">
        <v>42984</v>
      </c>
      <c r="J107" s="577">
        <v>43048</v>
      </c>
      <c r="K107" s="386" t="s">
        <v>988</v>
      </c>
      <c r="L107" s="392" t="str">
        <f>TEXT(F107,"mmm-yy")</f>
        <v>Aug-17</v>
      </c>
      <c r="M107" s="392" t="str">
        <f>TEXT(J107,"mmm-yy")</f>
        <v>Nov-17</v>
      </c>
      <c r="N107" s="397" t="s">
        <v>972</v>
      </c>
      <c r="O107" s="418" t="s">
        <v>978</v>
      </c>
      <c r="P107" s="538">
        <v>226.41</v>
      </c>
      <c r="Q107" s="418">
        <v>2148.5500000000002</v>
      </c>
      <c r="R107" s="538">
        <f>SUM(P107:Q107)</f>
        <v>2374.96</v>
      </c>
      <c r="S107" s="494">
        <f>R107*1.1</f>
        <v>2612.4560000000001</v>
      </c>
      <c r="T107" s="544"/>
      <c r="U107" s="544"/>
      <c r="V107" s="389">
        <f>SUM(T107:U107)</f>
        <v>0</v>
      </c>
      <c r="W107" s="388">
        <f>R107-V107</f>
        <v>2374.96</v>
      </c>
      <c r="X107" s="390">
        <f>W107/R107</f>
        <v>1</v>
      </c>
      <c r="Y107" s="608" t="s">
        <v>199</v>
      </c>
      <c r="Z107" s="536">
        <f>F107+14</f>
        <v>42962</v>
      </c>
      <c r="AA107" s="383" t="s">
        <v>200</v>
      </c>
      <c r="AB107" s="393" t="s">
        <v>223</v>
      </c>
      <c r="AC107" s="392" t="s">
        <v>752</v>
      </c>
      <c r="AD107" s="392">
        <v>42885</v>
      </c>
      <c r="AE107" s="550"/>
      <c r="AF107" s="392"/>
      <c r="AG107" s="546"/>
      <c r="AJ107" s="553"/>
      <c r="AK107"/>
      <c r="AL107" s="704"/>
      <c r="AM107" s="704"/>
      <c r="AN107" s="704"/>
      <c r="AQ107" s="704"/>
    </row>
    <row r="108" spans="1:43" s="218" customFormat="1" ht="14.35" customHeight="1">
      <c r="A108" s="586" t="s">
        <v>715</v>
      </c>
      <c r="B108" s="545" t="s">
        <v>190</v>
      </c>
      <c r="C108" s="386" t="s">
        <v>1271</v>
      </c>
      <c r="D108" s="386">
        <v>43019</v>
      </c>
      <c r="E108" s="392">
        <v>42988</v>
      </c>
      <c r="F108" s="392">
        <v>42989</v>
      </c>
      <c r="G108" s="636">
        <v>42998</v>
      </c>
      <c r="H108" s="636">
        <v>43006</v>
      </c>
      <c r="I108" s="576">
        <v>43004</v>
      </c>
      <c r="J108" s="603">
        <f>I108+14</f>
        <v>43018</v>
      </c>
      <c r="K108" s="386"/>
      <c r="L108" s="392" t="str">
        <f>TEXT(F108,"mmm-yy")</f>
        <v>Sep-17</v>
      </c>
      <c r="M108" s="392" t="str">
        <f>TEXT(J108,"mmm-yy")</f>
        <v>Oct-17</v>
      </c>
      <c r="N108" s="397" t="s">
        <v>976</v>
      </c>
      <c r="O108" s="418" t="s">
        <v>977</v>
      </c>
      <c r="P108" s="538">
        <v>18063.68</v>
      </c>
      <c r="Q108" s="418">
        <v>5154.37</v>
      </c>
      <c r="R108" s="538">
        <f>SUM(P108:Q108)</f>
        <v>23218.05</v>
      </c>
      <c r="S108" s="494">
        <f>R108*1.1</f>
        <v>25539.855</v>
      </c>
      <c r="T108" s="544"/>
      <c r="U108" s="544"/>
      <c r="V108" s="389">
        <f>SUM(T108:U108)</f>
        <v>0</v>
      </c>
      <c r="W108" s="388">
        <f>R108-V108</f>
        <v>23218.05</v>
      </c>
      <c r="X108" s="390">
        <f>W108/R108</f>
        <v>1</v>
      </c>
      <c r="Y108" s="608" t="s">
        <v>199</v>
      </c>
      <c r="Z108" s="536">
        <f>F108+14</f>
        <v>43003</v>
      </c>
      <c r="AA108" s="383" t="s">
        <v>200</v>
      </c>
      <c r="AB108" s="393" t="s">
        <v>210</v>
      </c>
      <c r="AC108" s="392">
        <v>42947</v>
      </c>
      <c r="AD108" s="392">
        <v>42961</v>
      </c>
      <c r="AE108" s="550">
        <f>AD108-AC108</f>
        <v>14</v>
      </c>
      <c r="AF108" s="392">
        <v>42978</v>
      </c>
      <c r="AG108" s="546">
        <f>AF108-AD108</f>
        <v>17</v>
      </c>
      <c r="AJ108" s="553"/>
      <c r="AK108"/>
      <c r="AL108" s="704"/>
      <c r="AM108" s="704"/>
      <c r="AN108" s="704"/>
      <c r="AQ108" s="704"/>
    </row>
    <row r="109" spans="1:43" s="218" customFormat="1" ht="14.35" customHeight="1">
      <c r="A109" s="586" t="s">
        <v>714</v>
      </c>
      <c r="B109" s="545" t="s">
        <v>190</v>
      </c>
      <c r="C109" s="386" t="s">
        <v>1860</v>
      </c>
      <c r="D109" s="386">
        <v>43130</v>
      </c>
      <c r="E109" s="392">
        <v>43070</v>
      </c>
      <c r="F109" s="392">
        <v>43070</v>
      </c>
      <c r="G109" s="667">
        <v>43073</v>
      </c>
      <c r="H109" s="754">
        <v>43089</v>
      </c>
      <c r="I109" s="603">
        <v>43082</v>
      </c>
      <c r="J109" s="576">
        <v>43129</v>
      </c>
      <c r="K109" s="386"/>
      <c r="L109" s="392" t="str">
        <f>TEXT(F109,"mmm-yy")</f>
        <v>Dec-17</v>
      </c>
      <c r="M109" s="392" t="str">
        <f>TEXT(J109,"mmm-yy")</f>
        <v>Jan-18</v>
      </c>
      <c r="N109" s="397" t="s">
        <v>1648</v>
      </c>
      <c r="O109" s="418" t="s">
        <v>491</v>
      </c>
      <c r="P109" s="538">
        <v>8071.38</v>
      </c>
      <c r="Q109" s="418">
        <v>14816.270000000002</v>
      </c>
      <c r="R109" s="538">
        <f>SUM(P109:Q109)</f>
        <v>22887.65</v>
      </c>
      <c r="S109" s="494">
        <f>R109*1.1</f>
        <v>25176.415000000005</v>
      </c>
      <c r="T109" s="544">
        <v>11278.4</v>
      </c>
      <c r="U109" s="544"/>
      <c r="V109" s="389">
        <f>SUM(T109:U109)</f>
        <v>11278.4</v>
      </c>
      <c r="W109" s="388">
        <f>R109-V109</f>
        <v>11609.250000000002</v>
      </c>
      <c r="X109" s="390">
        <f>W109/R109</f>
        <v>0.50722769703311621</v>
      </c>
      <c r="Y109" s="608" t="s">
        <v>199</v>
      </c>
      <c r="Z109" s="536">
        <f>F109+14</f>
        <v>43084</v>
      </c>
      <c r="AA109" s="383" t="s">
        <v>200</v>
      </c>
      <c r="AB109" s="393" t="s">
        <v>868</v>
      </c>
      <c r="AC109" s="392" t="s">
        <v>752</v>
      </c>
      <c r="AD109" s="392">
        <v>42955</v>
      </c>
      <c r="AE109" s="550"/>
      <c r="AF109" s="392">
        <v>43007</v>
      </c>
      <c r="AG109" s="546"/>
      <c r="AJ109" s="553"/>
      <c r="AK109"/>
      <c r="AL109" s="704"/>
      <c r="AM109" s="704"/>
      <c r="AN109" s="704"/>
      <c r="AQ109" s="704"/>
    </row>
    <row r="110" spans="1:43" s="218" customFormat="1" ht="14.35" customHeight="1">
      <c r="A110" s="586" t="s">
        <v>714</v>
      </c>
      <c r="B110" s="545" t="s">
        <v>190</v>
      </c>
      <c r="C110" s="386" t="s">
        <v>2259</v>
      </c>
      <c r="D110" s="386">
        <v>43153</v>
      </c>
      <c r="E110" s="392">
        <v>43096</v>
      </c>
      <c r="F110" s="392">
        <v>43066</v>
      </c>
      <c r="G110" s="576">
        <v>43116</v>
      </c>
      <c r="H110" s="669">
        <v>43138</v>
      </c>
      <c r="I110" s="603">
        <f>F110+14</f>
        <v>43080</v>
      </c>
      <c r="J110" s="576">
        <v>43158</v>
      </c>
      <c r="K110" s="386"/>
      <c r="L110" s="392" t="str">
        <f>TEXT(F110,"mmm-yy")</f>
        <v>Nov-17</v>
      </c>
      <c r="M110" s="392" t="str">
        <f>TEXT(J110,"mmm-yy")</f>
        <v>Feb-18</v>
      </c>
      <c r="N110" s="445" t="s">
        <v>993</v>
      </c>
      <c r="O110" s="418" t="s">
        <v>994</v>
      </c>
      <c r="P110" s="538">
        <v>7693.89</v>
      </c>
      <c r="Q110" s="418">
        <v>11728.23</v>
      </c>
      <c r="R110" s="538">
        <f>SUM(P110:Q110)</f>
        <v>19422.12</v>
      </c>
      <c r="S110" s="494">
        <f>R110*1.1</f>
        <v>21364.332000000002</v>
      </c>
      <c r="T110" s="544">
        <v>6867.81</v>
      </c>
      <c r="U110" s="544"/>
      <c r="V110" s="389">
        <f>SUM(T110:U110)</f>
        <v>6867.81</v>
      </c>
      <c r="W110" s="388">
        <f>R110-V110</f>
        <v>12554.309999999998</v>
      </c>
      <c r="X110" s="390">
        <f>W110/R110</f>
        <v>0.64639236087512575</v>
      </c>
      <c r="Y110" s="608" t="s">
        <v>199</v>
      </c>
      <c r="Z110" s="536">
        <f>F110+14</f>
        <v>43080</v>
      </c>
      <c r="AA110" s="383" t="s">
        <v>200</v>
      </c>
      <c r="AB110" s="393" t="s">
        <v>868</v>
      </c>
      <c r="AC110" s="392" t="s">
        <v>752</v>
      </c>
      <c r="AD110" s="392">
        <v>42955</v>
      </c>
      <c r="AE110" s="550"/>
      <c r="AF110" s="392"/>
      <c r="AG110" s="546"/>
      <c r="AJ110" s="553"/>
      <c r="AK110"/>
      <c r="AL110" s="704"/>
      <c r="AM110" s="704"/>
      <c r="AN110" s="704"/>
      <c r="AQ110" s="704"/>
    </row>
    <row r="111" spans="1:43" s="218" customFormat="1" ht="14.35" customHeight="1">
      <c r="A111" s="586" t="s">
        <v>715</v>
      </c>
      <c r="B111" s="545" t="s">
        <v>190</v>
      </c>
      <c r="C111" s="386" t="s">
        <v>2175</v>
      </c>
      <c r="D111" s="386">
        <v>43150</v>
      </c>
      <c r="E111" s="392">
        <v>43383</v>
      </c>
      <c r="F111" s="392">
        <v>43110</v>
      </c>
      <c r="G111" s="603">
        <v>42745</v>
      </c>
      <c r="H111" s="753">
        <v>43124</v>
      </c>
      <c r="I111" s="603">
        <v>43122</v>
      </c>
      <c r="J111" s="576">
        <v>43151</v>
      </c>
      <c r="K111" s="386"/>
      <c r="L111" s="392" t="str">
        <f>TEXT(F111,"mmm-yy")</f>
        <v>Jan-18</v>
      </c>
      <c r="M111" s="392" t="str">
        <f>TEXT(J111,"mmm-yy")</f>
        <v>Feb-18</v>
      </c>
      <c r="N111" s="397" t="s">
        <v>995</v>
      </c>
      <c r="O111" s="418" t="s">
        <v>996</v>
      </c>
      <c r="P111" s="538">
        <v>2139.2800000000002</v>
      </c>
      <c r="Q111" s="418">
        <v>3780.43</v>
      </c>
      <c r="R111" s="538">
        <f>SUM(P111:Q111)</f>
        <v>5919.71</v>
      </c>
      <c r="S111" s="494">
        <f>R111*1.1</f>
        <v>6511.6810000000005</v>
      </c>
      <c r="T111" s="544">
        <v>1612.32</v>
      </c>
      <c r="U111" s="544"/>
      <c r="V111" s="389">
        <f>SUM(T111:U111)</f>
        <v>1612.32</v>
      </c>
      <c r="W111" s="388">
        <f>R111-V111</f>
        <v>4307.3900000000003</v>
      </c>
      <c r="X111" s="390">
        <f>W111/R111</f>
        <v>0.72763530645926922</v>
      </c>
      <c r="Y111" s="608" t="s">
        <v>199</v>
      </c>
      <c r="Z111" s="536">
        <f>F111+14</f>
        <v>43124</v>
      </c>
      <c r="AA111" s="383" t="s">
        <v>200</v>
      </c>
      <c r="AB111" s="393" t="s">
        <v>757</v>
      </c>
      <c r="AC111" s="392">
        <v>42885</v>
      </c>
      <c r="AD111" s="392">
        <v>42951</v>
      </c>
      <c r="AE111" s="550">
        <f>AD111-AC111</f>
        <v>66</v>
      </c>
      <c r="AF111" s="392">
        <v>43035</v>
      </c>
      <c r="AG111" s="546">
        <f>AF111-AD111</f>
        <v>84</v>
      </c>
      <c r="AJ111" s="553"/>
      <c r="AK111"/>
      <c r="AL111" s="704"/>
      <c r="AM111" s="704"/>
      <c r="AN111" s="704"/>
      <c r="AQ111" s="704"/>
    </row>
    <row r="112" spans="1:43" s="218" customFormat="1" ht="14.35" customHeight="1">
      <c r="A112" s="586" t="s">
        <v>714</v>
      </c>
      <c r="B112" s="545" t="s">
        <v>190</v>
      </c>
      <c r="C112" s="386" t="s">
        <v>1617</v>
      </c>
      <c r="D112" s="386">
        <v>43068</v>
      </c>
      <c r="E112" s="384">
        <v>43003</v>
      </c>
      <c r="F112" s="384">
        <v>43003</v>
      </c>
      <c r="G112" s="667">
        <v>43025</v>
      </c>
      <c r="H112" s="754">
        <v>43040</v>
      </c>
      <c r="I112" s="603">
        <v>43011</v>
      </c>
      <c r="J112" s="601">
        <f>I112+14</f>
        <v>43025</v>
      </c>
      <c r="K112" s="386"/>
      <c r="L112" s="392" t="str">
        <f>TEXT(F112,"mmm-yy")</f>
        <v>Sep-17</v>
      </c>
      <c r="M112" s="392" t="str">
        <f>TEXT(J112,"mmm-yy")</f>
        <v>Oct-17</v>
      </c>
      <c r="N112" s="397" t="s">
        <v>997</v>
      </c>
      <c r="O112" s="418" t="s">
        <v>458</v>
      </c>
      <c r="P112" s="538">
        <v>271.88</v>
      </c>
      <c r="Q112" s="418">
        <v>393.66</v>
      </c>
      <c r="R112" s="538">
        <f>SUM(P112:Q112)</f>
        <v>665.54</v>
      </c>
      <c r="S112" s="494">
        <f>R112*1.1</f>
        <v>732.09400000000005</v>
      </c>
      <c r="T112" s="544"/>
      <c r="U112" s="544"/>
      <c r="V112" s="389">
        <f>SUM(T112:U112)</f>
        <v>0</v>
      </c>
      <c r="W112" s="388">
        <f>R112-V112</f>
        <v>665.54</v>
      </c>
      <c r="X112" s="390">
        <f>W112/R112</f>
        <v>1</v>
      </c>
      <c r="Y112" s="608" t="s">
        <v>199</v>
      </c>
      <c r="Z112" s="536">
        <f>F112+14</f>
        <v>43017</v>
      </c>
      <c r="AA112" s="383" t="s">
        <v>200</v>
      </c>
      <c r="AB112" s="393" t="s">
        <v>959</v>
      </c>
      <c r="AC112" s="392" t="s">
        <v>752</v>
      </c>
      <c r="AD112" s="392">
        <v>42950</v>
      </c>
      <c r="AE112" s="550"/>
      <c r="AF112" s="392"/>
      <c r="AG112" s="546"/>
      <c r="AJ112" s="553"/>
      <c r="AK112"/>
      <c r="AL112" s="704"/>
      <c r="AM112" s="704"/>
      <c r="AN112" s="704"/>
      <c r="AQ112" s="704"/>
    </row>
    <row r="113" spans="1:43" s="218" customFormat="1" ht="14.35" customHeight="1">
      <c r="A113" s="586" t="s">
        <v>714</v>
      </c>
      <c r="B113" s="545" t="s">
        <v>190</v>
      </c>
      <c r="C113" s="386" t="s">
        <v>1274</v>
      </c>
      <c r="D113" s="386">
        <v>43026</v>
      </c>
      <c r="E113" s="392">
        <v>42992</v>
      </c>
      <c r="F113" s="392">
        <v>43003</v>
      </c>
      <c r="G113" s="750"/>
      <c r="H113" s="751"/>
      <c r="I113" s="603">
        <v>43004</v>
      </c>
      <c r="J113" s="576">
        <v>43032</v>
      </c>
      <c r="K113" s="386"/>
      <c r="L113" s="392" t="str">
        <f>TEXT(F113,"mmm-yy")</f>
        <v>Sep-17</v>
      </c>
      <c r="M113" s="392" t="str">
        <f>TEXT(J113,"mmm-yy")</f>
        <v>Oct-17</v>
      </c>
      <c r="N113" s="551" t="s">
        <v>1091</v>
      </c>
      <c r="O113" s="551" t="s">
        <v>491</v>
      </c>
      <c r="P113" s="538">
        <v>560</v>
      </c>
      <c r="Q113" s="684"/>
      <c r="R113" s="538">
        <f>SUM(P113:Q113)</f>
        <v>560</v>
      </c>
      <c r="S113" s="494">
        <f>R113*1.1</f>
        <v>616</v>
      </c>
      <c r="T113" s="544"/>
      <c r="U113" s="544"/>
      <c r="V113" s="389">
        <f>SUM(T113:U113)</f>
        <v>0</v>
      </c>
      <c r="W113" s="388">
        <f>R113-V113</f>
        <v>560</v>
      </c>
      <c r="X113" s="390">
        <f>W113/R113</f>
        <v>1</v>
      </c>
      <c r="Y113" s="608" t="s">
        <v>199</v>
      </c>
      <c r="Z113" s="536">
        <f>F113+14</f>
        <v>43017</v>
      </c>
      <c r="AA113" s="383" t="s">
        <v>200</v>
      </c>
      <c r="AB113" s="393" t="s">
        <v>868</v>
      </c>
      <c r="AC113" s="392" t="s">
        <v>752</v>
      </c>
      <c r="AD113" s="392">
        <v>42951</v>
      </c>
      <c r="AE113" s="550"/>
      <c r="AF113" s="392">
        <v>43026</v>
      </c>
      <c r="AG113" s="546"/>
      <c r="AJ113" s="553"/>
      <c r="AK113"/>
      <c r="AL113" s="704"/>
      <c r="AM113" s="704"/>
      <c r="AN113" s="704"/>
      <c r="AQ113" s="704"/>
    </row>
    <row r="114" spans="1:43" s="218" customFormat="1" ht="14.35" customHeight="1">
      <c r="A114" s="586" t="s">
        <v>715</v>
      </c>
      <c r="B114" s="545" t="s">
        <v>724</v>
      </c>
      <c r="C114" s="386" t="s">
        <v>1202</v>
      </c>
      <c r="D114" s="386">
        <v>43005</v>
      </c>
      <c r="E114" s="392">
        <v>42936</v>
      </c>
      <c r="F114" s="392">
        <v>42936</v>
      </c>
      <c r="G114" s="653">
        <v>42936</v>
      </c>
      <c r="H114" s="653">
        <v>42998</v>
      </c>
      <c r="I114" s="576">
        <v>42955</v>
      </c>
      <c r="J114" s="576">
        <v>43005</v>
      </c>
      <c r="K114" s="386"/>
      <c r="L114" s="392" t="str">
        <f>TEXT(F114,"mmm-yy")</f>
        <v>Jul-17</v>
      </c>
      <c r="M114" s="392" t="str">
        <f>TEXT(J114,"mmm-yy")</f>
        <v>Sep-17</v>
      </c>
      <c r="N114" s="397" t="s">
        <v>937</v>
      </c>
      <c r="O114" s="418" t="s">
        <v>733</v>
      </c>
      <c r="P114" s="538">
        <v>10810.68</v>
      </c>
      <c r="Q114" s="418">
        <v>3518.7182857142861</v>
      </c>
      <c r="R114" s="538">
        <f>SUM(P114:Q114)</f>
        <v>14329.398285714287</v>
      </c>
      <c r="S114" s="494">
        <f>R114*1.1</f>
        <v>15762.338114285718</v>
      </c>
      <c r="T114" s="544">
        <v>10142.709999999999</v>
      </c>
      <c r="U114" s="544"/>
      <c r="V114" s="389">
        <f>SUM(T114:U114)</f>
        <v>10142.709999999999</v>
      </c>
      <c r="W114" s="388">
        <f>R114-V114</f>
        <v>4186.6882857142882</v>
      </c>
      <c r="X114" s="390">
        <f>W114/R114</f>
        <v>0.29217474469170229</v>
      </c>
      <c r="Y114" s="608" t="s">
        <v>199</v>
      </c>
      <c r="Z114" s="536">
        <f>F114+14</f>
        <v>42950</v>
      </c>
      <c r="AA114" s="383" t="s">
        <v>200</v>
      </c>
      <c r="AB114" s="393" t="s">
        <v>757</v>
      </c>
      <c r="AC114" s="392">
        <v>42801</v>
      </c>
      <c r="AD114" s="392">
        <v>42817</v>
      </c>
      <c r="AE114" s="394">
        <f>AD114-AC114</f>
        <v>16</v>
      </c>
      <c r="AF114" s="384">
        <v>42816</v>
      </c>
      <c r="AG114" s="395">
        <f>AF114-AD114</f>
        <v>-1</v>
      </c>
      <c r="AJ114" s="553"/>
      <c r="AK114" s="704"/>
      <c r="AL114" s="704"/>
      <c r="AM114" s="704"/>
      <c r="AN114" s="704"/>
      <c r="AQ114" s="704"/>
    </row>
    <row r="115" spans="1:43" s="218" customFormat="1" ht="14.35" customHeight="1">
      <c r="A115" s="586" t="s">
        <v>714</v>
      </c>
      <c r="B115" s="545" t="s">
        <v>190</v>
      </c>
      <c r="C115" s="386" t="s">
        <v>2289</v>
      </c>
      <c r="D115" s="386">
        <v>43161</v>
      </c>
      <c r="E115" s="392">
        <v>43115</v>
      </c>
      <c r="F115" s="392">
        <v>43115</v>
      </c>
      <c r="G115" s="576">
        <v>43116</v>
      </c>
      <c r="H115" s="669">
        <v>43150</v>
      </c>
      <c r="I115" s="577">
        <v>43152</v>
      </c>
      <c r="J115" s="576">
        <v>43165</v>
      </c>
      <c r="K115" s="386"/>
      <c r="L115" s="392" t="str">
        <f>TEXT(F115,"mmm-yy")</f>
        <v>Jan-18</v>
      </c>
      <c r="M115" s="392" t="str">
        <f>TEXT(J115,"mmm-yy")</f>
        <v>Mar-18</v>
      </c>
      <c r="N115" s="397" t="s">
        <v>1007</v>
      </c>
      <c r="O115" s="418" t="s">
        <v>1008</v>
      </c>
      <c r="P115" s="538">
        <v>751.67</v>
      </c>
      <c r="Q115" s="418">
        <v>16052.96</v>
      </c>
      <c r="R115" s="538">
        <f>SUM(P115:Q115)</f>
        <v>16804.629999999997</v>
      </c>
      <c r="S115" s="494">
        <f>R115*1.1</f>
        <v>18485.092999999997</v>
      </c>
      <c r="T115" s="544">
        <v>8499.5</v>
      </c>
      <c r="U115" s="544"/>
      <c r="V115" s="389">
        <f>SUM(T115:U115)</f>
        <v>8499.5</v>
      </c>
      <c r="W115" s="388">
        <f>R115-V115</f>
        <v>8305.1299999999974</v>
      </c>
      <c r="X115" s="390">
        <f>W115/R115</f>
        <v>0.49421677240141548</v>
      </c>
      <c r="Y115" s="608" t="s">
        <v>199</v>
      </c>
      <c r="Z115" s="536">
        <f>F115+14</f>
        <v>43129</v>
      </c>
      <c r="AA115" s="383" t="s">
        <v>200</v>
      </c>
      <c r="AB115" s="393" t="s">
        <v>223</v>
      </c>
      <c r="AC115" s="392" t="s">
        <v>752</v>
      </c>
      <c r="AD115" s="392">
        <v>42957</v>
      </c>
      <c r="AE115" s="550"/>
      <c r="AF115" s="392"/>
      <c r="AG115" s="546"/>
      <c r="AJ115" s="553"/>
      <c r="AK115"/>
      <c r="AL115" s="704"/>
      <c r="AM115" s="704"/>
      <c r="AN115" s="704"/>
      <c r="AQ115" s="704"/>
    </row>
    <row r="116" spans="1:43" s="218" customFormat="1" ht="14.35" customHeight="1">
      <c r="A116" s="586" t="s">
        <v>714</v>
      </c>
      <c r="B116" s="545" t="s">
        <v>190</v>
      </c>
      <c r="C116" s="386">
        <v>13115</v>
      </c>
      <c r="D116" s="386">
        <v>43119</v>
      </c>
      <c r="E116" s="392">
        <v>43084</v>
      </c>
      <c r="F116" s="392">
        <v>43087</v>
      </c>
      <c r="G116" s="603">
        <v>43090</v>
      </c>
      <c r="H116" s="753">
        <v>42737</v>
      </c>
      <c r="I116" s="576">
        <v>43103</v>
      </c>
      <c r="J116" s="576">
        <v>43125</v>
      </c>
      <c r="K116" s="386"/>
      <c r="L116" s="392" t="str">
        <f>TEXT(F116,"mmm-yy")</f>
        <v>Dec-17</v>
      </c>
      <c r="M116" s="392" t="str">
        <f>TEXT(J116,"mmm-yy")</f>
        <v>Jan-18</v>
      </c>
      <c r="N116" s="397" t="s">
        <v>1020</v>
      </c>
      <c r="O116" s="418" t="s">
        <v>1019</v>
      </c>
      <c r="P116" s="538">
        <v>875.4</v>
      </c>
      <c r="Q116" s="418">
        <v>1139.2</v>
      </c>
      <c r="R116" s="538">
        <f>SUM(P116:Q116)</f>
        <v>2014.6</v>
      </c>
      <c r="S116" s="494">
        <f>R116*1.1</f>
        <v>2216.06</v>
      </c>
      <c r="T116" s="544">
        <v>1523.39</v>
      </c>
      <c r="U116" s="544"/>
      <c r="V116" s="389">
        <f>SUM(T116:U116)</f>
        <v>1523.39</v>
      </c>
      <c r="W116" s="388">
        <f>R116-V116</f>
        <v>491.20999999999981</v>
      </c>
      <c r="X116" s="390">
        <f>W116/R116</f>
        <v>0.24382507693834995</v>
      </c>
      <c r="Y116" s="608" t="s">
        <v>199</v>
      </c>
      <c r="Z116" s="536">
        <f>F116+14</f>
        <v>43101</v>
      </c>
      <c r="AA116" s="383" t="s">
        <v>200</v>
      </c>
      <c r="AB116" s="393" t="s">
        <v>210</v>
      </c>
      <c r="AC116" s="392" t="s">
        <v>752</v>
      </c>
      <c r="AD116" s="392">
        <v>42962</v>
      </c>
      <c r="AE116" s="550"/>
      <c r="AF116" s="392"/>
      <c r="AG116" s="546"/>
      <c r="AJ116" s="553"/>
      <c r="AK116" s="704"/>
      <c r="AL116" s="704"/>
      <c r="AM116" s="704"/>
      <c r="AN116" s="704"/>
      <c r="AQ116" s="704"/>
    </row>
    <row r="117" spans="1:43" s="218" customFormat="1" ht="14.35" customHeight="1">
      <c r="A117" s="586" t="s">
        <v>715</v>
      </c>
      <c r="B117" s="545" t="s">
        <v>227</v>
      </c>
      <c r="C117" s="386" t="s">
        <v>1638</v>
      </c>
      <c r="D117" s="386">
        <v>43068</v>
      </c>
      <c r="E117" s="392">
        <v>42974</v>
      </c>
      <c r="F117" s="392">
        <v>42974</v>
      </c>
      <c r="G117" s="750"/>
      <c r="H117" s="751"/>
      <c r="I117" s="601">
        <f>F117+14</f>
        <v>42988</v>
      </c>
      <c r="J117" s="576">
        <v>43069</v>
      </c>
      <c r="K117" s="386"/>
      <c r="L117" s="392" t="str">
        <f>TEXT(F117,"mmm-yy")</f>
        <v>Aug-17</v>
      </c>
      <c r="M117" s="392" t="str">
        <f>TEXT(J117,"mmm-yy")</f>
        <v>Nov-17</v>
      </c>
      <c r="N117" s="397" t="s">
        <v>2676</v>
      </c>
      <c r="O117" s="418" t="s">
        <v>406</v>
      </c>
      <c r="P117" s="538">
        <v>1905.5</v>
      </c>
      <c r="Q117" s="684"/>
      <c r="R117" s="538">
        <f>SUM(P117:Q117)</f>
        <v>1905.5</v>
      </c>
      <c r="S117" s="494">
        <f>R117*1.1</f>
        <v>2096.0500000000002</v>
      </c>
      <c r="T117" s="544"/>
      <c r="U117" s="544"/>
      <c r="V117" s="389">
        <f>SUM(T117:U117)</f>
        <v>0</v>
      </c>
      <c r="W117" s="388">
        <f>R117-V117</f>
        <v>1905.5</v>
      </c>
      <c r="X117" s="390">
        <f>W117/R117</f>
        <v>1</v>
      </c>
      <c r="Y117" s="608" t="s">
        <v>199</v>
      </c>
      <c r="Z117" s="536">
        <f>F117+14</f>
        <v>42988</v>
      </c>
      <c r="AA117" s="383" t="s">
        <v>200</v>
      </c>
      <c r="AB117" s="393" t="s">
        <v>220</v>
      </c>
      <c r="AC117" s="392">
        <v>42933</v>
      </c>
      <c r="AD117" s="392">
        <v>42961</v>
      </c>
      <c r="AE117" s="550">
        <f>AD117-AC117</f>
        <v>28</v>
      </c>
      <c r="AF117" s="392">
        <v>42977</v>
      </c>
      <c r="AG117" s="546">
        <f>AF117-AD117</f>
        <v>16</v>
      </c>
      <c r="AJ117" s="553"/>
      <c r="AK117"/>
      <c r="AL117" s="704"/>
      <c r="AM117" s="704"/>
      <c r="AN117" s="704"/>
      <c r="AQ117" s="704"/>
    </row>
    <row r="118" spans="1:43" s="218" customFormat="1" ht="14.35" customHeight="1">
      <c r="A118" s="586" t="s">
        <v>715</v>
      </c>
      <c r="B118" s="545" t="s">
        <v>190</v>
      </c>
      <c r="C118" s="386" t="s">
        <v>1346</v>
      </c>
      <c r="D118" s="386">
        <v>43052</v>
      </c>
      <c r="E118" s="392">
        <v>42993</v>
      </c>
      <c r="F118" s="392">
        <v>42993</v>
      </c>
      <c r="G118" s="661">
        <v>43005</v>
      </c>
      <c r="H118" s="661">
        <v>43011</v>
      </c>
      <c r="I118" s="603">
        <v>43005</v>
      </c>
      <c r="J118" s="577">
        <v>43055</v>
      </c>
      <c r="K118" s="386"/>
      <c r="L118" s="392" t="str">
        <f>TEXT(F118,"mmm-yy")</f>
        <v>Sep-17</v>
      </c>
      <c r="M118" s="392" t="str">
        <f>TEXT(J118,"mmm-yy")</f>
        <v>Nov-17</v>
      </c>
      <c r="N118" s="397" t="s">
        <v>1029</v>
      </c>
      <c r="O118" s="418" t="s">
        <v>458</v>
      </c>
      <c r="P118" s="538">
        <v>17870.099999999999</v>
      </c>
      <c r="Q118" s="418">
        <v>-184.09</v>
      </c>
      <c r="R118" s="538">
        <f>SUM(P118:Q118)</f>
        <v>17686.009999999998</v>
      </c>
      <c r="S118" s="494">
        <f>R118*1.1</f>
        <v>19454.611000000001</v>
      </c>
      <c r="T118" s="544">
        <v>4410.54</v>
      </c>
      <c r="U118" s="544"/>
      <c r="V118" s="389">
        <f>SUM(T118:U118)</f>
        <v>4410.54</v>
      </c>
      <c r="W118" s="388">
        <f>R118-V118</f>
        <v>13275.469999999998</v>
      </c>
      <c r="X118" s="390">
        <f>W118/R118</f>
        <v>0.7506198402013794</v>
      </c>
      <c r="Y118" s="608" t="s">
        <v>199</v>
      </c>
      <c r="Z118" s="536">
        <f>F118+14</f>
        <v>43007</v>
      </c>
      <c r="AA118" s="383" t="s">
        <v>200</v>
      </c>
      <c r="AB118" s="393" t="s">
        <v>210</v>
      </c>
      <c r="AC118" s="392">
        <v>42956</v>
      </c>
      <c r="AD118" s="392">
        <v>42964</v>
      </c>
      <c r="AE118" s="550">
        <f>AD118-AC118</f>
        <v>8</v>
      </c>
      <c r="AF118" s="392"/>
      <c r="AG118" s="546"/>
      <c r="AJ118" s="553"/>
      <c r="AK118"/>
      <c r="AL118" s="704"/>
      <c r="AM118" s="704"/>
      <c r="AN118" s="704"/>
      <c r="AQ118" s="704"/>
    </row>
    <row r="119" spans="1:43" s="218" customFormat="1" ht="14.35" customHeight="1">
      <c r="A119" s="586" t="s">
        <v>715</v>
      </c>
      <c r="B119" s="545" t="s">
        <v>190</v>
      </c>
      <c r="C119" s="386" t="s">
        <v>1261</v>
      </c>
      <c r="D119" s="386">
        <v>43019</v>
      </c>
      <c r="E119" s="392">
        <v>42992</v>
      </c>
      <c r="F119" s="392">
        <v>42992</v>
      </c>
      <c r="G119" s="750"/>
      <c r="H119" s="751"/>
      <c r="I119" s="603">
        <v>43004</v>
      </c>
      <c r="J119" s="577">
        <v>43025</v>
      </c>
      <c r="K119" s="386"/>
      <c r="L119" s="392" t="str">
        <f>TEXT(F119,"mmm-yy")</f>
        <v>Sep-17</v>
      </c>
      <c r="M119" s="392" t="str">
        <f>TEXT(J119,"mmm-yy")</f>
        <v>Oct-17</v>
      </c>
      <c r="N119" s="397" t="s">
        <v>1034</v>
      </c>
      <c r="O119" s="418" t="s">
        <v>491</v>
      </c>
      <c r="P119" s="538">
        <v>8291.4699999999993</v>
      </c>
      <c r="Q119" s="684"/>
      <c r="R119" s="538">
        <f>SUM(P119:Q119)</f>
        <v>8291.4699999999993</v>
      </c>
      <c r="S119" s="494">
        <f>R119*1.1</f>
        <v>9120.6170000000002</v>
      </c>
      <c r="T119" s="544">
        <v>4155.96</v>
      </c>
      <c r="U119" s="544"/>
      <c r="V119" s="389">
        <f>SUM(T119:U119)</f>
        <v>4155.96</v>
      </c>
      <c r="W119" s="388">
        <f>R119-V119</f>
        <v>4135.5099999999993</v>
      </c>
      <c r="X119" s="390">
        <f>W119/R119</f>
        <v>0.49876680492120212</v>
      </c>
      <c r="Y119" s="608" t="s">
        <v>199</v>
      </c>
      <c r="Z119" s="536">
        <f>F119+14</f>
        <v>43006</v>
      </c>
      <c r="AA119" s="383" t="s">
        <v>200</v>
      </c>
      <c r="AB119" s="393" t="s">
        <v>868</v>
      </c>
      <c r="AC119" s="392">
        <v>42976</v>
      </c>
      <c r="AD119" s="392">
        <v>42976</v>
      </c>
      <c r="AE119" s="550"/>
      <c r="AF119" s="392">
        <v>43026</v>
      </c>
      <c r="AG119" s="546"/>
      <c r="AJ119" s="553"/>
      <c r="AK119"/>
      <c r="AL119" s="704"/>
      <c r="AM119" s="704"/>
      <c r="AN119" s="704"/>
      <c r="AQ119" s="704"/>
    </row>
    <row r="120" spans="1:43" s="218" customFormat="1" ht="14.35" customHeight="1">
      <c r="A120" s="586" t="s">
        <v>715</v>
      </c>
      <c r="B120" s="545" t="s">
        <v>227</v>
      </c>
      <c r="C120" s="386" t="s">
        <v>1152</v>
      </c>
      <c r="D120" s="386">
        <v>42993</v>
      </c>
      <c r="E120" s="392">
        <v>42941</v>
      </c>
      <c r="F120" s="536">
        <v>42941</v>
      </c>
      <c r="G120" s="750"/>
      <c r="H120" s="751"/>
      <c r="I120" s="576">
        <v>42985</v>
      </c>
      <c r="J120" s="576">
        <f>I120+14</f>
        <v>42999</v>
      </c>
      <c r="K120" s="386"/>
      <c r="L120" s="392" t="str">
        <f>TEXT(F120,"mmm-yy")</f>
        <v>Jul-17</v>
      </c>
      <c r="M120" s="392" t="str">
        <f>TEXT(J120,"mmm-yy")</f>
        <v>Sep-17</v>
      </c>
      <c r="N120" s="397" t="s">
        <v>1038</v>
      </c>
      <c r="O120" s="418" t="s">
        <v>1039</v>
      </c>
      <c r="P120" s="538">
        <v>1365</v>
      </c>
      <c r="Q120" s="684"/>
      <c r="R120" s="538">
        <f>SUM(P120:Q120)</f>
        <v>1365</v>
      </c>
      <c r="S120" s="494">
        <f>R120*1.1</f>
        <v>1501.5000000000002</v>
      </c>
      <c r="T120" s="544"/>
      <c r="U120" s="544"/>
      <c r="V120" s="389">
        <f>SUM(T120:U120)</f>
        <v>0</v>
      </c>
      <c r="W120" s="388">
        <f>R120-V120</f>
        <v>1365</v>
      </c>
      <c r="X120" s="390">
        <f>W120/R120</f>
        <v>1</v>
      </c>
      <c r="Y120" s="608" t="s">
        <v>199</v>
      </c>
      <c r="Z120" s="536">
        <f>F120+14</f>
        <v>42955</v>
      </c>
      <c r="AA120" s="383" t="s">
        <v>200</v>
      </c>
      <c r="AB120" s="393" t="s">
        <v>220</v>
      </c>
      <c r="AC120" s="392">
        <v>42899</v>
      </c>
      <c r="AD120" s="392">
        <v>42933</v>
      </c>
      <c r="AE120" s="550">
        <f>AD120-AC120</f>
        <v>34</v>
      </c>
      <c r="AF120" s="392">
        <v>42899</v>
      </c>
      <c r="AG120" s="546">
        <f>AF120-AD120</f>
        <v>-34</v>
      </c>
      <c r="AJ120" s="553"/>
      <c r="AK120"/>
      <c r="AL120" s="704"/>
      <c r="AM120" s="704"/>
      <c r="AN120" s="704"/>
      <c r="AQ120" s="704"/>
    </row>
    <row r="121" spans="1:43" s="218" customFormat="1" ht="14.35" customHeight="1">
      <c r="A121" s="586" t="s">
        <v>715</v>
      </c>
      <c r="B121" s="545" t="s">
        <v>722</v>
      </c>
      <c r="C121" s="386" t="s">
        <v>1235</v>
      </c>
      <c r="D121" s="386">
        <v>43018</v>
      </c>
      <c r="E121" s="392">
        <v>42952</v>
      </c>
      <c r="F121" s="536">
        <v>42954</v>
      </c>
      <c r="G121" s="634">
        <v>42954</v>
      </c>
      <c r="H121" s="634">
        <v>42978</v>
      </c>
      <c r="I121" s="577">
        <v>42993</v>
      </c>
      <c r="J121" s="577">
        <v>43018</v>
      </c>
      <c r="K121" s="397"/>
      <c r="L121" s="392" t="str">
        <f>TEXT(F121,"mmm-yy")</f>
        <v>Aug-17</v>
      </c>
      <c r="M121" s="392" t="str">
        <f>TEXT(J121,"mmm-yy")</f>
        <v>Oct-17</v>
      </c>
      <c r="N121" s="397" t="s">
        <v>1048</v>
      </c>
      <c r="O121" s="445" t="s">
        <v>1049</v>
      </c>
      <c r="P121" s="538">
        <v>10398.84</v>
      </c>
      <c r="Q121" s="418">
        <v>13152.88</v>
      </c>
      <c r="R121" s="538">
        <f>SUM(P121:Q121)</f>
        <v>23551.72</v>
      </c>
      <c r="S121" s="494">
        <f>R121*1.1</f>
        <v>25906.892000000003</v>
      </c>
      <c r="T121" s="544">
        <v>10667.8</v>
      </c>
      <c r="U121" s="544"/>
      <c r="V121" s="389">
        <f>SUM(T121:U121)</f>
        <v>10667.8</v>
      </c>
      <c r="W121" s="388">
        <f>R121-V121</f>
        <v>12883.920000000002</v>
      </c>
      <c r="X121" s="390">
        <f>W121/R121</f>
        <v>0.54704794384444111</v>
      </c>
      <c r="Y121" s="608" t="s">
        <v>199</v>
      </c>
      <c r="Z121" s="536">
        <f>F121+14</f>
        <v>42968</v>
      </c>
      <c r="AA121" s="383" t="s">
        <v>200</v>
      </c>
      <c r="AB121" s="393" t="s">
        <v>959</v>
      </c>
      <c r="AC121" s="392">
        <v>42873</v>
      </c>
      <c r="AD121" s="392">
        <v>42881</v>
      </c>
      <c r="AE121" s="550">
        <f>AD121-AC121</f>
        <v>8</v>
      </c>
      <c r="AF121" s="392">
        <v>42881</v>
      </c>
      <c r="AG121" s="546">
        <f>AF121-AD121</f>
        <v>0</v>
      </c>
      <c r="AJ121" s="553"/>
      <c r="AK121"/>
      <c r="AL121" s="704"/>
      <c r="AM121" s="704"/>
      <c r="AN121" s="704"/>
      <c r="AQ121" s="704"/>
    </row>
    <row r="122" spans="1:43" s="218" customFormat="1" ht="14.35" customHeight="1">
      <c r="A122" s="586" t="s">
        <v>714</v>
      </c>
      <c r="B122" s="545" t="s">
        <v>190</v>
      </c>
      <c r="C122" s="386" t="s">
        <v>1616</v>
      </c>
      <c r="D122" s="386">
        <v>43056</v>
      </c>
      <c r="E122" s="392">
        <v>42978</v>
      </c>
      <c r="F122" s="536">
        <v>42978</v>
      </c>
      <c r="G122" s="636">
        <v>42983</v>
      </c>
      <c r="H122" s="636">
        <v>42991</v>
      </c>
      <c r="I122" s="576">
        <v>43040</v>
      </c>
      <c r="J122" s="603">
        <f>I122+14</f>
        <v>43054</v>
      </c>
      <c r="K122" s="386"/>
      <c r="L122" s="392" t="str">
        <f>TEXT(F122,"mmm-yy")</f>
        <v>Aug-17</v>
      </c>
      <c r="M122" s="392" t="str">
        <f>TEXT(J122,"mmm-yy")</f>
        <v>Nov-17</v>
      </c>
      <c r="N122" s="397" t="s">
        <v>1050</v>
      </c>
      <c r="O122" s="418" t="s">
        <v>458</v>
      </c>
      <c r="P122" s="538">
        <v>350.24</v>
      </c>
      <c r="Q122" s="418">
        <v>-95.96</v>
      </c>
      <c r="R122" s="538">
        <f>SUM(P122:Q122)</f>
        <v>254.28000000000003</v>
      </c>
      <c r="S122" s="494">
        <f>R122*1.1</f>
        <v>279.70800000000003</v>
      </c>
      <c r="T122" s="544"/>
      <c r="U122" s="544"/>
      <c r="V122" s="389">
        <f>SUM(T122:U122)</f>
        <v>0</v>
      </c>
      <c r="W122" s="388">
        <f>R122-V122</f>
        <v>254.28000000000003</v>
      </c>
      <c r="X122" s="390">
        <f>W122/R122</f>
        <v>1</v>
      </c>
      <c r="Y122" s="608" t="s">
        <v>199</v>
      </c>
      <c r="Z122" s="536">
        <f>F122+14</f>
        <v>42992</v>
      </c>
      <c r="AA122" s="383" t="s">
        <v>200</v>
      </c>
      <c r="AB122" s="393" t="s">
        <v>210</v>
      </c>
      <c r="AC122" s="392" t="s">
        <v>752</v>
      </c>
      <c r="AD122" s="392">
        <v>42902</v>
      </c>
      <c r="AE122" s="550"/>
      <c r="AF122" s="392">
        <v>42936</v>
      </c>
      <c r="AG122" s="546">
        <f>AF122-AD122</f>
        <v>34</v>
      </c>
      <c r="AJ122" s="553"/>
      <c r="AK122"/>
      <c r="AL122" s="704"/>
      <c r="AM122" s="704"/>
      <c r="AN122" s="704"/>
      <c r="AQ122" s="704"/>
    </row>
    <row r="123" spans="1:43" s="218" customFormat="1" ht="14.35" customHeight="1">
      <c r="A123" s="586" t="s">
        <v>714</v>
      </c>
      <c r="B123" s="545" t="s">
        <v>190</v>
      </c>
      <c r="C123" s="386" t="s">
        <v>1361</v>
      </c>
      <c r="D123" s="386">
        <v>43053</v>
      </c>
      <c r="E123" s="392">
        <v>42981</v>
      </c>
      <c r="F123" s="536">
        <v>42982</v>
      </c>
      <c r="G123" s="636">
        <v>42989</v>
      </c>
      <c r="H123" s="636">
        <v>42992</v>
      </c>
      <c r="I123" s="576">
        <v>43040</v>
      </c>
      <c r="J123" s="576">
        <v>43055</v>
      </c>
      <c r="K123" s="386"/>
      <c r="L123" s="392" t="str">
        <f>TEXT(F123,"mmm-yy")</f>
        <v>Sep-17</v>
      </c>
      <c r="M123" s="392" t="str">
        <f>TEXT(J123,"mmm-yy")</f>
        <v>Nov-17</v>
      </c>
      <c r="N123" s="397" t="s">
        <v>3133</v>
      </c>
      <c r="O123" s="418" t="s">
        <v>458</v>
      </c>
      <c r="P123" s="538">
        <v>12757.7</v>
      </c>
      <c r="Q123" s="418">
        <v>668.4</v>
      </c>
      <c r="R123" s="538">
        <f>SUM(P123:Q123)</f>
        <v>13426.1</v>
      </c>
      <c r="S123" s="494">
        <f>R123*1.1</f>
        <v>14768.710000000001</v>
      </c>
      <c r="T123" s="544">
        <v>10608.279999999999</v>
      </c>
      <c r="U123" s="544"/>
      <c r="V123" s="389">
        <f>SUM(T123:U123)</f>
        <v>10608.279999999999</v>
      </c>
      <c r="W123" s="388">
        <f>R123-V123</f>
        <v>2817.8200000000015</v>
      </c>
      <c r="X123" s="390">
        <f>W123/R123</f>
        <v>0.2098762857419505</v>
      </c>
      <c r="Y123" s="608" t="s">
        <v>199</v>
      </c>
      <c r="Z123" s="536">
        <f>F123+14</f>
        <v>42996</v>
      </c>
      <c r="AA123" s="383" t="s">
        <v>200</v>
      </c>
      <c r="AB123" s="393" t="s">
        <v>210</v>
      </c>
      <c r="AC123" s="392" t="s">
        <v>752</v>
      </c>
      <c r="AD123" s="392">
        <v>42969</v>
      </c>
      <c r="AE123" s="550"/>
      <c r="AF123" s="392">
        <v>42978</v>
      </c>
      <c r="AG123" s="546">
        <f>AF123-AD123</f>
        <v>9</v>
      </c>
      <c r="AJ123" s="553"/>
      <c r="AK123" s="704"/>
      <c r="AL123" s="704"/>
      <c r="AM123" s="704"/>
      <c r="AN123" s="704"/>
      <c r="AQ123" s="704"/>
    </row>
    <row r="124" spans="1:43" s="218" customFormat="1" ht="14.35" customHeight="1">
      <c r="A124" s="586" t="s">
        <v>715</v>
      </c>
      <c r="B124" s="545" t="s">
        <v>722</v>
      </c>
      <c r="C124" s="386" t="s">
        <v>1837</v>
      </c>
      <c r="D124" s="386">
        <v>43123</v>
      </c>
      <c r="E124" s="392">
        <v>43084</v>
      </c>
      <c r="F124" s="392">
        <v>43087</v>
      </c>
      <c r="G124" s="576">
        <v>43090</v>
      </c>
      <c r="H124" s="669">
        <v>43110</v>
      </c>
      <c r="I124" s="576">
        <v>43109</v>
      </c>
      <c r="J124" s="603">
        <f>I124+14</f>
        <v>43123</v>
      </c>
      <c r="K124" s="386"/>
      <c r="L124" s="392" t="str">
        <f>TEXT(F124,"mmm-yy")</f>
        <v>Dec-17</v>
      </c>
      <c r="M124" s="392" t="str">
        <f>TEXT(J124,"mmm-yy")</f>
        <v>Jan-18</v>
      </c>
      <c r="N124" s="397" t="s">
        <v>2442</v>
      </c>
      <c r="O124" s="418" t="s">
        <v>1081</v>
      </c>
      <c r="P124" s="538">
        <v>6352.19</v>
      </c>
      <c r="Q124" s="418">
        <v>5603.16</v>
      </c>
      <c r="R124" s="538">
        <f>SUM(P124:Q124)</f>
        <v>11955.349999999999</v>
      </c>
      <c r="S124" s="494">
        <f>R124*1.1</f>
        <v>13150.885</v>
      </c>
      <c r="T124" s="544">
        <v>4349.75</v>
      </c>
      <c r="U124" s="544"/>
      <c r="V124" s="389">
        <f>SUM(T124:U124)</f>
        <v>4349.75</v>
      </c>
      <c r="W124" s="388">
        <f>R124-V124</f>
        <v>7605.5999999999985</v>
      </c>
      <c r="X124" s="390">
        <f>W124/R124</f>
        <v>0.63616707164574848</v>
      </c>
      <c r="Y124" s="608" t="s">
        <v>199</v>
      </c>
      <c r="Z124" s="536">
        <f>F124+14</f>
        <v>43101</v>
      </c>
      <c r="AA124" s="383" t="s">
        <v>200</v>
      </c>
      <c r="AB124" s="393" t="s">
        <v>727</v>
      </c>
      <c r="AC124" s="392">
        <v>42933</v>
      </c>
      <c r="AD124" s="392"/>
      <c r="AE124" s="550"/>
      <c r="AF124" s="392">
        <v>43040</v>
      </c>
      <c r="AG124" s="546"/>
      <c r="AJ124" s="553"/>
      <c r="AK124"/>
      <c r="AL124" s="704"/>
      <c r="AM124" s="704"/>
      <c r="AN124" s="704"/>
      <c r="AQ124" s="704"/>
    </row>
    <row r="125" spans="1:43" s="218" customFormat="1" ht="14.35" customHeight="1">
      <c r="A125" s="586" t="s">
        <v>715</v>
      </c>
      <c r="B125" s="545" t="s">
        <v>722</v>
      </c>
      <c r="C125" s="386" t="s">
        <v>1812</v>
      </c>
      <c r="D125" s="386">
        <v>43110</v>
      </c>
      <c r="E125" s="392">
        <v>43038</v>
      </c>
      <c r="F125" s="392">
        <v>43039</v>
      </c>
      <c r="G125" s="601">
        <v>43065</v>
      </c>
      <c r="H125" s="752">
        <v>43082</v>
      </c>
      <c r="I125" s="576">
        <v>43429</v>
      </c>
      <c r="J125" s="576">
        <v>43116</v>
      </c>
      <c r="K125" s="386"/>
      <c r="L125" s="392" t="str">
        <f>TEXT(F125,"mmm-yy")</f>
        <v>Oct-17</v>
      </c>
      <c r="M125" s="392" t="str">
        <f>TEXT(J125,"mmm-yy")</f>
        <v>Jan-18</v>
      </c>
      <c r="N125" s="397" t="s">
        <v>1082</v>
      </c>
      <c r="O125" s="418" t="s">
        <v>208</v>
      </c>
      <c r="P125" s="538">
        <v>5449.38</v>
      </c>
      <c r="Q125" s="418">
        <v>785.90892857142853</v>
      </c>
      <c r="R125" s="538">
        <f>SUM(P125:Q125)</f>
        <v>6235.2889285714282</v>
      </c>
      <c r="S125" s="494">
        <f>R125*1.1</f>
        <v>6858.8178214285717</v>
      </c>
      <c r="T125" s="544"/>
      <c r="U125" s="544"/>
      <c r="V125" s="389">
        <f>SUM(T125:U125)</f>
        <v>0</v>
      </c>
      <c r="W125" s="388">
        <f>R125-V125</f>
        <v>6235.2889285714282</v>
      </c>
      <c r="X125" s="390">
        <f>W125/R125</f>
        <v>1</v>
      </c>
      <c r="Y125" s="608" t="s">
        <v>199</v>
      </c>
      <c r="Z125" s="536">
        <f>F125+14</f>
        <v>43053</v>
      </c>
      <c r="AA125" s="383" t="s">
        <v>200</v>
      </c>
      <c r="AB125" s="393" t="s">
        <v>517</v>
      </c>
      <c r="AC125" s="392">
        <v>42958</v>
      </c>
      <c r="AD125" s="392">
        <v>43021</v>
      </c>
      <c r="AE125" s="550">
        <f>AD125-AC125</f>
        <v>63</v>
      </c>
      <c r="AF125" s="392">
        <v>43021</v>
      </c>
      <c r="AG125" s="546">
        <f>AF125-AD125</f>
        <v>0</v>
      </c>
      <c r="AJ125" s="553"/>
      <c r="AK125"/>
      <c r="AL125" s="704"/>
      <c r="AM125" s="704"/>
      <c r="AN125" s="704"/>
      <c r="AQ125" s="704"/>
    </row>
    <row r="126" spans="1:43" s="218" customFormat="1" ht="14.35" customHeight="1">
      <c r="A126" s="586" t="s">
        <v>714</v>
      </c>
      <c r="B126" s="545" t="s">
        <v>722</v>
      </c>
      <c r="C126" s="386" t="s">
        <v>1611</v>
      </c>
      <c r="D126" s="386">
        <v>43055</v>
      </c>
      <c r="E126" s="392">
        <v>42990</v>
      </c>
      <c r="F126" s="392">
        <v>42990</v>
      </c>
      <c r="G126" s="658">
        <v>43012</v>
      </c>
      <c r="H126" s="658">
        <v>43033</v>
      </c>
      <c r="I126" s="603">
        <f>F126+14</f>
        <v>43004</v>
      </c>
      <c r="J126" s="576">
        <v>43060</v>
      </c>
      <c r="K126" s="386"/>
      <c r="L126" s="392" t="str">
        <f>TEXT(F126,"mmm-yy")</f>
        <v>Sep-17</v>
      </c>
      <c r="M126" s="392" t="str">
        <f>TEXT(J126,"mmm-yy")</f>
        <v>Nov-17</v>
      </c>
      <c r="N126" s="397" t="s">
        <v>2476</v>
      </c>
      <c r="O126" s="418" t="s">
        <v>208</v>
      </c>
      <c r="P126" s="538">
        <v>1143.67</v>
      </c>
      <c r="Q126" s="418">
        <v>27049.75</v>
      </c>
      <c r="R126" s="538">
        <f>SUM(P126:Q126)</f>
        <v>28193.42</v>
      </c>
      <c r="S126" s="494">
        <f>R126*1.1</f>
        <v>31012.761999999999</v>
      </c>
      <c r="T126" s="544">
        <v>11125.84</v>
      </c>
      <c r="U126" s="544"/>
      <c r="V126" s="389">
        <f>SUM(T126:U126)</f>
        <v>11125.84</v>
      </c>
      <c r="W126" s="388">
        <f>R126-V126</f>
        <v>17067.579999999998</v>
      </c>
      <c r="X126" s="390">
        <f>W126/R126</f>
        <v>0.60537458740372752</v>
      </c>
      <c r="Y126" s="608" t="s">
        <v>199</v>
      </c>
      <c r="Z126" s="536">
        <f>F126+14</f>
        <v>43004</v>
      </c>
      <c r="AA126" s="383" t="s">
        <v>200</v>
      </c>
      <c r="AB126" s="393" t="s">
        <v>868</v>
      </c>
      <c r="AC126" s="392" t="s">
        <v>752</v>
      </c>
      <c r="AD126" s="392">
        <v>42983</v>
      </c>
      <c r="AE126" s="550"/>
      <c r="AF126" s="392">
        <v>42993</v>
      </c>
      <c r="AG126" s="546">
        <f>AF126-AD126</f>
        <v>10</v>
      </c>
      <c r="AJ126" s="553"/>
      <c r="AL126" s="704"/>
      <c r="AM126" s="704"/>
      <c r="AN126" s="704"/>
      <c r="AQ126" s="704"/>
    </row>
    <row r="127" spans="1:43" s="218" customFormat="1" ht="14.35" customHeight="1">
      <c r="A127" s="586" t="s">
        <v>714</v>
      </c>
      <c r="B127" s="545" t="s">
        <v>190</v>
      </c>
      <c r="C127" s="386" t="s">
        <v>1623</v>
      </c>
      <c r="D127" s="386">
        <v>43068</v>
      </c>
      <c r="E127" s="392">
        <v>43024</v>
      </c>
      <c r="F127" s="392">
        <v>43024</v>
      </c>
      <c r="G127" s="576">
        <v>43025</v>
      </c>
      <c r="H127" s="669">
        <v>43056</v>
      </c>
      <c r="I127" s="667">
        <v>43040</v>
      </c>
      <c r="J127" s="576">
        <v>43074</v>
      </c>
      <c r="K127" s="386"/>
      <c r="L127" s="392" t="str">
        <f>TEXT(F127,"mmm-yy")</f>
        <v>Oct-17</v>
      </c>
      <c r="M127" s="392" t="str">
        <f>TEXT(J127,"mmm-yy")</f>
        <v>Dec-17</v>
      </c>
      <c r="N127" s="397" t="s">
        <v>1095</v>
      </c>
      <c r="O127" s="418" t="s">
        <v>491</v>
      </c>
      <c r="P127" s="538">
        <v>1627.43</v>
      </c>
      <c r="Q127" s="418">
        <v>5149.76</v>
      </c>
      <c r="R127" s="538">
        <f>SUM(P127:Q127)</f>
        <v>6777.1900000000005</v>
      </c>
      <c r="S127" s="494">
        <f>R127*1.1</f>
        <v>7454.9090000000015</v>
      </c>
      <c r="T127" s="544">
        <v>4549.53</v>
      </c>
      <c r="U127" s="544"/>
      <c r="V127" s="389">
        <f>SUM(T127:U127)</f>
        <v>4549.53</v>
      </c>
      <c r="W127" s="388">
        <f>R127-V127</f>
        <v>2227.6600000000008</v>
      </c>
      <c r="X127" s="390">
        <f>W127/R127</f>
        <v>0.32869965280595653</v>
      </c>
      <c r="Y127" s="608" t="s">
        <v>199</v>
      </c>
      <c r="Z127" s="536">
        <f>F127+14</f>
        <v>43038</v>
      </c>
      <c r="AA127" s="383" t="s">
        <v>200</v>
      </c>
      <c r="AB127" s="393" t="s">
        <v>868</v>
      </c>
      <c r="AC127" s="392" t="s">
        <v>752</v>
      </c>
      <c r="AD127" s="392">
        <v>42983</v>
      </c>
      <c r="AE127" s="550"/>
      <c r="AF127" s="392">
        <v>43007</v>
      </c>
      <c r="AG127" s="546">
        <f>AF127-AD127</f>
        <v>24</v>
      </c>
      <c r="AJ127" s="553"/>
      <c r="AL127" s="704"/>
      <c r="AM127" s="704"/>
      <c r="AN127" s="704"/>
      <c r="AQ127" s="704"/>
    </row>
    <row r="128" spans="1:43" s="218" customFormat="1" ht="14.35" customHeight="1">
      <c r="A128" s="586" t="s">
        <v>714</v>
      </c>
      <c r="B128" s="545" t="s">
        <v>190</v>
      </c>
      <c r="C128" s="386" t="s">
        <v>1349</v>
      </c>
      <c r="D128" s="386">
        <v>43052</v>
      </c>
      <c r="E128" s="392">
        <v>43014</v>
      </c>
      <c r="F128" s="392">
        <v>43014</v>
      </c>
      <c r="G128" s="756"/>
      <c r="H128" s="756"/>
      <c r="I128" s="576">
        <v>43033</v>
      </c>
      <c r="J128" s="576">
        <v>43055</v>
      </c>
      <c r="K128" s="386"/>
      <c r="L128" s="392" t="str">
        <f>TEXT(F128,"mmm-yy")</f>
        <v>Oct-17</v>
      </c>
      <c r="M128" s="392" t="str">
        <f>TEXT(J128,"mmm-yy")</f>
        <v>Nov-17</v>
      </c>
      <c r="N128" s="397" t="s">
        <v>1096</v>
      </c>
      <c r="O128" s="418" t="s">
        <v>1097</v>
      </c>
      <c r="P128" s="538">
        <v>980.54</v>
      </c>
      <c r="Q128" s="684"/>
      <c r="R128" s="538">
        <f>SUM(P128:Q128)</f>
        <v>980.54</v>
      </c>
      <c r="S128" s="494">
        <f>R128*1.1</f>
        <v>1078.5940000000001</v>
      </c>
      <c r="T128" s="544"/>
      <c r="U128" s="544"/>
      <c r="V128" s="389">
        <f>SUM(T128:U128)</f>
        <v>0</v>
      </c>
      <c r="W128" s="388">
        <f>R128-V128</f>
        <v>980.54</v>
      </c>
      <c r="X128" s="390">
        <f>W128/R128</f>
        <v>1</v>
      </c>
      <c r="Y128" s="608" t="s">
        <v>199</v>
      </c>
      <c r="Z128" s="536">
        <f>F128+14</f>
        <v>43028</v>
      </c>
      <c r="AA128" s="383" t="s">
        <v>200</v>
      </c>
      <c r="AB128" s="393" t="s">
        <v>959</v>
      </c>
      <c r="AC128" s="392" t="s">
        <v>752</v>
      </c>
      <c r="AD128" s="392">
        <v>42979</v>
      </c>
      <c r="AE128" s="550"/>
      <c r="AF128" s="392">
        <v>43000</v>
      </c>
      <c r="AG128" s="546">
        <f>AF128-AD128</f>
        <v>21</v>
      </c>
      <c r="AJ128" s="553"/>
      <c r="AL128" s="704"/>
      <c r="AM128" s="704"/>
      <c r="AN128" s="704"/>
      <c r="AQ128" s="704"/>
    </row>
    <row r="129" spans="1:43" s="218" customFormat="1" ht="14.35" customHeight="1">
      <c r="A129" s="545" t="s">
        <v>715</v>
      </c>
      <c r="B129" s="545" t="s">
        <v>190</v>
      </c>
      <c r="C129" s="386" t="s">
        <v>2457</v>
      </c>
      <c r="D129" s="386">
        <v>43186</v>
      </c>
      <c r="E129" s="392">
        <v>43167</v>
      </c>
      <c r="F129" s="392">
        <v>43167</v>
      </c>
      <c r="G129" s="603">
        <v>43168</v>
      </c>
      <c r="H129" s="753">
        <v>43173</v>
      </c>
      <c r="I129" s="603">
        <v>43180</v>
      </c>
      <c r="J129" s="603">
        <v>43186</v>
      </c>
      <c r="K129" s="386"/>
      <c r="L129" s="392" t="str">
        <f>TEXT(F129,"mmm-yy")</f>
        <v>Mar-18</v>
      </c>
      <c r="M129" s="392" t="str">
        <f>TEXT(J129,"mmm-yy")</f>
        <v>Mar-18</v>
      </c>
      <c r="N129" s="397" t="s">
        <v>2353</v>
      </c>
      <c r="O129" s="418" t="s">
        <v>2354</v>
      </c>
      <c r="P129" s="538">
        <v>741.95</v>
      </c>
      <c r="Q129" s="418">
        <v>7519.2900000000009</v>
      </c>
      <c r="R129" s="538">
        <f>SUM(P129:Q129)</f>
        <v>8261.2400000000016</v>
      </c>
      <c r="S129" s="494">
        <f>R129*1.1</f>
        <v>9087.3640000000032</v>
      </c>
      <c r="T129" s="544">
        <v>5244.89</v>
      </c>
      <c r="U129" s="544"/>
      <c r="V129" s="389">
        <f>SUM(T129:U129)</f>
        <v>5244.89</v>
      </c>
      <c r="W129" s="388">
        <f>R129-V129</f>
        <v>3016.3500000000013</v>
      </c>
      <c r="X129" s="589">
        <f>W129/R129</f>
        <v>0.36512073248083832</v>
      </c>
      <c r="Y129" s="608" t="s">
        <v>199</v>
      </c>
      <c r="Z129" s="536">
        <f>F129+14</f>
        <v>43181</v>
      </c>
      <c r="AA129" s="383" t="s">
        <v>200</v>
      </c>
      <c r="AB129" s="393" t="s">
        <v>201</v>
      </c>
      <c r="AC129" s="392">
        <v>43047</v>
      </c>
      <c r="AD129" s="392">
        <v>43054</v>
      </c>
      <c r="AE129" s="689">
        <f>AD129-AC129</f>
        <v>7</v>
      </c>
      <c r="AF129" s="392">
        <v>43084</v>
      </c>
      <c r="AG129" s="546">
        <f>AF129-AD129</f>
        <v>30</v>
      </c>
      <c r="AJ129" s="553"/>
      <c r="AL129" s="704"/>
      <c r="AM129" s="704"/>
      <c r="AN129" s="704"/>
      <c r="AQ129" s="704"/>
    </row>
    <row r="130" spans="1:43" s="218" customFormat="1" ht="14.35" customHeight="1">
      <c r="A130" s="586" t="s">
        <v>714</v>
      </c>
      <c r="B130" s="545" t="s">
        <v>190</v>
      </c>
      <c r="C130" s="386" t="s">
        <v>2280</v>
      </c>
      <c r="D130" s="386">
        <v>43160</v>
      </c>
      <c r="E130" s="392">
        <v>43123</v>
      </c>
      <c r="F130" s="392">
        <v>43124</v>
      </c>
      <c r="G130" s="740"/>
      <c r="H130" s="743"/>
      <c r="I130" s="603">
        <f>F130+14</f>
        <v>43138</v>
      </c>
      <c r="J130" s="576">
        <v>43160</v>
      </c>
      <c r="K130" s="386"/>
      <c r="L130" s="392" t="str">
        <f>TEXT(F130,"mmm-yy")</f>
        <v>Jan-18</v>
      </c>
      <c r="M130" s="392" t="str">
        <f>TEXT(J130,"mmm-yy")</f>
        <v>Mar-18</v>
      </c>
      <c r="N130" s="397" t="s">
        <v>1099</v>
      </c>
      <c r="O130" s="418" t="s">
        <v>675</v>
      </c>
      <c r="P130" s="538">
        <v>1680</v>
      </c>
      <c r="Q130" s="684"/>
      <c r="R130" s="538">
        <f>SUM(P130:Q130)</f>
        <v>1680</v>
      </c>
      <c r="S130" s="494">
        <f>R130*1.1</f>
        <v>1848.0000000000002</v>
      </c>
      <c r="T130" s="544"/>
      <c r="U130" s="544"/>
      <c r="V130" s="389">
        <f>SUM(T130:U130)</f>
        <v>0</v>
      </c>
      <c r="W130" s="388">
        <f>R130-V130</f>
        <v>1680</v>
      </c>
      <c r="X130" s="390">
        <f>W130/R130</f>
        <v>1</v>
      </c>
      <c r="Y130" s="608" t="s">
        <v>199</v>
      </c>
      <c r="Z130" s="536">
        <f>F130+14</f>
        <v>43138</v>
      </c>
      <c r="AA130" s="383" t="s">
        <v>200</v>
      </c>
      <c r="AB130" s="393" t="s">
        <v>727</v>
      </c>
      <c r="AC130" s="392" t="s">
        <v>752</v>
      </c>
      <c r="AD130" s="392">
        <v>42969</v>
      </c>
      <c r="AE130" s="550"/>
      <c r="AF130" s="392">
        <v>43019</v>
      </c>
      <c r="AG130" s="546">
        <f>AF130-AD130</f>
        <v>50</v>
      </c>
      <c r="AJ130" s="553"/>
      <c r="AL130" s="704"/>
      <c r="AM130" s="704"/>
      <c r="AN130" s="704"/>
      <c r="AQ130" s="704"/>
    </row>
    <row r="131" spans="1:43" s="218" customFormat="1" ht="14.35" customHeight="1">
      <c r="A131" s="586" t="s">
        <v>715</v>
      </c>
      <c r="B131" s="545" t="s">
        <v>190</v>
      </c>
      <c r="C131" s="541" t="s">
        <v>1154</v>
      </c>
      <c r="D131" s="386">
        <v>42996</v>
      </c>
      <c r="E131" s="536">
        <v>42956</v>
      </c>
      <c r="F131" s="536">
        <v>42956</v>
      </c>
      <c r="G131" s="755"/>
      <c r="H131" s="755"/>
      <c r="I131" s="577">
        <v>42985</v>
      </c>
      <c r="J131" s="577">
        <v>42999</v>
      </c>
      <c r="K131" s="536" t="s">
        <v>916</v>
      </c>
      <c r="L131" s="536" t="str">
        <f>TEXT(F131,"mmm-yy")</f>
        <v>Aug-17</v>
      </c>
      <c r="M131" s="392" t="str">
        <f>TEXT(J131,"mmm-yy")</f>
        <v>Sep-17</v>
      </c>
      <c r="N131" s="397" t="s">
        <v>1104</v>
      </c>
      <c r="O131" s="445" t="s">
        <v>675</v>
      </c>
      <c r="P131" s="538">
        <v>5825.12</v>
      </c>
      <c r="Q131" s="684"/>
      <c r="R131" s="538">
        <f>SUM(P131:Q131)</f>
        <v>5825.12</v>
      </c>
      <c r="S131" s="494">
        <f>R131*1.1</f>
        <v>6407.6320000000005</v>
      </c>
      <c r="T131" s="544"/>
      <c r="U131" s="544"/>
      <c r="V131" s="389">
        <f>SUM(T131:U131)</f>
        <v>0</v>
      </c>
      <c r="W131" s="388">
        <f>R131-V131</f>
        <v>5825.12</v>
      </c>
      <c r="X131" s="589">
        <f>W131/R131</f>
        <v>1</v>
      </c>
      <c r="Y131" s="608" t="s">
        <v>199</v>
      </c>
      <c r="Z131" s="536">
        <f>F131+14</f>
        <v>42970</v>
      </c>
      <c r="AA131" s="383" t="s">
        <v>200</v>
      </c>
      <c r="AB131" s="590" t="s">
        <v>727</v>
      </c>
      <c r="AC131" s="392">
        <v>42877</v>
      </c>
      <c r="AD131" s="392">
        <v>42900</v>
      </c>
      <c r="AE131" s="550"/>
      <c r="AF131" s="392">
        <v>42885</v>
      </c>
      <c r="AG131" s="546"/>
      <c r="AJ131" s="553"/>
      <c r="AL131" s="704"/>
      <c r="AM131" s="704"/>
      <c r="AN131" s="704"/>
      <c r="AQ131" s="704"/>
    </row>
    <row r="132" spans="1:43" s="218" customFormat="1" ht="14.35" customHeight="1">
      <c r="A132" s="586" t="s">
        <v>715</v>
      </c>
      <c r="B132" s="545" t="s">
        <v>724</v>
      </c>
      <c r="C132" s="386" t="s">
        <v>1608</v>
      </c>
      <c r="D132" s="386">
        <v>43055</v>
      </c>
      <c r="E132" s="392">
        <v>43004</v>
      </c>
      <c r="F132" s="392">
        <v>43004</v>
      </c>
      <c r="G132" s="755"/>
      <c r="H132" s="755"/>
      <c r="I132" s="576">
        <v>43021</v>
      </c>
      <c r="J132" s="576">
        <v>43060</v>
      </c>
      <c r="K132" s="386"/>
      <c r="L132" s="536" t="str">
        <f>TEXT(F132,"mmm-yy")</f>
        <v>Sep-17</v>
      </c>
      <c r="M132" s="392" t="str">
        <f>TEXT(J132,"mmm-yy")</f>
        <v>Nov-17</v>
      </c>
      <c r="N132" s="397" t="s">
        <v>1112</v>
      </c>
      <c r="O132" s="418" t="s">
        <v>1113</v>
      </c>
      <c r="P132" s="538">
        <v>6516</v>
      </c>
      <c r="Q132" s="684"/>
      <c r="R132" s="538">
        <f>SUM(P132:Q132)</f>
        <v>6516</v>
      </c>
      <c r="S132" s="494">
        <f>R132*1.1</f>
        <v>7167.6</v>
      </c>
      <c r="T132" s="544">
        <v>2013</v>
      </c>
      <c r="U132" s="544"/>
      <c r="V132" s="389">
        <f>SUM(T132:U132)</f>
        <v>2013</v>
      </c>
      <c r="W132" s="388">
        <f>R132-V132</f>
        <v>4503</v>
      </c>
      <c r="X132" s="589">
        <f>W132/R132</f>
        <v>0.69106813996316763</v>
      </c>
      <c r="Y132" s="608" t="s">
        <v>199</v>
      </c>
      <c r="Z132" s="536">
        <f>F132+14</f>
        <v>43018</v>
      </c>
      <c r="AA132" s="383" t="s">
        <v>200</v>
      </c>
      <c r="AB132" s="393" t="s">
        <v>868</v>
      </c>
      <c r="AC132" s="392">
        <v>42979</v>
      </c>
      <c r="AD132" s="392">
        <v>42986</v>
      </c>
      <c r="AE132" s="550">
        <f>AD132-AC132</f>
        <v>7</v>
      </c>
      <c r="AF132" s="392">
        <v>42986</v>
      </c>
      <c r="AG132" s="546">
        <f>AF132-AD132</f>
        <v>0</v>
      </c>
      <c r="AJ132" s="553"/>
      <c r="AL132" s="704"/>
      <c r="AM132" s="704"/>
      <c r="AN132" s="704"/>
      <c r="AQ132" s="704"/>
    </row>
    <row r="133" spans="1:43" s="218" customFormat="1" ht="14.35" customHeight="1">
      <c r="A133" s="586" t="s">
        <v>714</v>
      </c>
      <c r="B133" s="545" t="s">
        <v>190</v>
      </c>
      <c r="C133" s="386" t="s">
        <v>2260</v>
      </c>
      <c r="D133" s="386">
        <v>43153</v>
      </c>
      <c r="E133" s="392">
        <v>43129</v>
      </c>
      <c r="F133" s="392">
        <v>43130</v>
      </c>
      <c r="G133" s="740"/>
      <c r="H133" s="743"/>
      <c r="I133" s="603">
        <v>43143</v>
      </c>
      <c r="J133" s="667">
        <v>43158</v>
      </c>
      <c r="K133" s="386"/>
      <c r="L133" s="536" t="str">
        <f>TEXT(F133,"mmm-yy")</f>
        <v>Jan-18</v>
      </c>
      <c r="M133" s="392" t="str">
        <f>TEXT(J133,"mmm-yy")</f>
        <v>Feb-18</v>
      </c>
      <c r="N133" s="397" t="s">
        <v>1115</v>
      </c>
      <c r="O133" s="418" t="s">
        <v>1116</v>
      </c>
      <c r="P133" s="538">
        <v>280</v>
      </c>
      <c r="Q133" s="685"/>
      <c r="R133" s="538">
        <f>SUM(P133:Q133)</f>
        <v>280</v>
      </c>
      <c r="S133" s="494">
        <f>R133*1.1</f>
        <v>308</v>
      </c>
      <c r="T133" s="544"/>
      <c r="U133" s="544"/>
      <c r="V133" s="389">
        <f>SUM(T133:U133)</f>
        <v>0</v>
      </c>
      <c r="W133" s="388">
        <f>R133-V133</f>
        <v>280</v>
      </c>
      <c r="X133" s="589">
        <f>W133/R133</f>
        <v>1</v>
      </c>
      <c r="Y133" s="608" t="s">
        <v>199</v>
      </c>
      <c r="Z133" s="536">
        <f>F133+14</f>
        <v>43144</v>
      </c>
      <c r="AA133" s="383" t="s">
        <v>200</v>
      </c>
      <c r="AB133" s="590" t="s">
        <v>727</v>
      </c>
      <c r="AC133" s="392" t="s">
        <v>1117</v>
      </c>
      <c r="AD133" s="392">
        <v>42986</v>
      </c>
      <c r="AE133" s="550"/>
      <c r="AF133" s="392">
        <v>43061</v>
      </c>
      <c r="AG133" s="546">
        <f>AF133-AD133</f>
        <v>75</v>
      </c>
      <c r="AJ133" s="553"/>
      <c r="AL133" s="704"/>
      <c r="AM133" s="704"/>
      <c r="AN133" s="704"/>
      <c r="AQ133" s="704"/>
    </row>
    <row r="134" spans="1:43" s="218" customFormat="1" ht="14.35" customHeight="1">
      <c r="A134" s="586" t="s">
        <v>714</v>
      </c>
      <c r="B134" s="545" t="s">
        <v>190</v>
      </c>
      <c r="C134" s="386" t="s">
        <v>2277</v>
      </c>
      <c r="D134" s="386">
        <v>43161</v>
      </c>
      <c r="E134" s="392">
        <v>43085</v>
      </c>
      <c r="F134" s="392">
        <v>43087</v>
      </c>
      <c r="G134" s="576">
        <v>43109</v>
      </c>
      <c r="H134" s="669">
        <v>43143</v>
      </c>
      <c r="I134" s="667">
        <v>42737</v>
      </c>
      <c r="J134" s="576">
        <v>43160</v>
      </c>
      <c r="K134" s="386"/>
      <c r="L134" s="536" t="str">
        <f>TEXT(F134,"mmm-yy")</f>
        <v>Dec-17</v>
      </c>
      <c r="M134" s="392" t="str">
        <f>TEXT(J134,"mmm-yy")</f>
        <v>Mar-18</v>
      </c>
      <c r="N134" s="683" t="s">
        <v>1120</v>
      </c>
      <c r="O134" s="418" t="s">
        <v>491</v>
      </c>
      <c r="P134" s="538">
        <v>2643.57</v>
      </c>
      <c r="Q134" s="418">
        <v>3359.82</v>
      </c>
      <c r="R134" s="538">
        <f>SUM(P134:Q134)</f>
        <v>6003.39</v>
      </c>
      <c r="S134" s="494">
        <f>R134*1.1</f>
        <v>6603.7290000000012</v>
      </c>
      <c r="T134" s="544">
        <v>4295.7000000000007</v>
      </c>
      <c r="U134" s="544"/>
      <c r="V134" s="389">
        <f>SUM(T134:U134)</f>
        <v>4295.7000000000007</v>
      </c>
      <c r="W134" s="388">
        <f>R134-V134</f>
        <v>1707.6899999999996</v>
      </c>
      <c r="X134" s="589">
        <f>W134/R134</f>
        <v>0.28445428332991851</v>
      </c>
      <c r="Y134" s="608" t="s">
        <v>199</v>
      </c>
      <c r="Z134" s="536">
        <f>F134+14</f>
        <v>43101</v>
      </c>
      <c r="AA134" s="383" t="s">
        <v>200</v>
      </c>
      <c r="AB134" s="393" t="s">
        <v>868</v>
      </c>
      <c r="AC134" s="392" t="s">
        <v>1117</v>
      </c>
      <c r="AD134" s="392">
        <v>42985</v>
      </c>
      <c r="AE134" s="550"/>
      <c r="AF134" s="392">
        <v>43000</v>
      </c>
      <c r="AG134" s="546">
        <f>AF134-AD134</f>
        <v>15</v>
      </c>
      <c r="AJ134" s="553"/>
      <c r="AL134" s="704"/>
      <c r="AM134" s="704"/>
      <c r="AN134" s="704"/>
      <c r="AQ134" s="704"/>
    </row>
    <row r="135" spans="1:43" s="218" customFormat="1" ht="14.35" customHeight="1">
      <c r="A135" s="586" t="s">
        <v>714</v>
      </c>
      <c r="B135" s="545" t="s">
        <v>190</v>
      </c>
      <c r="C135" s="386" t="s">
        <v>2173</v>
      </c>
      <c r="D135" s="386">
        <v>43147</v>
      </c>
      <c r="E135" s="392">
        <v>43074</v>
      </c>
      <c r="F135" s="392">
        <v>43074</v>
      </c>
      <c r="G135" s="740"/>
      <c r="H135" s="743"/>
      <c r="I135" s="576">
        <v>43091</v>
      </c>
      <c r="J135" s="601">
        <f>I135+14</f>
        <v>43105</v>
      </c>
      <c r="K135" s="386"/>
      <c r="L135" s="536" t="str">
        <f>TEXT(F135,"mmm-yy")</f>
        <v>Dec-17</v>
      </c>
      <c r="M135" s="392" t="str">
        <f>TEXT(J135,"mmm-yy")</f>
        <v>Jan-18</v>
      </c>
      <c r="N135" s="397" t="s">
        <v>1142</v>
      </c>
      <c r="O135" s="418" t="s">
        <v>1121</v>
      </c>
      <c r="P135" s="538">
        <v>1960</v>
      </c>
      <c r="Q135" s="684"/>
      <c r="R135" s="538">
        <f>SUM(P135:Q135)</f>
        <v>1960</v>
      </c>
      <c r="S135" s="494">
        <f>R135*1.1</f>
        <v>2156</v>
      </c>
      <c r="T135" s="544">
        <v>1465.4545454545455</v>
      </c>
      <c r="U135" s="544"/>
      <c r="V135" s="389">
        <f>SUM(T135:U135)</f>
        <v>1465.4545454545455</v>
      </c>
      <c r="W135" s="388">
        <f>R135-V135</f>
        <v>494.5454545454545</v>
      </c>
      <c r="X135" s="589">
        <f>W135/R135</f>
        <v>0.25231910946196656</v>
      </c>
      <c r="Y135" s="608" t="s">
        <v>199</v>
      </c>
      <c r="Z135" s="536">
        <f>F135+14</f>
        <v>43088</v>
      </c>
      <c r="AA135" s="383" t="s">
        <v>200</v>
      </c>
      <c r="AB135" s="393" t="s">
        <v>693</v>
      </c>
      <c r="AC135" s="392" t="s">
        <v>1117</v>
      </c>
      <c r="AD135" s="392">
        <v>42986</v>
      </c>
      <c r="AE135" s="550"/>
      <c r="AF135" s="392">
        <v>43020</v>
      </c>
      <c r="AG135" s="546">
        <f>AF135-AD135</f>
        <v>34</v>
      </c>
      <c r="AJ135" s="553"/>
      <c r="AL135" s="704"/>
      <c r="AQ135" s="704"/>
    </row>
    <row r="136" spans="1:43" s="218" customFormat="1" ht="14.35" customHeight="1">
      <c r="A136" s="586" t="s">
        <v>715</v>
      </c>
      <c r="B136" s="545" t="s">
        <v>723</v>
      </c>
      <c r="C136" s="386" t="s">
        <v>1788</v>
      </c>
      <c r="D136" s="386">
        <v>43087</v>
      </c>
      <c r="E136" s="392">
        <v>43039</v>
      </c>
      <c r="F136" s="392">
        <v>43039</v>
      </c>
      <c r="G136" s="661">
        <v>43047</v>
      </c>
      <c r="H136" s="661">
        <v>43060</v>
      </c>
      <c r="I136" s="576">
        <v>43063</v>
      </c>
      <c r="J136" s="576">
        <v>43087</v>
      </c>
      <c r="K136" s="386"/>
      <c r="L136" s="536" t="str">
        <f>TEXT(F136,"mmm-yy")</f>
        <v>Oct-17</v>
      </c>
      <c r="M136" s="392" t="str">
        <f>TEXT(J136,"mmm-yy")</f>
        <v>Dec-17</v>
      </c>
      <c r="N136" s="397" t="s">
        <v>1141</v>
      </c>
      <c r="O136" s="418" t="s">
        <v>1143</v>
      </c>
      <c r="P136" s="538">
        <v>7731.53</v>
      </c>
      <c r="Q136" s="418">
        <v>1439.14</v>
      </c>
      <c r="R136" s="538">
        <f>SUM(P136:Q136)</f>
        <v>9170.67</v>
      </c>
      <c r="S136" s="494">
        <f>R136*1.1</f>
        <v>10087.737000000001</v>
      </c>
      <c r="T136" s="544">
        <v>2570.91</v>
      </c>
      <c r="U136" s="544"/>
      <c r="V136" s="389">
        <f>SUM(T136:U136)</f>
        <v>2570.91</v>
      </c>
      <c r="W136" s="388">
        <f>R136-V136</f>
        <v>6599.76</v>
      </c>
      <c r="X136" s="589">
        <f>W136/R136</f>
        <v>0.71965952324094096</v>
      </c>
      <c r="Y136" s="608" t="s">
        <v>199</v>
      </c>
      <c r="Z136" s="536">
        <f>F136+14</f>
        <v>43053</v>
      </c>
      <c r="AA136" s="383" t="s">
        <v>200</v>
      </c>
      <c r="AB136" s="393" t="s">
        <v>517</v>
      </c>
      <c r="AC136" s="392">
        <v>42958</v>
      </c>
      <c r="AD136" s="392">
        <v>42992</v>
      </c>
      <c r="AE136" s="550">
        <f>AD136-AC136</f>
        <v>34</v>
      </c>
      <c r="AF136" s="392">
        <v>43021</v>
      </c>
      <c r="AG136" s="546">
        <f>AF136-AD136</f>
        <v>29</v>
      </c>
      <c r="AJ136" s="553"/>
      <c r="AL136" s="704"/>
      <c r="AQ136" s="704"/>
    </row>
    <row r="137" spans="1:43" s="218" customFormat="1" ht="14.35" customHeight="1">
      <c r="A137" s="586" t="s">
        <v>714</v>
      </c>
      <c r="B137" s="545" t="s">
        <v>190</v>
      </c>
      <c r="C137" s="386" t="s">
        <v>1830</v>
      </c>
      <c r="D137" s="386">
        <v>43117</v>
      </c>
      <c r="E137" s="392">
        <v>43072</v>
      </c>
      <c r="F137" s="392">
        <v>43073</v>
      </c>
      <c r="G137" s="603">
        <v>43073</v>
      </c>
      <c r="H137" s="753">
        <v>43081</v>
      </c>
      <c r="I137" s="603">
        <v>43083</v>
      </c>
      <c r="J137" s="576">
        <v>43118</v>
      </c>
      <c r="K137" s="386"/>
      <c r="L137" s="536" t="str">
        <f>TEXT(F137,"mmm-yy")</f>
        <v>Dec-17</v>
      </c>
      <c r="M137" s="392" t="str">
        <f>TEXT(J137,"mmm-yy")</f>
        <v>Jan-18</v>
      </c>
      <c r="N137" s="397" t="s">
        <v>1144</v>
      </c>
      <c r="O137" s="418" t="s">
        <v>491</v>
      </c>
      <c r="P137" s="538">
        <v>1400</v>
      </c>
      <c r="Q137" s="418">
        <v>1060.6857142857141</v>
      </c>
      <c r="R137" s="538">
        <f>SUM(P137:Q137)</f>
        <v>2460.6857142857143</v>
      </c>
      <c r="S137" s="494">
        <f>R137*1.1</f>
        <v>2706.7542857142857</v>
      </c>
      <c r="T137" s="544">
        <v>1387.2727272727273</v>
      </c>
      <c r="U137" s="544"/>
      <c r="V137" s="389">
        <f>SUM(T137:U137)</f>
        <v>1387.2727272727273</v>
      </c>
      <c r="W137" s="388">
        <f>R137-V137</f>
        <v>1073.4129870129871</v>
      </c>
      <c r="X137" s="589">
        <f>W137/R137</f>
        <v>0.43622514682846297</v>
      </c>
      <c r="Y137" s="608" t="s">
        <v>199</v>
      </c>
      <c r="Z137" s="536">
        <f>F137+14</f>
        <v>43087</v>
      </c>
      <c r="AA137" s="383" t="s">
        <v>200</v>
      </c>
      <c r="AB137" s="393" t="s">
        <v>693</v>
      </c>
      <c r="AC137" s="392" t="s">
        <v>1117</v>
      </c>
      <c r="AD137" s="392">
        <v>42990</v>
      </c>
      <c r="AE137" s="550"/>
      <c r="AF137" s="392">
        <v>43050</v>
      </c>
      <c r="AG137" s="546">
        <f>AF137-AD137</f>
        <v>60</v>
      </c>
      <c r="AJ137" s="553"/>
      <c r="AL137" s="704"/>
      <c r="AQ137" s="704"/>
    </row>
    <row r="138" spans="1:43" s="218" customFormat="1" ht="14.35" customHeight="1">
      <c r="A138" s="586" t="s">
        <v>715</v>
      </c>
      <c r="B138" s="545" t="s">
        <v>227</v>
      </c>
      <c r="C138" s="386" t="s">
        <v>1629</v>
      </c>
      <c r="D138" s="386">
        <v>43069</v>
      </c>
      <c r="E138" s="392">
        <v>43025</v>
      </c>
      <c r="F138" s="392">
        <v>43025</v>
      </c>
      <c r="G138" s="576">
        <v>43025</v>
      </c>
      <c r="H138" s="669">
        <v>43056</v>
      </c>
      <c r="I138" s="667">
        <v>43040</v>
      </c>
      <c r="J138" s="576">
        <v>43074</v>
      </c>
      <c r="K138" s="386"/>
      <c r="L138" s="536" t="str">
        <f>TEXT(F138,"mmm-yy")</f>
        <v>Oct-17</v>
      </c>
      <c r="M138" s="392" t="str">
        <f>TEXT(J138,"mmm-yy")</f>
        <v>Dec-17</v>
      </c>
      <c r="N138" s="397" t="s">
        <v>1145</v>
      </c>
      <c r="O138" s="418" t="s">
        <v>1146</v>
      </c>
      <c r="P138" s="538">
        <v>5557.33</v>
      </c>
      <c r="Q138" s="418">
        <v>6059.7460000000001</v>
      </c>
      <c r="R138" s="538">
        <f>SUM(P138:Q138)</f>
        <v>11617.076000000001</v>
      </c>
      <c r="S138" s="494">
        <f>R138*1.1</f>
        <v>12778.783600000002</v>
      </c>
      <c r="T138" s="544"/>
      <c r="U138" s="544"/>
      <c r="V138" s="389">
        <f>SUM(T138:U138)</f>
        <v>0</v>
      </c>
      <c r="W138" s="388">
        <f>R138-V138</f>
        <v>11617.076000000001</v>
      </c>
      <c r="X138" s="589">
        <f>W138/R138</f>
        <v>1</v>
      </c>
      <c r="Y138" s="608" t="s">
        <v>199</v>
      </c>
      <c r="Z138" s="536">
        <f>F138+14</f>
        <v>43039</v>
      </c>
      <c r="AA138" s="383" t="s">
        <v>200</v>
      </c>
      <c r="AB138" s="393" t="s">
        <v>220</v>
      </c>
      <c r="AC138" s="392">
        <v>42912</v>
      </c>
      <c r="AD138" s="392"/>
      <c r="AE138" s="550"/>
      <c r="AF138" s="392">
        <v>43040</v>
      </c>
      <c r="AG138" s="546"/>
      <c r="AJ138" s="553"/>
      <c r="AL138" s="704"/>
      <c r="AQ138" s="704"/>
    </row>
    <row r="139" spans="1:43" s="218" customFormat="1" ht="14.35" customHeight="1">
      <c r="A139" s="586" t="s">
        <v>715</v>
      </c>
      <c r="B139" s="545" t="s">
        <v>190</v>
      </c>
      <c r="C139" s="386"/>
      <c r="D139" s="386"/>
      <c r="E139" s="392"/>
      <c r="F139" s="392">
        <v>43250</v>
      </c>
      <c r="G139" s="601"/>
      <c r="H139" s="752"/>
      <c r="I139" s="601"/>
      <c r="J139" s="601"/>
      <c r="K139" s="386"/>
      <c r="L139" s="536" t="str">
        <f>TEXT(F139,"mmm-yy")</f>
        <v>May-18</v>
      </c>
      <c r="M139" s="392" t="str">
        <f>TEXT(J139,"mmm-yy")</f>
        <v>Jan-00</v>
      </c>
      <c r="N139" s="397" t="s">
        <v>1147</v>
      </c>
      <c r="O139" s="418" t="s">
        <v>491</v>
      </c>
      <c r="P139" s="538">
        <v>8773.94</v>
      </c>
      <c r="Q139" s="418"/>
      <c r="R139" s="538">
        <f>SUM(P139:Q139)</f>
        <v>8773.94</v>
      </c>
      <c r="S139" s="494">
        <f>R139*1.1</f>
        <v>9651.3340000000007</v>
      </c>
      <c r="T139" s="544">
        <v>300</v>
      </c>
      <c r="U139" s="544"/>
      <c r="V139" s="389">
        <f>SUM(T139:U139)</f>
        <v>300</v>
      </c>
      <c r="W139" s="388">
        <f>R139-V139</f>
        <v>8473.94</v>
      </c>
      <c r="X139" s="589">
        <f>W139/R139</f>
        <v>0.96580783547642224</v>
      </c>
      <c r="Y139" s="544"/>
      <c r="Z139" s="536">
        <f>F139+14</f>
        <v>43264</v>
      </c>
      <c r="AA139" s="544"/>
      <c r="AB139" s="393" t="s">
        <v>210</v>
      </c>
      <c r="AC139" s="392">
        <v>42969</v>
      </c>
      <c r="AD139" s="392"/>
      <c r="AE139" s="550"/>
      <c r="AF139" s="392">
        <v>43008</v>
      </c>
      <c r="AG139" s="546"/>
      <c r="AJ139" s="553"/>
      <c r="AL139" s="704"/>
    </row>
    <row r="140" spans="1:43" s="218" customFormat="1" ht="14.35" customHeight="1">
      <c r="A140" s="586" t="s">
        <v>714</v>
      </c>
      <c r="B140" s="545" t="s">
        <v>541</v>
      </c>
      <c r="C140" s="386" t="s">
        <v>2157</v>
      </c>
      <c r="D140" s="386">
        <v>43138</v>
      </c>
      <c r="E140" s="392">
        <v>43031</v>
      </c>
      <c r="F140" s="392">
        <v>43031</v>
      </c>
      <c r="G140" s="576">
        <v>43061</v>
      </c>
      <c r="H140" s="669">
        <v>43089</v>
      </c>
      <c r="I140" s="603">
        <v>43041</v>
      </c>
      <c r="J140" s="576">
        <v>43139</v>
      </c>
      <c r="K140" s="386"/>
      <c r="L140" s="536" t="str">
        <f>TEXT(F140,"mmm-yy")</f>
        <v>Oct-17</v>
      </c>
      <c r="M140" s="392" t="str">
        <f>TEXT(J140,"mmm-yy")</f>
        <v>Feb-18</v>
      </c>
      <c r="N140" s="397" t="s">
        <v>1148</v>
      </c>
      <c r="O140" s="418" t="s">
        <v>1149</v>
      </c>
      <c r="P140" s="538">
        <v>8321.6</v>
      </c>
      <c r="Q140" s="418">
        <v>12809.51</v>
      </c>
      <c r="R140" s="538">
        <f>SUM(P140:Q140)</f>
        <v>21131.11</v>
      </c>
      <c r="S140" s="494">
        <f>R140*1.1</f>
        <v>23244.221000000001</v>
      </c>
      <c r="T140" s="544"/>
      <c r="U140" s="544"/>
      <c r="V140" s="389">
        <f>SUM(T140:U140)</f>
        <v>0</v>
      </c>
      <c r="W140" s="388">
        <f>R140-V140</f>
        <v>21131.11</v>
      </c>
      <c r="X140" s="589">
        <f>W140/R140</f>
        <v>1</v>
      </c>
      <c r="Y140" s="608" t="s">
        <v>199</v>
      </c>
      <c r="Z140" s="536">
        <f>F140+14</f>
        <v>43045</v>
      </c>
      <c r="AA140" s="383" t="s">
        <v>200</v>
      </c>
      <c r="AB140" s="393" t="s">
        <v>868</v>
      </c>
      <c r="AC140" s="392" t="s">
        <v>1117</v>
      </c>
      <c r="AD140" s="392">
        <v>42990</v>
      </c>
      <c r="AE140" s="550"/>
      <c r="AF140" s="392">
        <v>43000</v>
      </c>
      <c r="AG140" s="546">
        <f>AF140-AD140</f>
        <v>10</v>
      </c>
      <c r="AJ140" s="553"/>
      <c r="AL140" s="704"/>
      <c r="AQ140" s="704"/>
    </row>
    <row r="141" spans="1:43" s="218" customFormat="1" ht="14.35" customHeight="1">
      <c r="A141" s="586" t="s">
        <v>715</v>
      </c>
      <c r="B141" s="545" t="s">
        <v>764</v>
      </c>
      <c r="C141" s="386" t="s">
        <v>2402</v>
      </c>
      <c r="D141" s="386">
        <v>43178</v>
      </c>
      <c r="E141" s="392">
        <v>43139</v>
      </c>
      <c r="F141" s="392">
        <v>43144</v>
      </c>
      <c r="G141" s="603">
        <v>43165</v>
      </c>
      <c r="H141" s="753">
        <v>43173</v>
      </c>
      <c r="I141" s="603">
        <v>43157</v>
      </c>
      <c r="J141" s="576">
        <v>43179</v>
      </c>
      <c r="K141" s="386"/>
      <c r="L141" s="536" t="str">
        <f>TEXT(F141,"mmm-yy")</f>
        <v>Feb-18</v>
      </c>
      <c r="M141" s="392" t="str">
        <f>TEXT(J141,"mmm-yy")</f>
        <v>Mar-18</v>
      </c>
      <c r="N141" s="397" t="s">
        <v>1167</v>
      </c>
      <c r="O141" s="418" t="s">
        <v>1168</v>
      </c>
      <c r="P141" s="538">
        <v>6447.82</v>
      </c>
      <c r="Q141" s="418">
        <v>2330.9699999999998</v>
      </c>
      <c r="R141" s="538">
        <f>SUM(P141:Q141)</f>
        <v>8778.7899999999991</v>
      </c>
      <c r="S141" s="494">
        <f>R141*1.1</f>
        <v>9656.6689999999999</v>
      </c>
      <c r="T141" s="544"/>
      <c r="U141" s="544"/>
      <c r="V141" s="389">
        <f>SUM(T141:U141)</f>
        <v>0</v>
      </c>
      <c r="W141" s="388">
        <f>R141-V141</f>
        <v>8778.7899999999991</v>
      </c>
      <c r="X141" s="589">
        <f>W141/R141</f>
        <v>1</v>
      </c>
      <c r="Y141" s="544"/>
      <c r="Z141" s="536">
        <f>F141+14</f>
        <v>43158</v>
      </c>
      <c r="AA141" s="544"/>
      <c r="AB141" s="393" t="s">
        <v>517</v>
      </c>
      <c r="AC141" s="392">
        <v>42958</v>
      </c>
      <c r="AD141" s="392">
        <v>42992</v>
      </c>
      <c r="AE141" s="550"/>
      <c r="AF141" s="392">
        <v>43021</v>
      </c>
      <c r="AG141" s="546">
        <f>AF141-AD141</f>
        <v>29</v>
      </c>
      <c r="AJ141" s="553"/>
      <c r="AL141" s="704"/>
      <c r="AQ141" s="704"/>
    </row>
    <row r="142" spans="1:43" s="218" customFormat="1" ht="14.35" customHeight="1">
      <c r="A142" s="586" t="s">
        <v>715</v>
      </c>
      <c r="B142" s="545" t="s">
        <v>722</v>
      </c>
      <c r="C142" s="386" t="s">
        <v>1624</v>
      </c>
      <c r="D142" s="386">
        <v>43068</v>
      </c>
      <c r="E142" s="392">
        <v>43020</v>
      </c>
      <c r="F142" s="392">
        <v>43020</v>
      </c>
      <c r="G142" s="576">
        <v>43032</v>
      </c>
      <c r="H142" s="669">
        <v>43055</v>
      </c>
      <c r="I142" s="603">
        <f>F142+14</f>
        <v>43034</v>
      </c>
      <c r="J142" s="576">
        <v>43074</v>
      </c>
      <c r="K142" s="386"/>
      <c r="L142" s="536" t="str">
        <f>TEXT(F142,"mmm-yy")</f>
        <v>Oct-17</v>
      </c>
      <c r="M142" s="392" t="str">
        <f>TEXT(J142,"mmm-yy")</f>
        <v>Dec-17</v>
      </c>
      <c r="N142" s="354" t="s">
        <v>1052</v>
      </c>
      <c r="O142" s="418" t="s">
        <v>1081</v>
      </c>
      <c r="P142" s="538">
        <v>8598.36</v>
      </c>
      <c r="Q142" s="418">
        <v>2094.25</v>
      </c>
      <c r="R142" s="538">
        <f>SUM(P142:Q142)</f>
        <v>10692.61</v>
      </c>
      <c r="S142" s="494">
        <f>R142*1.1</f>
        <v>11761.871000000001</v>
      </c>
      <c r="T142" s="544">
        <v>1480</v>
      </c>
      <c r="U142" s="544"/>
      <c r="V142" s="389">
        <f>SUM(T142:U142)</f>
        <v>1480</v>
      </c>
      <c r="W142" s="388">
        <f>R142-V142</f>
        <v>9212.61</v>
      </c>
      <c r="X142" s="589">
        <f>W142/R142</f>
        <v>0.86158664722644895</v>
      </c>
      <c r="Y142" s="608" t="s">
        <v>199</v>
      </c>
      <c r="Z142" s="536">
        <f>F142+14</f>
        <v>43034</v>
      </c>
      <c r="AA142" s="383" t="s">
        <v>200</v>
      </c>
      <c r="AB142" s="393" t="s">
        <v>959</v>
      </c>
      <c r="AC142" s="392">
        <v>42983</v>
      </c>
      <c r="AD142" s="392">
        <v>42996</v>
      </c>
      <c r="AE142" s="550">
        <f>AD142-AC142</f>
        <v>13</v>
      </c>
      <c r="AF142" s="392">
        <v>43003</v>
      </c>
      <c r="AG142" s="546">
        <f>AF142-AD142</f>
        <v>7</v>
      </c>
      <c r="AJ142" s="553"/>
      <c r="AL142" s="704"/>
      <c r="AQ142" s="704"/>
    </row>
    <row r="143" spans="1:43" s="218" customFormat="1" ht="14.35" customHeight="1">
      <c r="A143" s="586" t="s">
        <v>715</v>
      </c>
      <c r="B143" s="545" t="s">
        <v>190</v>
      </c>
      <c r="C143" s="386" t="s">
        <v>1610</v>
      </c>
      <c r="D143" s="386">
        <v>43055</v>
      </c>
      <c r="E143" s="392">
        <v>43012</v>
      </c>
      <c r="F143" s="392">
        <v>43014</v>
      </c>
      <c r="G143" s="661">
        <v>43025</v>
      </c>
      <c r="H143" s="661">
        <v>43033</v>
      </c>
      <c r="I143" s="603">
        <v>43021</v>
      </c>
      <c r="J143" s="576">
        <v>43060</v>
      </c>
      <c r="K143" s="386"/>
      <c r="L143" s="536" t="str">
        <f>TEXT(F143,"mmm-yy")</f>
        <v>Oct-17</v>
      </c>
      <c r="M143" s="392" t="str">
        <f>TEXT(J143,"mmm-yy")</f>
        <v>Nov-17</v>
      </c>
      <c r="N143" s="397" t="s">
        <v>1180</v>
      </c>
      <c r="O143" s="418" t="s">
        <v>1181</v>
      </c>
      <c r="P143" s="538">
        <v>37391.760000000002</v>
      </c>
      <c r="Q143" s="418">
        <v>-1916.7276785714289</v>
      </c>
      <c r="R143" s="538">
        <f>SUM(P143:Q143)</f>
        <v>35475.032321428575</v>
      </c>
      <c r="S143" s="494">
        <f>R143*1.1</f>
        <v>39022.535553571433</v>
      </c>
      <c r="T143" s="544">
        <v>27764.9</v>
      </c>
      <c r="U143" s="544"/>
      <c r="V143" s="389">
        <f>SUM(T143:U143)</f>
        <v>27764.9</v>
      </c>
      <c r="W143" s="388">
        <f>R143-V143</f>
        <v>7710.1323214285731</v>
      </c>
      <c r="X143" s="589">
        <f>W143/R143</f>
        <v>0.21733968419167002</v>
      </c>
      <c r="Y143" s="608" t="s">
        <v>199</v>
      </c>
      <c r="Z143" s="536">
        <f>F143+14</f>
        <v>43028</v>
      </c>
      <c r="AA143" s="383" t="s">
        <v>200</v>
      </c>
      <c r="AB143" s="393" t="s">
        <v>693</v>
      </c>
      <c r="AC143" s="392">
        <v>42962</v>
      </c>
      <c r="AD143" s="392">
        <v>43003</v>
      </c>
      <c r="AE143" s="550">
        <f>AD143-AC143</f>
        <v>41</v>
      </c>
      <c r="AF143" s="392">
        <v>43040</v>
      </c>
      <c r="AG143" s="546">
        <f>AF143-AD143</f>
        <v>37</v>
      </c>
      <c r="AJ143" s="553"/>
      <c r="AL143" s="704"/>
      <c r="AQ143" s="704"/>
    </row>
    <row r="144" spans="1:43" s="218" customFormat="1" ht="14.35" customHeight="1">
      <c r="A144" s="622" t="s">
        <v>327</v>
      </c>
      <c r="B144" s="545" t="s">
        <v>190</v>
      </c>
      <c r="C144" s="386" t="s">
        <v>1191</v>
      </c>
      <c r="D144" s="386">
        <v>43004</v>
      </c>
      <c r="E144" s="392">
        <v>43004</v>
      </c>
      <c r="F144" s="392">
        <v>43004</v>
      </c>
      <c r="G144" s="727"/>
      <c r="H144" s="728"/>
      <c r="I144" s="601">
        <v>43004</v>
      </c>
      <c r="J144" s="601">
        <f>I144+30</f>
        <v>43034</v>
      </c>
      <c r="K144" s="386"/>
      <c r="L144" s="536" t="str">
        <f>TEXT(F144,"mmm-yy")</f>
        <v>Sep-17</v>
      </c>
      <c r="M144" s="392" t="str">
        <f>TEXT(J144,"mmm-yy")</f>
        <v>Oct-17</v>
      </c>
      <c r="N144" s="617" t="s">
        <v>1188</v>
      </c>
      <c r="O144" s="418" t="s">
        <v>695</v>
      </c>
      <c r="P144" s="538">
        <v>1475</v>
      </c>
      <c r="Q144" s="684"/>
      <c r="R144" s="538">
        <f>SUM(P144:Q144)</f>
        <v>1475</v>
      </c>
      <c r="S144" s="494">
        <f>R144*1.1</f>
        <v>1622.5000000000002</v>
      </c>
      <c r="T144" s="544"/>
      <c r="U144" s="544"/>
      <c r="V144" s="389">
        <f>SUM(T144:U144)</f>
        <v>0</v>
      </c>
      <c r="W144" s="388">
        <f>R144-V144</f>
        <v>1475</v>
      </c>
      <c r="X144" s="589">
        <f>W144/R144</f>
        <v>1</v>
      </c>
      <c r="Y144" s="608" t="s">
        <v>199</v>
      </c>
      <c r="Z144" s="536">
        <f>F144+14</f>
        <v>43018</v>
      </c>
      <c r="AA144" s="383" t="s">
        <v>200</v>
      </c>
      <c r="AB144" s="623" t="s">
        <v>1189</v>
      </c>
      <c r="AC144" s="392"/>
      <c r="AD144" s="392"/>
      <c r="AE144" s="550"/>
      <c r="AF144" s="392"/>
      <c r="AG144" s="546"/>
      <c r="AJ144" s="553"/>
      <c r="AL144" s="704"/>
      <c r="AQ144" s="704"/>
    </row>
    <row r="145" spans="1:43" s="218" customFormat="1" ht="14.35" customHeight="1">
      <c r="A145" s="586" t="s">
        <v>714</v>
      </c>
      <c r="B145" s="545" t="s">
        <v>764</v>
      </c>
      <c r="C145" s="386" t="s">
        <v>2278</v>
      </c>
      <c r="D145" s="386">
        <v>43160</v>
      </c>
      <c r="E145" s="392">
        <v>43129</v>
      </c>
      <c r="F145" s="392">
        <v>43130</v>
      </c>
      <c r="G145" s="603">
        <v>43130</v>
      </c>
      <c r="H145" s="753">
        <v>43140</v>
      </c>
      <c r="I145" s="603">
        <v>43140</v>
      </c>
      <c r="J145" s="576">
        <v>43160</v>
      </c>
      <c r="K145" s="386"/>
      <c r="L145" s="536" t="str">
        <f>TEXT(F145,"mmm-yy")</f>
        <v>Jan-18</v>
      </c>
      <c r="M145" s="392" t="str">
        <f>TEXT(J145,"mmm-yy")</f>
        <v>Mar-18</v>
      </c>
      <c r="N145" s="397" t="s">
        <v>2163</v>
      </c>
      <c r="O145" s="418" t="s">
        <v>1190</v>
      </c>
      <c r="P145" s="538">
        <v>560.70000000000005</v>
      </c>
      <c r="Q145" s="418">
        <v>1627.9699999999998</v>
      </c>
      <c r="R145" s="538">
        <f>SUM(P145:Q145)</f>
        <v>2188.67</v>
      </c>
      <c r="S145" s="494">
        <f>R145*1.1</f>
        <v>2407.5370000000003</v>
      </c>
      <c r="T145" s="544"/>
      <c r="U145" s="544"/>
      <c r="V145" s="389">
        <f>SUM(T145:U145)</f>
        <v>0</v>
      </c>
      <c r="W145" s="388">
        <f>R145-V145</f>
        <v>2188.67</v>
      </c>
      <c r="X145" s="589">
        <f>W145/R145</f>
        <v>1</v>
      </c>
      <c r="Y145" s="608" t="s">
        <v>199</v>
      </c>
      <c r="Z145" s="536">
        <f>F145+14</f>
        <v>43144</v>
      </c>
      <c r="AA145" s="383" t="s">
        <v>200</v>
      </c>
      <c r="AB145" s="393" t="s">
        <v>959</v>
      </c>
      <c r="AC145" s="392" t="s">
        <v>752</v>
      </c>
      <c r="AD145" s="392">
        <v>42998</v>
      </c>
      <c r="AE145" s="550"/>
      <c r="AF145" s="392">
        <v>43034</v>
      </c>
      <c r="AG145" s="546">
        <f>AF145-AD145</f>
        <v>36</v>
      </c>
      <c r="AJ145" s="553"/>
      <c r="AL145" s="704"/>
      <c r="AQ145" s="704"/>
    </row>
    <row r="146" spans="1:43" s="218" customFormat="1" ht="14.35" customHeight="1">
      <c r="A146" s="586" t="s">
        <v>714</v>
      </c>
      <c r="B146" s="545" t="s">
        <v>190</v>
      </c>
      <c r="C146" s="386" t="s">
        <v>2292</v>
      </c>
      <c r="D146" s="386">
        <v>43165</v>
      </c>
      <c r="E146" s="392">
        <v>43117</v>
      </c>
      <c r="F146" s="392">
        <v>43118</v>
      </c>
      <c r="G146" s="576">
        <v>42753</v>
      </c>
      <c r="H146" s="669">
        <v>43150</v>
      </c>
      <c r="I146" s="601">
        <f>F146+14</f>
        <v>43132</v>
      </c>
      <c r="J146" s="601">
        <f>I146+14</f>
        <v>43146</v>
      </c>
      <c r="K146" s="386"/>
      <c r="L146" s="536" t="str">
        <f>TEXT(F146,"mmm-yy")</f>
        <v>Jan-18</v>
      </c>
      <c r="M146" s="392" t="str">
        <f>TEXT(J146,"mmm-yy")</f>
        <v>Feb-18</v>
      </c>
      <c r="N146" s="397" t="s">
        <v>2237</v>
      </c>
      <c r="O146" s="418" t="s">
        <v>1008</v>
      </c>
      <c r="P146" s="538">
        <v>2155.7399999999998</v>
      </c>
      <c r="Q146" s="418">
        <v>6398.35</v>
      </c>
      <c r="R146" s="538">
        <f>SUM(P146:Q146)</f>
        <v>8554.09</v>
      </c>
      <c r="S146" s="494">
        <f>R146*1.1</f>
        <v>9409.4990000000016</v>
      </c>
      <c r="T146" s="544">
        <v>2427.2600000000002</v>
      </c>
      <c r="U146" s="544"/>
      <c r="V146" s="389">
        <f>SUM(T146:U146)</f>
        <v>2427.2600000000002</v>
      </c>
      <c r="W146" s="388">
        <f>R146-V146</f>
        <v>6126.83</v>
      </c>
      <c r="X146" s="589">
        <f>W146/R146</f>
        <v>0.71624567896760494</v>
      </c>
      <c r="Y146" s="544"/>
      <c r="Z146" s="536">
        <f>F146+14</f>
        <v>43132</v>
      </c>
      <c r="AA146" s="544"/>
      <c r="AB146" s="393" t="s">
        <v>223</v>
      </c>
      <c r="AC146" s="392" t="s">
        <v>752</v>
      </c>
      <c r="AD146" s="392">
        <v>43004</v>
      </c>
      <c r="AE146" s="550"/>
      <c r="AF146" s="392">
        <v>43007</v>
      </c>
      <c r="AG146" s="546">
        <f>AF146-AD146</f>
        <v>3</v>
      </c>
      <c r="AJ146" s="553"/>
      <c r="AL146" s="704"/>
      <c r="AQ146" s="704"/>
    </row>
    <row r="147" spans="1:43" s="218" customFormat="1" ht="14.35" customHeight="1">
      <c r="A147" s="545" t="s">
        <v>715</v>
      </c>
      <c r="B147" s="545" t="s">
        <v>190</v>
      </c>
      <c r="C147" s="386" t="s">
        <v>2633</v>
      </c>
      <c r="D147" s="386">
        <v>43210</v>
      </c>
      <c r="E147" s="392">
        <v>43168</v>
      </c>
      <c r="F147" s="536">
        <v>43172</v>
      </c>
      <c r="G147" s="576">
        <v>43172</v>
      </c>
      <c r="H147" s="669">
        <v>43203</v>
      </c>
      <c r="I147" s="603">
        <v>43185</v>
      </c>
      <c r="J147" s="576">
        <v>43214</v>
      </c>
      <c r="K147" s="386"/>
      <c r="L147" s="392" t="str">
        <f>TEXT(F147,"mmm-yy")</f>
        <v>Mar-18</v>
      </c>
      <c r="M147" s="392" t="str">
        <f>TEXT(J147,"mmm-yy")</f>
        <v>Apr-18</v>
      </c>
      <c r="N147" s="397" t="s">
        <v>2366</v>
      </c>
      <c r="O147" s="418" t="s">
        <v>695</v>
      </c>
      <c r="P147" s="538">
        <v>680.36</v>
      </c>
      <c r="Q147" s="418">
        <v>512.55999999999995</v>
      </c>
      <c r="R147" s="538">
        <f>SUM(P147:Q147)</f>
        <v>1192.92</v>
      </c>
      <c r="S147" s="494">
        <f>R147*1.1</f>
        <v>1312.2120000000002</v>
      </c>
      <c r="T147" s="544"/>
      <c r="U147" s="544"/>
      <c r="V147" s="389">
        <f>SUM(T147:U147)</f>
        <v>0</v>
      </c>
      <c r="W147" s="388">
        <f>R147-V147</f>
        <v>1192.92</v>
      </c>
      <c r="X147" s="589">
        <f>W147/R147</f>
        <v>1</v>
      </c>
      <c r="Y147" s="544"/>
      <c r="Z147" s="536">
        <f>F147+14</f>
        <v>43186</v>
      </c>
      <c r="AA147" s="544"/>
      <c r="AB147" s="393" t="s">
        <v>201</v>
      </c>
      <c r="AC147" s="392" t="s">
        <v>752</v>
      </c>
      <c r="AD147" s="392">
        <v>43153</v>
      </c>
      <c r="AE147" s="550"/>
      <c r="AF147" s="625"/>
      <c r="AG147" s="546">
        <f>AF147-AD147</f>
        <v>-43153</v>
      </c>
      <c r="AJ147" s="553"/>
      <c r="AL147" s="704"/>
      <c r="AQ147" s="704"/>
    </row>
    <row r="148" spans="1:43" s="218" customFormat="1" ht="14.35" customHeight="1">
      <c r="A148" s="586" t="s">
        <v>714</v>
      </c>
      <c r="B148" s="545" t="s">
        <v>190</v>
      </c>
      <c r="C148" s="386" t="s">
        <v>1800</v>
      </c>
      <c r="D148" s="386">
        <v>43108</v>
      </c>
      <c r="E148" s="392">
        <v>43053</v>
      </c>
      <c r="F148" s="392">
        <v>43055</v>
      </c>
      <c r="G148" s="661">
        <v>43055</v>
      </c>
      <c r="H148" s="661">
        <v>43063</v>
      </c>
      <c r="I148" s="601">
        <f>F148+14</f>
        <v>43069</v>
      </c>
      <c r="J148" s="601">
        <v>43111</v>
      </c>
      <c r="K148" s="386"/>
      <c r="L148" s="536" t="str">
        <f>TEXT(F148,"mmm-yy")</f>
        <v>Nov-17</v>
      </c>
      <c r="M148" s="392" t="str">
        <f>TEXT(J148,"mmm-yy")</f>
        <v>Jan-18</v>
      </c>
      <c r="N148" s="397" t="s">
        <v>1195</v>
      </c>
      <c r="O148" s="418" t="s">
        <v>212</v>
      </c>
      <c r="P148" s="538">
        <v>1080.54</v>
      </c>
      <c r="Q148" s="418">
        <v>473.56</v>
      </c>
      <c r="R148" s="538">
        <f>SUM(P148:Q148)</f>
        <v>1554.1</v>
      </c>
      <c r="S148" s="494">
        <f>R148*1.1</f>
        <v>1709.51</v>
      </c>
      <c r="T148" s="544"/>
      <c r="U148" s="544"/>
      <c r="V148" s="389">
        <f>SUM(T148:U148)</f>
        <v>0</v>
      </c>
      <c r="W148" s="388">
        <f>R148-V148</f>
        <v>1554.1</v>
      </c>
      <c r="X148" s="589">
        <f>W148/R148</f>
        <v>1</v>
      </c>
      <c r="Y148" s="544"/>
      <c r="Z148" s="536">
        <f>F148+14</f>
        <v>43069</v>
      </c>
      <c r="AA148" s="544"/>
      <c r="AB148" s="393" t="s">
        <v>223</v>
      </c>
      <c r="AC148" s="392" t="s">
        <v>752</v>
      </c>
      <c r="AD148" s="392">
        <v>43005</v>
      </c>
      <c r="AE148" s="550"/>
      <c r="AF148" s="392">
        <v>43029</v>
      </c>
      <c r="AG148" s="546">
        <f>AF148-AD148</f>
        <v>24</v>
      </c>
      <c r="AJ148" s="553"/>
      <c r="AL148" s="704"/>
      <c r="AQ148" s="704"/>
    </row>
    <row r="149" spans="1:43" s="218" customFormat="1" ht="14.35" customHeight="1">
      <c r="A149" s="586" t="s">
        <v>715</v>
      </c>
      <c r="B149" s="545" t="s">
        <v>1210</v>
      </c>
      <c r="C149" s="386" t="s">
        <v>1658</v>
      </c>
      <c r="D149" s="386">
        <v>43073</v>
      </c>
      <c r="E149" s="392">
        <v>43020</v>
      </c>
      <c r="F149" s="536">
        <v>43020</v>
      </c>
      <c r="G149" s="755"/>
      <c r="H149" s="755"/>
      <c r="I149" s="576">
        <v>43063</v>
      </c>
      <c r="J149" s="576">
        <v>43076</v>
      </c>
      <c r="K149" s="386"/>
      <c r="L149" s="392" t="str">
        <f>TEXT(F149,"mmm-yy")</f>
        <v>Oct-17</v>
      </c>
      <c r="M149" s="392" t="str">
        <f>TEXT(J149,"mmm-yy")</f>
        <v>Dec-17</v>
      </c>
      <c r="N149" s="397" t="s">
        <v>1119</v>
      </c>
      <c r="O149" s="418" t="s">
        <v>1211</v>
      </c>
      <c r="P149" s="538">
        <v>1760</v>
      </c>
      <c r="Q149" s="684"/>
      <c r="R149" s="538">
        <f>SUM(P149:Q149)</f>
        <v>1760</v>
      </c>
      <c r="S149" s="494">
        <f>R149*1.1</f>
        <v>1936.0000000000002</v>
      </c>
      <c r="T149" s="544"/>
      <c r="U149" s="544"/>
      <c r="V149" s="389">
        <f>SUM(T149:U149)</f>
        <v>0</v>
      </c>
      <c r="W149" s="388">
        <f>R149-V149</f>
        <v>1760</v>
      </c>
      <c r="X149" s="589">
        <f>W149/R149</f>
        <v>1</v>
      </c>
      <c r="Y149" s="608" t="s">
        <v>199</v>
      </c>
      <c r="Z149" s="536">
        <f>F149+14</f>
        <v>43034</v>
      </c>
      <c r="AA149" s="383" t="s">
        <v>200</v>
      </c>
      <c r="AB149" s="393" t="s">
        <v>220</v>
      </c>
      <c r="AC149" s="392">
        <v>42986</v>
      </c>
      <c r="AD149" s="392">
        <v>43006</v>
      </c>
      <c r="AE149" s="550">
        <f>AD149-AC149</f>
        <v>20</v>
      </c>
      <c r="AF149" s="392">
        <v>43015</v>
      </c>
      <c r="AG149" s="546">
        <f>AF149-AD149</f>
        <v>9</v>
      </c>
      <c r="AJ149" s="553"/>
      <c r="AL149" s="704"/>
      <c r="AQ149" s="704"/>
    </row>
    <row r="150" spans="1:43" s="218" customFormat="1" ht="14.35" customHeight="1">
      <c r="A150" s="586" t="s">
        <v>714</v>
      </c>
      <c r="B150" s="545" t="s">
        <v>190</v>
      </c>
      <c r="C150" s="386" t="s">
        <v>1838</v>
      </c>
      <c r="D150" s="386">
        <v>43123</v>
      </c>
      <c r="E150" s="392">
        <v>43081</v>
      </c>
      <c r="F150" s="392">
        <v>43082</v>
      </c>
      <c r="G150" s="603">
        <v>43087</v>
      </c>
      <c r="H150" s="753">
        <v>43089</v>
      </c>
      <c r="I150" s="576">
        <v>42737</v>
      </c>
      <c r="J150" s="576">
        <v>43123</v>
      </c>
      <c r="K150" s="386"/>
      <c r="L150" s="392" t="str">
        <f>TEXT(F150,"mmm-yy")</f>
        <v>Dec-17</v>
      </c>
      <c r="M150" s="392" t="str">
        <f>TEXT(J150,"mmm-yy")</f>
        <v>Jan-18</v>
      </c>
      <c r="N150" s="397" t="s">
        <v>1212</v>
      </c>
      <c r="O150" s="418" t="s">
        <v>491</v>
      </c>
      <c r="P150" s="538">
        <v>5179.88</v>
      </c>
      <c r="Q150" s="418">
        <v>-125.23</v>
      </c>
      <c r="R150" s="538">
        <f>SUM(P150:Q150)</f>
        <v>5054.6500000000005</v>
      </c>
      <c r="S150" s="494">
        <f>R150*1.1</f>
        <v>5560.1150000000007</v>
      </c>
      <c r="T150" s="544">
        <v>931.3609090909091</v>
      </c>
      <c r="U150" s="544"/>
      <c r="V150" s="389">
        <f>SUM(T150:U150)</f>
        <v>931.3609090909091</v>
      </c>
      <c r="W150" s="388">
        <f>R150-V150</f>
        <v>4123.2890909090911</v>
      </c>
      <c r="X150" s="589">
        <f>W150/R150</f>
        <v>0.81574176073696314</v>
      </c>
      <c r="Y150" s="544"/>
      <c r="Z150" s="536">
        <f>F150+14</f>
        <v>43096</v>
      </c>
      <c r="AA150" s="544"/>
      <c r="AB150" s="393" t="s">
        <v>223</v>
      </c>
      <c r="AC150" s="392" t="s">
        <v>752</v>
      </c>
      <c r="AD150" s="392">
        <v>43007</v>
      </c>
      <c r="AE150" s="550"/>
      <c r="AF150" s="392">
        <v>43039</v>
      </c>
      <c r="AG150" s="546">
        <f>AF150-AD150</f>
        <v>32</v>
      </c>
      <c r="AJ150" s="553"/>
      <c r="AL150" s="704"/>
      <c r="AQ150" s="704"/>
    </row>
    <row r="151" spans="1:43" s="218" customFormat="1" ht="14.35" customHeight="1">
      <c r="A151" s="586" t="s">
        <v>714</v>
      </c>
      <c r="B151" s="545" t="s">
        <v>190</v>
      </c>
      <c r="C151" s="386" t="s">
        <v>2262</v>
      </c>
      <c r="D151" s="386">
        <v>43153</v>
      </c>
      <c r="E151" s="392">
        <v>43110</v>
      </c>
      <c r="F151" s="392">
        <v>43110</v>
      </c>
      <c r="G151" s="603">
        <v>43125</v>
      </c>
      <c r="H151" s="753">
        <v>43138</v>
      </c>
      <c r="I151" s="603">
        <v>43119</v>
      </c>
      <c r="J151" s="576">
        <v>43158</v>
      </c>
      <c r="K151" s="386"/>
      <c r="L151" s="392" t="str">
        <f>TEXT(F151,"mmm-yy")</f>
        <v>Jan-18</v>
      </c>
      <c r="M151" s="392" t="str">
        <f>TEXT(J151,"mmm-yy")</f>
        <v>Feb-18</v>
      </c>
      <c r="N151" s="397" t="s">
        <v>1213</v>
      </c>
      <c r="O151" s="418" t="s">
        <v>1181</v>
      </c>
      <c r="P151" s="538">
        <v>2140.21</v>
      </c>
      <c r="Q151" s="418">
        <v>3046.46</v>
      </c>
      <c r="R151" s="538">
        <f>SUM(P151:Q151)</f>
        <v>5186.67</v>
      </c>
      <c r="S151" s="494">
        <f>R151*1.1</f>
        <v>5705.3370000000004</v>
      </c>
      <c r="T151" s="544">
        <v>3121.35</v>
      </c>
      <c r="U151" s="544"/>
      <c r="V151" s="389">
        <f>SUM(T151:U151)</f>
        <v>3121.35</v>
      </c>
      <c r="W151" s="388">
        <f>R151-V151</f>
        <v>2065.3200000000002</v>
      </c>
      <c r="X151" s="589">
        <f>W151/R151</f>
        <v>0.39819768753361984</v>
      </c>
      <c r="Y151" s="544"/>
      <c r="Z151" s="536">
        <f>F151+14</f>
        <v>43124</v>
      </c>
      <c r="AA151" s="544"/>
      <c r="AB151" s="393" t="s">
        <v>223</v>
      </c>
      <c r="AC151" s="392" t="s">
        <v>752</v>
      </c>
      <c r="AD151" s="392">
        <v>43007</v>
      </c>
      <c r="AE151" s="550"/>
      <c r="AF151" s="392">
        <v>43039</v>
      </c>
      <c r="AG151" s="546">
        <f>AF151-AD151</f>
        <v>32</v>
      </c>
      <c r="AJ151" s="553"/>
      <c r="AL151" s="704"/>
      <c r="AQ151" s="704"/>
    </row>
    <row r="152" spans="1:43" s="218" customFormat="1" ht="14.35" customHeight="1">
      <c r="A152" s="586" t="s">
        <v>714</v>
      </c>
      <c r="B152" s="545" t="s">
        <v>190</v>
      </c>
      <c r="C152" s="386" t="s">
        <v>2985</v>
      </c>
      <c r="D152" s="386">
        <v>43250</v>
      </c>
      <c r="E152" s="392">
        <v>43207</v>
      </c>
      <c r="F152" s="392">
        <v>43208</v>
      </c>
      <c r="G152" s="577">
        <v>46867</v>
      </c>
      <c r="H152" s="669">
        <v>43243</v>
      </c>
      <c r="I152" s="601">
        <f>F152+14</f>
        <v>43222</v>
      </c>
      <c r="J152" s="603">
        <v>43251</v>
      </c>
      <c r="K152" s="386"/>
      <c r="L152" s="392" t="str">
        <f>TEXT(F152,"mmm-yy")</f>
        <v>Apr-18</v>
      </c>
      <c r="M152" s="392" t="str">
        <f>TEXT(J152,"mmm-yy")</f>
        <v>May-18</v>
      </c>
      <c r="N152" s="397" t="s">
        <v>1226</v>
      </c>
      <c r="O152" s="418" t="s">
        <v>1227</v>
      </c>
      <c r="P152" s="538">
        <v>1559.83</v>
      </c>
      <c r="Q152" s="418">
        <v>13890.210000000001</v>
      </c>
      <c r="R152" s="538">
        <f>SUM(P152:Q152)</f>
        <v>15450.04</v>
      </c>
      <c r="S152" s="494">
        <f>R152*1.1</f>
        <v>16995.044000000002</v>
      </c>
      <c r="T152" s="544">
        <v>9603.8700000000008</v>
      </c>
      <c r="U152" s="544"/>
      <c r="V152" s="389">
        <f>SUM(T152:U152)</f>
        <v>9603.8700000000008</v>
      </c>
      <c r="W152" s="388">
        <f>R152-V152</f>
        <v>5846.17</v>
      </c>
      <c r="X152" s="589">
        <f>W152/R152</f>
        <v>0.37839190060349359</v>
      </c>
      <c r="Y152" s="544"/>
      <c r="Z152" s="536">
        <f>F152+14</f>
        <v>43222</v>
      </c>
      <c r="AA152" s="544"/>
      <c r="AB152" s="393" t="s">
        <v>223</v>
      </c>
      <c r="AC152" s="392" t="s">
        <v>752</v>
      </c>
      <c r="AD152" s="392">
        <v>43017</v>
      </c>
      <c r="AE152" s="550"/>
      <c r="AF152" s="392">
        <v>43053</v>
      </c>
      <c r="AG152" s="546">
        <f>AF152-AD152</f>
        <v>36</v>
      </c>
      <c r="AJ152" s="553"/>
      <c r="AL152" s="704"/>
      <c r="AQ152" s="704"/>
    </row>
    <row r="153" spans="1:43" s="218" customFormat="1" ht="14.35" customHeight="1">
      <c r="A153" s="586" t="s">
        <v>714</v>
      </c>
      <c r="B153" s="545" t="s">
        <v>190</v>
      </c>
      <c r="C153" s="386" t="s">
        <v>1848</v>
      </c>
      <c r="D153" s="386">
        <v>43090</v>
      </c>
      <c r="E153" s="392">
        <v>43024</v>
      </c>
      <c r="F153" s="536">
        <v>43024</v>
      </c>
      <c r="G153" s="576">
        <v>43056</v>
      </c>
      <c r="H153" s="669">
        <v>43073</v>
      </c>
      <c r="I153" s="603">
        <v>43031</v>
      </c>
      <c r="J153" s="601">
        <f>I153+14</f>
        <v>43045</v>
      </c>
      <c r="K153" s="386"/>
      <c r="L153" s="392" t="str">
        <f>TEXT(F153,"mmm-yy")</f>
        <v>Oct-17</v>
      </c>
      <c r="M153" s="392" t="str">
        <f>TEXT(J153,"mmm-yy")</f>
        <v>Nov-17</v>
      </c>
      <c r="N153" s="397" t="s">
        <v>1228</v>
      </c>
      <c r="O153" s="418" t="s">
        <v>1227</v>
      </c>
      <c r="P153" s="538">
        <v>742.2</v>
      </c>
      <c r="Q153" s="418">
        <v>321.29000000000002</v>
      </c>
      <c r="R153" s="538">
        <f>SUM(P153:Q153)</f>
        <v>1063.49</v>
      </c>
      <c r="S153" s="494">
        <f>R153*1.1</f>
        <v>1169.8390000000002</v>
      </c>
      <c r="T153" s="544"/>
      <c r="U153" s="544"/>
      <c r="V153" s="389">
        <f>SUM(T153:U153)</f>
        <v>0</v>
      </c>
      <c r="W153" s="388">
        <f>R153-V153</f>
        <v>1063.49</v>
      </c>
      <c r="X153" s="589">
        <f>W153/R153</f>
        <v>1</v>
      </c>
      <c r="Y153" s="608" t="s">
        <v>199</v>
      </c>
      <c r="Z153" s="536">
        <f>F153+14</f>
        <v>43038</v>
      </c>
      <c r="AA153" s="383" t="s">
        <v>200</v>
      </c>
      <c r="AB153" s="393" t="s">
        <v>223</v>
      </c>
      <c r="AC153" s="392" t="s">
        <v>752</v>
      </c>
      <c r="AD153" s="392">
        <v>43017</v>
      </c>
      <c r="AE153" s="550"/>
      <c r="AF153" s="392">
        <v>43053</v>
      </c>
      <c r="AG153" s="546">
        <f>AF153-AD153</f>
        <v>36</v>
      </c>
      <c r="AJ153" s="553"/>
      <c r="AL153" s="704"/>
      <c r="AQ153" s="704"/>
    </row>
    <row r="154" spans="1:43" s="218" customFormat="1" ht="14.35" customHeight="1">
      <c r="A154" s="586" t="s">
        <v>714</v>
      </c>
      <c r="B154" s="545" t="s">
        <v>190</v>
      </c>
      <c r="C154" s="386" t="s">
        <v>2156</v>
      </c>
      <c r="D154" s="386">
        <v>42772</v>
      </c>
      <c r="E154" s="392">
        <v>43112</v>
      </c>
      <c r="F154" s="392">
        <v>43112</v>
      </c>
      <c r="G154" s="603">
        <v>43112</v>
      </c>
      <c r="H154" s="753">
        <v>43116</v>
      </c>
      <c r="I154" s="603">
        <v>43125</v>
      </c>
      <c r="J154" s="603">
        <v>43137</v>
      </c>
      <c r="K154" s="386"/>
      <c r="L154" s="392" t="str">
        <f>TEXT(F154,"mmm-yy")</f>
        <v>Jan-18</v>
      </c>
      <c r="M154" s="392" t="str">
        <f>TEXT(J154,"mmm-yy")</f>
        <v>Feb-18</v>
      </c>
      <c r="N154" s="397" t="s">
        <v>1236</v>
      </c>
      <c r="O154" s="418" t="s">
        <v>254</v>
      </c>
      <c r="P154" s="538">
        <v>684.18</v>
      </c>
      <c r="Q154" s="418">
        <v>1930.07</v>
      </c>
      <c r="R154" s="538">
        <f>SUM(P154:Q154)</f>
        <v>2614.25</v>
      </c>
      <c r="S154" s="494">
        <f>R154*1.1</f>
        <v>2875.6750000000002</v>
      </c>
      <c r="T154" s="544"/>
      <c r="U154" s="544"/>
      <c r="V154" s="389">
        <f>SUM(T154:U154)</f>
        <v>0</v>
      </c>
      <c r="W154" s="388">
        <f>R154-V154</f>
        <v>2614.25</v>
      </c>
      <c r="X154" s="589">
        <f>W154/R154</f>
        <v>1</v>
      </c>
      <c r="Y154" s="544"/>
      <c r="Z154" s="536">
        <f>F154+14</f>
        <v>43126</v>
      </c>
      <c r="AA154" s="544"/>
      <c r="AB154" s="393" t="s">
        <v>757</v>
      </c>
      <c r="AC154" s="392" t="s">
        <v>752</v>
      </c>
      <c r="AD154" s="392">
        <v>43018</v>
      </c>
      <c r="AE154" s="550"/>
      <c r="AF154" s="392">
        <v>43053</v>
      </c>
      <c r="AG154" s="546">
        <f>AF154-AD154</f>
        <v>35</v>
      </c>
      <c r="AJ154" s="553"/>
      <c r="AL154" s="704"/>
      <c r="AQ154" s="704"/>
    </row>
    <row r="155" spans="1:43" s="218" customFormat="1" ht="14.35" customHeight="1">
      <c r="A155" s="586" t="s">
        <v>714</v>
      </c>
      <c r="B155" s="545" t="s">
        <v>190</v>
      </c>
      <c r="C155" s="386" t="s">
        <v>1355</v>
      </c>
      <c r="D155" s="386">
        <v>43053</v>
      </c>
      <c r="E155" s="392">
        <v>43024</v>
      </c>
      <c r="F155" s="392">
        <v>43024</v>
      </c>
      <c r="G155" s="727"/>
      <c r="H155" s="728"/>
      <c r="I155" s="603">
        <v>43031</v>
      </c>
      <c r="J155" s="576">
        <v>43055</v>
      </c>
      <c r="K155" s="386"/>
      <c r="L155" s="392" t="str">
        <f>TEXT(F155,"mmm-yy")</f>
        <v>Oct-17</v>
      </c>
      <c r="M155" s="392" t="str">
        <f>TEXT(J155,"mmm-yy")</f>
        <v>Nov-17</v>
      </c>
      <c r="N155" s="397" t="s">
        <v>1237</v>
      </c>
      <c r="O155" s="418" t="s">
        <v>385</v>
      </c>
      <c r="P155" s="538">
        <v>697.93</v>
      </c>
      <c r="Q155" s="684"/>
      <c r="R155" s="538">
        <f>SUM(P155:Q155)</f>
        <v>697.93</v>
      </c>
      <c r="S155" s="494">
        <f>R155*1.1</f>
        <v>767.72299999999996</v>
      </c>
      <c r="T155" s="544"/>
      <c r="U155" s="544"/>
      <c r="V155" s="389">
        <f>SUM(T155:U155)</f>
        <v>0</v>
      </c>
      <c r="W155" s="388">
        <f>R155-V155</f>
        <v>697.93</v>
      </c>
      <c r="X155" s="589">
        <f>W155/R155</f>
        <v>1</v>
      </c>
      <c r="Y155" s="608" t="s">
        <v>199</v>
      </c>
      <c r="Z155" s="536">
        <f>F155+14</f>
        <v>43038</v>
      </c>
      <c r="AA155" s="383" t="s">
        <v>200</v>
      </c>
      <c r="AB155" s="393" t="s">
        <v>210</v>
      </c>
      <c r="AC155" s="392" t="s">
        <v>752</v>
      </c>
      <c r="AD155" s="392">
        <v>43011</v>
      </c>
      <c r="AE155" s="550"/>
      <c r="AF155" s="392">
        <v>43050</v>
      </c>
      <c r="AG155" s="546">
        <f>AF155-AD155</f>
        <v>39</v>
      </c>
      <c r="AJ155" s="553"/>
      <c r="AL155" s="704"/>
      <c r="AQ155" s="704"/>
    </row>
    <row r="156" spans="1:43" s="218" customFormat="1" ht="14.35" customHeight="1">
      <c r="A156" s="586" t="s">
        <v>714</v>
      </c>
      <c r="B156" s="545" t="s">
        <v>190</v>
      </c>
      <c r="C156" s="386" t="s">
        <v>1828</v>
      </c>
      <c r="D156" s="386">
        <v>43112</v>
      </c>
      <c r="E156" s="392">
        <v>43063</v>
      </c>
      <c r="F156" s="536">
        <v>43063</v>
      </c>
      <c r="G156" s="576">
        <v>43063</v>
      </c>
      <c r="H156" s="669">
        <v>43089</v>
      </c>
      <c r="I156" s="601">
        <f>F156+14</f>
        <v>43077</v>
      </c>
      <c r="J156" s="576">
        <v>43116</v>
      </c>
      <c r="K156" s="386"/>
      <c r="L156" s="392" t="str">
        <f>TEXT(F156,"mmm-yy")</f>
        <v>Nov-17</v>
      </c>
      <c r="M156" s="392" t="str">
        <f>TEXT(J156,"mmm-yy")</f>
        <v>Jan-18</v>
      </c>
      <c r="N156" s="397" t="s">
        <v>1238</v>
      </c>
      <c r="O156" s="418" t="s">
        <v>491</v>
      </c>
      <c r="P156" s="538">
        <v>787.99</v>
      </c>
      <c r="Q156" s="418">
        <v>3543.3989999999999</v>
      </c>
      <c r="R156" s="538">
        <f>SUM(P156:Q156)</f>
        <v>4331.3890000000001</v>
      </c>
      <c r="S156" s="494">
        <f>R156*1.1</f>
        <v>4764.527900000001</v>
      </c>
      <c r="T156" s="544">
        <v>2729.39</v>
      </c>
      <c r="U156" s="544"/>
      <c r="V156" s="389">
        <f>SUM(T156:U156)</f>
        <v>2729.39</v>
      </c>
      <c r="W156" s="388">
        <f>R156-V156</f>
        <v>1601.9990000000003</v>
      </c>
      <c r="X156" s="589">
        <f>W156/R156</f>
        <v>0.36985802937579615</v>
      </c>
      <c r="Y156" s="544"/>
      <c r="Z156" s="536">
        <f>F156+14</f>
        <v>43077</v>
      </c>
      <c r="AA156" s="544"/>
      <c r="AB156" s="393" t="s">
        <v>223</v>
      </c>
      <c r="AC156" s="392" t="s">
        <v>752</v>
      </c>
      <c r="AD156" s="392">
        <v>43011</v>
      </c>
      <c r="AE156" s="550"/>
      <c r="AF156" s="392">
        <v>43053</v>
      </c>
      <c r="AG156" s="546">
        <f>AF156-AD156</f>
        <v>42</v>
      </c>
      <c r="AJ156" s="553"/>
      <c r="AL156" s="704"/>
      <c r="AQ156" s="704"/>
    </row>
    <row r="157" spans="1:43" s="218" customFormat="1" ht="14.35" customHeight="1">
      <c r="A157" s="586" t="s">
        <v>714</v>
      </c>
      <c r="B157" s="545" t="s">
        <v>190</v>
      </c>
      <c r="C157" s="386" t="s">
        <v>2383</v>
      </c>
      <c r="D157" s="386">
        <v>43174</v>
      </c>
      <c r="E157" s="392">
        <v>43139</v>
      </c>
      <c r="F157" s="392">
        <v>43139</v>
      </c>
      <c r="G157" s="603">
        <v>43139</v>
      </c>
      <c r="H157" s="753">
        <v>43152</v>
      </c>
      <c r="I157" s="603">
        <v>43151</v>
      </c>
      <c r="J157" s="576">
        <v>43174</v>
      </c>
      <c r="K157" s="386"/>
      <c r="L157" s="392" t="str">
        <f>TEXT(F157,"mmm-yy")</f>
        <v>Feb-18</v>
      </c>
      <c r="M157" s="392" t="str">
        <f>TEXT(J157,"mmm-yy")</f>
        <v>Mar-18</v>
      </c>
      <c r="N157" s="397" t="s">
        <v>1241</v>
      </c>
      <c r="O157" s="418" t="s">
        <v>212</v>
      </c>
      <c r="P157" s="538">
        <v>550.82000000000005</v>
      </c>
      <c r="Q157" s="418">
        <v>2183.1</v>
      </c>
      <c r="R157" s="538">
        <f>SUM(P157:Q157)</f>
        <v>2733.92</v>
      </c>
      <c r="S157" s="494">
        <f>R157*1.1</f>
        <v>3007.3120000000004</v>
      </c>
      <c r="T157" s="544"/>
      <c r="U157" s="544"/>
      <c r="V157" s="389">
        <f>SUM(T157:U157)</f>
        <v>0</v>
      </c>
      <c r="W157" s="388">
        <f>R157-V157</f>
        <v>2733.92</v>
      </c>
      <c r="X157" s="589">
        <f>W157/R157</f>
        <v>1</v>
      </c>
      <c r="Y157" s="544"/>
      <c r="Z157" s="536">
        <f>F157+14</f>
        <v>43153</v>
      </c>
      <c r="AA157" s="544"/>
      <c r="AB157" s="393" t="s">
        <v>1242</v>
      </c>
      <c r="AC157" s="392" t="s">
        <v>752</v>
      </c>
      <c r="AD157" s="392">
        <v>43012</v>
      </c>
      <c r="AE157" s="550"/>
      <c r="AF157" s="392">
        <v>43039</v>
      </c>
      <c r="AG157" s="546">
        <f>AF157-AD157</f>
        <v>27</v>
      </c>
      <c r="AJ157" s="553"/>
      <c r="AL157" s="704"/>
    </row>
    <row r="158" spans="1:43" s="218" customFormat="1" ht="14.35" customHeight="1">
      <c r="A158" s="586" t="s">
        <v>714</v>
      </c>
      <c r="B158" s="545" t="s">
        <v>190</v>
      </c>
      <c r="C158" s="386" t="s">
        <v>1790</v>
      </c>
      <c r="D158" s="386">
        <v>42743</v>
      </c>
      <c r="E158" s="392">
        <v>43062</v>
      </c>
      <c r="F158" s="536">
        <v>43062</v>
      </c>
      <c r="G158" s="661">
        <v>43062</v>
      </c>
      <c r="H158" s="661">
        <v>43067</v>
      </c>
      <c r="I158" s="576">
        <v>43081</v>
      </c>
      <c r="J158" s="667">
        <v>43097</v>
      </c>
      <c r="K158" s="386"/>
      <c r="L158" s="392" t="str">
        <f>TEXT(F158,"mmm-yy")</f>
        <v>Nov-17</v>
      </c>
      <c r="M158" s="392" t="str">
        <f>TEXT(J158,"mmm-yy")</f>
        <v>Dec-17</v>
      </c>
      <c r="N158" s="397" t="s">
        <v>1243</v>
      </c>
      <c r="O158" s="418" t="s">
        <v>254</v>
      </c>
      <c r="P158" s="538">
        <v>1098.26</v>
      </c>
      <c r="Q158" s="418">
        <v>994.09</v>
      </c>
      <c r="R158" s="538">
        <f>SUM(P158:Q158)</f>
        <v>2092.35</v>
      </c>
      <c r="S158" s="494">
        <f>R158*1.1</f>
        <v>2301.585</v>
      </c>
      <c r="T158" s="544">
        <v>1331.8</v>
      </c>
      <c r="U158" s="544"/>
      <c r="V158" s="389">
        <f>SUM(T158:U158)</f>
        <v>1331.8</v>
      </c>
      <c r="W158" s="388">
        <f>R158-V158</f>
        <v>760.55</v>
      </c>
      <c r="X158" s="589">
        <f>W158/R158</f>
        <v>0.3634908117666738</v>
      </c>
      <c r="Y158" s="608" t="s">
        <v>199</v>
      </c>
      <c r="Z158" s="536">
        <f>F158+14</f>
        <v>43076</v>
      </c>
      <c r="AA158" s="383" t="s">
        <v>200</v>
      </c>
      <c r="AB158" s="590" t="s">
        <v>727</v>
      </c>
      <c r="AC158" s="392" t="s">
        <v>752</v>
      </c>
      <c r="AD158" s="392">
        <v>43012</v>
      </c>
      <c r="AE158" s="550"/>
      <c r="AF158" s="392">
        <v>43053</v>
      </c>
      <c r="AG158" s="546">
        <f>AF158-AD158</f>
        <v>41</v>
      </c>
      <c r="AJ158" s="553"/>
      <c r="AL158" s="704"/>
      <c r="AQ158" s="704"/>
    </row>
    <row r="159" spans="1:43" s="218" customFormat="1" ht="14.35" customHeight="1">
      <c r="A159" s="586" t="s">
        <v>715</v>
      </c>
      <c r="B159" s="545" t="s">
        <v>764</v>
      </c>
      <c r="C159" s="386" t="s">
        <v>2374</v>
      </c>
      <c r="D159" s="386">
        <v>43455</v>
      </c>
      <c r="E159" s="392">
        <v>43060</v>
      </c>
      <c r="F159" s="536">
        <v>43060</v>
      </c>
      <c r="G159" s="661">
        <v>43060</v>
      </c>
      <c r="H159" s="661">
        <v>43067</v>
      </c>
      <c r="I159" s="667">
        <v>43075</v>
      </c>
      <c r="J159" s="667">
        <v>43090</v>
      </c>
      <c r="K159" s="386"/>
      <c r="L159" s="392" t="str">
        <f>TEXT(F159,"mmm-yy")</f>
        <v>Nov-17</v>
      </c>
      <c r="M159" s="392" t="str">
        <f>TEXT(J159,"mmm-yy")</f>
        <v>Dec-17</v>
      </c>
      <c r="N159" s="397" t="s">
        <v>1169</v>
      </c>
      <c r="O159" s="418" t="s">
        <v>612</v>
      </c>
      <c r="P159" s="538">
        <v>5689.31</v>
      </c>
      <c r="Q159" s="418">
        <v>1388.17</v>
      </c>
      <c r="R159" s="538">
        <f>SUM(P159:Q159)</f>
        <v>7077.4800000000005</v>
      </c>
      <c r="S159" s="494">
        <f>R159*1.1</f>
        <v>7785.228000000001</v>
      </c>
      <c r="T159" s="544"/>
      <c r="U159" s="544"/>
      <c r="V159" s="389">
        <f>SUM(T159:U159)</f>
        <v>0</v>
      </c>
      <c r="W159" s="388">
        <f>R159-V159</f>
        <v>7077.4800000000005</v>
      </c>
      <c r="X159" s="589">
        <f>W159/R159</f>
        <v>1</v>
      </c>
      <c r="Y159" s="608" t="s">
        <v>199</v>
      </c>
      <c r="Z159" s="536">
        <f>F159+14</f>
        <v>43074</v>
      </c>
      <c r="AA159" s="383" t="s">
        <v>200</v>
      </c>
      <c r="AB159" s="393" t="s">
        <v>959</v>
      </c>
      <c r="AC159" s="392">
        <v>42996</v>
      </c>
      <c r="AD159" s="392">
        <v>43032</v>
      </c>
      <c r="AE159" s="550"/>
      <c r="AF159" s="392">
        <v>43062</v>
      </c>
      <c r="AG159" s="546">
        <f>AF159-AD159</f>
        <v>30</v>
      </c>
      <c r="AJ159" s="553"/>
      <c r="AL159" s="704"/>
      <c r="AQ159" s="704"/>
    </row>
    <row r="160" spans="1:43" s="218" customFormat="1" ht="14.35" customHeight="1">
      <c r="A160" s="586" t="s">
        <v>715</v>
      </c>
      <c r="B160" s="545" t="s">
        <v>764</v>
      </c>
      <c r="C160" s="386" t="s">
        <v>2892</v>
      </c>
      <c r="D160" s="386">
        <v>43452</v>
      </c>
      <c r="E160" s="392">
        <v>43056</v>
      </c>
      <c r="F160" s="536">
        <v>43056</v>
      </c>
      <c r="G160" s="603">
        <v>43061</v>
      </c>
      <c r="H160" s="753">
        <v>43067</v>
      </c>
      <c r="I160" s="577">
        <v>43073</v>
      </c>
      <c r="J160" s="731">
        <v>43081</v>
      </c>
      <c r="K160" s="386"/>
      <c r="L160" s="392" t="str">
        <f>TEXT(F160,"mmm-yy")</f>
        <v>Nov-17</v>
      </c>
      <c r="M160" s="392" t="str">
        <f>TEXT(J160,"mmm-yy")</f>
        <v>Dec-17</v>
      </c>
      <c r="N160" s="397" t="s">
        <v>1244</v>
      </c>
      <c r="O160" s="418" t="s">
        <v>1246</v>
      </c>
      <c r="P160" s="538">
        <v>6328.8649999999998</v>
      </c>
      <c r="Q160" s="418">
        <v>14364.323571428573</v>
      </c>
      <c r="R160" s="538">
        <f>SUM(P160:Q160)</f>
        <v>20693.188571428575</v>
      </c>
      <c r="S160" s="494">
        <f>R160*1.1</f>
        <v>22762.507428571433</v>
      </c>
      <c r="T160" s="544"/>
      <c r="U160" s="544"/>
      <c r="V160" s="389">
        <f>SUM(T160:U160)</f>
        <v>0</v>
      </c>
      <c r="W160" s="388">
        <f>R160-V160</f>
        <v>20693.188571428575</v>
      </c>
      <c r="X160" s="589">
        <f>W160/R160</f>
        <v>1</v>
      </c>
      <c r="Y160" s="608" t="s">
        <v>199</v>
      </c>
      <c r="Z160" s="536">
        <f>F160+14</f>
        <v>43070</v>
      </c>
      <c r="AA160" s="383" t="s">
        <v>200</v>
      </c>
      <c r="AB160" s="393" t="s">
        <v>959</v>
      </c>
      <c r="AC160" s="392">
        <v>43010</v>
      </c>
      <c r="AD160" s="392"/>
      <c r="AE160" s="550"/>
      <c r="AF160" s="392"/>
      <c r="AG160" s="546"/>
      <c r="AJ160" s="553"/>
      <c r="AL160" s="704"/>
      <c r="AQ160" s="704"/>
    </row>
    <row r="161" spans="1:43" s="218" customFormat="1" ht="14.35" customHeight="1">
      <c r="A161" s="586" t="s">
        <v>715</v>
      </c>
      <c r="B161" s="545" t="s">
        <v>764</v>
      </c>
      <c r="C161" s="386" t="s">
        <v>2263</v>
      </c>
      <c r="D161" s="386">
        <v>43153</v>
      </c>
      <c r="E161" s="392">
        <v>43122</v>
      </c>
      <c r="F161" s="392">
        <v>43122</v>
      </c>
      <c r="G161" s="667">
        <v>43122</v>
      </c>
      <c r="H161" s="754">
        <v>43138</v>
      </c>
      <c r="I161" s="667">
        <v>43138</v>
      </c>
      <c r="J161" s="576">
        <v>43158</v>
      </c>
      <c r="K161" s="386"/>
      <c r="L161" s="392" t="str">
        <f>TEXT(F161,"mmm-yy")</f>
        <v>Jan-18</v>
      </c>
      <c r="M161" s="392" t="str">
        <f>TEXT(J161,"mmm-yy")</f>
        <v>Feb-18</v>
      </c>
      <c r="N161" s="445" t="s">
        <v>1245</v>
      </c>
      <c r="O161" s="418" t="s">
        <v>612</v>
      </c>
      <c r="P161" s="538">
        <v>8670.86</v>
      </c>
      <c r="Q161" s="418">
        <v>4015.54</v>
      </c>
      <c r="R161" s="538">
        <f>SUM(P161:Q161)</f>
        <v>12686.400000000001</v>
      </c>
      <c r="S161" s="494">
        <f>R161*1.1</f>
        <v>13955.040000000003</v>
      </c>
      <c r="T161" s="544"/>
      <c r="U161" s="544"/>
      <c r="V161" s="389">
        <f>SUM(T161:U161)</f>
        <v>0</v>
      </c>
      <c r="W161" s="388">
        <f>R161-V161</f>
        <v>12686.400000000001</v>
      </c>
      <c r="X161" s="589">
        <f>W161/R161</f>
        <v>1</v>
      </c>
      <c r="Y161" s="544"/>
      <c r="Z161" s="536">
        <f>F161+14</f>
        <v>43136</v>
      </c>
      <c r="AA161" s="544"/>
      <c r="AB161" s="393" t="s">
        <v>959</v>
      </c>
      <c r="AC161" s="392">
        <v>43010</v>
      </c>
      <c r="AD161" s="392"/>
      <c r="AE161" s="550"/>
      <c r="AF161" s="392"/>
      <c r="AG161" s="546"/>
      <c r="AJ161" s="553"/>
      <c r="AL161" s="704"/>
      <c r="AQ161" s="704"/>
    </row>
    <row r="162" spans="1:43" s="218" customFormat="1" ht="14.35" customHeight="1">
      <c r="A162" s="545" t="s">
        <v>716</v>
      </c>
      <c r="B162" s="545" t="s">
        <v>541</v>
      </c>
      <c r="C162" s="386" t="s">
        <v>2365</v>
      </c>
      <c r="D162" s="386">
        <v>43137</v>
      </c>
      <c r="E162" s="392">
        <v>43131</v>
      </c>
      <c r="F162" s="536">
        <v>43125</v>
      </c>
      <c r="G162" s="603">
        <v>43131</v>
      </c>
      <c r="H162" s="753">
        <v>43143</v>
      </c>
      <c r="I162" s="603">
        <v>43133</v>
      </c>
      <c r="J162" s="576">
        <v>43167</v>
      </c>
      <c r="K162" s="386"/>
      <c r="L162" s="392" t="str">
        <f>TEXT(F162,"mmm-yy")</f>
        <v>Jan-18</v>
      </c>
      <c r="M162" s="392" t="str">
        <f>TEXT(J162,"mmm-yy")</f>
        <v>Mar-18</v>
      </c>
      <c r="N162" s="683" t="s">
        <v>1250</v>
      </c>
      <c r="O162" s="418" t="s">
        <v>561</v>
      </c>
      <c r="P162" s="538">
        <v>1281.43</v>
      </c>
      <c r="Q162" s="418">
        <v>69306.039999999994</v>
      </c>
      <c r="R162" s="538">
        <f>SUM(P162:Q162)</f>
        <v>70587.469999999987</v>
      </c>
      <c r="S162" s="494">
        <f>R162*1.1</f>
        <v>77646.21699999999</v>
      </c>
      <c r="T162" s="544"/>
      <c r="U162" s="544"/>
      <c r="V162" s="389">
        <f>SUM(T162:U162)</f>
        <v>0</v>
      </c>
      <c r="W162" s="388">
        <f>R162-V162</f>
        <v>70587.469999999987</v>
      </c>
      <c r="X162" s="589">
        <f>W162/R162</f>
        <v>1</v>
      </c>
      <c r="Y162" s="544"/>
      <c r="Z162" s="536">
        <f>F162+14</f>
        <v>43139</v>
      </c>
      <c r="AA162" s="544"/>
      <c r="AB162" s="393" t="s">
        <v>1247</v>
      </c>
      <c r="AC162" s="392">
        <v>43007</v>
      </c>
      <c r="AD162" s="392">
        <v>43024</v>
      </c>
      <c r="AE162" s="550"/>
      <c r="AF162" s="392"/>
      <c r="AG162" s="546"/>
      <c r="AJ162" s="553"/>
      <c r="AL162" s="704"/>
      <c r="AQ162" s="704"/>
    </row>
    <row r="163" spans="1:43" s="218" customFormat="1" ht="14.35" customHeight="1">
      <c r="A163" s="586" t="s">
        <v>714</v>
      </c>
      <c r="B163" s="545" t="s">
        <v>190</v>
      </c>
      <c r="C163" s="386" t="s">
        <v>2158</v>
      </c>
      <c r="D163" s="386">
        <v>43138</v>
      </c>
      <c r="E163" s="392">
        <v>43081</v>
      </c>
      <c r="F163" s="536">
        <v>43082</v>
      </c>
      <c r="G163" s="603">
        <v>43112</v>
      </c>
      <c r="H163" s="753">
        <v>43124</v>
      </c>
      <c r="I163" s="576">
        <v>43102</v>
      </c>
      <c r="J163" s="576">
        <v>43139</v>
      </c>
      <c r="K163" s="386"/>
      <c r="L163" s="392" t="str">
        <f>TEXT(F163,"mmm-yy")</f>
        <v>Dec-17</v>
      </c>
      <c r="M163" s="392" t="str">
        <f>TEXT(J163,"mmm-yy")</f>
        <v>Feb-18</v>
      </c>
      <c r="N163" s="397" t="s">
        <v>1259</v>
      </c>
      <c r="O163" s="418" t="s">
        <v>725</v>
      </c>
      <c r="P163" s="538">
        <v>2633.83</v>
      </c>
      <c r="Q163" s="418">
        <v>-2118.86</v>
      </c>
      <c r="R163" s="538">
        <f>SUM(P163:Q163)</f>
        <v>514.9699999999998</v>
      </c>
      <c r="S163" s="494">
        <f>R163*1.1</f>
        <v>566.46699999999987</v>
      </c>
      <c r="T163" s="544"/>
      <c r="U163" s="544"/>
      <c r="V163" s="389">
        <f>SUM(T163:U163)</f>
        <v>0</v>
      </c>
      <c r="W163" s="388">
        <f>R163-V163</f>
        <v>514.9699999999998</v>
      </c>
      <c r="X163" s="589">
        <f>W163/R163</f>
        <v>1</v>
      </c>
      <c r="Y163" s="544"/>
      <c r="Z163" s="536">
        <f>F163+14</f>
        <v>43096</v>
      </c>
      <c r="AA163" s="544"/>
      <c r="AB163" s="393" t="s">
        <v>210</v>
      </c>
      <c r="AC163" s="392" t="s">
        <v>752</v>
      </c>
      <c r="AD163" s="392">
        <v>43022</v>
      </c>
      <c r="AE163" s="550"/>
      <c r="AF163" s="392">
        <v>43053</v>
      </c>
      <c r="AG163" s="546">
        <f>AF163-AD163</f>
        <v>31</v>
      </c>
      <c r="AJ163" s="553"/>
      <c r="AL163" s="704"/>
      <c r="AQ163" s="704"/>
    </row>
    <row r="164" spans="1:43" s="218" customFormat="1" ht="14.35" customHeight="1">
      <c r="A164" s="586" t="s">
        <v>715</v>
      </c>
      <c r="B164" s="545" t="s">
        <v>190</v>
      </c>
      <c r="C164" s="386" t="s">
        <v>2258</v>
      </c>
      <c r="D164" s="392">
        <v>43153</v>
      </c>
      <c r="E164" s="392">
        <v>43090</v>
      </c>
      <c r="F164" s="392">
        <v>43091</v>
      </c>
      <c r="G164" s="576">
        <v>43109</v>
      </c>
      <c r="H164" s="669">
        <v>43138</v>
      </c>
      <c r="I164" s="669">
        <v>43108</v>
      </c>
      <c r="J164" s="576">
        <v>43158</v>
      </c>
      <c r="K164" s="386"/>
      <c r="L164" s="392" t="str">
        <f>TEXT(F164,"mmm-yy")</f>
        <v>Dec-17</v>
      </c>
      <c r="M164" s="392" t="str">
        <f>TEXT(J164,"mmm-yy")</f>
        <v>Feb-18</v>
      </c>
      <c r="N164" s="354" t="s">
        <v>1165</v>
      </c>
      <c r="O164" s="418" t="s">
        <v>1264</v>
      </c>
      <c r="P164" s="538">
        <v>2751.085</v>
      </c>
      <c r="Q164" s="418">
        <v>1880.81</v>
      </c>
      <c r="R164" s="538">
        <f>SUM(P164:Q164)</f>
        <v>4631.8950000000004</v>
      </c>
      <c r="S164" s="494">
        <f>R164*1.1</f>
        <v>5095.0845000000008</v>
      </c>
      <c r="T164" s="544">
        <v>1316.57</v>
      </c>
      <c r="U164" s="544"/>
      <c r="V164" s="389">
        <f>SUM(T164:U164)</f>
        <v>1316.57</v>
      </c>
      <c r="W164" s="388">
        <f>R164-V164</f>
        <v>3315.3250000000007</v>
      </c>
      <c r="X164" s="589">
        <f>W164/R164</f>
        <v>0.71575996433425204</v>
      </c>
      <c r="Y164" s="544"/>
      <c r="Z164" s="536">
        <f>F164+14</f>
        <v>43105</v>
      </c>
      <c r="AA164" s="544"/>
      <c r="AB164" s="393" t="s">
        <v>693</v>
      </c>
      <c r="AC164" s="392">
        <v>42996</v>
      </c>
      <c r="AD164" s="392">
        <v>43021</v>
      </c>
      <c r="AE164" s="550"/>
      <c r="AF164" s="392">
        <v>43022</v>
      </c>
      <c r="AG164" s="546"/>
      <c r="AJ164" s="553"/>
      <c r="AL164" s="704"/>
      <c r="AQ164" s="704"/>
    </row>
    <row r="165" spans="1:43" s="218" customFormat="1" ht="14.35" customHeight="1">
      <c r="A165" s="586" t="s">
        <v>714</v>
      </c>
      <c r="B165" s="545" t="s">
        <v>190</v>
      </c>
      <c r="C165" s="386" t="s">
        <v>1348</v>
      </c>
      <c r="D165" s="386">
        <v>43052</v>
      </c>
      <c r="E165" s="392">
        <v>43024</v>
      </c>
      <c r="F165" s="392">
        <v>43024</v>
      </c>
      <c r="G165" s="661">
        <v>43032</v>
      </c>
      <c r="H165" s="661">
        <v>43039</v>
      </c>
      <c r="I165" s="576">
        <v>43031</v>
      </c>
      <c r="J165" s="577">
        <v>43055</v>
      </c>
      <c r="K165" s="386"/>
      <c r="L165" s="392" t="str">
        <f>TEXT(F165,"mmm-yy")</f>
        <v>Oct-17</v>
      </c>
      <c r="M165" s="392" t="str">
        <f>TEXT(J165,"mmm-yy")</f>
        <v>Nov-17</v>
      </c>
      <c r="N165" s="397" t="s">
        <v>1266</v>
      </c>
      <c r="O165" s="418" t="s">
        <v>385</v>
      </c>
      <c r="P165" s="538">
        <v>1740.59</v>
      </c>
      <c r="Q165" s="418">
        <v>-95.96</v>
      </c>
      <c r="R165" s="538">
        <f>SUM(P165:Q165)</f>
        <v>1644.6299999999999</v>
      </c>
      <c r="S165" s="494">
        <f>R165*1.1</f>
        <v>1809.0930000000001</v>
      </c>
      <c r="T165" s="544">
        <v>637.19090909090903</v>
      </c>
      <c r="U165" s="544"/>
      <c r="V165" s="389">
        <f>SUM(T165:U165)</f>
        <v>637.19090909090903</v>
      </c>
      <c r="W165" s="388">
        <f>R165-V165</f>
        <v>1007.4390909090909</v>
      </c>
      <c r="X165" s="589">
        <f>W165/R165</f>
        <v>0.6125627593495746</v>
      </c>
      <c r="Y165" s="608" t="s">
        <v>199</v>
      </c>
      <c r="Z165" s="536">
        <f>F165+14</f>
        <v>43038</v>
      </c>
      <c r="AA165" s="383" t="s">
        <v>200</v>
      </c>
      <c r="AB165" s="393" t="s">
        <v>210</v>
      </c>
      <c r="AC165" s="392" t="s">
        <v>752</v>
      </c>
      <c r="AD165" s="392">
        <v>42971</v>
      </c>
      <c r="AE165" s="550"/>
      <c r="AF165" s="392">
        <v>42993</v>
      </c>
      <c r="AG165" s="546">
        <f>AF165-AD165</f>
        <v>22</v>
      </c>
      <c r="AJ165" s="553"/>
      <c r="AL165" s="704"/>
      <c r="AQ165" s="704"/>
    </row>
    <row r="166" spans="1:43" s="218" customFormat="1" ht="14.35" customHeight="1">
      <c r="A166" s="586" t="s">
        <v>715</v>
      </c>
      <c r="B166" s="545" t="s">
        <v>724</v>
      </c>
      <c r="C166" s="386" t="s">
        <v>1849</v>
      </c>
      <c r="D166" s="386">
        <v>43090</v>
      </c>
      <c r="E166" s="392">
        <v>43061</v>
      </c>
      <c r="F166" s="536">
        <v>43061</v>
      </c>
      <c r="G166" s="756"/>
      <c r="H166" s="757"/>
      <c r="I166" s="601">
        <f>F166+14</f>
        <v>43075</v>
      </c>
      <c r="J166" s="601">
        <f>I166+14</f>
        <v>43089</v>
      </c>
      <c r="K166" s="386"/>
      <c r="L166" s="392" t="str">
        <f>TEXT(F166,"mmm-yy")</f>
        <v>Nov-17</v>
      </c>
      <c r="M166" s="392" t="str">
        <f>TEXT(J166,"mmm-yy")</f>
        <v>Dec-17</v>
      </c>
      <c r="N166" s="397" t="s">
        <v>1108</v>
      </c>
      <c r="O166" s="418" t="s">
        <v>933</v>
      </c>
      <c r="P166" s="538">
        <v>1430</v>
      </c>
      <c r="Q166" s="684"/>
      <c r="R166" s="538">
        <f>SUM(P166:Q166)</f>
        <v>1430</v>
      </c>
      <c r="S166" s="494">
        <f>R166*1.1</f>
        <v>1573.0000000000002</v>
      </c>
      <c r="T166" s="544"/>
      <c r="U166" s="544"/>
      <c r="V166" s="389">
        <f>SUM(T166:U166)</f>
        <v>0</v>
      </c>
      <c r="W166" s="388">
        <f>R166-V166</f>
        <v>1430</v>
      </c>
      <c r="X166" s="589">
        <f>W166/R166</f>
        <v>1</v>
      </c>
      <c r="Y166" s="608" t="s">
        <v>199</v>
      </c>
      <c r="Z166" s="536">
        <f>F166+14</f>
        <v>43075</v>
      </c>
      <c r="AA166" s="383" t="s">
        <v>200</v>
      </c>
      <c r="AB166" s="393" t="s">
        <v>220</v>
      </c>
      <c r="AC166" s="392">
        <v>42986</v>
      </c>
      <c r="AD166" s="625"/>
      <c r="AE166" s="626">
        <f>AD166-AC166</f>
        <v>-42986</v>
      </c>
      <c r="AF166" s="392"/>
      <c r="AG166" s="546"/>
      <c r="AJ166" s="553"/>
      <c r="AL166" s="704"/>
      <c r="AQ166" s="704"/>
    </row>
    <row r="167" spans="1:43" s="218" customFormat="1" ht="14.35" customHeight="1">
      <c r="A167" s="586" t="s">
        <v>715</v>
      </c>
      <c r="B167" s="545" t="s">
        <v>190</v>
      </c>
      <c r="C167" s="386"/>
      <c r="D167" s="386"/>
      <c r="E167" s="392"/>
      <c r="F167" s="392">
        <v>43250</v>
      </c>
      <c r="G167" s="601"/>
      <c r="H167" s="752"/>
      <c r="I167" s="601"/>
      <c r="J167" s="601"/>
      <c r="K167" s="386"/>
      <c r="L167" s="392" t="str">
        <f>TEXT(F167,"mmm-yy")</f>
        <v>May-18</v>
      </c>
      <c r="M167" s="392" t="str">
        <f>TEXT(J167,"mmm-yy")</f>
        <v>Jan-00</v>
      </c>
      <c r="N167" s="397" t="s">
        <v>1254</v>
      </c>
      <c r="O167" s="418" t="s">
        <v>967</v>
      </c>
      <c r="P167" s="538">
        <v>2322.6892857142852</v>
      </c>
      <c r="Q167" s="418"/>
      <c r="R167" s="538">
        <f>SUM(P167:Q167)</f>
        <v>2322.6892857142852</v>
      </c>
      <c r="S167" s="494">
        <f>R167*1.1</f>
        <v>2554.9582142857139</v>
      </c>
      <c r="T167" s="544"/>
      <c r="U167" s="544"/>
      <c r="V167" s="389">
        <f>SUM(T167:U167)</f>
        <v>0</v>
      </c>
      <c r="W167" s="388">
        <f>R167-V167</f>
        <v>2322.6892857142852</v>
      </c>
      <c r="X167" s="589">
        <f>W167/R167</f>
        <v>1</v>
      </c>
      <c r="Y167" s="544"/>
      <c r="Z167" s="536">
        <f>F167+14</f>
        <v>43264</v>
      </c>
      <c r="AA167" s="383" t="s">
        <v>200</v>
      </c>
      <c r="AB167" s="393" t="s">
        <v>727</v>
      </c>
      <c r="AC167" s="392">
        <v>43007</v>
      </c>
      <c r="AD167" s="392">
        <v>43026</v>
      </c>
      <c r="AE167" s="550">
        <f>AD167-AC167</f>
        <v>19</v>
      </c>
      <c r="AF167" s="392">
        <v>43034</v>
      </c>
      <c r="AG167" s="546">
        <f>AF167-AD167</f>
        <v>8</v>
      </c>
      <c r="AJ167" s="553"/>
      <c r="AL167" s="704"/>
      <c r="AQ167" s="704"/>
    </row>
    <row r="168" spans="1:43" s="218" customFormat="1" ht="14.35" customHeight="1">
      <c r="A168" s="586" t="s">
        <v>715</v>
      </c>
      <c r="B168" s="545" t="s">
        <v>1210</v>
      </c>
      <c r="C168" s="386" t="s">
        <v>1836</v>
      </c>
      <c r="D168" s="386">
        <v>43123</v>
      </c>
      <c r="E168" s="392">
        <v>43089</v>
      </c>
      <c r="F168" s="536">
        <v>43089</v>
      </c>
      <c r="G168" s="756"/>
      <c r="H168" s="757"/>
      <c r="I168" s="576">
        <v>43108</v>
      </c>
      <c r="J168" s="667">
        <v>43123</v>
      </c>
      <c r="K168" s="386"/>
      <c r="L168" s="392" t="str">
        <f>TEXT(F168,"mmm-yy")</f>
        <v>Dec-17</v>
      </c>
      <c r="M168" s="392" t="str">
        <f>TEXT(J168,"mmm-yy")</f>
        <v>Jan-18</v>
      </c>
      <c r="N168" s="397" t="s">
        <v>1109</v>
      </c>
      <c r="O168" s="418" t="s">
        <v>1296</v>
      </c>
      <c r="P168" s="538">
        <v>6664.39</v>
      </c>
      <c r="Q168" s="684"/>
      <c r="R168" s="538">
        <f>SUM(P168:Q168)</f>
        <v>6664.39</v>
      </c>
      <c r="S168" s="494">
        <f>R168*1.1</f>
        <v>7330.8290000000006</v>
      </c>
      <c r="T168" s="544"/>
      <c r="U168" s="544"/>
      <c r="V168" s="389">
        <f>SUM(T168:U168)</f>
        <v>0</v>
      </c>
      <c r="W168" s="388">
        <f>R168-V168</f>
        <v>6664.39</v>
      </c>
      <c r="X168" s="589">
        <f>W168/R168</f>
        <v>1</v>
      </c>
      <c r="Y168" s="544"/>
      <c r="Z168" s="536">
        <f>F168+14</f>
        <v>43103</v>
      </c>
      <c r="AA168" s="544"/>
      <c r="AB168" s="393"/>
      <c r="AC168" s="392"/>
      <c r="AD168" s="392"/>
      <c r="AE168" s="550"/>
      <c r="AF168" s="392"/>
      <c r="AG168" s="546"/>
      <c r="AJ168" s="553"/>
      <c r="AL168" s="704"/>
      <c r="AQ168" s="704"/>
    </row>
    <row r="169" spans="1:43" s="218" customFormat="1" ht="14.35" customHeight="1">
      <c r="A169" s="586" t="s">
        <v>714</v>
      </c>
      <c r="B169" s="545" t="s">
        <v>724</v>
      </c>
      <c r="C169" s="386" t="s">
        <v>2459</v>
      </c>
      <c r="D169" s="386">
        <v>43186</v>
      </c>
      <c r="E169" s="392">
        <v>43154</v>
      </c>
      <c r="F169" s="392">
        <v>43159</v>
      </c>
      <c r="G169" s="603">
        <v>43160</v>
      </c>
      <c r="H169" s="753">
        <v>43166</v>
      </c>
      <c r="I169" s="603">
        <v>43175</v>
      </c>
      <c r="J169" s="603">
        <v>43186</v>
      </c>
      <c r="K169" s="386"/>
      <c r="L169" s="392" t="str">
        <f>TEXT(F169,"mmm-yy")</f>
        <v>Feb-18</v>
      </c>
      <c r="M169" s="392" t="str">
        <f>TEXT(J169,"mmm-yy")</f>
        <v>Mar-18</v>
      </c>
      <c r="N169" s="397" t="s">
        <v>1276</v>
      </c>
      <c r="O169" s="418" t="s">
        <v>1277</v>
      </c>
      <c r="P169" s="538">
        <v>1790.44</v>
      </c>
      <c r="Q169" s="418">
        <v>4547.3999999999996</v>
      </c>
      <c r="R169" s="538">
        <f>SUM(P169:Q169)</f>
        <v>6337.84</v>
      </c>
      <c r="S169" s="494">
        <f>R169*1.1</f>
        <v>6971.6240000000007</v>
      </c>
      <c r="T169" s="544">
        <v>5237.6000000000004</v>
      </c>
      <c r="U169" s="544"/>
      <c r="V169" s="389">
        <f>SUM(T169:U169)</f>
        <v>5237.6000000000004</v>
      </c>
      <c r="W169" s="388">
        <f>R169-V169</f>
        <v>1100.2399999999998</v>
      </c>
      <c r="X169" s="589">
        <f>W169/R169</f>
        <v>0.17359857617106139</v>
      </c>
      <c r="Y169" s="544"/>
      <c r="Z169" s="536">
        <f>F169+14</f>
        <v>43173</v>
      </c>
      <c r="AA169" s="544"/>
      <c r="AB169" s="393" t="s">
        <v>757</v>
      </c>
      <c r="AC169" s="392"/>
      <c r="AD169" s="392"/>
      <c r="AE169" s="550"/>
      <c r="AF169" s="392"/>
      <c r="AG169" s="546"/>
      <c r="AJ169" s="553"/>
      <c r="AL169" s="704"/>
      <c r="AQ169" s="704"/>
    </row>
    <row r="170" spans="1:43" s="218" customFormat="1" ht="14.35" customHeight="1">
      <c r="A170" s="586" t="s">
        <v>715</v>
      </c>
      <c r="B170" s="545" t="s">
        <v>764</v>
      </c>
      <c r="C170" s="386" t="s">
        <v>2776</v>
      </c>
      <c r="D170" s="386">
        <v>43230</v>
      </c>
      <c r="E170" s="392">
        <v>43156</v>
      </c>
      <c r="F170" s="392">
        <v>43159</v>
      </c>
      <c r="G170" s="576">
        <v>43181</v>
      </c>
      <c r="H170" s="669">
        <v>43210</v>
      </c>
      <c r="I170" s="667">
        <v>43171</v>
      </c>
      <c r="J170" s="576">
        <v>43223</v>
      </c>
      <c r="K170" s="386"/>
      <c r="L170" s="392" t="str">
        <f>TEXT(F170,"mmm-yy")</f>
        <v>Feb-18</v>
      </c>
      <c r="M170" s="392" t="str">
        <f>TEXT(J170,"mmm-yy")</f>
        <v>May-18</v>
      </c>
      <c r="N170" s="397" t="s">
        <v>1278</v>
      </c>
      <c r="O170" s="418" t="s">
        <v>1168</v>
      </c>
      <c r="P170" s="538">
        <v>12652.97</v>
      </c>
      <c r="Q170" s="418">
        <v>1876.25</v>
      </c>
      <c r="R170" s="538">
        <f>SUM(P170:Q170)</f>
        <v>14529.22</v>
      </c>
      <c r="S170" s="494">
        <f>R170*1.1</f>
        <v>15982.142</v>
      </c>
      <c r="T170" s="544"/>
      <c r="U170" s="544"/>
      <c r="V170" s="389">
        <f>SUM(T170:U170)</f>
        <v>0</v>
      </c>
      <c r="W170" s="388">
        <f>R170-V170</f>
        <v>14529.22</v>
      </c>
      <c r="X170" s="589">
        <f>W170/R170</f>
        <v>1</v>
      </c>
      <c r="Y170" s="544"/>
      <c r="Z170" s="536">
        <f>F170+14</f>
        <v>43173</v>
      </c>
      <c r="AA170" s="544"/>
      <c r="AB170" s="393" t="s">
        <v>517</v>
      </c>
      <c r="AC170" s="392">
        <v>42996</v>
      </c>
      <c r="AD170" s="392">
        <v>43026</v>
      </c>
      <c r="AE170" s="550">
        <f>AD170-AC170</f>
        <v>30</v>
      </c>
      <c r="AF170" s="392">
        <v>43069</v>
      </c>
      <c r="AG170" s="546">
        <f>AF170-AD170</f>
        <v>43</v>
      </c>
      <c r="AJ170" s="553"/>
      <c r="AL170" s="704"/>
      <c r="AQ170" s="704"/>
    </row>
    <row r="171" spans="1:43" s="218" customFormat="1" ht="14.35" customHeight="1">
      <c r="A171" s="586" t="s">
        <v>715</v>
      </c>
      <c r="B171" s="545" t="s">
        <v>764</v>
      </c>
      <c r="C171" s="386" t="s">
        <v>2777</v>
      </c>
      <c r="D171" s="386">
        <v>43230</v>
      </c>
      <c r="E171" s="392">
        <v>43123</v>
      </c>
      <c r="F171" s="392">
        <v>43123</v>
      </c>
      <c r="G171" s="740"/>
      <c r="H171" s="743"/>
      <c r="I171" s="667">
        <v>43138</v>
      </c>
      <c r="J171" s="576">
        <v>43228</v>
      </c>
      <c r="K171" s="386"/>
      <c r="L171" s="392" t="str">
        <f>TEXT(F171,"mmm-yy")</f>
        <v>Jan-18</v>
      </c>
      <c r="M171" s="392" t="str">
        <f>TEXT(J171,"mmm-yy")</f>
        <v>May-18</v>
      </c>
      <c r="N171" s="397" t="s">
        <v>1161</v>
      </c>
      <c r="O171" s="418" t="s">
        <v>1168</v>
      </c>
      <c r="P171" s="538">
        <v>4882.83</v>
      </c>
      <c r="Q171" s="684"/>
      <c r="R171" s="538">
        <f>SUM(P171:Q171)</f>
        <v>4882.83</v>
      </c>
      <c r="S171" s="494">
        <f>R171*1.1</f>
        <v>5371.1130000000003</v>
      </c>
      <c r="T171" s="544"/>
      <c r="U171" s="544"/>
      <c r="V171" s="389">
        <f>SUM(T171:U171)</f>
        <v>0</v>
      </c>
      <c r="W171" s="388">
        <f>R171-V171</f>
        <v>4882.83</v>
      </c>
      <c r="X171" s="589">
        <f>W171/R171</f>
        <v>1</v>
      </c>
      <c r="Y171" s="544"/>
      <c r="Z171" s="536">
        <f>F171+14</f>
        <v>43137</v>
      </c>
      <c r="AA171" s="544"/>
      <c r="AB171" s="393" t="s">
        <v>517</v>
      </c>
      <c r="AC171" s="392">
        <v>42997</v>
      </c>
      <c r="AD171" s="392">
        <v>43026</v>
      </c>
      <c r="AE171" s="550">
        <f>AD171-AC171</f>
        <v>29</v>
      </c>
      <c r="AF171" s="392">
        <v>43069</v>
      </c>
      <c r="AG171" s="546">
        <f>AF171-AD171</f>
        <v>43</v>
      </c>
      <c r="AJ171" s="553"/>
      <c r="AL171" s="704"/>
      <c r="AQ171" s="704"/>
    </row>
    <row r="172" spans="1:43" s="218" customFormat="1" ht="14.35" customHeight="1">
      <c r="A172" s="586" t="s">
        <v>715</v>
      </c>
      <c r="B172" s="545" t="s">
        <v>764</v>
      </c>
      <c r="C172" s="386" t="s">
        <v>1855</v>
      </c>
      <c r="D172" s="386">
        <v>43130</v>
      </c>
      <c r="E172" s="392">
        <v>43073</v>
      </c>
      <c r="F172" s="392">
        <v>43073</v>
      </c>
      <c r="G172" s="603">
        <v>43073</v>
      </c>
      <c r="H172" s="753">
        <v>43082</v>
      </c>
      <c r="I172" s="603">
        <v>43083</v>
      </c>
      <c r="J172" s="576">
        <v>43130</v>
      </c>
      <c r="K172" s="386"/>
      <c r="L172" s="392" t="str">
        <f>TEXT(F172,"mmm-yy")</f>
        <v>Dec-17</v>
      </c>
      <c r="M172" s="392" t="str">
        <f>TEXT(J172,"mmm-yy")</f>
        <v>Jan-18</v>
      </c>
      <c r="N172" s="397" t="s">
        <v>1279</v>
      </c>
      <c r="O172" s="418" t="s">
        <v>831</v>
      </c>
      <c r="P172" s="538">
        <v>4895.03</v>
      </c>
      <c r="Q172" s="418">
        <v>10424.728000000001</v>
      </c>
      <c r="R172" s="538">
        <f>SUM(P172:Q172)</f>
        <v>15319.758000000002</v>
      </c>
      <c r="S172" s="494">
        <f>R172*1.1</f>
        <v>16851.733800000002</v>
      </c>
      <c r="T172" s="544">
        <v>7890.75</v>
      </c>
      <c r="U172" s="544"/>
      <c r="V172" s="389">
        <f>SUM(T172:U172)</f>
        <v>7890.75</v>
      </c>
      <c r="W172" s="388">
        <f>R172-V172</f>
        <v>7429.0080000000016</v>
      </c>
      <c r="X172" s="589">
        <f>W172/R172</f>
        <v>0.48492985333058136</v>
      </c>
      <c r="Y172" s="608" t="s">
        <v>199</v>
      </c>
      <c r="Z172" s="536">
        <f>F172+14</f>
        <v>43087</v>
      </c>
      <c r="AA172" s="383" t="s">
        <v>200</v>
      </c>
      <c r="AB172" s="393" t="s">
        <v>517</v>
      </c>
      <c r="AC172" s="392">
        <v>42996</v>
      </c>
      <c r="AD172" s="392">
        <v>43026</v>
      </c>
      <c r="AE172" s="550">
        <f>AD172-AC172</f>
        <v>30</v>
      </c>
      <c r="AF172" s="392">
        <v>43069</v>
      </c>
      <c r="AG172" s="546">
        <f>AF172-AD172</f>
        <v>43</v>
      </c>
      <c r="AJ172" s="553"/>
      <c r="AL172" s="704"/>
      <c r="AQ172" s="704"/>
    </row>
    <row r="173" spans="1:43" s="218" customFormat="1" ht="14.35" customHeight="1">
      <c r="A173" s="586" t="s">
        <v>714</v>
      </c>
      <c r="B173" s="545" t="s">
        <v>190</v>
      </c>
      <c r="C173" s="386" t="s">
        <v>1798</v>
      </c>
      <c r="D173" s="386">
        <v>43108</v>
      </c>
      <c r="E173" s="392">
        <v>43074</v>
      </c>
      <c r="F173" s="536">
        <v>43074</v>
      </c>
      <c r="G173" s="603">
        <v>43074</v>
      </c>
      <c r="H173" s="753">
        <v>43081</v>
      </c>
      <c r="I173" s="601">
        <f>F173+14</f>
        <v>43088</v>
      </c>
      <c r="J173" s="576">
        <v>43111</v>
      </c>
      <c r="K173" s="386"/>
      <c r="L173" s="392" t="str">
        <f>TEXT(F173,"mmm-yy")</f>
        <v>Dec-17</v>
      </c>
      <c r="M173" s="392" t="str">
        <f>TEXT(J173,"mmm-yy")</f>
        <v>Jan-18</v>
      </c>
      <c r="N173" s="397" t="s">
        <v>1280</v>
      </c>
      <c r="O173" s="418" t="s">
        <v>254</v>
      </c>
      <c r="P173" s="538">
        <v>1126.31</v>
      </c>
      <c r="Q173" s="418">
        <v>2848.31</v>
      </c>
      <c r="R173" s="538">
        <f>SUM(P173:Q173)</f>
        <v>3974.62</v>
      </c>
      <c r="S173" s="494">
        <f>R173*1.1</f>
        <v>4372.0820000000003</v>
      </c>
      <c r="T173" s="544">
        <v>2621.77</v>
      </c>
      <c r="U173" s="544"/>
      <c r="V173" s="389">
        <f>SUM(T173:U173)</f>
        <v>2621.77</v>
      </c>
      <c r="W173" s="388">
        <f>R173-V173</f>
        <v>1352.85</v>
      </c>
      <c r="X173" s="589">
        <f>W173/R173</f>
        <v>0.34037216136385362</v>
      </c>
      <c r="Y173" s="608" t="s">
        <v>199</v>
      </c>
      <c r="Z173" s="536">
        <f>F173+14</f>
        <v>43088</v>
      </c>
      <c r="AA173" s="383" t="s">
        <v>200</v>
      </c>
      <c r="AB173" s="393" t="s">
        <v>757</v>
      </c>
      <c r="AC173" s="392" t="s">
        <v>752</v>
      </c>
      <c r="AD173" s="392">
        <v>43026</v>
      </c>
      <c r="AE173" s="550"/>
      <c r="AF173" s="392">
        <v>43061</v>
      </c>
      <c r="AG173" s="546">
        <f>AF173-AD173</f>
        <v>35</v>
      </c>
      <c r="AJ173" s="553"/>
      <c r="AL173" s="704"/>
      <c r="AQ173" s="704"/>
    </row>
    <row r="174" spans="1:43" s="218" customFormat="1" ht="14.35" customHeight="1">
      <c r="A174" s="586" t="s">
        <v>715</v>
      </c>
      <c r="B174" s="545" t="s">
        <v>190</v>
      </c>
      <c r="C174" s="386" t="s">
        <v>2167</v>
      </c>
      <c r="D174" s="386">
        <v>43146</v>
      </c>
      <c r="E174" s="392">
        <v>43090</v>
      </c>
      <c r="F174" s="536">
        <v>43091</v>
      </c>
      <c r="G174" s="603">
        <v>43110</v>
      </c>
      <c r="H174" s="753">
        <v>43124</v>
      </c>
      <c r="I174" s="576">
        <v>43112</v>
      </c>
      <c r="J174" s="576">
        <v>43146</v>
      </c>
      <c r="K174" s="386"/>
      <c r="L174" s="392" t="str">
        <f>TEXT(F174,"mmm-yy")</f>
        <v>Dec-17</v>
      </c>
      <c r="M174" s="392" t="str">
        <f>TEXT(J174,"mmm-yy")</f>
        <v>Feb-18</v>
      </c>
      <c r="N174" s="397" t="s">
        <v>1281</v>
      </c>
      <c r="O174" s="418" t="s">
        <v>1282</v>
      </c>
      <c r="P174" s="538">
        <v>5336.9454285714291</v>
      </c>
      <c r="Q174" s="418">
        <v>9985.27</v>
      </c>
      <c r="R174" s="538">
        <f>SUM(P174:Q174)</f>
        <v>15322.21542857143</v>
      </c>
      <c r="S174" s="494">
        <f>R174*1.1</f>
        <v>16854.436971428575</v>
      </c>
      <c r="T174" s="544">
        <v>4774.4799999999996</v>
      </c>
      <c r="U174" s="544"/>
      <c r="V174" s="389">
        <f>SUM(T174:U174)</f>
        <v>4774.4799999999996</v>
      </c>
      <c r="W174" s="388">
        <f>R174-V174</f>
        <v>10547.73542857143</v>
      </c>
      <c r="X174" s="589">
        <f>W174/R174</f>
        <v>0.68839493072933844</v>
      </c>
      <c r="Y174" s="544"/>
      <c r="Z174" s="536">
        <f>F174+14</f>
        <v>43105</v>
      </c>
      <c r="AA174" s="544"/>
      <c r="AB174" s="393" t="s">
        <v>223</v>
      </c>
      <c r="AC174" s="392">
        <v>43007</v>
      </c>
      <c r="AD174" s="392">
        <v>43027</v>
      </c>
      <c r="AE174" s="550">
        <f>AD174-AC174</f>
        <v>20</v>
      </c>
      <c r="AF174" s="392">
        <v>43034</v>
      </c>
      <c r="AG174" s="546">
        <f>AF174-AD174</f>
        <v>7</v>
      </c>
      <c r="AJ174" s="553"/>
      <c r="AL174" s="704"/>
      <c r="AQ174" s="704"/>
    </row>
    <row r="175" spans="1:43" s="218" customFormat="1" ht="14.35" customHeight="1">
      <c r="A175" s="586" t="s">
        <v>714</v>
      </c>
      <c r="B175" s="545" t="s">
        <v>190</v>
      </c>
      <c r="C175" s="386" t="s">
        <v>3012</v>
      </c>
      <c r="D175" s="386">
        <v>43257</v>
      </c>
      <c r="E175" s="392">
        <v>43237</v>
      </c>
      <c r="F175" s="392">
        <v>43237</v>
      </c>
      <c r="G175" s="603">
        <v>43238</v>
      </c>
      <c r="H175" s="753">
        <v>43250</v>
      </c>
      <c r="I175" s="603">
        <v>43250</v>
      </c>
      <c r="J175" s="603">
        <v>43258</v>
      </c>
      <c r="K175" s="386"/>
      <c r="L175" s="392" t="str">
        <f>TEXT(F175,"mmm-yy")</f>
        <v>May-18</v>
      </c>
      <c r="M175" s="392" t="str">
        <f>TEXT(J175,"mmm-yy")</f>
        <v>Jun-18</v>
      </c>
      <c r="N175" s="397" t="s">
        <v>2816</v>
      </c>
      <c r="O175" s="418" t="s">
        <v>1284</v>
      </c>
      <c r="P175" s="538">
        <v>82.91</v>
      </c>
      <c r="Q175" s="418">
        <v>6597.0000000000009</v>
      </c>
      <c r="R175" s="538">
        <f>SUM(P175:Q175)</f>
        <v>6679.9100000000008</v>
      </c>
      <c r="S175" s="494">
        <f>R175*1.1</f>
        <v>7347.9010000000017</v>
      </c>
      <c r="T175" s="544">
        <v>4651.88</v>
      </c>
      <c r="U175" s="544"/>
      <c r="V175" s="389">
        <f>SUM(T175:U175)</f>
        <v>4651.88</v>
      </c>
      <c r="W175" s="388">
        <f>R175-V175</f>
        <v>2028.0300000000007</v>
      </c>
      <c r="X175" s="589">
        <f>W175/R175</f>
        <v>0.30360139582718937</v>
      </c>
      <c r="Y175" s="544"/>
      <c r="Z175" s="536">
        <f>F175+14</f>
        <v>43251</v>
      </c>
      <c r="AA175" s="544"/>
      <c r="AB175" s="393" t="s">
        <v>223</v>
      </c>
      <c r="AC175" s="392" t="s">
        <v>752</v>
      </c>
      <c r="AD175" s="392">
        <v>43027</v>
      </c>
      <c r="AE175" s="550"/>
      <c r="AF175" s="392">
        <v>43061</v>
      </c>
      <c r="AG175" s="546">
        <f>AF175-AD175</f>
        <v>34</v>
      </c>
      <c r="AJ175" s="553"/>
      <c r="AL175" s="704"/>
      <c r="AQ175" s="704"/>
    </row>
    <row r="176" spans="1:43" s="218" customFormat="1" ht="14.35" customHeight="1">
      <c r="A176" s="586" t="s">
        <v>714</v>
      </c>
      <c r="B176" s="545" t="s">
        <v>190</v>
      </c>
      <c r="C176" s="386" t="s">
        <v>1791</v>
      </c>
      <c r="D176" s="386">
        <v>43108</v>
      </c>
      <c r="E176" s="392">
        <v>43069</v>
      </c>
      <c r="F176" s="536">
        <v>43069</v>
      </c>
      <c r="G176" s="603">
        <v>43070</v>
      </c>
      <c r="H176" s="753">
        <v>43081</v>
      </c>
      <c r="I176" s="731">
        <v>43082</v>
      </c>
      <c r="J176" s="667">
        <v>43097</v>
      </c>
      <c r="K176" s="386"/>
      <c r="L176" s="392" t="str">
        <f>TEXT(F176,"mmm-yy")</f>
        <v>Nov-17</v>
      </c>
      <c r="M176" s="392" t="str">
        <f>TEXT(J176,"mmm-yy")</f>
        <v>Dec-17</v>
      </c>
      <c r="N176" s="397" t="s">
        <v>1285</v>
      </c>
      <c r="O176" s="418" t="s">
        <v>1286</v>
      </c>
      <c r="P176" s="538">
        <v>5919.34</v>
      </c>
      <c r="Q176" s="418">
        <v>3816.2100000000009</v>
      </c>
      <c r="R176" s="538">
        <f>SUM(P176:Q176)</f>
        <v>9735.5500000000011</v>
      </c>
      <c r="S176" s="494">
        <f>R176*1.1</f>
        <v>10709.105000000001</v>
      </c>
      <c r="T176" s="544">
        <v>6437.11</v>
      </c>
      <c r="U176" s="544"/>
      <c r="V176" s="389">
        <f>SUM(T176:U176)</f>
        <v>6437.11</v>
      </c>
      <c r="W176" s="388">
        <f>R176-V176</f>
        <v>3298.4400000000014</v>
      </c>
      <c r="X176" s="589">
        <f>W176/R176</f>
        <v>0.33880366286445052</v>
      </c>
      <c r="Y176" s="608" t="s">
        <v>199</v>
      </c>
      <c r="Z176" s="536">
        <f>F176+14</f>
        <v>43083</v>
      </c>
      <c r="AA176" s="383" t="s">
        <v>200</v>
      </c>
      <c r="AB176" s="393" t="s">
        <v>210</v>
      </c>
      <c r="AC176" s="392" t="s">
        <v>752</v>
      </c>
      <c r="AD176" s="392">
        <v>43027</v>
      </c>
      <c r="AE176" s="550"/>
      <c r="AF176" s="392">
        <v>43061</v>
      </c>
      <c r="AG176" s="546">
        <f>AF176-AD176</f>
        <v>34</v>
      </c>
      <c r="AJ176" s="553"/>
      <c r="AL176" s="704"/>
      <c r="AQ176" s="704"/>
    </row>
    <row r="177" spans="1:43" s="218" customFormat="1" ht="14.35" customHeight="1">
      <c r="A177" s="586" t="s">
        <v>715</v>
      </c>
      <c r="B177" s="545" t="s">
        <v>179</v>
      </c>
      <c r="C177" s="386" t="s">
        <v>2523</v>
      </c>
      <c r="D177" s="386">
        <v>43199</v>
      </c>
      <c r="E177" s="392">
        <v>43178</v>
      </c>
      <c r="F177" s="536">
        <v>43178</v>
      </c>
      <c r="G177" s="756"/>
      <c r="H177" s="757"/>
      <c r="I177" s="667">
        <v>43193</v>
      </c>
      <c r="J177" s="603">
        <v>43200</v>
      </c>
      <c r="K177" s="386"/>
      <c r="L177" s="392" t="str">
        <f>TEXT(F177,"mmm-yy")</f>
        <v>Mar-18</v>
      </c>
      <c r="M177" s="392" t="str">
        <f>TEXT(J177,"mmm-yy")</f>
        <v>Apr-18</v>
      </c>
      <c r="N177" s="397" t="s">
        <v>2468</v>
      </c>
      <c r="O177" s="418" t="s">
        <v>2153</v>
      </c>
      <c r="P177" s="538">
        <v>8383.48</v>
      </c>
      <c r="Q177" s="685"/>
      <c r="R177" s="538">
        <f>SUM(P177:Q177)</f>
        <v>8383.48</v>
      </c>
      <c r="S177" s="494">
        <f>R177*1.1</f>
        <v>9221.8279999999995</v>
      </c>
      <c r="T177" s="544">
        <v>4446.68</v>
      </c>
      <c r="U177" s="544"/>
      <c r="V177" s="389">
        <f>SUM(T177:U177)</f>
        <v>4446.68</v>
      </c>
      <c r="W177" s="388">
        <f>R177-V177</f>
        <v>3936.7999999999993</v>
      </c>
      <c r="X177" s="589">
        <f>W177/R177</f>
        <v>0.46959019404829494</v>
      </c>
      <c r="Y177" s="544"/>
      <c r="Z177" s="536">
        <f>F177+14</f>
        <v>43192</v>
      </c>
      <c r="AA177" s="544"/>
      <c r="AB177" s="393" t="s">
        <v>959</v>
      </c>
      <c r="AC177" s="392">
        <v>43052</v>
      </c>
      <c r="AD177" s="392">
        <v>43137</v>
      </c>
      <c r="AE177" s="689">
        <f>AD177-AC177</f>
        <v>85</v>
      </c>
      <c r="AF177" s="536">
        <v>43161</v>
      </c>
      <c r="AG177" s="546">
        <f>AF177-AD177</f>
        <v>24</v>
      </c>
      <c r="AJ177" s="553"/>
      <c r="AL177" s="704"/>
      <c r="AQ177" s="704"/>
    </row>
    <row r="178" spans="1:43" s="218" customFormat="1" ht="14.35" customHeight="1">
      <c r="A178" s="586" t="s">
        <v>715</v>
      </c>
      <c r="B178" s="545" t="s">
        <v>190</v>
      </c>
      <c r="C178" s="386" t="s">
        <v>1856</v>
      </c>
      <c r="D178" s="386">
        <v>43130</v>
      </c>
      <c r="E178" s="392">
        <v>43087</v>
      </c>
      <c r="F178" s="536">
        <v>43087</v>
      </c>
      <c r="G178" s="740"/>
      <c r="H178" s="743"/>
      <c r="I178" s="601">
        <v>43102</v>
      </c>
      <c r="J178" s="601">
        <f>I178+14</f>
        <v>43116</v>
      </c>
      <c r="K178" s="386"/>
      <c r="L178" s="392" t="str">
        <f>TEXT(F178,"mmm-yy")</f>
        <v>Dec-17</v>
      </c>
      <c r="M178" s="392" t="str">
        <f>TEXT(J178,"mmm-yy")</f>
        <v>Jan-18</v>
      </c>
      <c r="N178" s="397" t="s">
        <v>1187</v>
      </c>
      <c r="O178" s="418" t="s">
        <v>1116</v>
      </c>
      <c r="P178" s="538">
        <v>2044.5</v>
      </c>
      <c r="Q178" s="684"/>
      <c r="R178" s="538">
        <f>SUM(P178:Q178)</f>
        <v>2044.5</v>
      </c>
      <c r="S178" s="494">
        <f>R178*1.1</f>
        <v>2248.9500000000003</v>
      </c>
      <c r="T178" s="544"/>
      <c r="U178" s="544"/>
      <c r="V178" s="389">
        <f>SUM(T178:U178)</f>
        <v>0</v>
      </c>
      <c r="W178" s="388">
        <f>R178-V178</f>
        <v>2044.5</v>
      </c>
      <c r="X178" s="589">
        <f>W178/R178</f>
        <v>1</v>
      </c>
      <c r="Y178" s="544"/>
      <c r="Z178" s="536">
        <f>F178+14</f>
        <v>43101</v>
      </c>
      <c r="AA178" s="544"/>
      <c r="AB178" s="393" t="s">
        <v>727</v>
      </c>
      <c r="AC178" s="392">
        <v>43010</v>
      </c>
      <c r="AD178" s="392">
        <v>43028</v>
      </c>
      <c r="AE178" s="550">
        <f>AD178-AC178</f>
        <v>18</v>
      </c>
      <c r="AF178" s="392">
        <v>43039</v>
      </c>
      <c r="AG178" s="546">
        <f>AF178-AD178</f>
        <v>11</v>
      </c>
      <c r="AJ178" s="553"/>
      <c r="AL178" s="704"/>
      <c r="AQ178" s="704"/>
    </row>
    <row r="179" spans="1:43" s="218" customFormat="1" ht="14.35" customHeight="1">
      <c r="A179" s="586" t="s">
        <v>715</v>
      </c>
      <c r="B179" s="545" t="s">
        <v>190</v>
      </c>
      <c r="C179" s="386" t="s">
        <v>2159</v>
      </c>
      <c r="D179" s="386">
        <v>43138</v>
      </c>
      <c r="E179" s="392">
        <v>43090</v>
      </c>
      <c r="F179" s="536">
        <v>43091</v>
      </c>
      <c r="G179" s="603">
        <v>43112</v>
      </c>
      <c r="H179" s="753">
        <v>43125</v>
      </c>
      <c r="I179" s="576">
        <v>43112</v>
      </c>
      <c r="J179" s="576">
        <v>43139</v>
      </c>
      <c r="K179" s="386"/>
      <c r="L179" s="392" t="str">
        <f>TEXT(F179,"mmm-yy")</f>
        <v>Dec-17</v>
      </c>
      <c r="M179" s="392" t="str">
        <f>TEXT(J179,"mmm-yy")</f>
        <v>Feb-18</v>
      </c>
      <c r="N179" s="397" t="s">
        <v>1252</v>
      </c>
      <c r="O179" s="418" t="s">
        <v>1295</v>
      </c>
      <c r="P179" s="538">
        <v>5773.02</v>
      </c>
      <c r="Q179" s="418">
        <v>4353.71</v>
      </c>
      <c r="R179" s="538">
        <f>SUM(P179:Q179)</f>
        <v>10126.73</v>
      </c>
      <c r="S179" s="494">
        <f>R179*1.1</f>
        <v>11139.403</v>
      </c>
      <c r="T179" s="544">
        <v>3289.75</v>
      </c>
      <c r="U179" s="544"/>
      <c r="V179" s="389">
        <f>SUM(T179:U179)</f>
        <v>3289.75</v>
      </c>
      <c r="W179" s="388">
        <f>R179-V179</f>
        <v>6836.98</v>
      </c>
      <c r="X179" s="589">
        <f>W179/R179</f>
        <v>0.67514192636714909</v>
      </c>
      <c r="Y179" s="544"/>
      <c r="Z179" s="536">
        <f>F179+14</f>
        <v>43105</v>
      </c>
      <c r="AA179" s="544"/>
      <c r="AB179" s="393" t="s">
        <v>517</v>
      </c>
      <c r="AC179" s="392">
        <v>42996</v>
      </c>
      <c r="AD179" s="392">
        <v>43031</v>
      </c>
      <c r="AE179" s="550">
        <f>AD179-AC179</f>
        <v>35</v>
      </c>
      <c r="AF179" s="392">
        <v>43069</v>
      </c>
      <c r="AG179" s="546">
        <f>AF179-AD179</f>
        <v>38</v>
      </c>
      <c r="AJ179" s="553"/>
      <c r="AL179" s="704"/>
      <c r="AQ179" s="704"/>
    </row>
    <row r="180" spans="1:43" s="218" customFormat="1" ht="14.35" customHeight="1">
      <c r="A180" s="586" t="s">
        <v>715</v>
      </c>
      <c r="B180" s="545" t="s">
        <v>1210</v>
      </c>
      <c r="C180" s="386"/>
      <c r="D180" s="386"/>
      <c r="E180" s="392"/>
      <c r="F180" s="392">
        <v>43311</v>
      </c>
      <c r="G180" s="601"/>
      <c r="H180" s="752"/>
      <c r="I180" s="601"/>
      <c r="J180" s="601"/>
      <c r="K180" s="386"/>
      <c r="L180" s="392" t="str">
        <f>TEXT(F180,"mmm-yy")</f>
        <v>Jul-18</v>
      </c>
      <c r="M180" s="392" t="str">
        <f>TEXT(J180,"mmm-yy")</f>
        <v>Jan-00</v>
      </c>
      <c r="N180" s="397" t="s">
        <v>1192</v>
      </c>
      <c r="O180" s="418" t="s">
        <v>1296</v>
      </c>
      <c r="P180" s="538">
        <v>4802.37</v>
      </c>
      <c r="Q180" s="418"/>
      <c r="R180" s="538">
        <f>SUM(P180:Q180)</f>
        <v>4802.37</v>
      </c>
      <c r="S180" s="494">
        <f>R180*1.1</f>
        <v>5282.607</v>
      </c>
      <c r="T180" s="544"/>
      <c r="U180" s="544"/>
      <c r="V180" s="389">
        <f>SUM(T180:U180)</f>
        <v>0</v>
      </c>
      <c r="W180" s="388">
        <f>R180-V180</f>
        <v>4802.37</v>
      </c>
      <c r="X180" s="589">
        <f>W180/R180</f>
        <v>1</v>
      </c>
      <c r="Y180" s="544"/>
      <c r="Z180" s="536">
        <f>F180+14</f>
        <v>43325</v>
      </c>
      <c r="AA180" s="544"/>
      <c r="AB180" s="393" t="s">
        <v>220</v>
      </c>
      <c r="AC180" s="392">
        <v>43005</v>
      </c>
      <c r="AD180" s="392">
        <v>43031</v>
      </c>
      <c r="AE180" s="550">
        <f>AD180-AC180</f>
        <v>26</v>
      </c>
      <c r="AF180" s="392">
        <v>43040</v>
      </c>
      <c r="AG180" s="546">
        <f>AF180-AD180</f>
        <v>9</v>
      </c>
      <c r="AJ180" s="553"/>
      <c r="AL180" s="704"/>
      <c r="AQ180" s="704"/>
    </row>
    <row r="181" spans="1:43" s="218" customFormat="1" ht="14.35" customHeight="1">
      <c r="A181" s="586" t="s">
        <v>715</v>
      </c>
      <c r="B181" s="545" t="s">
        <v>1210</v>
      </c>
      <c r="C181" s="386" t="s">
        <v>1839</v>
      </c>
      <c r="D181" s="386">
        <v>43123</v>
      </c>
      <c r="E181" s="392">
        <v>43083</v>
      </c>
      <c r="F181" s="536">
        <v>43091</v>
      </c>
      <c r="G181" s="740"/>
      <c r="H181" s="743"/>
      <c r="I181" s="667">
        <v>43104</v>
      </c>
      <c r="J181" s="576">
        <v>43123</v>
      </c>
      <c r="K181" s="386"/>
      <c r="L181" s="392" t="str">
        <f>TEXT(F181,"mmm-yy")</f>
        <v>Dec-17</v>
      </c>
      <c r="M181" s="392" t="str">
        <f>TEXT(J181,"mmm-yy")</f>
        <v>Jan-18</v>
      </c>
      <c r="N181" s="397" t="s">
        <v>1258</v>
      </c>
      <c r="O181" s="418" t="s">
        <v>702</v>
      </c>
      <c r="P181" s="538">
        <v>8637.2000000000007</v>
      </c>
      <c r="Q181" s="684"/>
      <c r="R181" s="538">
        <f>SUM(P181:Q181)</f>
        <v>8637.2000000000007</v>
      </c>
      <c r="S181" s="494">
        <f>R181*1.1</f>
        <v>9500.9200000000019</v>
      </c>
      <c r="T181" s="544"/>
      <c r="U181" s="544"/>
      <c r="V181" s="389">
        <f>SUM(T181:U181)</f>
        <v>0</v>
      </c>
      <c r="W181" s="388">
        <f>R181-V181</f>
        <v>8637.2000000000007</v>
      </c>
      <c r="X181" s="589">
        <f>W181/R181</f>
        <v>1</v>
      </c>
      <c r="Y181" s="544"/>
      <c r="Z181" s="536">
        <f>F181+14</f>
        <v>43105</v>
      </c>
      <c r="AA181" s="544"/>
      <c r="AB181" s="393" t="s">
        <v>959</v>
      </c>
      <c r="AC181" s="392">
        <v>43010</v>
      </c>
      <c r="AD181" s="392">
        <v>43031</v>
      </c>
      <c r="AE181" s="550">
        <f>AD181-AC181</f>
        <v>21</v>
      </c>
      <c r="AF181" s="392">
        <v>43040</v>
      </c>
      <c r="AG181" s="546">
        <f>AF181-AD181</f>
        <v>9</v>
      </c>
      <c r="AJ181" s="553"/>
      <c r="AL181" s="704"/>
      <c r="AQ181" s="704"/>
    </row>
    <row r="182" spans="1:43" s="218" customFormat="1" ht="14.35" customHeight="1">
      <c r="A182" s="586" t="s">
        <v>714</v>
      </c>
      <c r="B182" s="545" t="s">
        <v>190</v>
      </c>
      <c r="C182" s="386" t="s">
        <v>2168</v>
      </c>
      <c r="D182" s="386">
        <v>43146</v>
      </c>
      <c r="E182" s="392">
        <v>43111</v>
      </c>
      <c r="F182" s="392">
        <v>43111</v>
      </c>
      <c r="G182" s="603">
        <v>43112</v>
      </c>
      <c r="H182" s="753">
        <v>43124</v>
      </c>
      <c r="I182" s="603">
        <v>43123</v>
      </c>
      <c r="J182" s="576">
        <v>43146</v>
      </c>
      <c r="K182" s="386"/>
      <c r="L182" s="392" t="str">
        <f>TEXT(F182,"mmm-yy")</f>
        <v>Jan-18</v>
      </c>
      <c r="M182" s="392" t="str">
        <f>TEXT(J182,"mmm-yy")</f>
        <v>Feb-18</v>
      </c>
      <c r="N182" s="397" t="s">
        <v>1297</v>
      </c>
      <c r="O182" s="418" t="s">
        <v>1298</v>
      </c>
      <c r="P182" s="538">
        <v>2012.61</v>
      </c>
      <c r="Q182" s="418">
        <v>6714.56</v>
      </c>
      <c r="R182" s="538">
        <f>SUM(P182:Q182)</f>
        <v>8727.17</v>
      </c>
      <c r="S182" s="494">
        <f>R182*1.1</f>
        <v>9599.8870000000006</v>
      </c>
      <c r="T182" s="544">
        <v>2603.91</v>
      </c>
      <c r="U182" s="544"/>
      <c r="V182" s="389">
        <f>SUM(T182:U182)</f>
        <v>2603.91</v>
      </c>
      <c r="W182" s="388">
        <f>R182-V182</f>
        <v>6123.26</v>
      </c>
      <c r="X182" s="589">
        <f>W182/R182</f>
        <v>0.70163180045765128</v>
      </c>
      <c r="Y182" s="544"/>
      <c r="Z182" s="536">
        <f>F182+14</f>
        <v>43125</v>
      </c>
      <c r="AA182" s="544"/>
      <c r="AB182" s="393" t="s">
        <v>223</v>
      </c>
      <c r="AC182" s="392" t="s">
        <v>752</v>
      </c>
      <c r="AD182" s="392">
        <v>43032</v>
      </c>
      <c r="AE182" s="550"/>
      <c r="AF182" s="392">
        <v>43068</v>
      </c>
      <c r="AG182" s="546">
        <f>AF182-AD182</f>
        <v>36</v>
      </c>
      <c r="AJ182" s="553"/>
      <c r="AL182" s="704"/>
      <c r="AQ182" s="704"/>
    </row>
    <row r="183" spans="1:43" s="218" customFormat="1" ht="14.35" customHeight="1">
      <c r="A183" s="586" t="s">
        <v>714</v>
      </c>
      <c r="B183" s="545" t="s">
        <v>190</v>
      </c>
      <c r="C183" s="386" t="s">
        <v>1789</v>
      </c>
      <c r="D183" s="386">
        <v>43091</v>
      </c>
      <c r="E183" s="392">
        <v>43042</v>
      </c>
      <c r="F183" s="536">
        <v>43046</v>
      </c>
      <c r="G183" s="661">
        <v>43047</v>
      </c>
      <c r="H183" s="661">
        <v>43055</v>
      </c>
      <c r="I183" s="576">
        <v>43080</v>
      </c>
      <c r="J183" s="576">
        <v>43109</v>
      </c>
      <c r="K183" s="386"/>
      <c r="L183" s="392" t="str">
        <f>TEXT(F183,"mmm-yy")</f>
        <v>Nov-17</v>
      </c>
      <c r="M183" s="392" t="str">
        <f>TEXT(J183,"mmm-yy")</f>
        <v>Jan-18</v>
      </c>
      <c r="N183" s="397" t="s">
        <v>1299</v>
      </c>
      <c r="O183" s="418" t="s">
        <v>1300</v>
      </c>
      <c r="P183" s="538">
        <v>1680</v>
      </c>
      <c r="Q183" s="418">
        <v>7008.33</v>
      </c>
      <c r="R183" s="538">
        <f>SUM(P183:Q183)</f>
        <v>8688.33</v>
      </c>
      <c r="S183" s="494">
        <f>R183*1.1</f>
        <v>9557.1630000000005</v>
      </c>
      <c r="T183" s="544">
        <v>127.27272727272728</v>
      </c>
      <c r="U183" s="544"/>
      <c r="V183" s="389">
        <f>SUM(T183:U183)</f>
        <v>127.27272727272728</v>
      </c>
      <c r="W183" s="388">
        <f>R183-V183</f>
        <v>8561.057272727272</v>
      </c>
      <c r="X183" s="589">
        <f>W183/R183</f>
        <v>0.98535130142700289</v>
      </c>
      <c r="Y183" s="608" t="s">
        <v>199</v>
      </c>
      <c r="Z183" s="536">
        <f>F183+14</f>
        <v>43060</v>
      </c>
      <c r="AA183" s="383" t="s">
        <v>200</v>
      </c>
      <c r="AB183" s="393" t="s">
        <v>959</v>
      </c>
      <c r="AC183" s="392" t="s">
        <v>752</v>
      </c>
      <c r="AD183" s="392">
        <v>43032</v>
      </c>
      <c r="AE183" s="550"/>
      <c r="AF183" s="392">
        <v>43068</v>
      </c>
      <c r="AG183" s="546">
        <f>AF183-AD183</f>
        <v>36</v>
      </c>
      <c r="AJ183" s="553"/>
      <c r="AL183" s="704"/>
      <c r="AQ183" s="704"/>
    </row>
    <row r="184" spans="1:43" s="218" customFormat="1" ht="14.35" customHeight="1">
      <c r="A184" s="586" t="s">
        <v>714</v>
      </c>
      <c r="B184" s="545" t="s">
        <v>190</v>
      </c>
      <c r="C184" s="386" t="s">
        <v>1835</v>
      </c>
      <c r="D184" s="386">
        <v>43123</v>
      </c>
      <c r="E184" s="392">
        <v>43068</v>
      </c>
      <c r="F184" s="536">
        <v>43069</v>
      </c>
      <c r="G184" s="667">
        <v>43070</v>
      </c>
      <c r="H184" s="754">
        <v>43089</v>
      </c>
      <c r="I184" s="603">
        <v>43081</v>
      </c>
      <c r="J184" s="576">
        <v>43123</v>
      </c>
      <c r="K184" s="386"/>
      <c r="L184" s="392" t="str">
        <f>TEXT(F184,"mmm-yy")</f>
        <v>Nov-17</v>
      </c>
      <c r="M184" s="392" t="str">
        <f>TEXT(J184,"mmm-yy")</f>
        <v>Jan-18</v>
      </c>
      <c r="N184" s="397" t="s">
        <v>1301</v>
      </c>
      <c r="O184" s="418" t="s">
        <v>1302</v>
      </c>
      <c r="P184" s="538">
        <v>1686.02</v>
      </c>
      <c r="Q184" s="418">
        <v>3182.07</v>
      </c>
      <c r="R184" s="538">
        <f>SUM(P184:Q184)</f>
        <v>4868.09</v>
      </c>
      <c r="S184" s="494">
        <f>R184*1.1</f>
        <v>5354.8990000000003</v>
      </c>
      <c r="T184" s="544">
        <v>3014.2</v>
      </c>
      <c r="U184" s="544"/>
      <c r="V184" s="389">
        <f>SUM(T184:U184)</f>
        <v>3014.2</v>
      </c>
      <c r="W184" s="388">
        <f>R184-V184</f>
        <v>1853.8900000000003</v>
      </c>
      <c r="X184" s="589">
        <f>W184/R184</f>
        <v>0.38082492312179939</v>
      </c>
      <c r="Y184" s="608" t="s">
        <v>199</v>
      </c>
      <c r="Z184" s="536">
        <f>F184+14</f>
        <v>43083</v>
      </c>
      <c r="AA184" s="383" t="s">
        <v>200</v>
      </c>
      <c r="AB184" s="393" t="s">
        <v>223</v>
      </c>
      <c r="AC184" s="392" t="s">
        <v>752</v>
      </c>
      <c r="AD184" s="392">
        <v>43032</v>
      </c>
      <c r="AE184" s="550"/>
      <c r="AF184" s="392">
        <v>43069</v>
      </c>
      <c r="AG184" s="546">
        <f>AF184-AD184</f>
        <v>37</v>
      </c>
      <c r="AJ184" s="553"/>
      <c r="AL184" s="704"/>
      <c r="AQ184" s="704"/>
    </row>
    <row r="185" spans="1:43" s="218" customFormat="1" ht="14.35" customHeight="1">
      <c r="A185" s="586" t="s">
        <v>714</v>
      </c>
      <c r="B185" s="545" t="s">
        <v>190</v>
      </c>
      <c r="C185" s="386" t="s">
        <v>2341</v>
      </c>
      <c r="D185" s="386">
        <v>43166</v>
      </c>
      <c r="E185" s="392">
        <v>43046</v>
      </c>
      <c r="F185" s="536">
        <v>43046</v>
      </c>
      <c r="G185" s="731">
        <v>42751</v>
      </c>
      <c r="H185" s="732">
        <v>43158</v>
      </c>
      <c r="I185" s="577">
        <f>F185+14</f>
        <v>43060</v>
      </c>
      <c r="J185" s="577">
        <v>43167</v>
      </c>
      <c r="K185" s="386"/>
      <c r="L185" s="392" t="str">
        <f>TEXT(F185,"mmm-yy")</f>
        <v>Nov-17</v>
      </c>
      <c r="M185" s="392" t="str">
        <f>TEXT(J185,"mmm-yy")</f>
        <v>Mar-18</v>
      </c>
      <c r="N185" s="397" t="s">
        <v>1307</v>
      </c>
      <c r="O185" s="418" t="s">
        <v>658</v>
      </c>
      <c r="P185" s="538">
        <v>2604.61</v>
      </c>
      <c r="Q185" s="418">
        <v>11602.07</v>
      </c>
      <c r="R185" s="538">
        <f>SUM(P185:Q185)</f>
        <v>14206.68</v>
      </c>
      <c r="S185" s="494">
        <f>R185*1.1</f>
        <v>15627.348000000002</v>
      </c>
      <c r="T185" s="544">
        <v>5541.28</v>
      </c>
      <c r="U185" s="544"/>
      <c r="V185" s="389">
        <f>SUM(T185:U185)</f>
        <v>5541.28</v>
      </c>
      <c r="W185" s="388">
        <f>R185-V185</f>
        <v>8665.4000000000015</v>
      </c>
      <c r="X185" s="589">
        <f>W185/R185</f>
        <v>0.60995250121773714</v>
      </c>
      <c r="Y185" s="608" t="s">
        <v>199</v>
      </c>
      <c r="Z185" s="536">
        <f>F185+14</f>
        <v>43060</v>
      </c>
      <c r="AA185" s="383" t="s">
        <v>200</v>
      </c>
      <c r="AB185" s="393" t="s">
        <v>757</v>
      </c>
      <c r="AC185" s="392" t="s">
        <v>752</v>
      </c>
      <c r="AD185" s="392">
        <v>43033</v>
      </c>
      <c r="AE185" s="550"/>
      <c r="AF185" s="392">
        <v>43061</v>
      </c>
      <c r="AG185" s="546">
        <f>AF185-AD185</f>
        <v>28</v>
      </c>
      <c r="AJ185" s="553"/>
      <c r="AL185" s="704"/>
      <c r="AQ185" s="704"/>
    </row>
    <row r="186" spans="1:43" s="218" customFormat="1" ht="14.35" customHeight="1">
      <c r="A186" s="586" t="s">
        <v>714</v>
      </c>
      <c r="B186" s="545" t="s">
        <v>1319</v>
      </c>
      <c r="C186" s="386" t="s">
        <v>1831</v>
      </c>
      <c r="D186" s="386">
        <v>43097</v>
      </c>
      <c r="E186" s="392">
        <v>43063</v>
      </c>
      <c r="F186" s="536">
        <v>43066</v>
      </c>
      <c r="G186" s="603">
        <v>43066</v>
      </c>
      <c r="H186" s="753">
        <v>43077</v>
      </c>
      <c r="I186" s="603">
        <v>43077</v>
      </c>
      <c r="J186" s="667">
        <v>43097</v>
      </c>
      <c r="K186" s="386"/>
      <c r="L186" s="392" t="str">
        <f>TEXT(F186,"mmm-yy")</f>
        <v>Nov-17</v>
      </c>
      <c r="M186" s="392" t="str">
        <f>TEXT(J186,"mmm-yy")</f>
        <v>Dec-17</v>
      </c>
      <c r="N186" s="397" t="s">
        <v>2553</v>
      </c>
      <c r="O186" s="418" t="s">
        <v>414</v>
      </c>
      <c r="P186" s="538">
        <v>1586.84</v>
      </c>
      <c r="Q186" s="418">
        <v>5543.8700000000017</v>
      </c>
      <c r="R186" s="538">
        <f>SUM(P186:Q186)</f>
        <v>7130.7100000000019</v>
      </c>
      <c r="S186" s="494">
        <f>R186*1.1</f>
        <v>7843.7810000000027</v>
      </c>
      <c r="T186" s="544">
        <v>4794.1000000000004</v>
      </c>
      <c r="U186" s="544"/>
      <c r="V186" s="389">
        <f>SUM(T186:U186)</f>
        <v>4794.1000000000004</v>
      </c>
      <c r="W186" s="388">
        <f>R186-V186</f>
        <v>2336.6100000000015</v>
      </c>
      <c r="X186" s="589">
        <f>W186/R186</f>
        <v>0.3276826571267098</v>
      </c>
      <c r="Y186" s="608" t="s">
        <v>199</v>
      </c>
      <c r="Z186" s="536">
        <f>F186+14</f>
        <v>43080</v>
      </c>
      <c r="AA186" s="383" t="s">
        <v>200</v>
      </c>
      <c r="AB186" s="393" t="s">
        <v>220</v>
      </c>
      <c r="AC186" s="392" t="s">
        <v>752</v>
      </c>
      <c r="AD186" s="392">
        <v>43039</v>
      </c>
      <c r="AE186" s="550"/>
      <c r="AF186" s="392">
        <v>43069</v>
      </c>
      <c r="AG186" s="546">
        <f>AF186-AD186</f>
        <v>30</v>
      </c>
      <c r="AJ186" s="553"/>
      <c r="AL186" s="704"/>
    </row>
    <row r="187" spans="1:43" s="218" customFormat="1" ht="14.35" customHeight="1">
      <c r="A187" s="586" t="s">
        <v>714</v>
      </c>
      <c r="B187" s="545" t="s">
        <v>541</v>
      </c>
      <c r="C187" s="386" t="s">
        <v>2174</v>
      </c>
      <c r="D187" s="386">
        <v>43150</v>
      </c>
      <c r="E187" s="392">
        <v>43117</v>
      </c>
      <c r="F187" s="392">
        <v>43117</v>
      </c>
      <c r="G187" s="603">
        <v>43117</v>
      </c>
      <c r="H187" s="753">
        <v>43129</v>
      </c>
      <c r="I187" s="603">
        <v>43129</v>
      </c>
      <c r="J187" s="576">
        <v>43151</v>
      </c>
      <c r="K187" s="386"/>
      <c r="L187" s="392" t="str">
        <f>TEXT(F187,"mmm-yy")</f>
        <v>Jan-18</v>
      </c>
      <c r="M187" s="392" t="str">
        <f>TEXT(J187,"mmm-yy")</f>
        <v>Feb-18</v>
      </c>
      <c r="N187" s="397" t="s">
        <v>1320</v>
      </c>
      <c r="O187" s="418" t="s">
        <v>561</v>
      </c>
      <c r="P187" s="538">
        <v>1139.1099999999999</v>
      </c>
      <c r="Q187" s="418">
        <v>2470.5100000000002</v>
      </c>
      <c r="R187" s="538">
        <f>SUM(P187:Q187)</f>
        <v>3609.62</v>
      </c>
      <c r="S187" s="494">
        <f>R187*1.1</f>
        <v>3970.5820000000003</v>
      </c>
      <c r="T187" s="544"/>
      <c r="U187" s="544"/>
      <c r="V187" s="389">
        <f>SUM(T187:U187)</f>
        <v>0</v>
      </c>
      <c r="W187" s="388">
        <f>R187-V187</f>
        <v>3609.62</v>
      </c>
      <c r="X187" s="589">
        <f>W187/R187</f>
        <v>1</v>
      </c>
      <c r="Y187" s="608" t="s">
        <v>199</v>
      </c>
      <c r="Z187" s="536">
        <f>F187+14</f>
        <v>43131</v>
      </c>
      <c r="AA187" s="383" t="s">
        <v>200</v>
      </c>
      <c r="AB187" s="393" t="s">
        <v>727</v>
      </c>
      <c r="AC187" s="392" t="s">
        <v>752</v>
      </c>
      <c r="AD187" s="392">
        <v>43039</v>
      </c>
      <c r="AE187" s="550"/>
      <c r="AF187" s="392">
        <v>43068</v>
      </c>
      <c r="AG187" s="546">
        <f>AF187-AD187</f>
        <v>29</v>
      </c>
      <c r="AJ187" s="553"/>
      <c r="AL187" s="704"/>
    </row>
    <row r="188" spans="1:43" s="218" customFormat="1" ht="14.35" customHeight="1">
      <c r="A188" s="586" t="s">
        <v>714</v>
      </c>
      <c r="B188" s="545" t="s">
        <v>227</v>
      </c>
      <c r="C188" s="386" t="s">
        <v>1801</v>
      </c>
      <c r="D188" s="386">
        <v>43112</v>
      </c>
      <c r="E188" s="392">
        <v>43056</v>
      </c>
      <c r="F188" s="536">
        <v>43056</v>
      </c>
      <c r="G188" s="603">
        <v>43075</v>
      </c>
      <c r="H188" s="753">
        <v>43077</v>
      </c>
      <c r="I188" s="576">
        <v>43081</v>
      </c>
      <c r="J188" s="576">
        <v>43116</v>
      </c>
      <c r="K188" s="386"/>
      <c r="L188" s="392" t="str">
        <f>TEXT(F188,"mmm-yy")</f>
        <v>Nov-17</v>
      </c>
      <c r="M188" s="392" t="str">
        <f>TEXT(J188,"mmm-yy")</f>
        <v>Jan-18</v>
      </c>
      <c r="N188" s="397" t="s">
        <v>2486</v>
      </c>
      <c r="O188" s="418" t="s">
        <v>1333</v>
      </c>
      <c r="P188" s="538">
        <v>750.2</v>
      </c>
      <c r="Q188" s="418">
        <v>4376.74</v>
      </c>
      <c r="R188" s="538">
        <f>SUM(P188:Q188)</f>
        <v>5126.9399999999996</v>
      </c>
      <c r="S188" s="494">
        <f>R188*1.1</f>
        <v>5639.634</v>
      </c>
      <c r="T188" s="544">
        <v>1746.62</v>
      </c>
      <c r="U188" s="544"/>
      <c r="V188" s="389">
        <f>SUM(T188:U188)</f>
        <v>1746.62</v>
      </c>
      <c r="W188" s="388">
        <f>R188-V188</f>
        <v>3380.3199999999997</v>
      </c>
      <c r="X188" s="589">
        <f>W188/R188</f>
        <v>0.65932505549118969</v>
      </c>
      <c r="Y188" s="544"/>
      <c r="Z188" s="536">
        <f>F188+14</f>
        <v>43070</v>
      </c>
      <c r="AA188" s="544"/>
      <c r="AB188" s="393" t="s">
        <v>757</v>
      </c>
      <c r="AC188" s="392" t="s">
        <v>752</v>
      </c>
      <c r="AD188" s="392">
        <v>43041</v>
      </c>
      <c r="AE188" s="550"/>
      <c r="AF188" s="392">
        <v>43061</v>
      </c>
      <c r="AG188" s="546">
        <f>AF188-AD188</f>
        <v>20</v>
      </c>
      <c r="AJ188" s="553"/>
      <c r="AL188" s="704"/>
    </row>
    <row r="189" spans="1:43" s="218" customFormat="1" ht="14.35" customHeight="1">
      <c r="A189" s="586" t="s">
        <v>715</v>
      </c>
      <c r="B189" s="545" t="s">
        <v>1210</v>
      </c>
      <c r="C189" s="386" t="s">
        <v>1867</v>
      </c>
      <c r="D189" s="386">
        <v>43131</v>
      </c>
      <c r="E189" s="392">
        <v>43083</v>
      </c>
      <c r="F189" s="536">
        <v>43094</v>
      </c>
      <c r="G189" s="740"/>
      <c r="H189" s="743"/>
      <c r="I189" s="603">
        <v>43104</v>
      </c>
      <c r="J189" s="601">
        <f>I189+14</f>
        <v>43118</v>
      </c>
      <c r="K189" s="386"/>
      <c r="L189" s="392" t="str">
        <f>TEXT(F189,"mmm-yy")</f>
        <v>Dec-17</v>
      </c>
      <c r="M189" s="392" t="str">
        <f>TEXT(J189,"mmm-yy")</f>
        <v>Jan-18</v>
      </c>
      <c r="N189" s="418" t="s">
        <v>1265</v>
      </c>
      <c r="O189" s="418" t="s">
        <v>702</v>
      </c>
      <c r="P189" s="538">
        <v>5568.32</v>
      </c>
      <c r="Q189" s="684"/>
      <c r="R189" s="538">
        <f>SUM(P189:Q189)</f>
        <v>5568.32</v>
      </c>
      <c r="S189" s="494">
        <f>R189*1.1</f>
        <v>6125.152</v>
      </c>
      <c r="T189" s="544"/>
      <c r="U189" s="544"/>
      <c r="V189" s="389">
        <f>SUM(T189:U189)</f>
        <v>0</v>
      </c>
      <c r="W189" s="388">
        <f>R189-V189</f>
        <v>5568.32</v>
      </c>
      <c r="X189" s="589">
        <f>W189/R189</f>
        <v>1</v>
      </c>
      <c r="Y189" s="544"/>
      <c r="Z189" s="536">
        <f>F189+14</f>
        <v>43108</v>
      </c>
      <c r="AA189" s="544"/>
      <c r="AB189" s="393" t="s">
        <v>220</v>
      </c>
      <c r="AC189" s="392">
        <v>43025</v>
      </c>
      <c r="AD189" s="392">
        <v>43045</v>
      </c>
      <c r="AE189" s="550">
        <f>AD189-AC189</f>
        <v>20</v>
      </c>
      <c r="AF189" s="392">
        <v>43053</v>
      </c>
      <c r="AG189" s="546">
        <f>AF189-AD189</f>
        <v>8</v>
      </c>
      <c r="AJ189" s="553"/>
      <c r="AL189" s="704"/>
    </row>
    <row r="190" spans="1:43" s="218" customFormat="1" ht="14.35" customHeight="1">
      <c r="A190" s="586" t="s">
        <v>715</v>
      </c>
      <c r="B190" s="545" t="s">
        <v>724</v>
      </c>
      <c r="C190" s="386" t="s">
        <v>1859</v>
      </c>
      <c r="D190" s="386">
        <v>43130</v>
      </c>
      <c r="E190" s="392">
        <v>43083</v>
      </c>
      <c r="F190" s="536">
        <v>43083</v>
      </c>
      <c r="G190" s="740"/>
      <c r="H190" s="743"/>
      <c r="I190" s="667">
        <v>42739</v>
      </c>
      <c r="J190" s="576">
        <v>43129</v>
      </c>
      <c r="K190" s="386"/>
      <c r="L190" s="392" t="str">
        <f>TEXT(F190,"mmm-yy")</f>
        <v>Dec-17</v>
      </c>
      <c r="M190" s="392" t="str">
        <f>TEXT(J190,"mmm-yy")</f>
        <v>Jan-18</v>
      </c>
      <c r="N190" s="397" t="s">
        <v>1335</v>
      </c>
      <c r="O190" s="418" t="s">
        <v>933</v>
      </c>
      <c r="P190" s="538">
        <v>13975.96</v>
      </c>
      <c r="Q190" s="684"/>
      <c r="R190" s="538">
        <f>SUM(P190:Q190)</f>
        <v>13975.96</v>
      </c>
      <c r="S190" s="494">
        <f>R190*1.1</f>
        <v>15373.556</v>
      </c>
      <c r="T190" s="544"/>
      <c r="U190" s="544"/>
      <c r="V190" s="389">
        <f>SUM(T190:U190)</f>
        <v>0</v>
      </c>
      <c r="W190" s="388">
        <f>R190-V190</f>
        <v>13975.96</v>
      </c>
      <c r="X190" s="589">
        <f>W190/R190</f>
        <v>1</v>
      </c>
      <c r="Y190" s="544"/>
      <c r="Z190" s="536">
        <f>F190+14</f>
        <v>43097</v>
      </c>
      <c r="AA190" s="544"/>
      <c r="AB190" s="393" t="s">
        <v>220</v>
      </c>
      <c r="AC190" s="392">
        <v>43038</v>
      </c>
      <c r="AD190" s="392">
        <v>43045</v>
      </c>
      <c r="AE190" s="550">
        <f>AD190-AC190</f>
        <v>7</v>
      </c>
      <c r="AF190" s="392">
        <v>43069</v>
      </c>
      <c r="AG190" s="546">
        <f>AF190-AD190</f>
        <v>24</v>
      </c>
      <c r="AJ190" s="553"/>
      <c r="AL190" s="704"/>
    </row>
    <row r="191" spans="1:43" s="218" customFormat="1" ht="14.35" customHeight="1">
      <c r="A191" s="586" t="s">
        <v>714</v>
      </c>
      <c r="B191" s="545" t="s">
        <v>722</v>
      </c>
      <c r="C191" s="541" t="s">
        <v>2255</v>
      </c>
      <c r="D191" s="386">
        <v>43153</v>
      </c>
      <c r="E191" s="392">
        <v>43088</v>
      </c>
      <c r="F191" s="536">
        <v>43089</v>
      </c>
      <c r="G191" s="603">
        <v>43109</v>
      </c>
      <c r="H191" s="753">
        <v>43123</v>
      </c>
      <c r="I191" s="667">
        <v>42739</v>
      </c>
      <c r="J191" s="577">
        <v>43158</v>
      </c>
      <c r="K191" s="386"/>
      <c r="L191" s="392" t="str">
        <f>TEXT(F191,"mmm-yy")</f>
        <v>Dec-17</v>
      </c>
      <c r="M191" s="392" t="str">
        <f>TEXT(J191,"mmm-yy")</f>
        <v>Feb-18</v>
      </c>
      <c r="N191" s="397" t="s">
        <v>1337</v>
      </c>
      <c r="O191" s="418" t="s">
        <v>1339</v>
      </c>
      <c r="P191" s="538">
        <v>1215.49</v>
      </c>
      <c r="Q191" s="418">
        <v>650.54</v>
      </c>
      <c r="R191" s="538">
        <f>SUM(P191:Q191)</f>
        <v>1866.03</v>
      </c>
      <c r="S191" s="494">
        <f>R191*1.1</f>
        <v>2052.6330000000003</v>
      </c>
      <c r="T191" s="544"/>
      <c r="U191" s="544"/>
      <c r="V191" s="389">
        <f>SUM(T191:U191)</f>
        <v>0</v>
      </c>
      <c r="W191" s="388">
        <f>R191-V191</f>
        <v>1866.03</v>
      </c>
      <c r="X191" s="589">
        <f>W191/R191</f>
        <v>1</v>
      </c>
      <c r="Y191" s="544"/>
      <c r="Z191" s="536">
        <f>F191+14</f>
        <v>43103</v>
      </c>
      <c r="AA191" s="544"/>
      <c r="AB191" s="393" t="s">
        <v>1338</v>
      </c>
      <c r="AC191" s="392" t="s">
        <v>752</v>
      </c>
      <c r="AD191" s="392">
        <v>43048</v>
      </c>
      <c r="AE191" s="550"/>
      <c r="AF191" s="392">
        <v>43084</v>
      </c>
      <c r="AG191" s="546">
        <f>AF191-AD191</f>
        <v>36</v>
      </c>
      <c r="AJ191" s="553"/>
      <c r="AL191" s="704"/>
    </row>
    <row r="192" spans="1:43" s="218" customFormat="1" ht="14.35" customHeight="1">
      <c r="A192" s="586" t="s">
        <v>715</v>
      </c>
      <c r="B192" s="545" t="s">
        <v>190</v>
      </c>
      <c r="C192" s="386" t="s">
        <v>2288</v>
      </c>
      <c r="D192" s="386">
        <v>43161</v>
      </c>
      <c r="E192" s="392">
        <v>43123</v>
      </c>
      <c r="F192" s="392">
        <v>43124</v>
      </c>
      <c r="G192" s="603">
        <v>42760</v>
      </c>
      <c r="H192" s="753">
        <v>43131</v>
      </c>
      <c r="I192" s="603">
        <v>43137</v>
      </c>
      <c r="J192" s="576">
        <v>43165</v>
      </c>
      <c r="K192" s="386"/>
      <c r="L192" s="392" t="str">
        <f>TEXT(F192,"mmm-yy")</f>
        <v>Jan-18</v>
      </c>
      <c r="M192" s="392" t="str">
        <f>TEXT(J192,"mmm-yy")</f>
        <v>Mar-18</v>
      </c>
      <c r="N192" s="397" t="s">
        <v>1311</v>
      </c>
      <c r="O192" s="418" t="s">
        <v>675</v>
      </c>
      <c r="P192" s="538">
        <v>4263.5600000000004</v>
      </c>
      <c r="Q192" s="418">
        <v>4345.3999999999996</v>
      </c>
      <c r="R192" s="538">
        <f>SUM(P192:Q192)</f>
        <v>8608.9599999999991</v>
      </c>
      <c r="S192" s="494">
        <f>R192*1.1</f>
        <v>9469.8559999999998</v>
      </c>
      <c r="T192" s="544">
        <v>2292.46</v>
      </c>
      <c r="U192" s="544"/>
      <c r="V192" s="389">
        <f>SUM(T192:U192)</f>
        <v>2292.46</v>
      </c>
      <c r="W192" s="388">
        <f>R192-V192</f>
        <v>6316.4999999999991</v>
      </c>
      <c r="X192" s="589">
        <f>W192/R192</f>
        <v>0.7337123183288109</v>
      </c>
      <c r="Y192" s="544"/>
      <c r="Z192" s="536">
        <f>F192+14</f>
        <v>43138</v>
      </c>
      <c r="AA192" s="544"/>
      <c r="AB192" s="393" t="s">
        <v>727</v>
      </c>
      <c r="AC192" s="392">
        <v>43038</v>
      </c>
      <c r="AD192" s="392">
        <v>43048</v>
      </c>
      <c r="AE192" s="550">
        <f>AD192-AC192</f>
        <v>10</v>
      </c>
      <c r="AF192" s="392">
        <v>43069</v>
      </c>
      <c r="AG192" s="546">
        <f>AF192-AD192</f>
        <v>21</v>
      </c>
      <c r="AJ192" s="553"/>
      <c r="AL192" s="704"/>
    </row>
    <row r="193" spans="1:38" s="218" customFormat="1" ht="14.35" customHeight="1">
      <c r="A193" s="586" t="s">
        <v>715</v>
      </c>
      <c r="B193" s="545" t="s">
        <v>764</v>
      </c>
      <c r="C193" s="386" t="s">
        <v>2401</v>
      </c>
      <c r="D193" s="386">
        <v>43178</v>
      </c>
      <c r="E193" s="392">
        <v>43147</v>
      </c>
      <c r="F193" s="392">
        <v>43152</v>
      </c>
      <c r="G193" s="603">
        <v>43152</v>
      </c>
      <c r="H193" s="753">
        <v>43158</v>
      </c>
      <c r="I193" s="603">
        <v>43164</v>
      </c>
      <c r="J193" s="758">
        <v>43179</v>
      </c>
      <c r="K193" s="386"/>
      <c r="L193" s="392" t="str">
        <f>TEXT(F193,"mmm-yy")</f>
        <v>Feb-18</v>
      </c>
      <c r="M193" s="392" t="str">
        <f>TEXT(J193,"mmm-yy")</f>
        <v>Mar-18</v>
      </c>
      <c r="N193" s="666" t="s">
        <v>2184</v>
      </c>
      <c r="O193" s="418" t="s">
        <v>612</v>
      </c>
      <c r="P193" s="538">
        <v>22553.22</v>
      </c>
      <c r="Q193" s="418">
        <v>2677.9657142857141</v>
      </c>
      <c r="R193" s="538">
        <f>SUM(P193:Q193)</f>
        <v>25231.185714285715</v>
      </c>
      <c r="S193" s="494">
        <f>R193*1.1</f>
        <v>27754.30428571429</v>
      </c>
      <c r="T193" s="544"/>
      <c r="U193" s="544"/>
      <c r="V193" s="389">
        <f>SUM(T193:U193)</f>
        <v>0</v>
      </c>
      <c r="W193" s="388">
        <f>R193-V193</f>
        <v>25231.185714285715</v>
      </c>
      <c r="X193" s="589">
        <f>W193/R193</f>
        <v>1</v>
      </c>
      <c r="Y193" s="544"/>
      <c r="Z193" s="536">
        <f>F193+14</f>
        <v>43166</v>
      </c>
      <c r="AA193" s="544"/>
      <c r="AB193" s="393" t="s">
        <v>220</v>
      </c>
      <c r="AC193" s="392">
        <v>43032</v>
      </c>
      <c r="AD193" s="392">
        <v>43049</v>
      </c>
      <c r="AE193" s="550">
        <f>AD193-AC193</f>
        <v>17</v>
      </c>
      <c r="AF193" s="392">
        <v>43056</v>
      </c>
      <c r="AG193" s="546">
        <f>AF193-AD193</f>
        <v>7</v>
      </c>
      <c r="AJ193" s="553"/>
      <c r="AL193" s="704"/>
    </row>
    <row r="194" spans="1:38" s="218" customFormat="1" ht="14.35" customHeight="1">
      <c r="A194" s="586" t="s">
        <v>715</v>
      </c>
      <c r="B194" s="545" t="s">
        <v>724</v>
      </c>
      <c r="C194" s="386" t="s">
        <v>1831</v>
      </c>
      <c r="D194" s="386">
        <v>43090</v>
      </c>
      <c r="E194" s="392">
        <v>43065</v>
      </c>
      <c r="F194" s="536">
        <v>43066</v>
      </c>
      <c r="G194" s="759"/>
      <c r="H194" s="760"/>
      <c r="I194" s="603">
        <v>43076</v>
      </c>
      <c r="J194" s="603">
        <v>43090</v>
      </c>
      <c r="K194" s="386"/>
      <c r="L194" s="392" t="str">
        <f>TEXT(F194,"mmm-yy")</f>
        <v>Nov-17</v>
      </c>
      <c r="M194" s="392" t="str">
        <f>TEXT(J194,"mmm-yy")</f>
        <v>Dec-17</v>
      </c>
      <c r="N194" s="397" t="s">
        <v>1268</v>
      </c>
      <c r="O194" s="418" t="s">
        <v>1344</v>
      </c>
      <c r="P194" s="538">
        <v>8488.5</v>
      </c>
      <c r="Q194" s="684"/>
      <c r="R194" s="538">
        <f>SUM(P194:Q194)</f>
        <v>8488.5</v>
      </c>
      <c r="S194" s="494">
        <f>R194*1.1</f>
        <v>9337.35</v>
      </c>
      <c r="T194" s="544">
        <v>6106.05</v>
      </c>
      <c r="U194" s="544"/>
      <c r="V194" s="389">
        <f>SUM(T194:U194)</f>
        <v>6106.05</v>
      </c>
      <c r="W194" s="388">
        <f>R194-V194</f>
        <v>2382.4499999999998</v>
      </c>
      <c r="X194" s="589">
        <f>W194/R194</f>
        <v>0.28066796253755077</v>
      </c>
      <c r="Y194" s="608" t="s">
        <v>199</v>
      </c>
      <c r="Z194" s="536">
        <f>F194+14</f>
        <v>43080</v>
      </c>
      <c r="AA194" s="383" t="s">
        <v>200</v>
      </c>
      <c r="AB194" s="393" t="s">
        <v>220</v>
      </c>
      <c r="AC194" s="392">
        <v>43031</v>
      </c>
      <c r="AD194" s="392">
        <v>43049</v>
      </c>
      <c r="AE194" s="550">
        <f>AD194-AC194</f>
        <v>18</v>
      </c>
      <c r="AF194" s="392">
        <v>43057</v>
      </c>
      <c r="AG194" s="546">
        <f>AF194-AD194</f>
        <v>8</v>
      </c>
      <c r="AJ194" s="553"/>
      <c r="AL194" s="704"/>
    </row>
    <row r="195" spans="1:38" s="218" customFormat="1" ht="14.35" customHeight="1">
      <c r="A195" s="586" t="s">
        <v>715</v>
      </c>
      <c r="B195" s="545" t="s">
        <v>190</v>
      </c>
      <c r="C195" s="386" t="s">
        <v>2373</v>
      </c>
      <c r="D195" s="386">
        <v>43116</v>
      </c>
      <c r="E195" s="392">
        <v>43074</v>
      </c>
      <c r="F195" s="392">
        <v>43074</v>
      </c>
      <c r="G195" s="756"/>
      <c r="H195" s="757"/>
      <c r="I195" s="603">
        <v>43084</v>
      </c>
      <c r="J195" s="576">
        <v>43116</v>
      </c>
      <c r="K195" s="386"/>
      <c r="L195" s="392" t="str">
        <f>TEXT(F195,"mmm-yy")</f>
        <v>Dec-17</v>
      </c>
      <c r="M195" s="392" t="str">
        <f>TEXT(J195,"mmm-yy")</f>
        <v>Jan-18</v>
      </c>
      <c r="N195" s="397" t="s">
        <v>1345</v>
      </c>
      <c r="O195" s="418" t="s">
        <v>695</v>
      </c>
      <c r="P195" s="538">
        <v>2284.9699999999998</v>
      </c>
      <c r="Q195" s="684"/>
      <c r="R195" s="538">
        <f>SUM(P195:Q195)</f>
        <v>2284.9699999999998</v>
      </c>
      <c r="S195" s="494">
        <f>R195*1.1</f>
        <v>2513.4670000000001</v>
      </c>
      <c r="T195" s="544"/>
      <c r="U195" s="544"/>
      <c r="V195" s="389">
        <f>SUM(T195:U195)</f>
        <v>0</v>
      </c>
      <c r="W195" s="388">
        <f>R195-V195</f>
        <v>2284.9699999999998</v>
      </c>
      <c r="X195" s="589">
        <f>W195/R195</f>
        <v>1</v>
      </c>
      <c r="Y195" s="608" t="s">
        <v>199</v>
      </c>
      <c r="Z195" s="536">
        <f>F195+14</f>
        <v>43088</v>
      </c>
      <c r="AA195" s="383" t="s">
        <v>200</v>
      </c>
      <c r="AB195" s="393" t="s">
        <v>210</v>
      </c>
      <c r="AC195" s="392">
        <v>43043</v>
      </c>
      <c r="AD195" s="392">
        <v>43049</v>
      </c>
      <c r="AE195" s="550">
        <f>AD195-AC195</f>
        <v>6</v>
      </c>
      <c r="AF195" s="392">
        <v>43069</v>
      </c>
      <c r="AG195" s="546">
        <f>AF195-AD195</f>
        <v>20</v>
      </c>
      <c r="AJ195" s="553"/>
      <c r="AL195" s="704"/>
    </row>
    <row r="196" spans="1:38" s="218" customFormat="1" ht="14.35" customHeight="1">
      <c r="A196" s="586" t="s">
        <v>715</v>
      </c>
      <c r="B196" s="545" t="s">
        <v>190</v>
      </c>
      <c r="C196" s="386" t="s">
        <v>1829</v>
      </c>
      <c r="D196" s="386">
        <v>43116</v>
      </c>
      <c r="E196" s="392">
        <v>43069</v>
      </c>
      <c r="F196" s="536">
        <v>43069</v>
      </c>
      <c r="G196" s="756"/>
      <c r="H196" s="757"/>
      <c r="I196" s="603">
        <v>43081</v>
      </c>
      <c r="J196" s="576">
        <v>43118</v>
      </c>
      <c r="K196" s="386"/>
      <c r="L196" s="392" t="str">
        <f>TEXT(F196,"mmm-yy")</f>
        <v>Nov-17</v>
      </c>
      <c r="M196" s="392" t="str">
        <f>TEXT(J196,"mmm-yy")</f>
        <v>Jan-18</v>
      </c>
      <c r="N196" s="397" t="s">
        <v>1594</v>
      </c>
      <c r="O196" s="418" t="s">
        <v>889</v>
      </c>
      <c r="P196" s="538">
        <v>800</v>
      </c>
      <c r="Q196" s="684"/>
      <c r="R196" s="538">
        <f>SUM(P196:Q196)</f>
        <v>800</v>
      </c>
      <c r="S196" s="494">
        <f>R196*1.1</f>
        <v>880.00000000000011</v>
      </c>
      <c r="T196" s="544"/>
      <c r="U196" s="544"/>
      <c r="V196" s="389">
        <f>SUM(T196:U196)</f>
        <v>0</v>
      </c>
      <c r="W196" s="388">
        <f>R196-V196</f>
        <v>800</v>
      </c>
      <c r="X196" s="589">
        <f>W196/R196</f>
        <v>1</v>
      </c>
      <c r="Y196" s="608" t="s">
        <v>199</v>
      </c>
      <c r="Z196" s="536">
        <f>F196+14</f>
        <v>43083</v>
      </c>
      <c r="AA196" s="383" t="s">
        <v>200</v>
      </c>
      <c r="AB196" s="393" t="s">
        <v>210</v>
      </c>
      <c r="AC196" s="392">
        <v>43032</v>
      </c>
      <c r="AD196" s="392">
        <v>43052</v>
      </c>
      <c r="AE196" s="550">
        <f>AD196-AC196</f>
        <v>20</v>
      </c>
      <c r="AF196" s="392">
        <v>43059</v>
      </c>
      <c r="AG196" s="546">
        <f>AF196-AD196</f>
        <v>7</v>
      </c>
      <c r="AJ196" s="553"/>
      <c r="AL196" s="704"/>
    </row>
    <row r="197" spans="1:38" s="218" customFormat="1" ht="14.35" customHeight="1">
      <c r="A197" s="586" t="s">
        <v>715</v>
      </c>
      <c r="B197" s="545" t="s">
        <v>764</v>
      </c>
      <c r="C197" s="386" t="s">
        <v>2375</v>
      </c>
      <c r="D197" s="386">
        <v>43123</v>
      </c>
      <c r="E197" s="392">
        <v>43076</v>
      </c>
      <c r="F197" s="536">
        <v>43080</v>
      </c>
      <c r="G197" s="756"/>
      <c r="H197" s="757"/>
      <c r="I197" s="603">
        <v>43088</v>
      </c>
      <c r="J197" s="576">
        <v>43121</v>
      </c>
      <c r="K197" s="386"/>
      <c r="L197" s="392" t="str">
        <f>TEXT(F197,"mmm-yy")</f>
        <v>Dec-17</v>
      </c>
      <c r="M197" s="392" t="str">
        <f>TEXT(J197,"mmm-yy")</f>
        <v>Jan-18</v>
      </c>
      <c r="N197" s="397" t="s">
        <v>1363</v>
      </c>
      <c r="O197" s="418" t="s">
        <v>1360</v>
      </c>
      <c r="P197" s="538">
        <v>1350</v>
      </c>
      <c r="Q197" s="684"/>
      <c r="R197" s="538">
        <f>SUM(P197:Q197)</f>
        <v>1350</v>
      </c>
      <c r="S197" s="494">
        <f>R197*1.1</f>
        <v>1485.0000000000002</v>
      </c>
      <c r="T197" s="544"/>
      <c r="U197" s="544"/>
      <c r="V197" s="389">
        <f>SUM(T197:U197)</f>
        <v>0</v>
      </c>
      <c r="W197" s="388">
        <f>R197-V197</f>
        <v>1350</v>
      </c>
      <c r="X197" s="589">
        <f>W197/R197</f>
        <v>1</v>
      </c>
      <c r="Y197" s="544"/>
      <c r="Z197" s="536">
        <f>F197+14</f>
        <v>43094</v>
      </c>
      <c r="AA197" s="544"/>
      <c r="AB197" s="393" t="s">
        <v>210</v>
      </c>
      <c r="AC197" s="392">
        <v>43043</v>
      </c>
      <c r="AD197" s="392">
        <v>43055</v>
      </c>
      <c r="AE197" s="550">
        <f>AD197-AC197</f>
        <v>12</v>
      </c>
      <c r="AF197" s="392">
        <v>43069</v>
      </c>
      <c r="AG197" s="546">
        <f>AF197-AD197</f>
        <v>14</v>
      </c>
      <c r="AJ197" s="553"/>
      <c r="AL197" s="704"/>
    </row>
    <row r="198" spans="1:38" s="218" customFormat="1" ht="14.35" customHeight="1">
      <c r="A198" s="586" t="s">
        <v>715</v>
      </c>
      <c r="B198" s="545" t="s">
        <v>764</v>
      </c>
      <c r="C198" s="386" t="s">
        <v>2405</v>
      </c>
      <c r="D198" s="386">
        <v>43181</v>
      </c>
      <c r="E198" s="392">
        <v>43152</v>
      </c>
      <c r="F198" s="392">
        <v>43152</v>
      </c>
      <c r="G198" s="603">
        <v>43152</v>
      </c>
      <c r="H198" s="753">
        <v>43158</v>
      </c>
      <c r="I198" s="603">
        <v>43164</v>
      </c>
      <c r="J198" s="603">
        <v>43181</v>
      </c>
      <c r="K198" s="386"/>
      <c r="L198" s="392" t="str">
        <f>TEXT(F198,"mmm-yy")</f>
        <v>Feb-18</v>
      </c>
      <c r="M198" s="392" t="str">
        <f>TEXT(J198,"mmm-yy")</f>
        <v>Mar-18</v>
      </c>
      <c r="N198" s="397" t="s">
        <v>1253</v>
      </c>
      <c r="O198" s="418" t="s">
        <v>1362</v>
      </c>
      <c r="P198" s="538">
        <v>12059.12</v>
      </c>
      <c r="Q198" s="538">
        <v>3133.8257142857137</v>
      </c>
      <c r="R198" s="538">
        <f>SUM(P198:Q198)</f>
        <v>15192.945714285714</v>
      </c>
      <c r="S198" s="494">
        <f>R198*1.1</f>
        <v>16712.240285714288</v>
      </c>
      <c r="T198" s="544"/>
      <c r="U198" s="544"/>
      <c r="V198" s="389">
        <f>SUM(T198:U198)</f>
        <v>0</v>
      </c>
      <c r="W198" s="388">
        <f>R198-V198</f>
        <v>15192.945714285714</v>
      </c>
      <c r="X198" s="589">
        <f>W198/R198</f>
        <v>1</v>
      </c>
      <c r="Y198" s="544"/>
      <c r="Z198" s="536">
        <f>F198+14</f>
        <v>43166</v>
      </c>
      <c r="AA198" s="544"/>
      <c r="AB198" s="393" t="s">
        <v>220</v>
      </c>
      <c r="AC198" s="392">
        <v>43007</v>
      </c>
      <c r="AD198" s="392">
        <v>43056</v>
      </c>
      <c r="AE198" s="550">
        <f>AD198-AC198</f>
        <v>49</v>
      </c>
      <c r="AF198" s="392">
        <v>43072</v>
      </c>
      <c r="AG198" s="546">
        <f>AF198-AD198</f>
        <v>16</v>
      </c>
      <c r="AJ198" s="553"/>
      <c r="AL198" s="704"/>
    </row>
    <row r="199" spans="1:38" s="218" customFormat="1" ht="14.35" customHeight="1">
      <c r="A199" s="586" t="s">
        <v>715</v>
      </c>
      <c r="B199" s="545" t="s">
        <v>227</v>
      </c>
      <c r="C199" s="386" t="s">
        <v>1792</v>
      </c>
      <c r="D199" s="386">
        <v>43108</v>
      </c>
      <c r="E199" s="392">
        <v>43069</v>
      </c>
      <c r="F199" s="536">
        <v>43069</v>
      </c>
      <c r="G199" s="756"/>
      <c r="H199" s="757"/>
      <c r="I199" s="603">
        <v>43082</v>
      </c>
      <c r="J199" s="667">
        <v>43097</v>
      </c>
      <c r="K199" s="386"/>
      <c r="L199" s="392" t="str">
        <f>TEXT(F199,"mmm-yy")</f>
        <v>Nov-17</v>
      </c>
      <c r="M199" s="392" t="str">
        <f>TEXT(J199,"mmm-yy")</f>
        <v>Dec-17</v>
      </c>
      <c r="N199" s="397" t="s">
        <v>1166</v>
      </c>
      <c r="O199" s="418" t="s">
        <v>1589</v>
      </c>
      <c r="P199" s="538">
        <v>1670</v>
      </c>
      <c r="Q199" s="684"/>
      <c r="R199" s="538">
        <f>SUM(P199:Q199)</f>
        <v>1670</v>
      </c>
      <c r="S199" s="494">
        <f>R199*1.1</f>
        <v>1837.0000000000002</v>
      </c>
      <c r="T199" s="544"/>
      <c r="U199" s="544"/>
      <c r="V199" s="389">
        <f>SUM(T199:U199)</f>
        <v>0</v>
      </c>
      <c r="W199" s="388">
        <f>R199-V199</f>
        <v>1670</v>
      </c>
      <c r="X199" s="589">
        <f>W199/R199</f>
        <v>1</v>
      </c>
      <c r="Y199" s="608" t="s">
        <v>199</v>
      </c>
      <c r="Z199" s="536">
        <f>F199+14</f>
        <v>43083</v>
      </c>
      <c r="AA199" s="383" t="s">
        <v>200</v>
      </c>
      <c r="AB199" s="393" t="s">
        <v>220</v>
      </c>
      <c r="AC199" s="392">
        <v>42993</v>
      </c>
      <c r="AD199" s="392">
        <v>43056</v>
      </c>
      <c r="AE199" s="550">
        <f>AD199-AC199</f>
        <v>63</v>
      </c>
      <c r="AF199" s="392">
        <v>43069</v>
      </c>
      <c r="AG199" s="546">
        <f>AF199-AD199</f>
        <v>13</v>
      </c>
      <c r="AJ199" s="553"/>
      <c r="AL199" s="704"/>
    </row>
    <row r="200" spans="1:38" s="218" customFormat="1" ht="14.35" customHeight="1">
      <c r="A200" s="586" t="s">
        <v>1581</v>
      </c>
      <c r="B200" s="545" t="s">
        <v>190</v>
      </c>
      <c r="C200" s="697" t="s">
        <v>1583</v>
      </c>
      <c r="D200" s="386">
        <v>43061</v>
      </c>
      <c r="E200" s="392">
        <v>42984</v>
      </c>
      <c r="F200" s="536">
        <v>43062</v>
      </c>
      <c r="G200" s="756"/>
      <c r="H200" s="757"/>
      <c r="I200" s="756"/>
      <c r="J200" s="601"/>
      <c r="K200" s="386"/>
      <c r="L200" s="392" t="str">
        <f>TEXT(F200,"mmm-yy")</f>
        <v>Nov-17</v>
      </c>
      <c r="M200" s="392" t="str">
        <f>TEXT(J200,"mmm-yy")</f>
        <v>Jan-00</v>
      </c>
      <c r="N200" s="397" t="s">
        <v>1585</v>
      </c>
      <c r="O200" s="418" t="s">
        <v>190</v>
      </c>
      <c r="P200" s="538">
        <v>12629.08</v>
      </c>
      <c r="Q200" s="684"/>
      <c r="R200" s="538">
        <f>SUM(P200:Q200)</f>
        <v>12629.08</v>
      </c>
      <c r="S200" s="494">
        <f>R200*1.1</f>
        <v>13891.988000000001</v>
      </c>
      <c r="T200" s="544">
        <v>2300</v>
      </c>
      <c r="U200" s="544"/>
      <c r="V200" s="389">
        <f>SUM(T200:U200)</f>
        <v>2300</v>
      </c>
      <c r="W200" s="388">
        <f>R200-V200</f>
        <v>10329.08</v>
      </c>
      <c r="X200" s="589">
        <f>W200/R200</f>
        <v>0.81788063738609618</v>
      </c>
      <c r="Y200" s="608" t="s">
        <v>199</v>
      </c>
      <c r="Z200" s="536">
        <f>F200+14</f>
        <v>43076</v>
      </c>
      <c r="AA200" s="383" t="s">
        <v>200</v>
      </c>
      <c r="AB200" s="393" t="s">
        <v>1588</v>
      </c>
      <c r="AC200" s="392" t="s">
        <v>1590</v>
      </c>
      <c r="AD200" s="392" t="s">
        <v>1590</v>
      </c>
      <c r="AE200" s="392" t="s">
        <v>1590</v>
      </c>
      <c r="AF200" s="392" t="s">
        <v>1590</v>
      </c>
      <c r="AG200" s="392" t="s">
        <v>1590</v>
      </c>
      <c r="AJ200" s="553"/>
      <c r="AL200" s="704"/>
    </row>
    <row r="201" spans="1:38" s="218" customFormat="1" ht="14.35" customHeight="1">
      <c r="A201" s="586" t="s">
        <v>1581</v>
      </c>
      <c r="B201" s="545" t="s">
        <v>190</v>
      </c>
      <c r="C201" s="697" t="s">
        <v>1584</v>
      </c>
      <c r="D201" s="386">
        <v>43061</v>
      </c>
      <c r="E201" s="392">
        <v>42984</v>
      </c>
      <c r="F201" s="536">
        <v>43062</v>
      </c>
      <c r="G201" s="756"/>
      <c r="H201" s="757"/>
      <c r="I201" s="756"/>
      <c r="J201" s="601"/>
      <c r="K201" s="386"/>
      <c r="L201" s="392" t="str">
        <f>TEXT(F201,"mmm-yy")</f>
        <v>Nov-17</v>
      </c>
      <c r="M201" s="392" t="str">
        <f>TEXT(J201,"mmm-yy")</f>
        <v>Jan-00</v>
      </c>
      <c r="N201" s="397" t="s">
        <v>1586</v>
      </c>
      <c r="O201" s="418" t="s">
        <v>190</v>
      </c>
      <c r="P201" s="538">
        <v>8851.2800000000007</v>
      </c>
      <c r="Q201" s="684"/>
      <c r="R201" s="538">
        <f>SUM(P201:Q201)</f>
        <v>8851.2800000000007</v>
      </c>
      <c r="S201" s="494">
        <f>R201*1.1</f>
        <v>9736.4080000000013</v>
      </c>
      <c r="T201" s="544">
        <v>1736.5</v>
      </c>
      <c r="U201" s="544"/>
      <c r="V201" s="389">
        <f>SUM(T201:U201)</f>
        <v>1736.5</v>
      </c>
      <c r="W201" s="388">
        <f>R201-V201</f>
        <v>7114.7800000000007</v>
      </c>
      <c r="X201" s="589">
        <f>W201/R201</f>
        <v>0.80381368570421452</v>
      </c>
      <c r="Y201" s="608" t="s">
        <v>199</v>
      </c>
      <c r="Z201" s="536">
        <f>F201+14</f>
        <v>43076</v>
      </c>
      <c r="AA201" s="383" t="s">
        <v>200</v>
      </c>
      <c r="AB201" s="393" t="s">
        <v>1588</v>
      </c>
      <c r="AC201" s="392" t="s">
        <v>1590</v>
      </c>
      <c r="AD201" s="392" t="s">
        <v>1590</v>
      </c>
      <c r="AE201" s="392" t="s">
        <v>1590</v>
      </c>
      <c r="AF201" s="392" t="s">
        <v>1590</v>
      </c>
      <c r="AG201" s="392" t="s">
        <v>1590</v>
      </c>
      <c r="AJ201" s="553"/>
      <c r="AL201" s="704"/>
    </row>
    <row r="202" spans="1:38" s="218" customFormat="1" ht="14.35" customHeight="1">
      <c r="A202" s="586" t="s">
        <v>1581</v>
      </c>
      <c r="B202" s="545" t="s">
        <v>190</v>
      </c>
      <c r="C202" s="697" t="s">
        <v>1582</v>
      </c>
      <c r="D202" s="386">
        <v>43061</v>
      </c>
      <c r="E202" s="392">
        <v>42984</v>
      </c>
      <c r="F202" s="536">
        <v>43062</v>
      </c>
      <c r="G202" s="756"/>
      <c r="H202" s="757"/>
      <c r="I202" s="756"/>
      <c r="J202" s="601"/>
      <c r="K202" s="386"/>
      <c r="L202" s="392" t="str">
        <f>TEXT(F202,"mmm-yy")</f>
        <v>Nov-17</v>
      </c>
      <c r="M202" s="392" t="str">
        <f>TEXT(J202,"mmm-yy")</f>
        <v>Jan-00</v>
      </c>
      <c r="N202" s="397" t="s">
        <v>1587</v>
      </c>
      <c r="O202" s="418" t="s">
        <v>190</v>
      </c>
      <c r="P202" s="538">
        <v>11338.68</v>
      </c>
      <c r="Q202" s="684"/>
      <c r="R202" s="538">
        <f>SUM(P202:Q202)</f>
        <v>11338.68</v>
      </c>
      <c r="S202" s="494">
        <f>R202*1.1</f>
        <v>12472.548000000001</v>
      </c>
      <c r="T202" s="544">
        <v>1700</v>
      </c>
      <c r="U202" s="544"/>
      <c r="V202" s="389">
        <f>SUM(T202:U202)</f>
        <v>1700</v>
      </c>
      <c r="W202" s="388">
        <f>R202-V202</f>
        <v>9638.68</v>
      </c>
      <c r="X202" s="589">
        <f>W202/R202</f>
        <v>0.8500707313373338</v>
      </c>
      <c r="Y202" s="608" t="s">
        <v>199</v>
      </c>
      <c r="Z202" s="536">
        <f>F202+14</f>
        <v>43076</v>
      </c>
      <c r="AA202" s="383" t="s">
        <v>200</v>
      </c>
      <c r="AB202" s="393" t="s">
        <v>1588</v>
      </c>
      <c r="AC202" s="392" t="s">
        <v>1590</v>
      </c>
      <c r="AD202" s="392" t="s">
        <v>1590</v>
      </c>
      <c r="AE202" s="392" t="s">
        <v>1590</v>
      </c>
      <c r="AF202" s="392" t="s">
        <v>1590</v>
      </c>
      <c r="AG202" s="392" t="s">
        <v>1590</v>
      </c>
      <c r="AJ202" s="553"/>
      <c r="AL202" s="704"/>
    </row>
    <row r="203" spans="1:38" s="218" customFormat="1" ht="14.35" customHeight="1">
      <c r="A203" s="586" t="s">
        <v>715</v>
      </c>
      <c r="B203" s="545" t="s">
        <v>190</v>
      </c>
      <c r="C203" s="386" t="s">
        <v>2779</v>
      </c>
      <c r="D203" s="386">
        <v>43230</v>
      </c>
      <c r="E203" s="392">
        <v>43178</v>
      </c>
      <c r="F203" s="392">
        <v>43178</v>
      </c>
      <c r="G203" s="603">
        <v>43180</v>
      </c>
      <c r="H203" s="753">
        <v>43194</v>
      </c>
      <c r="I203" s="576">
        <v>43195</v>
      </c>
      <c r="J203" s="601">
        <v>43228</v>
      </c>
      <c r="K203" s="386"/>
      <c r="L203" s="392" t="str">
        <f>TEXT(F203,"mmm-yy")</f>
        <v>Mar-18</v>
      </c>
      <c r="M203" s="392" t="str">
        <f>TEXT(J203,"mmm-yy")</f>
        <v>May-18</v>
      </c>
      <c r="N203" s="397" t="s">
        <v>2396</v>
      </c>
      <c r="O203" s="418" t="s">
        <v>675</v>
      </c>
      <c r="P203" s="538">
        <v>7704.13</v>
      </c>
      <c r="Q203" s="418">
        <v>1721.05</v>
      </c>
      <c r="R203" s="538">
        <f>SUM(P203:Q203)</f>
        <v>9425.18</v>
      </c>
      <c r="S203" s="494">
        <f>R203*1.1</f>
        <v>10367.698</v>
      </c>
      <c r="T203" s="544"/>
      <c r="U203" s="544"/>
      <c r="V203" s="389">
        <f>SUM(T203:U203)</f>
        <v>0</v>
      </c>
      <c r="W203" s="388">
        <f>R203-V203</f>
        <v>9425.18</v>
      </c>
      <c r="X203" s="589">
        <f>W203/R203</f>
        <v>1</v>
      </c>
      <c r="Y203" s="544"/>
      <c r="Z203" s="536">
        <f>F203+14</f>
        <v>43192</v>
      </c>
      <c r="AA203" s="544"/>
      <c r="AB203" s="393" t="s">
        <v>959</v>
      </c>
      <c r="AC203" s="392">
        <v>43143</v>
      </c>
      <c r="AD203" s="392">
        <v>43150</v>
      </c>
      <c r="AE203" s="689">
        <f>AD203-AC203</f>
        <v>7</v>
      </c>
      <c r="AF203" s="392">
        <v>43178</v>
      </c>
      <c r="AG203" s="546">
        <f>AF203-AD203</f>
        <v>28</v>
      </c>
      <c r="AJ203" s="553"/>
      <c r="AL203" s="704"/>
    </row>
    <row r="204" spans="1:38" s="218" customFormat="1" ht="14.35" customHeight="1">
      <c r="A204" s="586" t="s">
        <v>714</v>
      </c>
      <c r="B204" s="545" t="s">
        <v>190</v>
      </c>
      <c r="C204" s="386"/>
      <c r="D204" s="386"/>
      <c r="E204" s="392">
        <v>43257</v>
      </c>
      <c r="F204" s="392">
        <v>43258</v>
      </c>
      <c r="G204" s="392">
        <v>43257</v>
      </c>
      <c r="H204" s="752"/>
      <c r="I204" s="603">
        <f>F204+14</f>
        <v>43272</v>
      </c>
      <c r="J204" s="601">
        <f>I204+14</f>
        <v>43286</v>
      </c>
      <c r="K204" s="386"/>
      <c r="L204" s="392" t="str">
        <f>TEXT(F204,"mmm-yy")</f>
        <v>Jun-18</v>
      </c>
      <c r="M204" s="392" t="str">
        <f>TEXT(J204,"mmm-yy")</f>
        <v>Jul-18</v>
      </c>
      <c r="N204" s="397" t="s">
        <v>1659</v>
      </c>
      <c r="O204" s="418" t="s">
        <v>725</v>
      </c>
      <c r="P204" s="538">
        <v>1711.6</v>
      </c>
      <c r="Q204" s="418">
        <v>1825.26</v>
      </c>
      <c r="R204" s="538">
        <f>SUM(P204:Q204)</f>
        <v>3536.8599999999997</v>
      </c>
      <c r="S204" s="494">
        <f>R204*1.1</f>
        <v>3890.5459999999998</v>
      </c>
      <c r="T204" s="544">
        <v>1221.19</v>
      </c>
      <c r="U204" s="544"/>
      <c r="V204" s="389">
        <f>SUM(T204:U204)</f>
        <v>1221.19</v>
      </c>
      <c r="W204" s="388">
        <f>R204-V204</f>
        <v>2315.6699999999996</v>
      </c>
      <c r="X204" s="589">
        <f>W204/R204</f>
        <v>0.65472481240422287</v>
      </c>
      <c r="Y204" s="544"/>
      <c r="Z204" s="536">
        <f>F204+14</f>
        <v>43272</v>
      </c>
      <c r="AA204" s="544"/>
      <c r="AB204" s="590" t="s">
        <v>201</v>
      </c>
      <c r="AC204" s="392" t="s">
        <v>752</v>
      </c>
      <c r="AD204" s="392">
        <v>43076</v>
      </c>
      <c r="AE204" s="550"/>
      <c r="AF204" s="392">
        <v>43084</v>
      </c>
      <c r="AG204" s="546">
        <f>AF204-AD204</f>
        <v>8</v>
      </c>
      <c r="AJ204" s="553"/>
      <c r="AL204" s="704"/>
    </row>
    <row r="205" spans="1:38" s="218" customFormat="1" ht="14.35" customHeight="1">
      <c r="A205" s="586" t="s">
        <v>714</v>
      </c>
      <c r="B205" s="545" t="s">
        <v>190</v>
      </c>
      <c r="C205" s="386" t="s">
        <v>2639</v>
      </c>
      <c r="D205" s="386">
        <v>43210</v>
      </c>
      <c r="E205" s="392">
        <v>43145</v>
      </c>
      <c r="F205" s="392">
        <v>43146</v>
      </c>
      <c r="G205" s="576">
        <v>43181</v>
      </c>
      <c r="H205" s="669">
        <v>43203</v>
      </c>
      <c r="I205" s="603">
        <v>43159</v>
      </c>
      <c r="J205" s="576">
        <v>43214</v>
      </c>
      <c r="K205" s="386"/>
      <c r="L205" s="392" t="str">
        <f>TEXT(F205,"mmm-yy")</f>
        <v>Feb-18</v>
      </c>
      <c r="M205" s="392" t="str">
        <f>TEXT(J205,"mmm-yy")</f>
        <v>Apr-18</v>
      </c>
      <c r="N205" s="397" t="s">
        <v>3151</v>
      </c>
      <c r="O205" s="418" t="s">
        <v>695</v>
      </c>
      <c r="P205" s="538">
        <v>3895.2</v>
      </c>
      <c r="Q205" s="418">
        <v>8849.84</v>
      </c>
      <c r="R205" s="538">
        <f>SUM(P205:Q205)</f>
        <v>12745.04</v>
      </c>
      <c r="S205" s="494">
        <f>R205*1.1</f>
        <v>14019.544000000002</v>
      </c>
      <c r="T205" s="544">
        <v>3361.68</v>
      </c>
      <c r="U205" s="544"/>
      <c r="V205" s="389">
        <f>SUM(T205:U205)</f>
        <v>3361.68</v>
      </c>
      <c r="W205" s="388">
        <f>R205-V205</f>
        <v>9383.36</v>
      </c>
      <c r="X205" s="589">
        <f>W205/R205</f>
        <v>0.73623621424491414</v>
      </c>
      <c r="Y205" s="544"/>
      <c r="Z205" s="536">
        <f>F205+14</f>
        <v>43160</v>
      </c>
      <c r="AA205" s="544"/>
      <c r="AB205" s="393" t="s">
        <v>223</v>
      </c>
      <c r="AC205" s="392" t="s">
        <v>752</v>
      </c>
      <c r="AD205" s="392">
        <v>43077</v>
      </c>
      <c r="AE205" s="550"/>
      <c r="AF205" s="392">
        <v>43084</v>
      </c>
      <c r="AG205" s="546">
        <f>AF205-AD205</f>
        <v>7</v>
      </c>
      <c r="AJ205" s="553"/>
      <c r="AL205" s="704"/>
    </row>
    <row r="206" spans="1:38" s="218" customFormat="1" ht="13.35" customHeight="1">
      <c r="A206" s="586" t="s">
        <v>714</v>
      </c>
      <c r="B206" s="545" t="s">
        <v>190</v>
      </c>
      <c r="C206" s="386"/>
      <c r="D206" s="386"/>
      <c r="E206" s="392"/>
      <c r="F206" s="392">
        <v>43311</v>
      </c>
      <c r="G206" s="658"/>
      <c r="H206" s="658"/>
      <c r="I206" s="601"/>
      <c r="J206" s="601"/>
      <c r="K206" s="386"/>
      <c r="L206" s="392" t="str">
        <f>TEXT(F206,"mmm-yy")</f>
        <v>Jul-18</v>
      </c>
      <c r="M206" s="392" t="str">
        <f>TEXT(J206,"mmm-yy")</f>
        <v>Jan-00</v>
      </c>
      <c r="N206" s="665" t="s">
        <v>3167</v>
      </c>
      <c r="O206" s="418" t="s">
        <v>755</v>
      </c>
      <c r="P206" s="538">
        <v>2066.42</v>
      </c>
      <c r="Q206" s="840"/>
      <c r="R206" s="538">
        <f>SUM(P206:Q206)</f>
        <v>2066.42</v>
      </c>
      <c r="S206" s="494">
        <f>R206*1.1</f>
        <v>2273.0620000000004</v>
      </c>
      <c r="T206" s="544">
        <v>4673.01</v>
      </c>
      <c r="U206" s="544"/>
      <c r="V206" s="424">
        <f>SUM(T206:U206)</f>
        <v>4673.01</v>
      </c>
      <c r="W206" s="501">
        <f>R206-V206</f>
        <v>-2606.59</v>
      </c>
      <c r="X206" s="775">
        <f>W206/R206</f>
        <v>-1.2614037804512153</v>
      </c>
      <c r="Y206" s="544"/>
      <c r="Z206" s="536">
        <f>F206+14</f>
        <v>43325</v>
      </c>
      <c r="AA206" s="544"/>
      <c r="AB206" s="393" t="s">
        <v>959</v>
      </c>
      <c r="AC206" s="392" t="s">
        <v>752</v>
      </c>
      <c r="AD206" s="392">
        <v>43081</v>
      </c>
      <c r="AE206" s="550"/>
      <c r="AF206" s="392">
        <v>43104</v>
      </c>
      <c r="AG206" s="546">
        <f>AF206-AD206</f>
        <v>23</v>
      </c>
      <c r="AJ206" s="553"/>
      <c r="AL206" s="704"/>
    </row>
    <row r="207" spans="1:38" s="218" customFormat="1" ht="14.35" customHeight="1">
      <c r="A207" s="586" t="s">
        <v>714</v>
      </c>
      <c r="B207" s="545" t="s">
        <v>190</v>
      </c>
      <c r="C207" s="386" t="s">
        <v>2254</v>
      </c>
      <c r="D207" s="386">
        <v>43153</v>
      </c>
      <c r="E207" s="392">
        <v>43112</v>
      </c>
      <c r="F207" s="536">
        <v>43112</v>
      </c>
      <c r="G207" s="576">
        <v>42750</v>
      </c>
      <c r="H207" s="669">
        <v>43138</v>
      </c>
      <c r="I207" s="576">
        <v>43129</v>
      </c>
      <c r="J207" s="576">
        <v>43158</v>
      </c>
      <c r="K207" s="386"/>
      <c r="L207" s="392" t="str">
        <f>TEXT(F207,"mmm-yy")</f>
        <v>Jan-18</v>
      </c>
      <c r="M207" s="392" t="str">
        <f>TEXT(J207,"mmm-yy")</f>
        <v>Feb-18</v>
      </c>
      <c r="N207" s="397" t="s">
        <v>1753</v>
      </c>
      <c r="O207" s="418" t="s">
        <v>491</v>
      </c>
      <c r="P207" s="538">
        <v>1093.2</v>
      </c>
      <c r="Q207" s="418">
        <v>4076.63</v>
      </c>
      <c r="R207" s="538">
        <f>SUM(P207:Q207)</f>
        <v>5169.83</v>
      </c>
      <c r="S207" s="494">
        <f>R207*1.1</f>
        <v>5686.8130000000001</v>
      </c>
      <c r="T207" s="544"/>
      <c r="U207" s="544"/>
      <c r="V207" s="389">
        <f>SUM(T207:U207)</f>
        <v>0</v>
      </c>
      <c r="W207" s="388">
        <f>R207-V207</f>
        <v>5169.83</v>
      </c>
      <c r="X207" s="589">
        <f>W207/R207</f>
        <v>1</v>
      </c>
      <c r="Y207" s="544"/>
      <c r="Z207" s="536">
        <f>F207+14</f>
        <v>43126</v>
      </c>
      <c r="AA207" s="544"/>
      <c r="AB207" s="393" t="s">
        <v>959</v>
      </c>
      <c r="AC207" s="392" t="s">
        <v>752</v>
      </c>
      <c r="AD207" s="392">
        <v>43081</v>
      </c>
      <c r="AE207" s="550"/>
      <c r="AF207" s="392">
        <v>43084</v>
      </c>
      <c r="AG207" s="546">
        <f>AF207-AD207</f>
        <v>3</v>
      </c>
      <c r="AJ207" s="553"/>
      <c r="AL207" s="704"/>
    </row>
    <row r="208" spans="1:38" s="218" customFormat="1" ht="14.35" customHeight="1">
      <c r="A208" s="586" t="s">
        <v>714</v>
      </c>
      <c r="B208" s="545" t="s">
        <v>722</v>
      </c>
      <c r="C208" s="386" t="s">
        <v>2257</v>
      </c>
      <c r="D208" s="386">
        <v>43153</v>
      </c>
      <c r="E208" s="392">
        <v>43112</v>
      </c>
      <c r="F208" s="536">
        <v>43112</v>
      </c>
      <c r="G208" s="576">
        <v>43112</v>
      </c>
      <c r="H208" s="669">
        <v>43129</v>
      </c>
      <c r="I208" s="576">
        <v>43131</v>
      </c>
      <c r="J208" s="576">
        <v>43158</v>
      </c>
      <c r="K208" s="386"/>
      <c r="L208" s="392" t="str">
        <f>TEXT(F208,"mmm-yy")</f>
        <v>Jan-18</v>
      </c>
      <c r="M208" s="392" t="str">
        <f>TEXT(J208,"mmm-yy")</f>
        <v>Feb-18</v>
      </c>
      <c r="N208" s="397" t="s">
        <v>1833</v>
      </c>
      <c r="O208" s="418" t="s">
        <v>208</v>
      </c>
      <c r="P208" s="538">
        <v>339.17</v>
      </c>
      <c r="Q208" s="418">
        <v>2680.5549999999998</v>
      </c>
      <c r="R208" s="538">
        <f>SUM(P208:Q208)</f>
        <v>3019.7249999999999</v>
      </c>
      <c r="S208" s="494">
        <f>R208*1.1</f>
        <v>3321.6975000000002</v>
      </c>
      <c r="T208" s="544">
        <v>1266</v>
      </c>
      <c r="U208" s="544"/>
      <c r="V208" s="389">
        <f>SUM(T208:U208)</f>
        <v>1266</v>
      </c>
      <c r="W208" s="388">
        <f>R208-V208</f>
        <v>1753.7249999999999</v>
      </c>
      <c r="X208" s="589">
        <f>W208/R208</f>
        <v>0.58075652584258497</v>
      </c>
      <c r="Y208" s="544"/>
      <c r="Z208" s="536">
        <f>F208+14</f>
        <v>43126</v>
      </c>
      <c r="AA208" s="544"/>
      <c r="AB208" s="442" t="s">
        <v>727</v>
      </c>
      <c r="AC208" s="392" t="s">
        <v>752</v>
      </c>
      <c r="AD208" s="392">
        <v>43081</v>
      </c>
      <c r="AE208" s="550"/>
      <c r="AF208" s="392">
        <v>43084</v>
      </c>
      <c r="AG208" s="546">
        <f>AF208-AD208</f>
        <v>3</v>
      </c>
      <c r="AJ208" s="553"/>
      <c r="AL208" s="704"/>
    </row>
    <row r="209" spans="1:38" s="218" customFormat="1" ht="14.35" customHeight="1">
      <c r="A209" s="586" t="s">
        <v>714</v>
      </c>
      <c r="B209" s="545" t="s">
        <v>190</v>
      </c>
      <c r="C209" s="386" t="s">
        <v>2364</v>
      </c>
      <c r="D209" s="386">
        <v>43319</v>
      </c>
      <c r="E209" s="392">
        <v>43133</v>
      </c>
      <c r="F209" s="536">
        <v>43133</v>
      </c>
      <c r="G209" s="603">
        <v>43137</v>
      </c>
      <c r="H209" s="753">
        <v>43158</v>
      </c>
      <c r="I209" s="603">
        <v>43146</v>
      </c>
      <c r="J209" s="576">
        <v>43167</v>
      </c>
      <c r="K209" s="386"/>
      <c r="L209" s="392" t="str">
        <f>TEXT(F209,"mmm-yy")</f>
        <v>Feb-18</v>
      </c>
      <c r="M209" s="392" t="str">
        <f>TEXT(J209,"mmm-yy")</f>
        <v>Mar-18</v>
      </c>
      <c r="N209" s="397" t="s">
        <v>1754</v>
      </c>
      <c r="O209" s="418" t="s">
        <v>755</v>
      </c>
      <c r="P209" s="538">
        <v>436.29</v>
      </c>
      <c r="Q209" s="418">
        <v>5127.37</v>
      </c>
      <c r="R209" s="538">
        <f>SUM(P209:Q209)</f>
        <v>5563.66</v>
      </c>
      <c r="S209" s="494">
        <f>R209*1.1</f>
        <v>6120.0260000000007</v>
      </c>
      <c r="T209" s="544">
        <v>2088.0500000000002</v>
      </c>
      <c r="U209" s="544"/>
      <c r="V209" s="389">
        <f>SUM(T209:U209)</f>
        <v>2088.0500000000002</v>
      </c>
      <c r="W209" s="388">
        <f>R209-V209</f>
        <v>3475.6099999999997</v>
      </c>
      <c r="X209" s="589">
        <f>W209/R209</f>
        <v>0.62469848984301701</v>
      </c>
      <c r="Y209" s="544"/>
      <c r="Z209" s="536">
        <f>F209+14</f>
        <v>43147</v>
      </c>
      <c r="AA209" s="544"/>
      <c r="AB209" s="393" t="s">
        <v>959</v>
      </c>
      <c r="AC209" s="392" t="s">
        <v>752</v>
      </c>
      <c r="AD209" s="392">
        <v>43081</v>
      </c>
      <c r="AE209" s="550"/>
      <c r="AF209" s="392">
        <v>43084</v>
      </c>
      <c r="AG209" s="546">
        <f>AF209-AD209</f>
        <v>3</v>
      </c>
      <c r="AJ209" s="553"/>
      <c r="AL209" s="704"/>
    </row>
    <row r="210" spans="1:38" s="218" customFormat="1" ht="14.35" customHeight="1">
      <c r="A210" s="586" t="s">
        <v>714</v>
      </c>
      <c r="B210" s="545" t="s">
        <v>190</v>
      </c>
      <c r="C210" s="386" t="s">
        <v>2166</v>
      </c>
      <c r="D210" s="386">
        <v>43146</v>
      </c>
      <c r="E210" s="392">
        <v>43110</v>
      </c>
      <c r="F210" s="536">
        <v>43110</v>
      </c>
      <c r="G210" s="603">
        <v>43110</v>
      </c>
      <c r="H210" s="753">
        <v>43124</v>
      </c>
      <c r="I210" s="603">
        <v>43122</v>
      </c>
      <c r="J210" s="576">
        <v>43146</v>
      </c>
      <c r="K210" s="386"/>
      <c r="L210" s="392" t="str">
        <f>TEXT(F210,"mmm-yy")</f>
        <v>Jan-18</v>
      </c>
      <c r="M210" s="392" t="str">
        <f>TEXT(J210,"mmm-yy")</f>
        <v>Feb-18</v>
      </c>
      <c r="N210" s="397" t="s">
        <v>2325</v>
      </c>
      <c r="O210" s="418" t="s">
        <v>491</v>
      </c>
      <c r="P210" s="538">
        <v>1441.28</v>
      </c>
      <c r="Q210" s="418">
        <v>3767.91</v>
      </c>
      <c r="R210" s="538">
        <f>SUM(P210:Q210)</f>
        <v>5209.1899999999996</v>
      </c>
      <c r="S210" s="494">
        <f>R210*1.1</f>
        <v>5730.1090000000004</v>
      </c>
      <c r="T210" s="544">
        <v>1325</v>
      </c>
      <c r="U210" s="544"/>
      <c r="V210" s="389">
        <f>SUM(T210:U210)</f>
        <v>1325</v>
      </c>
      <c r="W210" s="388">
        <f>R210-V210</f>
        <v>3884.1899999999996</v>
      </c>
      <c r="X210" s="589">
        <f>W210/R210</f>
        <v>0.74564183683067808</v>
      </c>
      <c r="Y210" s="544"/>
      <c r="Z210" s="536">
        <f>F210+14</f>
        <v>43124</v>
      </c>
      <c r="AA210" s="544"/>
      <c r="AB210" s="393" t="s">
        <v>959</v>
      </c>
      <c r="AC210" s="392" t="s">
        <v>752</v>
      </c>
      <c r="AD210" s="392">
        <v>43081</v>
      </c>
      <c r="AE210" s="550"/>
      <c r="AF210" s="392">
        <v>43084</v>
      </c>
      <c r="AG210" s="546">
        <f>AF210-AD210</f>
        <v>3</v>
      </c>
      <c r="AJ210" s="553"/>
      <c r="AL210" s="704"/>
    </row>
    <row r="211" spans="1:38" s="218" customFormat="1" ht="14.35" customHeight="1">
      <c r="A211" s="586" t="s">
        <v>715</v>
      </c>
      <c r="B211" s="545" t="s">
        <v>179</v>
      </c>
      <c r="C211" s="386" t="s">
        <v>2635</v>
      </c>
      <c r="D211" s="386">
        <v>43210</v>
      </c>
      <c r="E211" s="392">
        <v>43186</v>
      </c>
      <c r="F211" s="536">
        <v>43186</v>
      </c>
      <c r="G211" s="603">
        <v>43195</v>
      </c>
      <c r="H211" s="753">
        <v>43203</v>
      </c>
      <c r="I211" s="667">
        <v>43202</v>
      </c>
      <c r="J211" s="603">
        <v>43214</v>
      </c>
      <c r="K211" s="386"/>
      <c r="L211" s="392" t="str">
        <f>TEXT(F211,"mmm-yy")</f>
        <v>Mar-18</v>
      </c>
      <c r="M211" s="392" t="str">
        <f>TEXT(J211,"mmm-yy")</f>
        <v>Apr-18</v>
      </c>
      <c r="N211" s="397" t="s">
        <v>2165</v>
      </c>
      <c r="O211" s="418" t="s">
        <v>1756</v>
      </c>
      <c r="P211" s="538">
        <v>5531.99</v>
      </c>
      <c r="Q211" s="418">
        <v>5861.7517292798038</v>
      </c>
      <c r="R211" s="538">
        <f>SUM(P211:Q211)</f>
        <v>11393.741729279804</v>
      </c>
      <c r="S211" s="494">
        <f>R211*1.1</f>
        <v>12533.115902207785</v>
      </c>
      <c r="T211" s="544">
        <v>5884.29</v>
      </c>
      <c r="U211" s="544"/>
      <c r="V211" s="389">
        <f>SUM(T211:U211)</f>
        <v>5884.29</v>
      </c>
      <c r="W211" s="388">
        <f>R211-V211</f>
        <v>5509.4517292798037</v>
      </c>
      <c r="X211" s="589">
        <f>W211/R211</f>
        <v>0.48355069477496881</v>
      </c>
      <c r="Y211" s="544"/>
      <c r="Z211" s="536">
        <f>F211+14</f>
        <v>43200</v>
      </c>
      <c r="AA211" s="544"/>
      <c r="AB211" s="393" t="s">
        <v>517</v>
      </c>
      <c r="AC211" s="392">
        <v>43042</v>
      </c>
      <c r="AD211" s="392">
        <v>43123</v>
      </c>
      <c r="AE211" s="689">
        <f>AD211-AC211</f>
        <v>81</v>
      </c>
      <c r="AF211" s="392">
        <v>43116</v>
      </c>
      <c r="AG211" s="546">
        <f>AF211-AD211</f>
        <v>-7</v>
      </c>
      <c r="AJ211" s="553"/>
      <c r="AL211" s="704"/>
    </row>
    <row r="212" spans="1:38" s="218" customFormat="1" ht="14.35" customHeight="1">
      <c r="A212" s="586" t="s">
        <v>714</v>
      </c>
      <c r="B212" s="545" t="s">
        <v>190</v>
      </c>
      <c r="C212" s="386" t="s">
        <v>2376</v>
      </c>
      <c r="D212" s="386">
        <v>43151</v>
      </c>
      <c r="E212" s="392">
        <v>43083</v>
      </c>
      <c r="F212" s="536">
        <v>43115</v>
      </c>
      <c r="G212" s="603">
        <v>43115</v>
      </c>
      <c r="H212" s="753">
        <v>43129</v>
      </c>
      <c r="I212" s="667">
        <v>43130</v>
      </c>
      <c r="J212" s="576">
        <v>43151</v>
      </c>
      <c r="K212" s="386"/>
      <c r="L212" s="392" t="str">
        <f>TEXT(F212,"mmm-yy")</f>
        <v>Jan-18</v>
      </c>
      <c r="M212" s="392" t="str">
        <f>TEXT(J212,"mmm-yy")</f>
        <v>Feb-18</v>
      </c>
      <c r="N212" s="397" t="s">
        <v>1759</v>
      </c>
      <c r="O212" s="418" t="s">
        <v>1760</v>
      </c>
      <c r="P212" s="538">
        <v>624.42999999999995</v>
      </c>
      <c r="Q212" s="418">
        <v>1621.32</v>
      </c>
      <c r="R212" s="538">
        <f>SUM(P212:Q212)</f>
        <v>2245.75</v>
      </c>
      <c r="S212" s="494">
        <f>R212*1.1</f>
        <v>2470.3250000000003</v>
      </c>
      <c r="T212" s="544">
        <v>1359.64</v>
      </c>
      <c r="U212" s="544"/>
      <c r="V212" s="389">
        <f>SUM(T212:U212)</f>
        <v>1359.64</v>
      </c>
      <c r="W212" s="388">
        <f>R212-V212</f>
        <v>886.1099999999999</v>
      </c>
      <c r="X212" s="589">
        <f>W212/R212</f>
        <v>0.39457196927529775</v>
      </c>
      <c r="Y212" s="544"/>
      <c r="Z212" s="536">
        <f>F212+14</f>
        <v>43129</v>
      </c>
      <c r="AA212" s="544"/>
      <c r="AB212" s="393" t="s">
        <v>959</v>
      </c>
      <c r="AC212" s="392" t="s">
        <v>752</v>
      </c>
      <c r="AD212" s="392">
        <v>43082</v>
      </c>
      <c r="AE212" s="550"/>
      <c r="AF212" s="392">
        <v>43084</v>
      </c>
      <c r="AG212" s="546">
        <f>AF212-AD212</f>
        <v>2</v>
      </c>
      <c r="AJ212" s="553"/>
      <c r="AL212" s="704"/>
    </row>
    <row r="213" spans="1:38" s="218" customFormat="1" ht="14.25" customHeight="1">
      <c r="A213" s="586" t="s">
        <v>714</v>
      </c>
      <c r="B213" s="545" t="s">
        <v>190</v>
      </c>
      <c r="C213" s="386" t="s">
        <v>2261</v>
      </c>
      <c r="D213" s="386">
        <v>43153</v>
      </c>
      <c r="E213" s="392">
        <v>43129</v>
      </c>
      <c r="F213" s="536">
        <v>43130</v>
      </c>
      <c r="G213" s="740"/>
      <c r="H213" s="743"/>
      <c r="I213" s="603">
        <v>43143</v>
      </c>
      <c r="J213" s="667">
        <v>43158</v>
      </c>
      <c r="K213" s="386"/>
      <c r="L213" s="392" t="str">
        <f>TEXT(F213,"mmm-yy")</f>
        <v>Jan-18</v>
      </c>
      <c r="M213" s="392" t="str">
        <f>TEXT(J213,"mmm-yy")</f>
        <v>Feb-18</v>
      </c>
      <c r="N213" s="397" t="s">
        <v>1763</v>
      </c>
      <c r="O213" s="418" t="s">
        <v>1764</v>
      </c>
      <c r="P213" s="538">
        <v>1120</v>
      </c>
      <c r="Q213" s="685"/>
      <c r="R213" s="538">
        <f>SUM(P213:Q213)</f>
        <v>1120</v>
      </c>
      <c r="S213" s="494">
        <f>R213*1.1</f>
        <v>1232</v>
      </c>
      <c r="T213" s="544"/>
      <c r="U213" s="544"/>
      <c r="V213" s="389">
        <f>SUM(T213:U213)</f>
        <v>0</v>
      </c>
      <c r="W213" s="388">
        <f>R213-V213</f>
        <v>1120</v>
      </c>
      <c r="X213" s="589">
        <f>W213/R213</f>
        <v>1</v>
      </c>
      <c r="Y213" s="544"/>
      <c r="Z213" s="536">
        <f>F213+14</f>
        <v>43144</v>
      </c>
      <c r="AA213" s="544"/>
      <c r="AB213" s="442" t="s">
        <v>727</v>
      </c>
      <c r="AC213" s="392" t="s">
        <v>752</v>
      </c>
      <c r="AD213" s="392">
        <v>43084</v>
      </c>
      <c r="AE213" s="550"/>
      <c r="AF213" s="392">
        <v>43109</v>
      </c>
      <c r="AG213" s="546">
        <f>AF213-AD213</f>
        <v>25</v>
      </c>
      <c r="AJ213" s="553"/>
      <c r="AL213" s="704"/>
    </row>
    <row r="214" spans="1:38" s="218" customFormat="1" ht="14.25" customHeight="1">
      <c r="A214" s="586" t="s">
        <v>714</v>
      </c>
      <c r="B214" s="545" t="s">
        <v>190</v>
      </c>
      <c r="C214" s="386" t="s">
        <v>2368</v>
      </c>
      <c r="D214" s="386">
        <v>43172</v>
      </c>
      <c r="E214" s="392">
        <v>43132</v>
      </c>
      <c r="F214" s="536">
        <v>43132</v>
      </c>
      <c r="G214" s="601">
        <v>43139</v>
      </c>
      <c r="H214" s="669">
        <v>43158</v>
      </c>
      <c r="I214" s="603">
        <v>43145</v>
      </c>
      <c r="J214" s="576">
        <v>43172</v>
      </c>
      <c r="K214" s="386"/>
      <c r="L214" s="392" t="str">
        <f>TEXT(F214,"mmm-yy")</f>
        <v>Feb-18</v>
      </c>
      <c r="M214" s="392" t="str">
        <f>TEXT(J214,"mmm-yy")</f>
        <v>Mar-18</v>
      </c>
      <c r="N214" s="397" t="s">
        <v>1765</v>
      </c>
      <c r="O214" s="418" t="s">
        <v>458</v>
      </c>
      <c r="P214" s="538">
        <v>2663.97</v>
      </c>
      <c r="Q214" s="418">
        <v>9309.69</v>
      </c>
      <c r="R214" s="538">
        <f>SUM(P214:Q214)</f>
        <v>11973.66</v>
      </c>
      <c r="S214" s="494">
        <f>R214*1.1</f>
        <v>13171.026000000002</v>
      </c>
      <c r="T214" s="544">
        <v>7068</v>
      </c>
      <c r="U214" s="544"/>
      <c r="V214" s="389">
        <f>SUM(T214:U214)</f>
        <v>7068</v>
      </c>
      <c r="W214" s="388">
        <f>R214-V214</f>
        <v>4905.66</v>
      </c>
      <c r="X214" s="589">
        <f>W214/R214</f>
        <v>0.40970430094056454</v>
      </c>
      <c r="Y214" s="544"/>
      <c r="Z214" s="536">
        <f>F214+14</f>
        <v>43146</v>
      </c>
      <c r="AA214" s="544"/>
      <c r="AB214" s="442" t="s">
        <v>1338</v>
      </c>
      <c r="AC214" s="392" t="s">
        <v>752</v>
      </c>
      <c r="AD214" s="392">
        <v>43085</v>
      </c>
      <c r="AE214" s="550"/>
      <c r="AF214" s="392">
        <v>43084</v>
      </c>
      <c r="AG214" s="546">
        <f>AF214-AD214</f>
        <v>-1</v>
      </c>
      <c r="AJ214" s="553"/>
      <c r="AL214" s="704"/>
    </row>
    <row r="215" spans="1:38" s="218" customFormat="1" ht="14.25" customHeight="1">
      <c r="A215" s="586" t="s">
        <v>715</v>
      </c>
      <c r="B215" s="545" t="s">
        <v>190</v>
      </c>
      <c r="C215" s="386" t="s">
        <v>2290</v>
      </c>
      <c r="D215" s="386">
        <v>43161</v>
      </c>
      <c r="E215" s="392">
        <v>43087</v>
      </c>
      <c r="F215" s="536">
        <v>43138</v>
      </c>
      <c r="G215" s="740"/>
      <c r="H215" s="743"/>
      <c r="I215" s="603">
        <v>43152</v>
      </c>
      <c r="J215" s="603">
        <v>43160</v>
      </c>
      <c r="K215" s="386"/>
      <c r="L215" s="392" t="str">
        <f>TEXT(F215,"mmm-yy")</f>
        <v>Feb-18</v>
      </c>
      <c r="M215" s="392" t="str">
        <f>TEXT(J215,"mmm-yy")</f>
        <v>Mar-18</v>
      </c>
      <c r="N215" s="397" t="s">
        <v>1766</v>
      </c>
      <c r="O215" s="418" t="s">
        <v>1116</v>
      </c>
      <c r="P215" s="538">
        <v>3069.5</v>
      </c>
      <c r="Q215" s="684"/>
      <c r="R215" s="538">
        <f>SUM(P215:Q215)</f>
        <v>3069.5</v>
      </c>
      <c r="S215" s="494">
        <f>R215*1.1</f>
        <v>3376.4500000000003</v>
      </c>
      <c r="T215" s="544"/>
      <c r="U215" s="544"/>
      <c r="V215" s="389">
        <f>SUM(T215:U215)</f>
        <v>0</v>
      </c>
      <c r="W215" s="388">
        <f>R215-V215</f>
        <v>3069.5</v>
      </c>
      <c r="X215" s="589">
        <f>W215/R215</f>
        <v>1</v>
      </c>
      <c r="Y215" s="544"/>
      <c r="Z215" s="536">
        <f>F215+14</f>
        <v>43152</v>
      </c>
      <c r="AA215" s="544"/>
      <c r="AB215" s="393" t="s">
        <v>727</v>
      </c>
      <c r="AC215" s="392">
        <v>43055</v>
      </c>
      <c r="AD215" s="392">
        <v>43143</v>
      </c>
      <c r="AE215" s="689">
        <f>AD215-AC215</f>
        <v>88</v>
      </c>
      <c r="AF215" s="392">
        <v>43161</v>
      </c>
      <c r="AG215" s="546">
        <f>AF215-AD215</f>
        <v>18</v>
      </c>
      <c r="AJ215" s="553"/>
      <c r="AL215" s="704"/>
    </row>
    <row r="216" spans="1:38" s="218" customFormat="1" ht="14.25" customHeight="1">
      <c r="A216" s="586" t="s">
        <v>715</v>
      </c>
      <c r="B216" s="545" t="s">
        <v>190</v>
      </c>
      <c r="C216" s="386" t="s">
        <v>2631</v>
      </c>
      <c r="D216" s="386">
        <v>43214</v>
      </c>
      <c r="E216" s="392">
        <v>43186</v>
      </c>
      <c r="F216" s="392">
        <v>43187</v>
      </c>
      <c r="G216" s="603">
        <v>43195</v>
      </c>
      <c r="H216" s="753">
        <v>43203</v>
      </c>
      <c r="I216" s="603">
        <f>F216+14</f>
        <v>43201</v>
      </c>
      <c r="J216" s="603">
        <v>43214</v>
      </c>
      <c r="K216" s="386"/>
      <c r="L216" s="392" t="str">
        <f>TEXT(F216,"mmm-yy")</f>
        <v>Mar-18</v>
      </c>
      <c r="M216" s="392" t="str">
        <f>TEXT(J216,"mmm-yy")</f>
        <v>Apr-18</v>
      </c>
      <c r="N216" s="397" t="s">
        <v>2324</v>
      </c>
      <c r="O216" s="418" t="s">
        <v>1768</v>
      </c>
      <c r="P216" s="538">
        <v>6634.97</v>
      </c>
      <c r="Q216" s="418">
        <v>4736.189029988177</v>
      </c>
      <c r="R216" s="538">
        <f>SUM(P216:Q216)</f>
        <v>11371.159029988177</v>
      </c>
      <c r="S216" s="494">
        <f>R216*1.1</f>
        <v>12508.274932986997</v>
      </c>
      <c r="T216" s="544">
        <v>1651.66</v>
      </c>
      <c r="U216" s="544"/>
      <c r="V216" s="389">
        <f>SUM(T216:U216)</f>
        <v>1651.66</v>
      </c>
      <c r="W216" s="388">
        <f>R216-V216</f>
        <v>9719.4990299881774</v>
      </c>
      <c r="X216" s="589">
        <f>W216/R216</f>
        <v>0.85475007467187647</v>
      </c>
      <c r="Y216" s="544"/>
      <c r="Z216" s="536">
        <f>F216+14</f>
        <v>43201</v>
      </c>
      <c r="AA216" s="544"/>
      <c r="AB216" s="442" t="s">
        <v>517</v>
      </c>
      <c r="AC216" s="392">
        <v>43043</v>
      </c>
      <c r="AD216" s="392">
        <v>43087</v>
      </c>
      <c r="AE216" s="689">
        <f>AD216-AC216</f>
        <v>44</v>
      </c>
      <c r="AF216" s="392">
        <v>43099</v>
      </c>
      <c r="AG216" s="546">
        <f>AF216-AD216</f>
        <v>12</v>
      </c>
      <c r="AJ216" s="553"/>
      <c r="AL216" s="704"/>
    </row>
    <row r="217" spans="1:38" s="218" customFormat="1" ht="14.25" customHeight="1">
      <c r="A217" s="586" t="s">
        <v>714</v>
      </c>
      <c r="B217" s="545" t="s">
        <v>190</v>
      </c>
      <c r="C217" s="386" t="s">
        <v>1861</v>
      </c>
      <c r="D217" s="386">
        <v>43130</v>
      </c>
      <c r="E217" s="392">
        <v>43088</v>
      </c>
      <c r="F217" s="536">
        <v>43089</v>
      </c>
      <c r="G217" s="667">
        <v>43090</v>
      </c>
      <c r="H217" s="754">
        <v>43104</v>
      </c>
      <c r="I217" s="576">
        <v>42744</v>
      </c>
      <c r="J217" s="576">
        <v>43129</v>
      </c>
      <c r="K217" s="386"/>
      <c r="L217" s="392" t="str">
        <f>TEXT(F217,"mmm-yy")</f>
        <v>Dec-17</v>
      </c>
      <c r="M217" s="392" t="str">
        <f>TEXT(J217,"mmm-yy")</f>
        <v>Jan-18</v>
      </c>
      <c r="N217" s="397" t="s">
        <v>1770</v>
      </c>
      <c r="O217" s="418" t="s">
        <v>690</v>
      </c>
      <c r="P217" s="538">
        <v>2993.87</v>
      </c>
      <c r="Q217" s="418">
        <v>10583.11</v>
      </c>
      <c r="R217" s="538">
        <f>SUM(P217:Q217)</f>
        <v>13576.98</v>
      </c>
      <c r="S217" s="494">
        <f>R217*1.1</f>
        <v>14934.678</v>
      </c>
      <c r="T217" s="544">
        <v>9312.630000000001</v>
      </c>
      <c r="U217" s="544"/>
      <c r="V217" s="389">
        <f>SUM(T217:U217)</f>
        <v>9312.630000000001</v>
      </c>
      <c r="W217" s="388">
        <f>R217-V217</f>
        <v>4264.3499999999985</v>
      </c>
      <c r="X217" s="589">
        <f>W217/R217</f>
        <v>0.31408678513189225</v>
      </c>
      <c r="Y217" s="544"/>
      <c r="Z217" s="536">
        <f>F217+14</f>
        <v>43103</v>
      </c>
      <c r="AA217" s="544"/>
      <c r="AB217" s="442" t="s">
        <v>757</v>
      </c>
      <c r="AC217" s="392" t="s">
        <v>752</v>
      </c>
      <c r="AD217" s="392">
        <v>43048</v>
      </c>
      <c r="AE217" s="550"/>
      <c r="AF217" s="392">
        <v>43084</v>
      </c>
      <c r="AG217" s="546">
        <f>AF217-AD217</f>
        <v>36</v>
      </c>
      <c r="AJ217" s="553"/>
      <c r="AL217" s="704"/>
    </row>
    <row r="218" spans="1:38" s="218" customFormat="1" ht="14.25" customHeight="1">
      <c r="A218" s="586" t="s">
        <v>715</v>
      </c>
      <c r="B218" s="545" t="s">
        <v>190</v>
      </c>
      <c r="C218" s="386" t="s">
        <v>2679</v>
      </c>
      <c r="D218" s="386">
        <v>43210</v>
      </c>
      <c r="E218" s="392">
        <v>43194</v>
      </c>
      <c r="F218" s="536">
        <v>43194</v>
      </c>
      <c r="G218" s="603">
        <v>43199</v>
      </c>
      <c r="H218" s="753">
        <v>43207</v>
      </c>
      <c r="I218" s="603">
        <v>43206</v>
      </c>
      <c r="J218" s="603">
        <v>43214</v>
      </c>
      <c r="K218" s="386"/>
      <c r="L218" s="392" t="str">
        <f>TEXT(F218,"mmm-yy")</f>
        <v>Apr-18</v>
      </c>
      <c r="M218" s="392" t="str">
        <f>TEXT(J218,"mmm-yy")</f>
        <v>Apr-18</v>
      </c>
      <c r="N218" s="397" t="s">
        <v>1854</v>
      </c>
      <c r="O218" s="418" t="s">
        <v>240</v>
      </c>
      <c r="P218" s="538">
        <v>21847.48</v>
      </c>
      <c r="Q218" s="418">
        <v>7995.6857142857134</v>
      </c>
      <c r="R218" s="538">
        <f>SUM(P218:Q218)</f>
        <v>29843.165714285715</v>
      </c>
      <c r="S218" s="494">
        <f>R218*1.1</f>
        <v>32827.482285714286</v>
      </c>
      <c r="T218" s="544">
        <v>9927.23</v>
      </c>
      <c r="U218" s="544"/>
      <c r="V218" s="389">
        <f>SUM(T218:U218)</f>
        <v>9927.23</v>
      </c>
      <c r="W218" s="388">
        <f>R218-V218</f>
        <v>19915.935714285715</v>
      </c>
      <c r="X218" s="390">
        <f>W218/R218</f>
        <v>0.66735331985078572</v>
      </c>
      <c r="Y218" s="545"/>
      <c r="Z218" s="392">
        <f>F218+14</f>
        <v>43208</v>
      </c>
      <c r="AA218" s="544"/>
      <c r="AB218" s="442" t="s">
        <v>210</v>
      </c>
      <c r="AC218" s="392">
        <v>43115</v>
      </c>
      <c r="AD218" s="392">
        <v>43125</v>
      </c>
      <c r="AE218" s="689">
        <f>AD218-AC218</f>
        <v>10</v>
      </c>
      <c r="AF218" s="392">
        <v>43125</v>
      </c>
      <c r="AG218" s="546">
        <f>AF218-AD218</f>
        <v>0</v>
      </c>
      <c r="AJ218" s="553"/>
      <c r="AL218" s="704"/>
    </row>
    <row r="219" spans="1:38" s="218" customFormat="1" ht="14.25" customHeight="1">
      <c r="A219" s="586" t="s">
        <v>714</v>
      </c>
      <c r="B219" s="545" t="s">
        <v>190</v>
      </c>
      <c r="C219" s="386" t="s">
        <v>2404</v>
      </c>
      <c r="D219" s="386">
        <v>43179</v>
      </c>
      <c r="E219" s="392">
        <v>43161</v>
      </c>
      <c r="F219" s="392">
        <v>43161</v>
      </c>
      <c r="G219" s="603">
        <v>43164</v>
      </c>
      <c r="H219" s="753">
        <v>43173</v>
      </c>
      <c r="I219" s="603">
        <v>43174</v>
      </c>
      <c r="J219" s="603">
        <v>43179</v>
      </c>
      <c r="K219" s="386"/>
      <c r="L219" s="392" t="str">
        <f>TEXT(F219,"mmm-yy")</f>
        <v>Mar-18</v>
      </c>
      <c r="M219" s="392" t="str">
        <f>TEXT(J219,"mmm-yy")</f>
        <v>Mar-18</v>
      </c>
      <c r="N219" s="397" t="s">
        <v>2441</v>
      </c>
      <c r="O219" s="418" t="s">
        <v>491</v>
      </c>
      <c r="P219" s="538">
        <v>9149.8799999999992</v>
      </c>
      <c r="Q219" s="418">
        <v>11162.67</v>
      </c>
      <c r="R219" s="538">
        <f>SUM(P219:Q219)</f>
        <v>20312.55</v>
      </c>
      <c r="S219" s="494">
        <f>R219*1.1</f>
        <v>22343.805</v>
      </c>
      <c r="T219" s="544">
        <v>2645.01</v>
      </c>
      <c r="U219" s="544"/>
      <c r="V219" s="389">
        <f>SUM(T219:U219)</f>
        <v>2645.01</v>
      </c>
      <c r="W219" s="388">
        <f>R219-V219</f>
        <v>17667.54</v>
      </c>
      <c r="X219" s="589">
        <f>W219/R219</f>
        <v>0.86978444360752349</v>
      </c>
      <c r="Y219" s="544"/>
      <c r="Z219" s="536">
        <f>F219+14</f>
        <v>43175</v>
      </c>
      <c r="AA219" s="544"/>
      <c r="AB219" s="393" t="s">
        <v>727</v>
      </c>
      <c r="AC219" s="392" t="s">
        <v>752</v>
      </c>
      <c r="AD219" s="392">
        <v>43027</v>
      </c>
      <c r="AE219" s="550"/>
      <c r="AF219" s="392">
        <v>43061</v>
      </c>
      <c r="AG219" s="546">
        <f>AF219-AD219</f>
        <v>34</v>
      </c>
      <c r="AJ219" s="553"/>
      <c r="AL219" s="704"/>
    </row>
    <row r="220" spans="1:38" s="218" customFormat="1" ht="14.25" customHeight="1">
      <c r="A220" s="586" t="s">
        <v>714</v>
      </c>
      <c r="B220" s="545" t="s">
        <v>190</v>
      </c>
      <c r="C220" s="386" t="s">
        <v>2678</v>
      </c>
      <c r="D220" s="386">
        <v>43216</v>
      </c>
      <c r="E220" s="392">
        <v>43144</v>
      </c>
      <c r="F220" s="536">
        <v>43144</v>
      </c>
      <c r="G220" s="576">
        <v>43144</v>
      </c>
      <c r="H220" s="669">
        <v>43210</v>
      </c>
      <c r="I220" s="603">
        <v>43154</v>
      </c>
      <c r="J220" s="576">
        <v>43216</v>
      </c>
      <c r="K220" s="386"/>
      <c r="L220" s="392" t="str">
        <f>TEXT(F220,"mmm-yy")</f>
        <v>Feb-18</v>
      </c>
      <c r="M220" s="392" t="str">
        <f>TEXT(J220,"mmm-yy")</f>
        <v>Apr-18</v>
      </c>
      <c r="N220" s="397" t="s">
        <v>1774</v>
      </c>
      <c r="O220" s="418" t="s">
        <v>254</v>
      </c>
      <c r="P220" s="538">
        <v>391.14</v>
      </c>
      <c r="Q220" s="418">
        <v>2114.7199999999998</v>
      </c>
      <c r="R220" s="538">
        <f>SUM(P220:Q220)</f>
        <v>2505.8599999999997</v>
      </c>
      <c r="S220" s="494">
        <f>R220*1.1</f>
        <v>2756.4459999999999</v>
      </c>
      <c r="T220" s="544">
        <v>893.6</v>
      </c>
      <c r="U220" s="544"/>
      <c r="V220" s="389">
        <f>SUM(T220:U220)</f>
        <v>893.6</v>
      </c>
      <c r="W220" s="388">
        <f>R220-V220</f>
        <v>1612.2599999999998</v>
      </c>
      <c r="X220" s="589">
        <f>W220/R220</f>
        <v>0.64339588005714599</v>
      </c>
      <c r="Y220" s="544"/>
      <c r="Z220" s="536">
        <f>F220+14</f>
        <v>43158</v>
      </c>
      <c r="AA220" s="544"/>
      <c r="AB220" s="393" t="s">
        <v>959</v>
      </c>
      <c r="AC220" s="392" t="s">
        <v>752</v>
      </c>
      <c r="AD220" s="392">
        <v>43090</v>
      </c>
      <c r="AE220" s="550"/>
      <c r="AF220" s="392">
        <v>43099</v>
      </c>
      <c r="AG220" s="546">
        <f>AF220-AD220</f>
        <v>9</v>
      </c>
      <c r="AJ220" s="553"/>
      <c r="AL220" s="704"/>
    </row>
    <row r="221" spans="1:38" s="218" customFormat="1" ht="14.25" customHeight="1">
      <c r="A221" s="586" t="s">
        <v>714</v>
      </c>
      <c r="B221" s="545" t="s">
        <v>190</v>
      </c>
      <c r="C221" s="386" t="s">
        <v>2572</v>
      </c>
      <c r="D221" s="386">
        <v>43209</v>
      </c>
      <c r="E221" s="392">
        <v>43163</v>
      </c>
      <c r="F221" s="392">
        <v>43166</v>
      </c>
      <c r="G221" s="577">
        <v>43166</v>
      </c>
      <c r="H221" s="668">
        <v>43203</v>
      </c>
      <c r="I221" s="603">
        <v>43179</v>
      </c>
      <c r="J221" s="601">
        <f>I221+14</f>
        <v>43193</v>
      </c>
      <c r="K221" s="386"/>
      <c r="L221" s="392" t="str">
        <f>TEXT(F221,"mmm-yy")</f>
        <v>Mar-18</v>
      </c>
      <c r="M221" s="392" t="str">
        <f>TEXT(J221,"mmm-yy")</f>
        <v>Apr-18</v>
      </c>
      <c r="N221" s="397" t="s">
        <v>1851</v>
      </c>
      <c r="O221" s="445" t="s">
        <v>254</v>
      </c>
      <c r="P221" s="538">
        <v>1571.26</v>
      </c>
      <c r="Q221" s="418">
        <v>96407.250000021595</v>
      </c>
      <c r="R221" s="407">
        <f>SUM(P221:Q221)</f>
        <v>97978.51000002159</v>
      </c>
      <c r="S221" s="494">
        <f>R221*1.1</f>
        <v>107776.36100002375</v>
      </c>
      <c r="T221" s="544">
        <v>26378.379999999997</v>
      </c>
      <c r="U221" s="544"/>
      <c r="V221" s="389">
        <f>SUM(T221:U221)</f>
        <v>26378.379999999997</v>
      </c>
      <c r="W221" s="388">
        <f>R221-V221</f>
        <v>71600.1300000216</v>
      </c>
      <c r="X221" s="390">
        <f>W221/R221</f>
        <v>0.73077381968766231</v>
      </c>
      <c r="Y221" s="545"/>
      <c r="Z221" s="392">
        <f>F221+14</f>
        <v>43180</v>
      </c>
      <c r="AA221" s="397"/>
      <c r="AB221" s="393" t="s">
        <v>757</v>
      </c>
      <c r="AC221" s="536" t="s">
        <v>752</v>
      </c>
      <c r="AD221" s="392">
        <v>42880</v>
      </c>
      <c r="AE221" s="550"/>
      <c r="AF221" s="392">
        <v>43117</v>
      </c>
      <c r="AG221" s="546">
        <f>AF221-AD221</f>
        <v>237</v>
      </c>
      <c r="AJ221" s="553"/>
      <c r="AL221" s="704"/>
    </row>
    <row r="222" spans="1:38" s="218" customFormat="1" ht="14.25" customHeight="1">
      <c r="A222" s="586" t="s">
        <v>714</v>
      </c>
      <c r="B222" s="545" t="s">
        <v>190</v>
      </c>
      <c r="C222" s="386" t="s">
        <v>2456</v>
      </c>
      <c r="D222" s="386">
        <v>43186</v>
      </c>
      <c r="E222" s="392">
        <v>43161</v>
      </c>
      <c r="F222" s="536">
        <v>43166</v>
      </c>
      <c r="G222" s="731">
        <v>43165</v>
      </c>
      <c r="H222" s="753">
        <v>43173</v>
      </c>
      <c r="I222" s="603">
        <f>F222+14</f>
        <v>43180</v>
      </c>
      <c r="J222" s="603">
        <v>43186</v>
      </c>
      <c r="K222" s="386"/>
      <c r="L222" s="392" t="str">
        <f>TEXT(F222,"mmm-yy")</f>
        <v>Mar-18</v>
      </c>
      <c r="M222" s="392" t="str">
        <f>TEXT(J222,"mmm-yy")</f>
        <v>Mar-18</v>
      </c>
      <c r="N222" s="397" t="s">
        <v>2275</v>
      </c>
      <c r="O222" s="418" t="s">
        <v>1784</v>
      </c>
      <c r="P222" s="538">
        <v>1516.81</v>
      </c>
      <c r="Q222" s="418">
        <v>12893.51</v>
      </c>
      <c r="R222" s="538">
        <f>SUM(P222:Q222)</f>
        <v>14410.32</v>
      </c>
      <c r="S222" s="494">
        <f>R222*1.1</f>
        <v>15851.352000000001</v>
      </c>
      <c r="T222" s="544">
        <v>7676.2</v>
      </c>
      <c r="U222" s="544"/>
      <c r="V222" s="389">
        <f>SUM(T222:U222)</f>
        <v>7676.2</v>
      </c>
      <c r="W222" s="388">
        <f>R222-V222</f>
        <v>6734.12</v>
      </c>
      <c r="X222" s="589">
        <f>W222/R222</f>
        <v>0.46731231506309368</v>
      </c>
      <c r="Y222" s="544"/>
      <c r="Z222" s="536">
        <f>F222+14</f>
        <v>43180</v>
      </c>
      <c r="AA222" s="544"/>
      <c r="AB222" s="393" t="s">
        <v>959</v>
      </c>
      <c r="AC222" s="392" t="s">
        <v>752</v>
      </c>
      <c r="AD222" s="392">
        <v>43104</v>
      </c>
      <c r="AE222" s="550"/>
      <c r="AF222" s="392">
        <v>43150</v>
      </c>
      <c r="AG222" s="546">
        <f>AF222-AD222</f>
        <v>46</v>
      </c>
      <c r="AJ222" s="553"/>
      <c r="AL222" s="704"/>
    </row>
    <row r="223" spans="1:38" s="218" customFormat="1" ht="14.25" customHeight="1">
      <c r="A223" s="586" t="s">
        <v>714</v>
      </c>
      <c r="B223" s="545" t="s">
        <v>190</v>
      </c>
      <c r="C223" s="386" t="s">
        <v>2256</v>
      </c>
      <c r="D223" s="386">
        <v>43153</v>
      </c>
      <c r="E223" s="392">
        <v>43122</v>
      </c>
      <c r="F223" s="536">
        <v>43122</v>
      </c>
      <c r="G223" s="667">
        <v>43123</v>
      </c>
      <c r="H223" s="754">
        <v>43138</v>
      </c>
      <c r="I223" s="667">
        <v>43138</v>
      </c>
      <c r="J223" s="667">
        <v>43158</v>
      </c>
      <c r="K223" s="386"/>
      <c r="L223" s="392" t="str">
        <f>TEXT(F223,"mmm-yy")</f>
        <v>Jan-18</v>
      </c>
      <c r="M223" s="392" t="str">
        <f>TEXT(J223,"mmm-yy")</f>
        <v>Feb-18</v>
      </c>
      <c r="N223" s="397" t="s">
        <v>1778</v>
      </c>
      <c r="O223" s="418" t="s">
        <v>354</v>
      </c>
      <c r="P223" s="538">
        <v>1863.69</v>
      </c>
      <c r="Q223" s="418">
        <v>1955.78</v>
      </c>
      <c r="R223" s="538">
        <f>SUM(P223:Q223)</f>
        <v>3819.4700000000003</v>
      </c>
      <c r="S223" s="494">
        <f>R223*1.1</f>
        <v>4201.4170000000004</v>
      </c>
      <c r="T223" s="544">
        <v>798.75</v>
      </c>
      <c r="U223" s="544"/>
      <c r="V223" s="389">
        <f>SUM(T223:U223)</f>
        <v>798.75</v>
      </c>
      <c r="W223" s="388">
        <f>R223-V223</f>
        <v>3020.7200000000003</v>
      </c>
      <c r="X223" s="589">
        <f>W223/R223</f>
        <v>0.79087412651493538</v>
      </c>
      <c r="Y223" s="544"/>
      <c r="Z223" s="536">
        <f>F223+14</f>
        <v>43136</v>
      </c>
      <c r="AA223" s="544"/>
      <c r="AB223" s="393" t="s">
        <v>959</v>
      </c>
      <c r="AC223" s="392" t="s">
        <v>752</v>
      </c>
      <c r="AD223" s="392">
        <v>42739</v>
      </c>
      <c r="AE223" s="550"/>
      <c r="AF223" s="392">
        <v>42764</v>
      </c>
      <c r="AG223" s="546">
        <f>AF223-AD223</f>
        <v>25</v>
      </c>
      <c r="AJ223" s="553"/>
    </row>
    <row r="224" spans="1:38" s="218" customFormat="1" ht="14.25" customHeight="1">
      <c r="A224" s="586" t="s">
        <v>714</v>
      </c>
      <c r="B224" s="545" t="s">
        <v>190</v>
      </c>
      <c r="C224" s="386" t="s">
        <v>2510</v>
      </c>
      <c r="D224" s="386">
        <v>43194</v>
      </c>
      <c r="E224" s="392">
        <v>43167</v>
      </c>
      <c r="F224" s="536">
        <v>43166</v>
      </c>
      <c r="G224" s="576">
        <v>43168</v>
      </c>
      <c r="H224" s="669">
        <v>43185</v>
      </c>
      <c r="I224" s="603">
        <v>43181</v>
      </c>
      <c r="J224" s="603">
        <v>43193</v>
      </c>
      <c r="K224" s="386"/>
      <c r="L224" s="392" t="str">
        <f>TEXT(F224,"mmm-yy")</f>
        <v>Mar-18</v>
      </c>
      <c r="M224" s="392" t="str">
        <f>TEXT(J224,"mmm-yy")</f>
        <v>Apr-18</v>
      </c>
      <c r="N224" s="397" t="s">
        <v>1793</v>
      </c>
      <c r="O224" s="418" t="s">
        <v>1794</v>
      </c>
      <c r="P224" s="538">
        <v>4429.6000000000004</v>
      </c>
      <c r="Q224" s="418">
        <v>6859.5199999999986</v>
      </c>
      <c r="R224" s="538">
        <f>SUM(P224:Q224)</f>
        <v>11289.119999999999</v>
      </c>
      <c r="S224" s="494">
        <f>R224*1.1</f>
        <v>12418.031999999999</v>
      </c>
      <c r="T224" s="544"/>
      <c r="U224" s="544"/>
      <c r="V224" s="389">
        <f>SUM(T224:U224)</f>
        <v>0</v>
      </c>
      <c r="W224" s="388">
        <f>R224-V224</f>
        <v>11289.119999999999</v>
      </c>
      <c r="X224" s="589">
        <f>W224/R224</f>
        <v>1</v>
      </c>
      <c r="Y224" s="544"/>
      <c r="Z224" s="536">
        <f>F224+14</f>
        <v>43180</v>
      </c>
      <c r="AA224" s="544"/>
      <c r="AB224" s="393" t="s">
        <v>959</v>
      </c>
      <c r="AC224" s="392" t="s">
        <v>752</v>
      </c>
      <c r="AD224" s="392">
        <v>43109</v>
      </c>
      <c r="AE224" s="550"/>
      <c r="AF224" s="392">
        <v>43158</v>
      </c>
      <c r="AG224" s="546">
        <f>AF224-AD224</f>
        <v>49</v>
      </c>
      <c r="AJ224" s="553"/>
    </row>
    <row r="225" spans="1:46" s="218" customFormat="1" ht="14.25" customHeight="1">
      <c r="A225" s="586" t="s">
        <v>714</v>
      </c>
      <c r="B225" s="545" t="s">
        <v>190</v>
      </c>
      <c r="C225" s="386" t="s">
        <v>2190</v>
      </c>
      <c r="D225" s="386">
        <v>43153</v>
      </c>
      <c r="E225" s="392">
        <v>43122</v>
      </c>
      <c r="F225" s="536">
        <v>43122</v>
      </c>
      <c r="G225" s="603">
        <v>43123</v>
      </c>
      <c r="H225" s="753">
        <v>43137</v>
      </c>
      <c r="I225" s="603">
        <v>43132</v>
      </c>
      <c r="J225" s="576">
        <v>43153</v>
      </c>
      <c r="K225" s="386"/>
      <c r="L225" s="392" t="str">
        <f>TEXT(F225,"mmm-yy")</f>
        <v>Jan-18</v>
      </c>
      <c r="M225" s="392" t="str">
        <f>TEXT(J225,"mmm-yy")</f>
        <v>Feb-18</v>
      </c>
      <c r="N225" s="397" t="s">
        <v>1781</v>
      </c>
      <c r="O225" s="418" t="s">
        <v>254</v>
      </c>
      <c r="P225" s="538">
        <v>616.64</v>
      </c>
      <c r="Q225" s="418">
        <v>-131.31</v>
      </c>
      <c r="R225" s="538">
        <f>SUM(P225:Q225)</f>
        <v>485.33</v>
      </c>
      <c r="S225" s="494">
        <f>R225*1.1</f>
        <v>533.86300000000006</v>
      </c>
      <c r="T225" s="544"/>
      <c r="U225" s="544"/>
      <c r="V225" s="389">
        <f>SUM(T225:U225)</f>
        <v>0</v>
      </c>
      <c r="W225" s="388">
        <f>R225-V225</f>
        <v>485.33</v>
      </c>
      <c r="X225" s="589">
        <f>W225/R225</f>
        <v>1</v>
      </c>
      <c r="Y225" s="544"/>
      <c r="Z225" s="536">
        <f>F225+14</f>
        <v>43136</v>
      </c>
      <c r="AA225" s="544"/>
      <c r="AB225" s="393" t="s">
        <v>959</v>
      </c>
      <c r="AC225" s="392" t="s">
        <v>752</v>
      </c>
      <c r="AD225" s="392">
        <v>43104</v>
      </c>
      <c r="AE225" s="550"/>
      <c r="AF225" s="392">
        <v>43130</v>
      </c>
      <c r="AG225" s="546">
        <f>AF225-AD225</f>
        <v>26</v>
      </c>
      <c r="AJ225" s="553"/>
    </row>
    <row r="226" spans="1:46" s="218" customFormat="1" ht="14.25" customHeight="1">
      <c r="A226" s="586" t="s">
        <v>714</v>
      </c>
      <c r="B226" s="545" t="s">
        <v>190</v>
      </c>
      <c r="C226" s="386" t="s">
        <v>2509</v>
      </c>
      <c r="D226" s="386">
        <v>43194</v>
      </c>
      <c r="E226" s="392">
        <v>43172</v>
      </c>
      <c r="F226" s="536">
        <v>43172</v>
      </c>
      <c r="G226" s="601">
        <v>43173</v>
      </c>
      <c r="H226" s="752"/>
      <c r="I226" s="603">
        <v>43182</v>
      </c>
      <c r="J226" s="603">
        <v>43194</v>
      </c>
      <c r="K226" s="386"/>
      <c r="L226" s="392" t="str">
        <f>TEXT(F226,"mmm-yy")</f>
        <v>Mar-18</v>
      </c>
      <c r="M226" s="392" t="str">
        <f>TEXT(J226,"mmm-yy")</f>
        <v>Apr-18</v>
      </c>
      <c r="N226" s="397" t="s">
        <v>2316</v>
      </c>
      <c r="O226" s="418" t="s">
        <v>1116</v>
      </c>
      <c r="P226" s="538">
        <v>3241.78</v>
      </c>
      <c r="Q226" s="418">
        <v>220.64</v>
      </c>
      <c r="R226" s="538">
        <f>SUM(P226:Q226)</f>
        <v>3462.42</v>
      </c>
      <c r="S226" s="494">
        <f>R226*1.1</f>
        <v>3808.6620000000003</v>
      </c>
      <c r="T226" s="544">
        <v>1560.1</v>
      </c>
      <c r="U226" s="544"/>
      <c r="V226" s="389">
        <f>SUM(T226:U226)</f>
        <v>1560.1</v>
      </c>
      <c r="W226" s="388">
        <f>R226-V226</f>
        <v>1902.3200000000002</v>
      </c>
      <c r="X226" s="589">
        <f>W226/R226</f>
        <v>0.54941919235679093</v>
      </c>
      <c r="Y226" s="544"/>
      <c r="Z226" s="536">
        <f>F226+14</f>
        <v>43186</v>
      </c>
      <c r="AA226" s="544"/>
      <c r="AB226" s="442" t="s">
        <v>210</v>
      </c>
      <c r="AC226" s="392" t="s">
        <v>752</v>
      </c>
      <c r="AD226" s="392">
        <v>43153</v>
      </c>
      <c r="AE226" s="550"/>
      <c r="AF226" s="392">
        <v>43220</v>
      </c>
      <c r="AG226" s="546">
        <f>AF226-AD226</f>
        <v>67</v>
      </c>
      <c r="AJ226" s="553"/>
    </row>
    <row r="227" spans="1:46" s="218" customFormat="1" ht="14.25" customHeight="1">
      <c r="A227" s="586" t="s">
        <v>714</v>
      </c>
      <c r="B227" s="545" t="s">
        <v>190</v>
      </c>
      <c r="C227" s="386"/>
      <c r="D227" s="386"/>
      <c r="E227" s="392"/>
      <c r="F227" s="536">
        <v>43342</v>
      </c>
      <c r="G227" s="601"/>
      <c r="H227" s="752"/>
      <c r="I227" s="601"/>
      <c r="J227" s="601"/>
      <c r="K227" s="386"/>
      <c r="L227" s="392" t="str">
        <f>TEXT(F227,"mmm-yy")</f>
        <v>Aug-18</v>
      </c>
      <c r="M227" s="392" t="str">
        <f>TEXT(J227,"mmm-yy")</f>
        <v>Jan-00</v>
      </c>
      <c r="N227" s="397" t="s">
        <v>2151</v>
      </c>
      <c r="O227" s="418" t="s">
        <v>690</v>
      </c>
      <c r="P227" s="538">
        <v>671.72</v>
      </c>
      <c r="Q227" s="418"/>
      <c r="R227" s="538">
        <f>SUM(P227:Q227)</f>
        <v>671.72</v>
      </c>
      <c r="S227" s="494">
        <f>R227*1.1</f>
        <v>738.89200000000005</v>
      </c>
      <c r="T227" s="544"/>
      <c r="U227" s="544"/>
      <c r="V227" s="389">
        <f>SUM(T227:U227)</f>
        <v>0</v>
      </c>
      <c r="W227" s="388">
        <f>R227-V227</f>
        <v>671.72</v>
      </c>
      <c r="X227" s="589">
        <f>W227/R227</f>
        <v>1</v>
      </c>
      <c r="Y227" s="544"/>
      <c r="Z227" s="536">
        <f>F227+14</f>
        <v>43356</v>
      </c>
      <c r="AA227" s="544"/>
      <c r="AB227" s="393" t="s">
        <v>727</v>
      </c>
      <c r="AC227" s="392" t="s">
        <v>752</v>
      </c>
      <c r="AD227" s="392">
        <v>43104</v>
      </c>
      <c r="AE227" s="550"/>
      <c r="AF227" s="392">
        <v>43146</v>
      </c>
      <c r="AG227" s="546">
        <f>AF227-AD227</f>
        <v>42</v>
      </c>
      <c r="AJ227" s="553"/>
    </row>
    <row r="228" spans="1:46" s="218" customFormat="1" ht="14.25" customHeight="1">
      <c r="A228" s="586" t="s">
        <v>714</v>
      </c>
      <c r="B228" s="545" t="s">
        <v>190</v>
      </c>
      <c r="C228" s="386"/>
      <c r="D228" s="386"/>
      <c r="E228" s="392"/>
      <c r="F228" s="536">
        <v>43342</v>
      </c>
      <c r="G228" s="601"/>
      <c r="H228" s="752"/>
      <c r="I228" s="601"/>
      <c r="J228" s="601"/>
      <c r="K228" s="386"/>
      <c r="L228" s="392" t="str">
        <f>TEXT(F228,"mmm-yy")</f>
        <v>Aug-18</v>
      </c>
      <c r="M228" s="392" t="str">
        <f>TEXT(J228,"mmm-yy")</f>
        <v>Jan-00</v>
      </c>
      <c r="N228" s="397" t="s">
        <v>1783</v>
      </c>
      <c r="O228" s="418" t="s">
        <v>458</v>
      </c>
      <c r="P228" s="538">
        <v>3447.12</v>
      </c>
      <c r="Q228" s="418"/>
      <c r="R228" s="538">
        <f>SUM(P228:Q228)</f>
        <v>3447.12</v>
      </c>
      <c r="S228" s="494">
        <f>R228*1.1</f>
        <v>3791.8320000000003</v>
      </c>
      <c r="T228" s="544"/>
      <c r="U228" s="544"/>
      <c r="V228" s="389">
        <f>SUM(T228:U228)</f>
        <v>0</v>
      </c>
      <c r="W228" s="388">
        <f>R228-V228</f>
        <v>3447.12</v>
      </c>
      <c r="X228" s="589">
        <f>W228/R228</f>
        <v>1</v>
      </c>
      <c r="Y228" s="544"/>
      <c r="Z228" s="536">
        <f>F228+14</f>
        <v>43356</v>
      </c>
      <c r="AA228" s="544"/>
      <c r="AB228" s="393" t="s">
        <v>959</v>
      </c>
      <c r="AC228" s="392" t="s">
        <v>752</v>
      </c>
      <c r="AD228" s="392">
        <v>43104</v>
      </c>
      <c r="AE228" s="550"/>
      <c r="AF228" s="392">
        <v>43146</v>
      </c>
      <c r="AG228" s="546">
        <f>AF228-AD228</f>
        <v>42</v>
      </c>
      <c r="AJ228" s="553"/>
    </row>
    <row r="229" spans="1:46" s="218" customFormat="1" ht="14.25" customHeight="1">
      <c r="A229" s="586" t="s">
        <v>714</v>
      </c>
      <c r="B229" s="545" t="s">
        <v>190</v>
      </c>
      <c r="C229" s="386" t="s">
        <v>2514</v>
      </c>
      <c r="D229" s="386">
        <v>43195</v>
      </c>
      <c r="E229" s="392">
        <v>43178</v>
      </c>
      <c r="F229" s="392">
        <v>43178</v>
      </c>
      <c r="G229" s="603">
        <v>43179</v>
      </c>
      <c r="H229" s="753">
        <v>43181</v>
      </c>
      <c r="I229" s="603">
        <v>43188</v>
      </c>
      <c r="J229" s="603">
        <v>43195</v>
      </c>
      <c r="K229" s="386"/>
      <c r="L229" s="392" t="str">
        <f>TEXT(F229,"mmm-yy")</f>
        <v>Mar-18</v>
      </c>
      <c r="M229" s="392" t="str">
        <f>TEXT(J229,"mmm-yy")</f>
        <v>Apr-18</v>
      </c>
      <c r="N229" s="397" t="s">
        <v>2312</v>
      </c>
      <c r="O229" s="418" t="s">
        <v>458</v>
      </c>
      <c r="P229" s="538">
        <v>2397.62</v>
      </c>
      <c r="Q229" s="418">
        <v>717.29</v>
      </c>
      <c r="R229" s="538">
        <f>SUM(P229:Q229)</f>
        <v>3114.91</v>
      </c>
      <c r="S229" s="494">
        <f>R229*1.1</f>
        <v>3426.4010000000003</v>
      </c>
      <c r="T229" s="544"/>
      <c r="U229" s="544"/>
      <c r="V229" s="389">
        <f>SUM(T229:U229)</f>
        <v>0</v>
      </c>
      <c r="W229" s="388">
        <f>R229-V229</f>
        <v>3114.91</v>
      </c>
      <c r="X229" s="589">
        <f>W229/R229</f>
        <v>1</v>
      </c>
      <c r="Y229" s="544"/>
      <c r="Z229" s="536">
        <f>F229+14</f>
        <v>43192</v>
      </c>
      <c r="AA229" s="544"/>
      <c r="AB229" s="393" t="s">
        <v>1338</v>
      </c>
      <c r="AC229" s="392" t="s">
        <v>752</v>
      </c>
      <c r="AD229" s="392">
        <v>43164</v>
      </c>
      <c r="AE229" s="550"/>
      <c r="AF229" s="392">
        <v>43187</v>
      </c>
      <c r="AG229" s="546">
        <f>AF229-AD229</f>
        <v>23</v>
      </c>
      <c r="AJ229" s="553"/>
    </row>
    <row r="230" spans="1:46" s="218" customFormat="1" ht="14.25" customHeight="1">
      <c r="A230" s="586" t="s">
        <v>714</v>
      </c>
      <c r="B230" s="545" t="s">
        <v>190</v>
      </c>
      <c r="C230" s="386" t="s">
        <v>2533</v>
      </c>
      <c r="D230" s="386">
        <v>43199</v>
      </c>
      <c r="E230" s="392">
        <v>43178</v>
      </c>
      <c r="F230" s="392">
        <v>43178</v>
      </c>
      <c r="G230" s="603">
        <v>43180</v>
      </c>
      <c r="H230" s="753">
        <v>43194</v>
      </c>
      <c r="I230" s="603">
        <v>43188</v>
      </c>
      <c r="J230" s="603">
        <v>43200</v>
      </c>
      <c r="K230" s="386"/>
      <c r="L230" s="392" t="str">
        <f>TEXT(F230,"mmm-yy")</f>
        <v>Mar-18</v>
      </c>
      <c r="M230" s="392" t="str">
        <f>TEXT(J230,"mmm-yy")</f>
        <v>Apr-18</v>
      </c>
      <c r="N230" s="397" t="s">
        <v>2400</v>
      </c>
      <c r="O230" s="418" t="s">
        <v>675</v>
      </c>
      <c r="P230" s="538">
        <v>1400</v>
      </c>
      <c r="Q230" s="418">
        <v>1500.7</v>
      </c>
      <c r="R230" s="538">
        <f>SUM(P230:Q230)</f>
        <v>2900.7</v>
      </c>
      <c r="S230" s="494">
        <f>R230*1.1</f>
        <v>3190.77</v>
      </c>
      <c r="T230" s="544"/>
      <c r="U230" s="544"/>
      <c r="V230" s="389">
        <f>SUM(T230:U230)</f>
        <v>0</v>
      </c>
      <c r="W230" s="388">
        <f>R230-V230</f>
        <v>2900.7</v>
      </c>
      <c r="X230" s="589">
        <f>W230/R230</f>
        <v>1</v>
      </c>
      <c r="Y230" s="544"/>
      <c r="Z230" s="536">
        <f>F230+14</f>
        <v>43192</v>
      </c>
      <c r="AA230" s="544"/>
      <c r="AB230" s="393" t="s">
        <v>201</v>
      </c>
      <c r="AC230" s="392" t="s">
        <v>752</v>
      </c>
      <c r="AD230" s="392">
        <v>43158</v>
      </c>
      <c r="AE230" s="550"/>
      <c r="AF230" s="392">
        <v>43161</v>
      </c>
      <c r="AG230" s="546">
        <f>AF230-AD230</f>
        <v>3</v>
      </c>
      <c r="AJ230" s="553"/>
    </row>
    <row r="231" spans="1:46" s="218" customFormat="1" ht="14.25" customHeight="1">
      <c r="A231" s="586" t="s">
        <v>714</v>
      </c>
      <c r="B231" s="545" t="s">
        <v>190</v>
      </c>
      <c r="C231" s="386" t="s">
        <v>2811</v>
      </c>
      <c r="D231" s="386">
        <v>43237</v>
      </c>
      <c r="E231" s="392">
        <v>43211</v>
      </c>
      <c r="F231" s="536">
        <v>43213</v>
      </c>
      <c r="G231" s="603">
        <v>43221</v>
      </c>
      <c r="H231" s="753">
        <v>43230</v>
      </c>
      <c r="I231" s="603">
        <v>43224</v>
      </c>
      <c r="J231" s="603">
        <v>43237</v>
      </c>
      <c r="K231" s="386"/>
      <c r="L231" s="392" t="str">
        <f>TEXT(F231,"mmm-yy")</f>
        <v>Apr-18</v>
      </c>
      <c r="M231" s="392" t="str">
        <f>TEXT(J231,"mmm-yy")</f>
        <v>May-18</v>
      </c>
      <c r="N231" s="397" t="s">
        <v>1795</v>
      </c>
      <c r="O231" s="418" t="s">
        <v>1796</v>
      </c>
      <c r="P231" s="538">
        <v>5248.59</v>
      </c>
      <c r="Q231" s="418">
        <v>7137.58</v>
      </c>
      <c r="R231" s="538">
        <f>SUM(P231:Q231)</f>
        <v>12386.17</v>
      </c>
      <c r="S231" s="494">
        <f>R231*1.1</f>
        <v>13624.787000000002</v>
      </c>
      <c r="T231" s="544">
        <v>3269.94</v>
      </c>
      <c r="U231" s="544"/>
      <c r="V231" s="389">
        <f>SUM(T231:U231)</f>
        <v>3269.94</v>
      </c>
      <c r="W231" s="388">
        <f>R231-V231</f>
        <v>9116.23</v>
      </c>
      <c r="X231" s="589">
        <f>W231/R231</f>
        <v>0.73600071692863889</v>
      </c>
      <c r="Y231" s="544"/>
      <c r="Z231" s="536">
        <f>F231+14</f>
        <v>43227</v>
      </c>
      <c r="AA231" s="544"/>
      <c r="AB231" s="393" t="s">
        <v>959</v>
      </c>
      <c r="AC231" s="392" t="s">
        <v>752</v>
      </c>
      <c r="AD231" s="392">
        <v>43109</v>
      </c>
      <c r="AE231" s="550"/>
      <c r="AF231" s="392">
        <v>43146</v>
      </c>
      <c r="AG231" s="546">
        <f>AF231-AD231</f>
        <v>37</v>
      </c>
      <c r="AJ231" s="553"/>
      <c r="AQ231" s="704"/>
      <c r="AR231" s="704"/>
      <c r="AS231" s="704"/>
      <c r="AT231" s="704"/>
    </row>
    <row r="232" spans="1:46" s="218" customFormat="1" ht="14.25" customHeight="1">
      <c r="A232" s="586" t="s">
        <v>714</v>
      </c>
      <c r="B232" s="545" t="s">
        <v>190</v>
      </c>
      <c r="C232" s="386"/>
      <c r="D232" s="386"/>
      <c r="E232" s="392"/>
      <c r="F232" s="392">
        <v>43342</v>
      </c>
      <c r="G232" s="601"/>
      <c r="H232" s="752"/>
      <c r="I232" s="601"/>
      <c r="J232" s="601"/>
      <c r="K232" s="386"/>
      <c r="L232" s="392" t="str">
        <f>TEXT(F232,"mmm-yy")</f>
        <v>Aug-18</v>
      </c>
      <c r="M232" s="392" t="str">
        <f>TEXT(J232,"mmm-yy")</f>
        <v>Jan-00</v>
      </c>
      <c r="N232" s="397" t="s">
        <v>1797</v>
      </c>
      <c r="O232" s="418" t="s">
        <v>1121</v>
      </c>
      <c r="P232" s="538">
        <v>731.99</v>
      </c>
      <c r="Q232" s="418"/>
      <c r="R232" s="538">
        <f>SUM(P232:Q232)</f>
        <v>731.99</v>
      </c>
      <c r="S232" s="494">
        <f>R232*1.1</f>
        <v>805.18900000000008</v>
      </c>
      <c r="T232" s="544"/>
      <c r="U232" s="544"/>
      <c r="V232" s="389">
        <f>SUM(T232:U232)</f>
        <v>0</v>
      </c>
      <c r="W232" s="388">
        <f>R232-V232</f>
        <v>731.99</v>
      </c>
      <c r="X232" s="589">
        <f>W232/R232</f>
        <v>1</v>
      </c>
      <c r="Y232" s="544"/>
      <c r="Z232" s="536">
        <f>F232+14</f>
        <v>43356</v>
      </c>
      <c r="AA232" s="544"/>
      <c r="AB232" s="393" t="s">
        <v>959</v>
      </c>
      <c r="AC232" s="392" t="s">
        <v>752</v>
      </c>
      <c r="AD232" s="392">
        <v>43109</v>
      </c>
      <c r="AE232" s="550"/>
      <c r="AF232" s="392">
        <v>43158</v>
      </c>
      <c r="AG232" s="546">
        <f>AF232-AD232</f>
        <v>49</v>
      </c>
      <c r="AJ232" s="553"/>
    </row>
    <row r="233" spans="1:46" s="218" customFormat="1" ht="14.25" customHeight="1">
      <c r="A233" s="586" t="s">
        <v>715</v>
      </c>
      <c r="B233" s="545" t="s">
        <v>190</v>
      </c>
      <c r="C233" s="386"/>
      <c r="D233" s="386"/>
      <c r="E233" s="392">
        <v>43110</v>
      </c>
      <c r="F233" s="536">
        <v>43144</v>
      </c>
      <c r="G233" s="761">
        <v>43144</v>
      </c>
      <c r="H233" s="669">
        <v>43165</v>
      </c>
      <c r="I233" s="603">
        <v>43154</v>
      </c>
      <c r="J233" s="576">
        <v>43174</v>
      </c>
      <c r="K233" s="386"/>
      <c r="L233" s="392" t="str">
        <f>TEXT(F233,"mmm-yy")</f>
        <v>Feb-18</v>
      </c>
      <c r="M233" s="392" t="str">
        <f>TEXT(J233,"mmm-yy")</f>
        <v>Mar-18</v>
      </c>
      <c r="N233" s="397" t="s">
        <v>1802</v>
      </c>
      <c r="O233" s="418" t="s">
        <v>1847</v>
      </c>
      <c r="P233" s="538">
        <v>5871.23</v>
      </c>
      <c r="Q233" s="418">
        <v>3879.7714285714283</v>
      </c>
      <c r="R233" s="538">
        <f>SUM(P233:Q233)</f>
        <v>9751.0014285714278</v>
      </c>
      <c r="S233" s="494">
        <f>R233*1.1</f>
        <v>10726.101571428571</v>
      </c>
      <c r="T233" s="544"/>
      <c r="U233" s="544"/>
      <c r="V233" s="389">
        <f>SUM(T233:U233)</f>
        <v>0</v>
      </c>
      <c r="W233" s="388">
        <f>R233-V233</f>
        <v>9751.0014285714278</v>
      </c>
      <c r="X233" s="589">
        <f>W233/R233</f>
        <v>1</v>
      </c>
      <c r="Y233" s="544"/>
      <c r="Z233" s="536">
        <f>F233+14</f>
        <v>43158</v>
      </c>
      <c r="AA233" s="544"/>
      <c r="AB233" s="393" t="s">
        <v>959</v>
      </c>
      <c r="AC233" s="392">
        <v>43055</v>
      </c>
      <c r="AD233" s="392">
        <v>43143</v>
      </c>
      <c r="AE233" s="689">
        <f>AD233-AC233</f>
        <v>88</v>
      </c>
      <c r="AF233" s="392">
        <v>43161</v>
      </c>
      <c r="AG233" s="546">
        <f>AF233-AD233</f>
        <v>18</v>
      </c>
      <c r="AJ233" s="553"/>
    </row>
    <row r="234" spans="1:46" s="218" customFormat="1" ht="14.25" customHeight="1">
      <c r="A234" s="586" t="s">
        <v>715</v>
      </c>
      <c r="B234" s="545" t="s">
        <v>227</v>
      </c>
      <c r="C234" s="386" t="s">
        <v>2340</v>
      </c>
      <c r="D234" s="386">
        <v>43138</v>
      </c>
      <c r="E234" s="392">
        <v>43112</v>
      </c>
      <c r="F234" s="536">
        <v>43138</v>
      </c>
      <c r="G234" s="576">
        <v>43138</v>
      </c>
      <c r="H234" s="669">
        <v>43158</v>
      </c>
      <c r="I234" s="603">
        <v>43151</v>
      </c>
      <c r="J234" s="603">
        <v>43167</v>
      </c>
      <c r="K234" s="386"/>
      <c r="L234" s="392" t="str">
        <f>TEXT(F234,"mmm-yy")</f>
        <v>Feb-18</v>
      </c>
      <c r="M234" s="392" t="str">
        <f>TEXT(J234,"mmm-yy")</f>
        <v>Mar-18</v>
      </c>
      <c r="N234" s="397" t="s">
        <v>2323</v>
      </c>
      <c r="O234" s="418" t="s">
        <v>1146</v>
      </c>
      <c r="P234" s="538">
        <v>6924.34</v>
      </c>
      <c r="Q234" s="418">
        <v>3879.77</v>
      </c>
      <c r="R234" s="538">
        <f>SUM(P234:Q234)</f>
        <v>10804.11</v>
      </c>
      <c r="S234" s="494">
        <f>R234*1.1</f>
        <v>11884.521000000002</v>
      </c>
      <c r="T234" s="544">
        <v>3626.8</v>
      </c>
      <c r="U234" s="544"/>
      <c r="V234" s="389">
        <f>SUM(T234:U234)</f>
        <v>3626.8</v>
      </c>
      <c r="W234" s="388">
        <f>R234-V234</f>
        <v>7177.31</v>
      </c>
      <c r="X234" s="589">
        <f>W234/R234</f>
        <v>0.66431293276355019</v>
      </c>
      <c r="Y234" s="544"/>
      <c r="Z234" s="536">
        <f>F234+14</f>
        <v>43152</v>
      </c>
      <c r="AA234" s="544"/>
      <c r="AB234" s="393" t="s">
        <v>757</v>
      </c>
      <c r="AC234" s="536">
        <v>43053</v>
      </c>
      <c r="AD234" s="536">
        <v>43137</v>
      </c>
      <c r="AE234" s="689">
        <f>AD234-AC234</f>
        <v>84</v>
      </c>
      <c r="AF234" s="536">
        <v>43161</v>
      </c>
      <c r="AG234" s="546">
        <f>AF234-AD234</f>
        <v>24</v>
      </c>
      <c r="AI234" s="627"/>
      <c r="AJ234" s="688"/>
    </row>
    <row r="235" spans="1:46" s="218" customFormat="1" ht="14.25" customHeight="1">
      <c r="A235" s="586" t="s">
        <v>714</v>
      </c>
      <c r="B235" s="545" t="s">
        <v>722</v>
      </c>
      <c r="C235" s="386" t="s">
        <v>2176</v>
      </c>
      <c r="D235" s="386">
        <v>43150</v>
      </c>
      <c r="E235" s="392">
        <v>43112</v>
      </c>
      <c r="F235" s="536">
        <v>43112</v>
      </c>
      <c r="G235" s="603">
        <v>43130</v>
      </c>
      <c r="H235" s="753">
        <v>43138</v>
      </c>
      <c r="I235" s="576">
        <v>43131</v>
      </c>
      <c r="J235" s="576">
        <v>43151</v>
      </c>
      <c r="K235" s="392" t="s">
        <v>1630</v>
      </c>
      <c r="L235" s="392" t="str">
        <f>TEXT(F235,"mmm-yy")</f>
        <v>Jan-18</v>
      </c>
      <c r="M235" s="392" t="str">
        <f>TEXT(J235,"mmm-yy")</f>
        <v>Feb-18</v>
      </c>
      <c r="N235" s="397" t="s">
        <v>1832</v>
      </c>
      <c r="O235" s="418" t="s">
        <v>208</v>
      </c>
      <c r="P235" s="538">
        <v>339.17</v>
      </c>
      <c r="Q235" s="418">
        <v>1627.9699999999998</v>
      </c>
      <c r="R235" s="538">
        <f>SUM(P235:Q235)</f>
        <v>1967.1399999999999</v>
      </c>
      <c r="S235" s="494">
        <f>R235*1.1</f>
        <v>2163.8539999999998</v>
      </c>
      <c r="T235" s="544">
        <v>1075.44</v>
      </c>
      <c r="U235" s="544"/>
      <c r="V235" s="389">
        <f>SUM(T235:U235)</f>
        <v>1075.44</v>
      </c>
      <c r="W235" s="388">
        <f>R235-V235</f>
        <v>891.69999999999982</v>
      </c>
      <c r="X235" s="589">
        <f>W235/R235</f>
        <v>0.45329768089713995</v>
      </c>
      <c r="Y235" s="544"/>
      <c r="Z235" s="536">
        <f>F235+14</f>
        <v>43126</v>
      </c>
      <c r="AA235" s="544"/>
      <c r="AB235" s="442" t="s">
        <v>727</v>
      </c>
      <c r="AC235" s="392" t="s">
        <v>752</v>
      </c>
      <c r="AD235" s="392">
        <v>43081</v>
      </c>
      <c r="AE235" s="550"/>
      <c r="AF235" s="392">
        <v>43084</v>
      </c>
      <c r="AG235" s="546">
        <f>AF235-AD235</f>
        <v>3</v>
      </c>
      <c r="AJ235" s="553"/>
    </row>
    <row r="236" spans="1:46" s="218" customFormat="1" ht="14.25" customHeight="1">
      <c r="A236" s="586" t="s">
        <v>714</v>
      </c>
      <c r="B236" s="545" t="s">
        <v>190</v>
      </c>
      <c r="C236" s="386" t="s">
        <v>2279</v>
      </c>
      <c r="D236" s="386">
        <v>43160</v>
      </c>
      <c r="E236" s="392">
        <v>43125</v>
      </c>
      <c r="F236" s="392">
        <v>43125</v>
      </c>
      <c r="G236" s="740"/>
      <c r="H236" s="743"/>
      <c r="I236" s="603">
        <v>43138</v>
      </c>
      <c r="J236" s="576">
        <v>43160</v>
      </c>
      <c r="K236" s="386"/>
      <c r="L236" s="392" t="str">
        <f>TEXT(F236,"mmm-yy")</f>
        <v>Jan-18</v>
      </c>
      <c r="M236" s="392" t="str">
        <f>TEXT(J236,"mmm-yy")</f>
        <v>Mar-18</v>
      </c>
      <c r="N236" s="397" t="s">
        <v>1850</v>
      </c>
      <c r="O236" s="445" t="s">
        <v>254</v>
      </c>
      <c r="P236" s="538">
        <v>2880</v>
      </c>
      <c r="Q236" s="684"/>
      <c r="R236" s="538">
        <f>SUM(P236:Q236)</f>
        <v>2880</v>
      </c>
      <c r="S236" s="494">
        <f>R236*1.1</f>
        <v>3168.0000000000005</v>
      </c>
      <c r="T236" s="544"/>
      <c r="U236" s="544"/>
      <c r="V236" s="389">
        <f>SUM(T236:U236)</f>
        <v>0</v>
      </c>
      <c r="W236" s="388">
        <f>R236-V236</f>
        <v>2880</v>
      </c>
      <c r="X236" s="390">
        <f>W236/R236</f>
        <v>1</v>
      </c>
      <c r="Y236" s="545"/>
      <c r="Z236" s="392">
        <f>F236+14</f>
        <v>43139</v>
      </c>
      <c r="AA236" s="544"/>
      <c r="AB236" s="393" t="s">
        <v>757</v>
      </c>
      <c r="AC236" s="536" t="s">
        <v>752</v>
      </c>
      <c r="AD236" s="392">
        <v>43000</v>
      </c>
      <c r="AE236" s="550"/>
      <c r="AF236" s="392">
        <v>43117</v>
      </c>
      <c r="AG236" s="546">
        <f>AF236-AD236</f>
        <v>117</v>
      </c>
      <c r="AJ236" s="553"/>
    </row>
    <row r="237" spans="1:46" s="218" customFormat="1" ht="14.25" customHeight="1">
      <c r="A237" s="586" t="s">
        <v>714</v>
      </c>
      <c r="B237" s="545" t="s">
        <v>190</v>
      </c>
      <c r="C237" s="386" t="s">
        <v>2677</v>
      </c>
      <c r="D237" s="386">
        <v>43216</v>
      </c>
      <c r="E237" s="392">
        <v>43177</v>
      </c>
      <c r="F237" s="392">
        <v>43179</v>
      </c>
      <c r="G237" s="576">
        <v>43181</v>
      </c>
      <c r="H237" s="669">
        <v>43210</v>
      </c>
      <c r="I237" s="603">
        <f>F237+14</f>
        <v>43193</v>
      </c>
      <c r="J237" s="576">
        <v>43216</v>
      </c>
      <c r="K237" s="386"/>
      <c r="L237" s="392" t="str">
        <f>TEXT(F237,"mmm-yy")</f>
        <v>Mar-18</v>
      </c>
      <c r="M237" s="392" t="str">
        <f>TEXT(J237,"mmm-yy")</f>
        <v>Apr-18</v>
      </c>
      <c r="N237" s="397" t="s">
        <v>1775</v>
      </c>
      <c r="O237" s="418" t="s">
        <v>491</v>
      </c>
      <c r="P237" s="538">
        <v>582.23</v>
      </c>
      <c r="Q237" s="538">
        <v>6807.3099999999995</v>
      </c>
      <c r="R237" s="538">
        <f>SUM(P237:Q237)</f>
        <v>7389.5399999999991</v>
      </c>
      <c r="S237" s="494">
        <f>R237*1.1</f>
        <v>8128.4939999999997</v>
      </c>
      <c r="T237" s="544">
        <v>459.6</v>
      </c>
      <c r="U237" s="544"/>
      <c r="V237" s="389">
        <f>SUM(T237:U237)</f>
        <v>459.6</v>
      </c>
      <c r="W237" s="388">
        <f>R237-V237</f>
        <v>6929.9399999999987</v>
      </c>
      <c r="X237" s="589">
        <f>W237/R237</f>
        <v>0.93780397697285622</v>
      </c>
      <c r="Y237" s="544"/>
      <c r="Z237" s="536">
        <f>F237+14</f>
        <v>43193</v>
      </c>
      <c r="AA237" s="544"/>
      <c r="AB237" s="442" t="s">
        <v>210</v>
      </c>
      <c r="AC237" s="392" t="s">
        <v>752</v>
      </c>
      <c r="AD237" s="392">
        <v>43090</v>
      </c>
      <c r="AE237" s="550"/>
      <c r="AF237" s="392">
        <v>43130</v>
      </c>
      <c r="AG237" s="546">
        <f>AF237-AD237</f>
        <v>40</v>
      </c>
      <c r="AJ237" s="553"/>
    </row>
    <row r="238" spans="1:46" s="218" customFormat="1" ht="14.25" customHeight="1">
      <c r="A238" s="586" t="s">
        <v>714</v>
      </c>
      <c r="B238" s="545" t="s">
        <v>190</v>
      </c>
      <c r="C238" s="386"/>
      <c r="D238" s="386"/>
      <c r="E238" s="392"/>
      <c r="F238" s="536">
        <v>43342</v>
      </c>
      <c r="G238" s="601"/>
      <c r="H238" s="752"/>
      <c r="I238" s="601"/>
      <c r="J238" s="601"/>
      <c r="K238" s="386"/>
      <c r="L238" s="392" t="str">
        <f>TEXT(F238,"mmm-yy")</f>
        <v>Aug-18</v>
      </c>
      <c r="M238" s="392" t="str">
        <f>TEXT(J238,"mmm-yy")</f>
        <v>Jan-00</v>
      </c>
      <c r="N238" s="397" t="s">
        <v>2146</v>
      </c>
      <c r="O238" s="418" t="s">
        <v>254</v>
      </c>
      <c r="P238" s="538">
        <v>2209.46</v>
      </c>
      <c r="Q238" s="538"/>
      <c r="R238" s="538">
        <f>SUM(P238:Q238)</f>
        <v>2209.46</v>
      </c>
      <c r="S238" s="494">
        <f>R238*1.1</f>
        <v>2430.4060000000004</v>
      </c>
      <c r="T238" s="544"/>
      <c r="U238" s="544"/>
      <c r="V238" s="389">
        <f>SUM(T238:U238)</f>
        <v>0</v>
      </c>
      <c r="W238" s="388">
        <f>R238-V238</f>
        <v>2209.46</v>
      </c>
      <c r="X238" s="390">
        <f>W238/R238</f>
        <v>1</v>
      </c>
      <c r="Y238" s="545"/>
      <c r="Z238" s="392">
        <f>F238+14</f>
        <v>43356</v>
      </c>
      <c r="AA238" s="544"/>
      <c r="AB238" s="393" t="s">
        <v>959</v>
      </c>
      <c r="AC238" s="392" t="s">
        <v>752</v>
      </c>
      <c r="AD238" s="392">
        <v>43088</v>
      </c>
      <c r="AE238" s="550"/>
      <c r="AF238" s="392">
        <v>43130</v>
      </c>
      <c r="AG238" s="546">
        <f>AF238-AD238</f>
        <v>42</v>
      </c>
      <c r="AJ238" s="553"/>
    </row>
    <row r="239" spans="1:46" s="218" customFormat="1" ht="14.25" customHeight="1">
      <c r="A239" s="586" t="s">
        <v>714</v>
      </c>
      <c r="B239" s="545" t="s">
        <v>190</v>
      </c>
      <c r="C239" s="386" t="s">
        <v>2293</v>
      </c>
      <c r="D239" s="386">
        <v>42892</v>
      </c>
      <c r="E239" s="392">
        <v>43132</v>
      </c>
      <c r="F239" s="536">
        <v>43132</v>
      </c>
      <c r="G239" s="603">
        <v>43132</v>
      </c>
      <c r="H239" s="753">
        <v>43138</v>
      </c>
      <c r="I239" s="576">
        <v>43154</v>
      </c>
      <c r="J239" s="603">
        <v>43165</v>
      </c>
      <c r="K239" s="386"/>
      <c r="L239" s="392" t="str">
        <f>TEXT(F239,"mmm-yy")</f>
        <v>Feb-18</v>
      </c>
      <c r="M239" s="392" t="str">
        <f>TEXT(J239,"mmm-yy")</f>
        <v>Mar-18</v>
      </c>
      <c r="N239" s="397" t="s">
        <v>2322</v>
      </c>
      <c r="O239" s="418" t="s">
        <v>2148</v>
      </c>
      <c r="P239" s="538">
        <v>1838.95</v>
      </c>
      <c r="Q239" s="538">
        <v>13797.3</v>
      </c>
      <c r="R239" s="538">
        <f>SUM(P239:Q239)</f>
        <v>15636.25</v>
      </c>
      <c r="S239" s="494">
        <f>R239*1.1</f>
        <v>17199.875</v>
      </c>
      <c r="T239" s="544">
        <v>10452.950000000001</v>
      </c>
      <c r="U239" s="544"/>
      <c r="V239" s="389">
        <f>SUM(T239:U239)</f>
        <v>10452.950000000001</v>
      </c>
      <c r="W239" s="388">
        <f>R239-V239</f>
        <v>5183.2999999999993</v>
      </c>
      <c r="X239" s="390">
        <f>W239/R239</f>
        <v>0.33149252538172513</v>
      </c>
      <c r="Y239" s="544"/>
      <c r="Z239" s="536">
        <f>F239+14</f>
        <v>43146</v>
      </c>
      <c r="AA239" s="544"/>
      <c r="AB239" s="393" t="s">
        <v>223</v>
      </c>
      <c r="AC239" s="392" t="s">
        <v>752</v>
      </c>
      <c r="AD239" s="392">
        <v>43084</v>
      </c>
      <c r="AE239" s="550"/>
      <c r="AF239" s="392">
        <v>43084</v>
      </c>
      <c r="AG239" s="546">
        <f>AF239-AD239</f>
        <v>0</v>
      </c>
      <c r="AJ239" s="553"/>
    </row>
    <row r="240" spans="1:46" s="218" customFormat="1" ht="14.25" customHeight="1">
      <c r="A240" s="586" t="s">
        <v>714</v>
      </c>
      <c r="B240" s="545" t="s">
        <v>190</v>
      </c>
      <c r="C240" s="386"/>
      <c r="D240" s="386"/>
      <c r="E240" s="392"/>
      <c r="F240" s="536">
        <v>43342</v>
      </c>
      <c r="G240" s="601"/>
      <c r="H240" s="752"/>
      <c r="I240" s="601"/>
      <c r="J240" s="601"/>
      <c r="K240" s="386"/>
      <c r="L240" s="392" t="str">
        <f>TEXT(F240,"mmm-yy")</f>
        <v>Aug-18</v>
      </c>
      <c r="M240" s="392" t="str">
        <f>TEXT(J240,"mmm-yy")</f>
        <v>Jan-00</v>
      </c>
      <c r="N240" s="397" t="s">
        <v>2321</v>
      </c>
      <c r="O240" s="418" t="s">
        <v>690</v>
      </c>
      <c r="P240" s="538">
        <v>1400</v>
      </c>
      <c r="Q240" s="418"/>
      <c r="R240" s="538">
        <f>SUM(P240:Q240)</f>
        <v>1400</v>
      </c>
      <c r="S240" s="494">
        <f>R240*1.1</f>
        <v>1540.0000000000002</v>
      </c>
      <c r="T240" s="544"/>
      <c r="U240" s="544"/>
      <c r="V240" s="389">
        <f>SUM(T240:U240)</f>
        <v>0</v>
      </c>
      <c r="W240" s="388">
        <f>R240-V240</f>
        <v>1400</v>
      </c>
      <c r="X240" s="589">
        <f>W240/R240</f>
        <v>1</v>
      </c>
      <c r="Y240" s="544"/>
      <c r="Z240" s="536">
        <f>F240+14</f>
        <v>43356</v>
      </c>
      <c r="AA240" s="544"/>
      <c r="AB240" s="393" t="s">
        <v>727</v>
      </c>
      <c r="AC240" s="392" t="s">
        <v>752</v>
      </c>
      <c r="AD240" s="392">
        <v>43132</v>
      </c>
      <c r="AE240" s="550"/>
      <c r="AF240" s="392">
        <v>43160</v>
      </c>
      <c r="AG240" s="546">
        <f>AF240-AD240</f>
        <v>28</v>
      </c>
      <c r="AJ240" s="553"/>
    </row>
    <row r="241" spans="1:43" s="218" customFormat="1" ht="14.25" customHeight="1">
      <c r="A241" s="586" t="s">
        <v>714</v>
      </c>
      <c r="B241" s="545" t="s">
        <v>190</v>
      </c>
      <c r="C241" s="386" t="s">
        <v>2532</v>
      </c>
      <c r="D241" s="386">
        <v>43199</v>
      </c>
      <c r="E241" s="392">
        <v>43180</v>
      </c>
      <c r="F241" s="392">
        <v>43180</v>
      </c>
      <c r="G241" s="603">
        <v>43181</v>
      </c>
      <c r="H241" s="753">
        <v>43193</v>
      </c>
      <c r="I241" s="603">
        <f>F241+14</f>
        <v>43194</v>
      </c>
      <c r="J241" s="603">
        <v>43200</v>
      </c>
      <c r="K241" s="386"/>
      <c r="L241" s="392" t="str">
        <f>TEXT(F241,"mmm-yy")</f>
        <v>Mar-18</v>
      </c>
      <c r="M241" s="392" t="str">
        <f>TEXT(J241,"mmm-yy")</f>
        <v>Apr-18</v>
      </c>
      <c r="N241" s="397" t="s">
        <v>1098</v>
      </c>
      <c r="O241" s="418" t="s">
        <v>690</v>
      </c>
      <c r="P241" s="538">
        <v>2240</v>
      </c>
      <c r="Q241" s="538">
        <v>2401.12</v>
      </c>
      <c r="R241" s="538">
        <f>SUM(P241:Q241)</f>
        <v>4641.12</v>
      </c>
      <c r="S241" s="494">
        <f>R241*1.1</f>
        <v>5105.232</v>
      </c>
      <c r="T241" s="544">
        <v>3248.8</v>
      </c>
      <c r="U241" s="544"/>
      <c r="V241" s="389">
        <f>SUM(T241:U241)</f>
        <v>3248.8</v>
      </c>
      <c r="W241" s="388">
        <f>R241-V241</f>
        <v>1392.3199999999997</v>
      </c>
      <c r="X241" s="390">
        <f>W241/R241</f>
        <v>0.29999655255627944</v>
      </c>
      <c r="Y241" s="544"/>
      <c r="Z241" s="536">
        <f>F241+14</f>
        <v>43194</v>
      </c>
      <c r="AA241" s="544"/>
      <c r="AB241" s="393" t="s">
        <v>223</v>
      </c>
      <c r="AC241" s="392" t="s">
        <v>752</v>
      </c>
      <c r="AD241" s="392">
        <v>42970</v>
      </c>
      <c r="AE241" s="550"/>
      <c r="AF241" s="392">
        <v>43042</v>
      </c>
      <c r="AG241" s="546">
        <f>AF241-AD241</f>
        <v>72</v>
      </c>
      <c r="AJ241" s="553"/>
    </row>
    <row r="242" spans="1:43" s="218" customFormat="1" ht="14.25" customHeight="1">
      <c r="A242" s="586" t="s">
        <v>715</v>
      </c>
      <c r="B242" s="545" t="s">
        <v>190</v>
      </c>
      <c r="C242" s="386" t="s">
        <v>2367</v>
      </c>
      <c r="D242" s="386">
        <v>43172</v>
      </c>
      <c r="E242" s="392">
        <v>43144</v>
      </c>
      <c r="F242" s="536">
        <v>43144</v>
      </c>
      <c r="G242" s="740"/>
      <c r="H242" s="743"/>
      <c r="I242" s="603">
        <v>43154</v>
      </c>
      <c r="J242" s="601">
        <f>F242+14</f>
        <v>43158</v>
      </c>
      <c r="K242" s="386"/>
      <c r="L242" s="392" t="str">
        <f>TEXT(F242,"mmm-yy")</f>
        <v>Feb-18</v>
      </c>
      <c r="M242" s="392" t="str">
        <f>TEXT(J242,"mmm-yy")</f>
        <v>Feb-18</v>
      </c>
      <c r="N242" s="354" t="s">
        <v>2154</v>
      </c>
      <c r="O242" s="418" t="s">
        <v>1116</v>
      </c>
      <c r="P242" s="538">
        <v>1404.18</v>
      </c>
      <c r="Q242" s="538"/>
      <c r="R242" s="538">
        <f>SUM(P242:Q242)</f>
        <v>1404.18</v>
      </c>
      <c r="S242" s="494">
        <f>R242*1.1</f>
        <v>1544.5980000000002</v>
      </c>
      <c r="T242" s="544"/>
      <c r="U242" s="544"/>
      <c r="V242" s="389">
        <f>SUM(T242:U242)</f>
        <v>0</v>
      </c>
      <c r="W242" s="388">
        <f>R242-V242</f>
        <v>1404.18</v>
      </c>
      <c r="X242" s="589">
        <f>W242/R242</f>
        <v>1</v>
      </c>
      <c r="Y242" s="544"/>
      <c r="Z242" s="536">
        <f>F242+14</f>
        <v>43158</v>
      </c>
      <c r="AA242" s="544"/>
      <c r="AB242" s="442" t="s">
        <v>210</v>
      </c>
      <c r="AC242" s="392">
        <v>43118</v>
      </c>
      <c r="AD242" s="392">
        <v>43137</v>
      </c>
      <c r="AE242" s="689">
        <f>AD242-AC242</f>
        <v>19</v>
      </c>
      <c r="AF242" s="392">
        <v>43130</v>
      </c>
      <c r="AG242" s="546">
        <f>AF242-AD242</f>
        <v>-7</v>
      </c>
      <c r="AJ242" s="553"/>
    </row>
    <row r="243" spans="1:43" s="218" customFormat="1" ht="14.25" customHeight="1">
      <c r="A243" s="586" t="s">
        <v>714</v>
      </c>
      <c r="B243" s="545" t="s">
        <v>541</v>
      </c>
      <c r="C243" s="386" t="s">
        <v>2403</v>
      </c>
      <c r="D243" s="386">
        <v>43178</v>
      </c>
      <c r="E243" s="392">
        <v>43140</v>
      </c>
      <c r="F243" s="536">
        <v>43140</v>
      </c>
      <c r="G243" s="576">
        <v>43144</v>
      </c>
      <c r="H243" s="669">
        <v>43166</v>
      </c>
      <c r="I243" s="603">
        <v>43152</v>
      </c>
      <c r="J243" s="576">
        <v>43179</v>
      </c>
      <c r="K243" s="386"/>
      <c r="L243" s="392" t="str">
        <f>TEXT(F243,"mmm-yy")</f>
        <v>Feb-18</v>
      </c>
      <c r="M243" s="392" t="str">
        <f>TEXT(J243,"mmm-yy")</f>
        <v>Mar-18</v>
      </c>
      <c r="N243" s="397" t="s">
        <v>2160</v>
      </c>
      <c r="O243" s="418" t="s">
        <v>2161</v>
      </c>
      <c r="P243" s="538">
        <v>1800.84</v>
      </c>
      <c r="Q243" s="538">
        <v>4436.93</v>
      </c>
      <c r="R243" s="538">
        <f>SUM(P243:Q243)</f>
        <v>6237.77</v>
      </c>
      <c r="S243" s="494">
        <f>R243*1.1</f>
        <v>6861.5470000000014</v>
      </c>
      <c r="T243" s="544"/>
      <c r="U243" s="544"/>
      <c r="V243" s="389">
        <f>SUM(T243:U243)</f>
        <v>0</v>
      </c>
      <c r="W243" s="388">
        <f>R243-V243</f>
        <v>6237.77</v>
      </c>
      <c r="X243" s="589">
        <f>W243/R243</f>
        <v>1</v>
      </c>
      <c r="Y243" s="544"/>
      <c r="Z243" s="536">
        <f>F243+14</f>
        <v>43154</v>
      </c>
      <c r="AA243" s="544"/>
      <c r="AB243" s="393" t="s">
        <v>959</v>
      </c>
      <c r="AC243" s="392" t="s">
        <v>752</v>
      </c>
      <c r="AD243" s="392">
        <v>43447</v>
      </c>
      <c r="AE243" s="550"/>
      <c r="AF243" s="392">
        <v>43115</v>
      </c>
      <c r="AG243" s="546">
        <f>AF243-AD243</f>
        <v>-332</v>
      </c>
      <c r="AJ243" s="553"/>
    </row>
    <row r="244" spans="1:43" s="218" customFormat="1" ht="14.25" customHeight="1">
      <c r="A244" s="586" t="s">
        <v>715</v>
      </c>
      <c r="B244" s="545" t="s">
        <v>764</v>
      </c>
      <c r="C244" s="386" t="s">
        <v>2382</v>
      </c>
      <c r="D244" s="386">
        <v>43174</v>
      </c>
      <c r="E244" s="392">
        <v>43152</v>
      </c>
      <c r="F244" s="536">
        <v>43154</v>
      </c>
      <c r="G244" s="603">
        <v>43152</v>
      </c>
      <c r="H244" s="753">
        <v>43158</v>
      </c>
      <c r="I244" s="603">
        <v>43166</v>
      </c>
      <c r="J244" s="603">
        <v>43174</v>
      </c>
      <c r="K244" s="386"/>
      <c r="L244" s="392" t="str">
        <f>TEXT(F244,"mmm-yy")</f>
        <v>Feb-18</v>
      </c>
      <c r="M244" s="392" t="str">
        <f>TEXT(J244,"mmm-yy")</f>
        <v>Mar-18</v>
      </c>
      <c r="N244" s="397" t="s">
        <v>2164</v>
      </c>
      <c r="O244" s="418" t="s">
        <v>1168</v>
      </c>
      <c r="P244" s="538">
        <v>3800.34</v>
      </c>
      <c r="Q244" s="538">
        <v>6538.04</v>
      </c>
      <c r="R244" s="538">
        <f>SUM(P244:Q244)</f>
        <v>10338.380000000001</v>
      </c>
      <c r="S244" s="494">
        <f>R244*1.1</f>
        <v>11372.218000000003</v>
      </c>
      <c r="T244" s="544"/>
      <c r="U244" s="544"/>
      <c r="V244" s="389">
        <f>SUM(T244:U244)</f>
        <v>0</v>
      </c>
      <c r="W244" s="388">
        <f>R244-V244</f>
        <v>10338.380000000001</v>
      </c>
      <c r="X244" s="589">
        <f>W244/R244</f>
        <v>1</v>
      </c>
      <c r="Y244" s="544"/>
      <c r="Z244" s="536">
        <f>F244+14</f>
        <v>43168</v>
      </c>
      <c r="AA244" s="544"/>
      <c r="AB244" s="393" t="s">
        <v>220</v>
      </c>
      <c r="AC244" s="392">
        <v>43054</v>
      </c>
      <c r="AD244" s="392">
        <v>43144</v>
      </c>
      <c r="AE244" s="689">
        <f>AD244-AC244</f>
        <v>90</v>
      </c>
      <c r="AF244" s="392">
        <v>43109</v>
      </c>
      <c r="AG244" s="546">
        <f>AF244-AD244</f>
        <v>-35</v>
      </c>
      <c r="AJ244" s="553"/>
    </row>
    <row r="245" spans="1:43" s="218" customFormat="1" ht="14.25" customHeight="1">
      <c r="A245" s="586" t="s">
        <v>714</v>
      </c>
      <c r="B245" s="545" t="s">
        <v>190</v>
      </c>
      <c r="C245" s="386" t="s">
        <v>2531</v>
      </c>
      <c r="D245" s="386">
        <v>43142</v>
      </c>
      <c r="E245" s="392">
        <v>43180</v>
      </c>
      <c r="F245" s="392">
        <v>43180</v>
      </c>
      <c r="G245" s="603">
        <v>43181</v>
      </c>
      <c r="H245" s="753">
        <v>43193</v>
      </c>
      <c r="I245" s="667">
        <v>43195</v>
      </c>
      <c r="J245" s="603">
        <v>43200</v>
      </c>
      <c r="K245" s="386"/>
      <c r="L245" s="536" t="str">
        <f>TEXT(F245,"mmm-yy")</f>
        <v>Mar-18</v>
      </c>
      <c r="M245" s="392" t="str">
        <f>TEXT(J245,"mmm-yy")</f>
        <v>Apr-18</v>
      </c>
      <c r="N245" s="397" t="s">
        <v>1193</v>
      </c>
      <c r="O245" s="418" t="s">
        <v>690</v>
      </c>
      <c r="P245" s="538">
        <v>847</v>
      </c>
      <c r="Q245" s="538">
        <v>5043.7950000000001</v>
      </c>
      <c r="R245" s="538">
        <f>SUM(P245:Q245)</f>
        <v>5890.7950000000001</v>
      </c>
      <c r="S245" s="494">
        <f>R245*1.1</f>
        <v>6479.8745000000008</v>
      </c>
      <c r="T245" s="544">
        <v>3585.33</v>
      </c>
      <c r="U245" s="544"/>
      <c r="V245" s="389">
        <f>SUM(T245:U245)</f>
        <v>3585.33</v>
      </c>
      <c r="W245" s="388">
        <f>R245-V245</f>
        <v>2305.4650000000001</v>
      </c>
      <c r="X245" s="589">
        <f>W245/R245</f>
        <v>0.39136737910587621</v>
      </c>
      <c r="Y245" s="544"/>
      <c r="Z245" s="536">
        <f>F245+14</f>
        <v>43194</v>
      </c>
      <c r="AA245" s="544"/>
      <c r="AB245" s="393" t="s">
        <v>223</v>
      </c>
      <c r="AC245" s="392" t="s">
        <v>752</v>
      </c>
      <c r="AD245" s="392">
        <v>43004</v>
      </c>
      <c r="AE245" s="550"/>
      <c r="AF245" s="392">
        <v>43040</v>
      </c>
      <c r="AG245" s="546">
        <f>AF245-AD245</f>
        <v>36</v>
      </c>
      <c r="AJ245" s="553"/>
    </row>
    <row r="246" spans="1:43" s="218" customFormat="1" ht="14.25" customHeight="1">
      <c r="A246" s="586" t="s">
        <v>714</v>
      </c>
      <c r="B246" s="545" t="s">
        <v>190</v>
      </c>
      <c r="C246" s="386"/>
      <c r="D246" s="386"/>
      <c r="E246" s="392">
        <v>43278</v>
      </c>
      <c r="F246" s="536">
        <v>43278</v>
      </c>
      <c r="G246" s="601">
        <v>43278</v>
      </c>
      <c r="H246" s="752"/>
      <c r="I246" s="603">
        <f>F246+14</f>
        <v>43292</v>
      </c>
      <c r="J246" s="601">
        <f>I246+14</f>
        <v>43306</v>
      </c>
      <c r="K246" s="386"/>
      <c r="L246" s="392" t="str">
        <f>TEXT(F246,"mmm-yy")</f>
        <v>Jun-18</v>
      </c>
      <c r="M246" s="392" t="str">
        <f>TEXT(J246,"mmm-yy")</f>
        <v>Jul-18</v>
      </c>
      <c r="N246" s="397" t="s">
        <v>2320</v>
      </c>
      <c r="O246" s="418" t="s">
        <v>636</v>
      </c>
      <c r="P246" s="538">
        <v>1240.76</v>
      </c>
      <c r="Q246" s="538">
        <v>10448.27</v>
      </c>
      <c r="R246" s="538">
        <f>SUM(P246:Q246)</f>
        <v>11689.03</v>
      </c>
      <c r="S246" s="494">
        <f>R246*1.1</f>
        <v>12857.933000000001</v>
      </c>
      <c r="T246" s="544"/>
      <c r="U246" s="544"/>
      <c r="V246" s="389">
        <f>SUM(T246:U246)</f>
        <v>0</v>
      </c>
      <c r="W246" s="388">
        <f>R246-V246</f>
        <v>11689.03</v>
      </c>
      <c r="X246" s="589">
        <f>W246/R246</f>
        <v>1</v>
      </c>
      <c r="Y246" s="544"/>
      <c r="Z246" s="536">
        <f>F246+14</f>
        <v>43292</v>
      </c>
      <c r="AA246" s="544"/>
      <c r="AB246" s="393" t="s">
        <v>959</v>
      </c>
      <c r="AC246" s="392" t="s">
        <v>752</v>
      </c>
      <c r="AD246" s="392">
        <v>43151</v>
      </c>
      <c r="AE246" s="550"/>
      <c r="AF246" s="392">
        <v>43181</v>
      </c>
      <c r="AG246" s="546">
        <f>AF246-AD246</f>
        <v>30</v>
      </c>
      <c r="AJ246" s="553"/>
    </row>
    <row r="247" spans="1:43" s="218" customFormat="1" ht="14.25" customHeight="1">
      <c r="A247" s="586" t="s">
        <v>714</v>
      </c>
      <c r="B247" s="545" t="s">
        <v>190</v>
      </c>
      <c r="C247" s="386" t="s">
        <v>2580</v>
      </c>
      <c r="D247" s="386">
        <v>43210</v>
      </c>
      <c r="E247" s="392">
        <v>43181</v>
      </c>
      <c r="F247" s="392">
        <v>43181</v>
      </c>
      <c r="G247" s="603">
        <v>43186</v>
      </c>
      <c r="H247" s="753">
        <v>43193</v>
      </c>
      <c r="I247" s="576">
        <v>43200</v>
      </c>
      <c r="J247" s="603">
        <v>43214</v>
      </c>
      <c r="K247" s="386"/>
      <c r="L247" s="392" t="str">
        <f>TEXT(F247,"mmm-yy")</f>
        <v>Mar-18</v>
      </c>
      <c r="M247" s="392" t="str">
        <f>TEXT(J247,"mmm-yy")</f>
        <v>Apr-18</v>
      </c>
      <c r="N247" s="397" t="s">
        <v>2752</v>
      </c>
      <c r="O247" s="418" t="s">
        <v>1772</v>
      </c>
      <c r="P247" s="538">
        <v>1586.44</v>
      </c>
      <c r="Q247" s="538">
        <v>127.89</v>
      </c>
      <c r="R247" s="538">
        <f>SUM(P247:Q247)</f>
        <v>1714.3300000000002</v>
      </c>
      <c r="S247" s="494">
        <f>R247*1.1</f>
        <v>1885.7630000000004</v>
      </c>
      <c r="T247" s="544">
        <v>703.2</v>
      </c>
      <c r="U247" s="544"/>
      <c r="V247" s="389">
        <f>SUM(T247:U247)</f>
        <v>703.2</v>
      </c>
      <c r="W247" s="388">
        <f>R247-V247</f>
        <v>1011.1300000000001</v>
      </c>
      <c r="X247" s="589">
        <f>W247/R247</f>
        <v>0.5898105965595889</v>
      </c>
      <c r="Y247" s="544"/>
      <c r="Z247" s="536">
        <f>F247+14</f>
        <v>43195</v>
      </c>
      <c r="AA247" s="544"/>
      <c r="AB247" s="393" t="s">
        <v>959</v>
      </c>
      <c r="AC247" s="392" t="s">
        <v>752</v>
      </c>
      <c r="AD247" s="392">
        <v>43089</v>
      </c>
      <c r="AE247" s="550"/>
      <c r="AF247" s="392">
        <v>43130</v>
      </c>
      <c r="AG247" s="546">
        <f>AF247-AD247</f>
        <v>41</v>
      </c>
      <c r="AJ247" s="553"/>
    </row>
    <row r="248" spans="1:43" s="218" customFormat="1" ht="14.25" customHeight="1">
      <c r="A248" s="586" t="s">
        <v>714</v>
      </c>
      <c r="B248" s="545" t="s">
        <v>190</v>
      </c>
      <c r="C248" s="386"/>
      <c r="D248" s="386"/>
      <c r="E248" s="392"/>
      <c r="F248" s="536">
        <v>43311</v>
      </c>
      <c r="G248" s="601"/>
      <c r="H248" s="752"/>
      <c r="I248" s="601"/>
      <c r="J248" s="601"/>
      <c r="K248" s="386"/>
      <c r="L248" s="392" t="str">
        <f>TEXT(F248,"mmm-yy")</f>
        <v>Jul-18</v>
      </c>
      <c r="M248" s="392" t="str">
        <f>TEXT(J248,"mmm-yy")</f>
        <v>Jan-00</v>
      </c>
      <c r="N248" s="397" t="s">
        <v>2318</v>
      </c>
      <c r="O248" s="418" t="s">
        <v>491</v>
      </c>
      <c r="P248" s="538">
        <v>857.61</v>
      </c>
      <c r="Q248" s="538"/>
      <c r="R248" s="538">
        <f>SUM(P248:Q248)</f>
        <v>857.61</v>
      </c>
      <c r="S248" s="494">
        <f>R248*1.1</f>
        <v>943.37100000000009</v>
      </c>
      <c r="T248" s="544"/>
      <c r="U248" s="544"/>
      <c r="V248" s="389">
        <f>SUM(T248:U248)</f>
        <v>0</v>
      </c>
      <c r="W248" s="388">
        <f>R248-V248</f>
        <v>857.61</v>
      </c>
      <c r="X248" s="589">
        <f>W248/R248</f>
        <v>1</v>
      </c>
      <c r="Y248" s="544"/>
      <c r="Z248" s="536">
        <f>F248+14</f>
        <v>43325</v>
      </c>
      <c r="AA248" s="544"/>
      <c r="AB248" s="393" t="s">
        <v>959</v>
      </c>
      <c r="AC248" s="392" t="s">
        <v>752</v>
      </c>
      <c r="AD248" s="392">
        <v>43151</v>
      </c>
      <c r="AE248" s="550"/>
      <c r="AF248" s="392">
        <v>43181</v>
      </c>
      <c r="AG248" s="546">
        <f>AF248-AD248</f>
        <v>30</v>
      </c>
      <c r="AJ248" s="553"/>
    </row>
    <row r="249" spans="1:43" s="218" customFormat="1" ht="14.25" customHeight="1">
      <c r="A249" s="586" t="s">
        <v>714</v>
      </c>
      <c r="B249" s="545" t="s">
        <v>190</v>
      </c>
      <c r="C249" s="386"/>
      <c r="D249" s="386"/>
      <c r="E249" s="392"/>
      <c r="F249" s="536">
        <v>43311</v>
      </c>
      <c r="G249" s="601"/>
      <c r="H249" s="752"/>
      <c r="I249" s="601"/>
      <c r="J249" s="601"/>
      <c r="K249" s="386"/>
      <c r="L249" s="392" t="str">
        <f>TEXT(F249,"mmm-yy")</f>
        <v>Jul-18</v>
      </c>
      <c r="M249" s="392" t="str">
        <f>TEXT(J249,"mmm-yy")</f>
        <v>Jan-00</v>
      </c>
      <c r="N249" s="397" t="s">
        <v>2317</v>
      </c>
      <c r="O249" s="418" t="s">
        <v>725</v>
      </c>
      <c r="P249" s="538">
        <v>592.62</v>
      </c>
      <c r="Q249" s="538"/>
      <c r="R249" s="538">
        <f>SUM(P249:Q249)</f>
        <v>592.62</v>
      </c>
      <c r="S249" s="494">
        <f>R249*1.1</f>
        <v>651.88200000000006</v>
      </c>
      <c r="T249" s="544"/>
      <c r="U249" s="544"/>
      <c r="V249" s="389">
        <f>SUM(T249:U249)</f>
        <v>0</v>
      </c>
      <c r="W249" s="388">
        <f>R249-V249</f>
        <v>592.62</v>
      </c>
      <c r="X249" s="589">
        <f>W249/R249</f>
        <v>1</v>
      </c>
      <c r="Y249" s="544"/>
      <c r="Z249" s="536">
        <f>F249+14</f>
        <v>43325</v>
      </c>
      <c r="AA249" s="544"/>
      <c r="AB249" s="393" t="s">
        <v>959</v>
      </c>
      <c r="AC249" s="392" t="s">
        <v>752</v>
      </c>
      <c r="AD249" s="392">
        <v>43151</v>
      </c>
      <c r="AE249" s="550"/>
      <c r="AF249" s="392">
        <v>43181</v>
      </c>
      <c r="AG249" s="546">
        <f>AF249-AD249</f>
        <v>30</v>
      </c>
      <c r="AJ249" s="553"/>
    </row>
    <row r="250" spans="1:43" s="218" customFormat="1" ht="14.25" customHeight="1">
      <c r="A250" s="545" t="s">
        <v>716</v>
      </c>
      <c r="B250" s="545" t="s">
        <v>190</v>
      </c>
      <c r="C250" s="386" t="s">
        <v>2455</v>
      </c>
      <c r="D250" s="386">
        <v>43186</v>
      </c>
      <c r="E250" s="392">
        <v>43165</v>
      </c>
      <c r="F250" s="536">
        <v>43167</v>
      </c>
      <c r="G250" s="756"/>
      <c r="H250" s="757"/>
      <c r="I250" s="603">
        <v>43180</v>
      </c>
      <c r="J250" s="576">
        <v>42821</v>
      </c>
      <c r="K250" s="386"/>
      <c r="L250" s="392" t="str">
        <f>TEXT(F250,"mmm-yy")</f>
        <v>Mar-18</v>
      </c>
      <c r="M250" s="392" t="str">
        <f>TEXT(J250,"mmm-yy")</f>
        <v>Mar-17</v>
      </c>
      <c r="N250" s="397" t="s">
        <v>2338</v>
      </c>
      <c r="O250" s="418" t="s">
        <v>385</v>
      </c>
      <c r="P250" s="418">
        <v>15585.13</v>
      </c>
      <c r="Q250" s="685"/>
      <c r="R250" s="538">
        <f>SUM(P250:Q250)</f>
        <v>15585.13</v>
      </c>
      <c r="S250" s="494">
        <f>R250*1.1</f>
        <v>17143.643</v>
      </c>
      <c r="T250" s="544"/>
      <c r="U250" s="544"/>
      <c r="V250" s="389">
        <f>SUM(T250:U250)</f>
        <v>0</v>
      </c>
      <c r="W250" s="388">
        <f>R250-V250</f>
        <v>15585.13</v>
      </c>
      <c r="X250" s="589">
        <f>W250/R250</f>
        <v>1</v>
      </c>
      <c r="Y250" s="544"/>
      <c r="Z250" s="536">
        <f>F250+14</f>
        <v>43181</v>
      </c>
      <c r="AA250" s="544"/>
      <c r="AB250" s="393" t="s">
        <v>2179</v>
      </c>
      <c r="AC250" s="392">
        <v>43151</v>
      </c>
      <c r="AD250" s="392">
        <v>43166</v>
      </c>
      <c r="AE250" s="689">
        <f>AD250-AC250</f>
        <v>15</v>
      </c>
      <c r="AF250" s="392">
        <v>43182</v>
      </c>
      <c r="AG250" s="546">
        <f>AF250-AD250</f>
        <v>16</v>
      </c>
      <c r="AJ250" s="553"/>
    </row>
    <row r="251" spans="1:43" s="218" customFormat="1" ht="14.25" customHeight="1">
      <c r="A251" s="545" t="s">
        <v>716</v>
      </c>
      <c r="B251" s="545" t="s">
        <v>190</v>
      </c>
      <c r="C251" s="386" t="s">
        <v>2534</v>
      </c>
      <c r="D251" s="386">
        <v>43199</v>
      </c>
      <c r="E251" s="392">
        <v>43165</v>
      </c>
      <c r="F251" s="536">
        <v>43175</v>
      </c>
      <c r="G251" s="603">
        <v>43181</v>
      </c>
      <c r="H251" s="753">
        <v>43188</v>
      </c>
      <c r="I251" s="603">
        <v>43187</v>
      </c>
      <c r="J251" s="603">
        <v>43200</v>
      </c>
      <c r="K251" s="386"/>
      <c r="L251" s="392" t="str">
        <f>TEXT(F251,"mmm-yy")</f>
        <v>Mar-18</v>
      </c>
      <c r="M251" s="392" t="str">
        <f>TEXT(J251,"mmm-yy")</f>
        <v>Apr-18</v>
      </c>
      <c r="N251" s="397" t="s">
        <v>2339</v>
      </c>
      <c r="O251" s="418" t="s">
        <v>385</v>
      </c>
      <c r="P251" s="538">
        <v>36173.660000000003</v>
      </c>
      <c r="Q251" s="538">
        <v>12357.71</v>
      </c>
      <c r="R251" s="538">
        <f>SUM(P251:Q251)</f>
        <v>48531.37</v>
      </c>
      <c r="S251" s="494">
        <f>R251*1.1</f>
        <v>53384.507000000005</v>
      </c>
      <c r="T251" s="544"/>
      <c r="U251" s="544"/>
      <c r="V251" s="389">
        <f>SUM(T251:U251)</f>
        <v>0</v>
      </c>
      <c r="W251" s="388">
        <f>R251-V251</f>
        <v>48531.37</v>
      </c>
      <c r="X251" s="589">
        <f>W251/R251</f>
        <v>1</v>
      </c>
      <c r="Y251" s="544"/>
      <c r="Z251" s="536">
        <f>F251+14</f>
        <v>43189</v>
      </c>
      <c r="AA251" s="544"/>
      <c r="AB251" s="393" t="s">
        <v>2179</v>
      </c>
      <c r="AC251" s="392">
        <v>43153</v>
      </c>
      <c r="AD251" s="392">
        <v>43166</v>
      </c>
      <c r="AE251" s="689">
        <f>AD251-AC251</f>
        <v>13</v>
      </c>
      <c r="AF251" s="392">
        <v>43182</v>
      </c>
      <c r="AG251" s="546">
        <f>AF251-AD251</f>
        <v>16</v>
      </c>
      <c r="AJ251" s="553"/>
      <c r="AQ251" s="704"/>
    </row>
    <row r="252" spans="1:43" s="218" customFormat="1" ht="14.25" customHeight="1">
      <c r="A252" s="586" t="s">
        <v>714</v>
      </c>
      <c r="B252" s="545" t="s">
        <v>190</v>
      </c>
      <c r="C252" s="386" t="s">
        <v>2638</v>
      </c>
      <c r="D252" s="386">
        <v>43240</v>
      </c>
      <c r="E252" s="392">
        <v>43186</v>
      </c>
      <c r="F252" s="392">
        <v>43186</v>
      </c>
      <c r="G252" s="576">
        <v>43186</v>
      </c>
      <c r="H252" s="669">
        <v>43203</v>
      </c>
      <c r="I252" s="603">
        <v>43201</v>
      </c>
      <c r="J252" s="603">
        <v>43214</v>
      </c>
      <c r="K252" s="386"/>
      <c r="L252" s="392" t="str">
        <f>TEXT(F252,"mmm-yy")</f>
        <v>Mar-18</v>
      </c>
      <c r="M252" s="392" t="str">
        <f>TEXT(J252,"mmm-yy")</f>
        <v>Apr-18</v>
      </c>
      <c r="N252" s="397" t="s">
        <v>1657</v>
      </c>
      <c r="O252" s="418" t="s">
        <v>753</v>
      </c>
      <c r="P252" s="538">
        <v>1252.5899999999999</v>
      </c>
      <c r="Q252" s="538">
        <v>11986.45</v>
      </c>
      <c r="R252" s="538">
        <f>SUM(P252:Q252)</f>
        <v>13239.04</v>
      </c>
      <c r="S252" s="494">
        <f>R252*1.1</f>
        <v>14562.944000000001</v>
      </c>
      <c r="T252" s="544">
        <v>4395.1400000000003</v>
      </c>
      <c r="U252" s="544"/>
      <c r="V252" s="389">
        <f>SUM(T252:U252)</f>
        <v>4395.1400000000003</v>
      </c>
      <c r="W252" s="388">
        <f>R252-V252</f>
        <v>8843.9000000000015</v>
      </c>
      <c r="X252" s="589">
        <f>W252/R252</f>
        <v>0.66801671420284259</v>
      </c>
      <c r="Y252" s="544"/>
      <c r="Z252" s="536">
        <f>F252+14</f>
        <v>43200</v>
      </c>
      <c r="AA252" s="544"/>
      <c r="AB252" s="590" t="s">
        <v>201</v>
      </c>
      <c r="AC252" s="392" t="s">
        <v>752</v>
      </c>
      <c r="AD252" s="392">
        <v>43075</v>
      </c>
      <c r="AE252" s="550"/>
      <c r="AF252" s="392">
        <v>43084</v>
      </c>
      <c r="AG252" s="546">
        <f>AF252-AD252</f>
        <v>9</v>
      </c>
      <c r="AJ252" s="553"/>
    </row>
    <row r="253" spans="1:43" s="218" customFormat="1" ht="14.25" customHeight="1">
      <c r="A253" s="586" t="s">
        <v>714</v>
      </c>
      <c r="B253" s="545" t="s">
        <v>190</v>
      </c>
      <c r="C253" s="386"/>
      <c r="D253" s="386"/>
      <c r="E253" s="392">
        <v>43273</v>
      </c>
      <c r="F253" s="392">
        <v>43273</v>
      </c>
      <c r="G253" s="601">
        <v>43157</v>
      </c>
      <c r="H253" s="752"/>
      <c r="I253" s="603">
        <f>F253+14</f>
        <v>43287</v>
      </c>
      <c r="J253" s="601">
        <f>I253+14</f>
        <v>43301</v>
      </c>
      <c r="K253" s="386"/>
      <c r="L253" s="392" t="str">
        <f>TEXT(F253,"mmm-yy")</f>
        <v>Jun-18</v>
      </c>
      <c r="M253" s="392" t="str">
        <f>TEXT(J253,"mmm-yy")</f>
        <v>Jul-18</v>
      </c>
      <c r="N253" s="397" t="s">
        <v>2348</v>
      </c>
      <c r="O253" s="418" t="s">
        <v>745</v>
      </c>
      <c r="P253" s="538">
        <v>5741.5</v>
      </c>
      <c r="Q253" s="538">
        <v>5141.04</v>
      </c>
      <c r="R253" s="538">
        <f>SUM(P253:Q253)</f>
        <v>10882.54</v>
      </c>
      <c r="S253" s="494">
        <f>R253*1.1</f>
        <v>11970.794000000002</v>
      </c>
      <c r="T253" s="544">
        <v>3623.46</v>
      </c>
      <c r="U253" s="544"/>
      <c r="V253" s="389">
        <f>SUM(T253:U253)</f>
        <v>3623.46</v>
      </c>
      <c r="W253" s="388">
        <f>R253-V253</f>
        <v>7259.0800000000008</v>
      </c>
      <c r="X253" s="589">
        <f>W253/R253</f>
        <v>0.66703912873281423</v>
      </c>
      <c r="Y253" s="544"/>
      <c r="Z253" s="536">
        <f>F253+14</f>
        <v>43287</v>
      </c>
      <c r="AA253" s="544"/>
      <c r="AB253" s="393" t="s">
        <v>727</v>
      </c>
      <c r="AC253" s="392" t="s">
        <v>752</v>
      </c>
      <c r="AD253" s="392">
        <v>43151</v>
      </c>
      <c r="AE253" s="550"/>
      <c r="AF253" s="392">
        <v>43181</v>
      </c>
      <c r="AG253" s="546">
        <f>AF253-AD253</f>
        <v>30</v>
      </c>
      <c r="AJ253" s="553"/>
    </row>
    <row r="254" spans="1:43" s="218" customFormat="1" ht="14.25" customHeight="1">
      <c r="A254" s="586" t="s">
        <v>714</v>
      </c>
      <c r="B254" s="545" t="s">
        <v>190</v>
      </c>
      <c r="C254" s="386"/>
      <c r="D254" s="386"/>
      <c r="E254" s="392">
        <v>43273</v>
      </c>
      <c r="F254" s="392">
        <v>43273</v>
      </c>
      <c r="G254" s="601">
        <v>43273</v>
      </c>
      <c r="H254" s="752"/>
      <c r="I254" s="603">
        <f>F254+14</f>
        <v>43287</v>
      </c>
      <c r="J254" s="601">
        <f>I254+14</f>
        <v>43301</v>
      </c>
      <c r="K254" s="386"/>
      <c r="L254" s="392" t="str">
        <f>TEXT(F254,"mmm-yy")</f>
        <v>Jun-18</v>
      </c>
      <c r="M254" s="392" t="str">
        <f>TEXT(J254,"mmm-yy")</f>
        <v>Jul-18</v>
      </c>
      <c r="N254" s="397" t="s">
        <v>2186</v>
      </c>
      <c r="O254" s="418" t="s">
        <v>1760</v>
      </c>
      <c r="P254" s="538">
        <v>1825.19</v>
      </c>
      <c r="Q254" s="538">
        <v>11374.176475000002</v>
      </c>
      <c r="R254" s="538">
        <f>SUM(P254:Q254)</f>
        <v>13199.366475000003</v>
      </c>
      <c r="S254" s="494">
        <f>R254*1.1</f>
        <v>14519.303122500003</v>
      </c>
      <c r="T254" s="544">
        <v>7231.46</v>
      </c>
      <c r="U254" s="544">
        <v>903.19549999999992</v>
      </c>
      <c r="V254" s="389">
        <f>SUM(T254:U254)</f>
        <v>8134.6554999999998</v>
      </c>
      <c r="W254" s="593">
        <f>R254-V254</f>
        <v>5064.7109750000027</v>
      </c>
      <c r="X254" s="589">
        <f>W254/R254</f>
        <v>0.38370864121340353</v>
      </c>
      <c r="Y254" s="544"/>
      <c r="Z254" s="536">
        <f>F254+14</f>
        <v>43287</v>
      </c>
      <c r="AA254" s="544"/>
      <c r="AB254" s="594" t="s">
        <v>959</v>
      </c>
      <c r="AC254" s="392" t="s">
        <v>752</v>
      </c>
      <c r="AD254" s="392">
        <v>43153</v>
      </c>
      <c r="AE254" s="550"/>
      <c r="AF254" s="392">
        <v>43181</v>
      </c>
      <c r="AG254" s="546">
        <f>AF254-AD254</f>
        <v>28</v>
      </c>
      <c r="AJ254" s="553"/>
    </row>
    <row r="255" spans="1:43" s="218" customFormat="1" ht="14.25" customHeight="1">
      <c r="A255" s="586" t="s">
        <v>714</v>
      </c>
      <c r="B255" s="545" t="s">
        <v>190</v>
      </c>
      <c r="C255" s="386" t="s">
        <v>2637</v>
      </c>
      <c r="D255" s="386">
        <v>43210</v>
      </c>
      <c r="E255" s="386">
        <v>43186</v>
      </c>
      <c r="F255" s="536">
        <v>43186</v>
      </c>
      <c r="G255" s="603">
        <v>43194</v>
      </c>
      <c r="H255" s="753">
        <v>43203</v>
      </c>
      <c r="I255" s="576">
        <v>43202</v>
      </c>
      <c r="J255" s="603">
        <v>43214</v>
      </c>
      <c r="K255" s="386"/>
      <c r="L255" s="392" t="str">
        <f>TEXT(F255,"mmm-yy")</f>
        <v>Mar-18</v>
      </c>
      <c r="M255" s="392" t="str">
        <f>TEXT(J255,"mmm-yy")</f>
        <v>Apr-18</v>
      </c>
      <c r="N255" s="397" t="s">
        <v>1782</v>
      </c>
      <c r="O255" s="418" t="s">
        <v>810</v>
      </c>
      <c r="P255" s="538">
        <v>2761.16</v>
      </c>
      <c r="Q255" s="538">
        <v>17495.46</v>
      </c>
      <c r="R255" s="538">
        <f>SUM(P255:Q255)</f>
        <v>20256.62</v>
      </c>
      <c r="S255" s="494">
        <f>R255*1.1</f>
        <v>22282.281999999999</v>
      </c>
      <c r="T255" s="544">
        <v>12308.759999999998</v>
      </c>
      <c r="U255" s="544"/>
      <c r="V255" s="389">
        <f>SUM(T255:U255)</f>
        <v>12308.759999999998</v>
      </c>
      <c r="W255" s="388">
        <f>R255-V255</f>
        <v>7947.8600000000006</v>
      </c>
      <c r="X255" s="589">
        <f>W255/R255</f>
        <v>0.39235864621047345</v>
      </c>
      <c r="Y255" s="544"/>
      <c r="Z255" s="536">
        <f>F255+14</f>
        <v>43200</v>
      </c>
      <c r="AA255" s="544"/>
      <c r="AB255" s="393" t="s">
        <v>959</v>
      </c>
      <c r="AC255" s="392" t="s">
        <v>752</v>
      </c>
      <c r="AD255" s="392">
        <v>43104</v>
      </c>
      <c r="AE255" s="550"/>
      <c r="AF255" s="392">
        <v>43144</v>
      </c>
      <c r="AG255" s="546">
        <f>AF255-AD255</f>
        <v>40</v>
      </c>
      <c r="AJ255" s="553"/>
      <c r="AQ255" s="704"/>
    </row>
    <row r="256" spans="1:43" s="218" customFormat="1" ht="14.25" customHeight="1">
      <c r="A256" s="586" t="s">
        <v>2330</v>
      </c>
      <c r="B256" s="545" t="s">
        <v>540</v>
      </c>
      <c r="C256" s="386" t="s">
        <v>2202</v>
      </c>
      <c r="D256" s="386">
        <v>43154</v>
      </c>
      <c r="E256" s="386">
        <v>43154</v>
      </c>
      <c r="F256" s="536">
        <v>43154</v>
      </c>
      <c r="G256" s="756"/>
      <c r="H256" s="757"/>
      <c r="I256" s="756"/>
      <c r="J256" s="576">
        <v>43221</v>
      </c>
      <c r="K256" s="386"/>
      <c r="L256" s="392" t="str">
        <f>TEXT(F256,"mmm-yy")</f>
        <v>Feb-18</v>
      </c>
      <c r="M256" s="392" t="str">
        <f>TEXT(J256,"mmm-yy")</f>
        <v>May-18</v>
      </c>
      <c r="N256" s="397" t="s">
        <v>2570</v>
      </c>
      <c r="O256" s="418" t="s">
        <v>2193</v>
      </c>
      <c r="P256" s="538">
        <v>1197.6428571428571</v>
      </c>
      <c r="Q256" s="700"/>
      <c r="R256" s="538">
        <f>SUM(P256:Q256)</f>
        <v>1197.6428571428571</v>
      </c>
      <c r="S256" s="494">
        <f>R256*1.1</f>
        <v>1317.4071428571428</v>
      </c>
      <c r="T256" s="544"/>
      <c r="U256" s="544">
        <f>50*9</f>
        <v>450</v>
      </c>
      <c r="V256" s="389">
        <f>SUM(T256:U256)</f>
        <v>450</v>
      </c>
      <c r="W256" s="388">
        <f>R256-V256</f>
        <v>747.64285714285711</v>
      </c>
      <c r="X256" s="589">
        <f>W256/R256</f>
        <v>0.62426194310252281</v>
      </c>
      <c r="Y256" s="544"/>
      <c r="Z256" s="536">
        <f>F256+14</f>
        <v>43168</v>
      </c>
      <c r="AA256" s="544"/>
      <c r="AB256" s="393" t="s">
        <v>2209</v>
      </c>
      <c r="AC256" s="691"/>
      <c r="AD256" s="691"/>
      <c r="AE256" s="692"/>
      <c r="AF256" s="691"/>
      <c r="AG256" s="693"/>
      <c r="AJ256" s="553"/>
    </row>
    <row r="257" spans="1:36" s="218" customFormat="1" ht="14.25" customHeight="1">
      <c r="A257" s="586" t="s">
        <v>2330</v>
      </c>
      <c r="B257" s="545" t="s">
        <v>540</v>
      </c>
      <c r="C257" s="386" t="s">
        <v>2201</v>
      </c>
      <c r="D257" s="386">
        <v>43154</v>
      </c>
      <c r="E257" s="386">
        <v>43154</v>
      </c>
      <c r="F257" s="536">
        <v>43154</v>
      </c>
      <c r="G257" s="756"/>
      <c r="H257" s="757"/>
      <c r="I257" s="756"/>
      <c r="J257" s="576">
        <v>43221</v>
      </c>
      <c r="K257" s="386"/>
      <c r="L257" s="392" t="str">
        <f>TEXT(F257,"mmm-yy")</f>
        <v>Feb-18</v>
      </c>
      <c r="M257" s="392" t="str">
        <f>TEXT(J257,"mmm-yy")</f>
        <v>May-18</v>
      </c>
      <c r="N257" s="397" t="s">
        <v>2567</v>
      </c>
      <c r="O257" s="418" t="s">
        <v>2193</v>
      </c>
      <c r="P257" s="538">
        <v>512.57000000000005</v>
      </c>
      <c r="Q257" s="700"/>
      <c r="R257" s="538">
        <f>SUM(P257:Q257)</f>
        <v>512.57000000000005</v>
      </c>
      <c r="S257" s="494">
        <f>R257*1.1</f>
        <v>563.82700000000011</v>
      </c>
      <c r="T257" s="544"/>
      <c r="U257" s="544">
        <f>50*3</f>
        <v>150</v>
      </c>
      <c r="V257" s="389">
        <f>SUM(T257:U257)</f>
        <v>150</v>
      </c>
      <c r="W257" s="388">
        <f>R257-V257</f>
        <v>362.57000000000005</v>
      </c>
      <c r="X257" s="589">
        <f>W257/R257</f>
        <v>0.707357043915953</v>
      </c>
      <c r="Y257" s="544"/>
      <c r="Z257" s="536">
        <f>F257+14</f>
        <v>43168</v>
      </c>
      <c r="AA257" s="544"/>
      <c r="AB257" s="393" t="s">
        <v>2209</v>
      </c>
      <c r="AC257" s="691"/>
      <c r="AD257" s="691"/>
      <c r="AE257" s="692"/>
      <c r="AF257" s="691"/>
      <c r="AG257" s="693"/>
      <c r="AJ257" s="553"/>
    </row>
    <row r="258" spans="1:36" s="218" customFormat="1" ht="14.25" customHeight="1">
      <c r="A258" s="586" t="s">
        <v>2330</v>
      </c>
      <c r="B258" s="545" t="s">
        <v>540</v>
      </c>
      <c r="C258" s="386" t="s">
        <v>2206</v>
      </c>
      <c r="D258" s="386">
        <v>43153</v>
      </c>
      <c r="E258" s="386">
        <v>43153</v>
      </c>
      <c r="F258" s="536">
        <v>43153</v>
      </c>
      <c r="G258" s="756"/>
      <c r="H258" s="757"/>
      <c r="I258" s="756"/>
      <c r="J258" s="576">
        <v>43244</v>
      </c>
      <c r="K258" s="386"/>
      <c r="L258" s="392" t="str">
        <f>TEXT(F258,"mmm-yy")</f>
        <v>Feb-18</v>
      </c>
      <c r="M258" s="392" t="str">
        <f>TEXT(J258,"mmm-yy")</f>
        <v>May-18</v>
      </c>
      <c r="N258" s="445" t="s">
        <v>2681</v>
      </c>
      <c r="O258" s="418" t="s">
        <v>2196</v>
      </c>
      <c r="P258" s="538">
        <v>128.14285714285717</v>
      </c>
      <c r="Q258" s="700"/>
      <c r="R258" s="538">
        <f>SUM(P258:Q258)</f>
        <v>128.14285714285717</v>
      </c>
      <c r="S258" s="494">
        <f>R258*1.1</f>
        <v>140.95714285714288</v>
      </c>
      <c r="T258" s="544"/>
      <c r="U258" s="544">
        <f>50*1</f>
        <v>50</v>
      </c>
      <c r="V258" s="389">
        <f>SUM(T258:U258)</f>
        <v>50</v>
      </c>
      <c r="W258" s="388">
        <f>R258-V258</f>
        <v>78.142857142857167</v>
      </c>
      <c r="X258" s="589">
        <f>W258/R258</f>
        <v>0.60981047937569688</v>
      </c>
      <c r="Y258" s="544"/>
      <c r="Z258" s="536">
        <f>F258+14</f>
        <v>43167</v>
      </c>
      <c r="AA258" s="544"/>
      <c r="AB258" s="393" t="s">
        <v>2209</v>
      </c>
      <c r="AC258" s="691"/>
      <c r="AD258" s="691"/>
      <c r="AE258" s="692"/>
      <c r="AF258" s="691"/>
      <c r="AG258" s="693"/>
      <c r="AJ258" s="553"/>
    </row>
    <row r="259" spans="1:36" s="218" customFormat="1" ht="14.25" customHeight="1">
      <c r="A259" s="586" t="s">
        <v>2330</v>
      </c>
      <c r="B259" s="545" t="s">
        <v>540</v>
      </c>
      <c r="C259" s="386" t="s">
        <v>2203</v>
      </c>
      <c r="D259" s="386">
        <v>43154</v>
      </c>
      <c r="E259" s="386">
        <v>43154</v>
      </c>
      <c r="F259" s="536">
        <v>43154</v>
      </c>
      <c r="G259" s="756"/>
      <c r="H259" s="757"/>
      <c r="I259" s="756"/>
      <c r="J259" s="576">
        <v>43221</v>
      </c>
      <c r="K259" s="386"/>
      <c r="L259" s="392" t="str">
        <f>TEXT(F259,"mmm-yy")</f>
        <v>Feb-18</v>
      </c>
      <c r="M259" s="392" t="str">
        <f>TEXT(J259,"mmm-yy")</f>
        <v>May-18</v>
      </c>
      <c r="N259" s="445" t="s">
        <v>2584</v>
      </c>
      <c r="O259" s="418" t="s">
        <v>2198</v>
      </c>
      <c r="P259" s="538">
        <v>256.29000000000002</v>
      </c>
      <c r="Q259" s="700"/>
      <c r="R259" s="538">
        <f>SUM(P259:Q259)</f>
        <v>256.29000000000002</v>
      </c>
      <c r="S259" s="494">
        <f>R259*1.1</f>
        <v>281.91900000000004</v>
      </c>
      <c r="T259" s="544"/>
      <c r="U259" s="544">
        <f>50*2</f>
        <v>100</v>
      </c>
      <c r="V259" s="389">
        <f>SUM(T259:U259)</f>
        <v>100</v>
      </c>
      <c r="W259" s="388">
        <f>R259-V259</f>
        <v>156.29000000000002</v>
      </c>
      <c r="X259" s="589">
        <f>W259/R259</f>
        <v>0.6098170041749581</v>
      </c>
      <c r="Y259" s="544"/>
      <c r="Z259" s="536">
        <f>F259+14</f>
        <v>43168</v>
      </c>
      <c r="AA259" s="544"/>
      <c r="AB259" s="393" t="s">
        <v>2209</v>
      </c>
      <c r="AC259" s="691"/>
      <c r="AD259" s="691"/>
      <c r="AE259" s="692"/>
      <c r="AF259" s="691"/>
      <c r="AG259" s="693"/>
      <c r="AJ259" s="553"/>
    </row>
    <row r="260" spans="1:36" s="218" customFormat="1" ht="14.25" customHeight="1">
      <c r="A260" s="586" t="s">
        <v>2331</v>
      </c>
      <c r="B260" s="545" t="s">
        <v>540</v>
      </c>
      <c r="C260" s="386" t="s">
        <v>2223</v>
      </c>
      <c r="D260" s="386">
        <v>43157</v>
      </c>
      <c r="E260" s="386">
        <v>43157</v>
      </c>
      <c r="F260" s="690">
        <v>43157</v>
      </c>
      <c r="G260" s="756"/>
      <c r="H260" s="757"/>
      <c r="I260" s="756"/>
      <c r="J260" s="576">
        <v>43244</v>
      </c>
      <c r="K260" s="386"/>
      <c r="L260" s="392" t="str">
        <f>TEXT(F260,"mmm-yy")</f>
        <v>Feb-18</v>
      </c>
      <c r="M260" s="392" t="str">
        <f>TEXT(J260,"mmm-yy")</f>
        <v>May-18</v>
      </c>
      <c r="N260" s="445" t="s">
        <v>2617</v>
      </c>
      <c r="O260" s="418" t="s">
        <v>2200</v>
      </c>
      <c r="P260" s="538">
        <v>768.86</v>
      </c>
      <c r="Q260" s="700"/>
      <c r="R260" s="538">
        <f>SUM(P260:Q260)</f>
        <v>768.86</v>
      </c>
      <c r="S260" s="494">
        <f>R260*1.1</f>
        <v>845.74600000000009</v>
      </c>
      <c r="T260" s="544"/>
      <c r="U260" s="544">
        <f>44.14*6</f>
        <v>264.84000000000003</v>
      </c>
      <c r="V260" s="389">
        <f>SUM(T260:U260)</f>
        <v>264.84000000000003</v>
      </c>
      <c r="W260" s="388">
        <f>R260-V260</f>
        <v>504.02</v>
      </c>
      <c r="X260" s="589">
        <f>W260/R260</f>
        <v>0.65554197123013291</v>
      </c>
      <c r="Y260" s="544"/>
      <c r="Z260" s="536">
        <f>F260+14</f>
        <v>43171</v>
      </c>
      <c r="AA260" s="544"/>
      <c r="AB260" s="393" t="s">
        <v>2209</v>
      </c>
      <c r="AC260" s="691"/>
      <c r="AD260" s="691"/>
      <c r="AE260" s="692"/>
      <c r="AF260" s="691"/>
      <c r="AG260" s="693"/>
      <c r="AJ260" s="553"/>
    </row>
    <row r="261" spans="1:36" s="218" customFormat="1" ht="14.25" customHeight="1">
      <c r="A261" s="586" t="s">
        <v>2330</v>
      </c>
      <c r="B261" s="545" t="s">
        <v>541</v>
      </c>
      <c r="C261" s="386" t="s">
        <v>2210</v>
      </c>
      <c r="D261" s="386">
        <v>43154</v>
      </c>
      <c r="E261" s="386">
        <v>43154</v>
      </c>
      <c r="F261" s="392">
        <v>43154</v>
      </c>
      <c r="G261" s="756"/>
      <c r="H261" s="757"/>
      <c r="I261" s="756"/>
      <c r="J261" s="576">
        <v>43221</v>
      </c>
      <c r="K261" s="386"/>
      <c r="L261" s="392" t="str">
        <f>TEXT(F261,"mmm-yy")</f>
        <v>Feb-18</v>
      </c>
      <c r="M261" s="392" t="str">
        <f>TEXT(J261,"mmm-yy")</f>
        <v>May-18</v>
      </c>
      <c r="N261" s="445" t="s">
        <v>2714</v>
      </c>
      <c r="O261" s="418" t="s">
        <v>2205</v>
      </c>
      <c r="P261" s="538">
        <v>1153.29</v>
      </c>
      <c r="Q261" s="700"/>
      <c r="R261" s="538">
        <f>SUM(P261:Q261)</f>
        <v>1153.29</v>
      </c>
      <c r="S261" s="494">
        <f>R261*1.1</f>
        <v>1268.6190000000001</v>
      </c>
      <c r="T261" s="544"/>
      <c r="U261" s="544">
        <f>55*9</f>
        <v>495</v>
      </c>
      <c r="V261" s="389">
        <f>SUM(T261:U261)</f>
        <v>495</v>
      </c>
      <c r="W261" s="388">
        <f>R261-V261</f>
        <v>658.29</v>
      </c>
      <c r="X261" s="589">
        <f>W261/R261</f>
        <v>0.57079312228494128</v>
      </c>
      <c r="Y261" s="544"/>
      <c r="Z261" s="536">
        <f>F261+14</f>
        <v>43168</v>
      </c>
      <c r="AA261" s="544"/>
      <c r="AB261" s="393" t="s">
        <v>2209</v>
      </c>
      <c r="AC261" s="691"/>
      <c r="AD261" s="691"/>
      <c r="AE261" s="692"/>
      <c r="AF261" s="691"/>
      <c r="AG261" s="693"/>
      <c r="AJ261" s="553"/>
    </row>
    <row r="262" spans="1:36" s="218" customFormat="1" ht="14.25" customHeight="1">
      <c r="A262" s="586" t="s">
        <v>2331</v>
      </c>
      <c r="B262" s="545" t="s">
        <v>540</v>
      </c>
      <c r="C262" s="386" t="s">
        <v>2215</v>
      </c>
      <c r="D262" s="386">
        <v>43154</v>
      </c>
      <c r="E262" s="386">
        <v>43154</v>
      </c>
      <c r="F262" s="392">
        <v>43154</v>
      </c>
      <c r="G262" s="756"/>
      <c r="H262" s="757"/>
      <c r="I262" s="756"/>
      <c r="J262" s="576">
        <v>43221</v>
      </c>
      <c r="K262" s="386"/>
      <c r="L262" s="392" t="str">
        <f>TEXT(F262,"mmm-yy")</f>
        <v>Feb-18</v>
      </c>
      <c r="M262" s="392" t="str">
        <f>TEXT(J262,"mmm-yy")</f>
        <v>May-18</v>
      </c>
      <c r="N262" s="445" t="s">
        <v>2715</v>
      </c>
      <c r="O262" s="418" t="s">
        <v>2208</v>
      </c>
      <c r="P262" s="538">
        <v>1473.64</v>
      </c>
      <c r="Q262" s="700"/>
      <c r="R262" s="538">
        <f>SUM(P262:Q262)</f>
        <v>1473.64</v>
      </c>
      <c r="S262" s="494">
        <f>R262*1.1</f>
        <v>1621.0040000000001</v>
      </c>
      <c r="T262" s="544"/>
      <c r="U262" s="544">
        <f>44.14*3</f>
        <v>132.42000000000002</v>
      </c>
      <c r="V262" s="389">
        <f>SUM(T262:U262)</f>
        <v>132.42000000000002</v>
      </c>
      <c r="W262" s="388">
        <f>R262-V262</f>
        <v>1341.22</v>
      </c>
      <c r="X262" s="589">
        <f>W262/R262</f>
        <v>0.91014087565484103</v>
      </c>
      <c r="Y262" s="544"/>
      <c r="Z262" s="536">
        <f>F262+14</f>
        <v>43168</v>
      </c>
      <c r="AA262" s="544"/>
      <c r="AB262" s="393" t="s">
        <v>2209</v>
      </c>
      <c r="AC262" s="691"/>
      <c r="AD262" s="691"/>
      <c r="AE262" s="692"/>
      <c r="AF262" s="691"/>
      <c r="AG262" s="693"/>
      <c r="AJ262" s="553"/>
    </row>
    <row r="263" spans="1:36" s="218" customFormat="1" ht="14.25" customHeight="1">
      <c r="A263" s="586" t="s">
        <v>2331</v>
      </c>
      <c r="B263" s="545" t="s">
        <v>540</v>
      </c>
      <c r="C263" s="386" t="s">
        <v>2224</v>
      </c>
      <c r="D263" s="386">
        <v>43154</v>
      </c>
      <c r="E263" s="386">
        <v>43154</v>
      </c>
      <c r="F263" s="392">
        <v>43154</v>
      </c>
      <c r="G263" s="756"/>
      <c r="H263" s="757"/>
      <c r="I263" s="756"/>
      <c r="J263" s="576">
        <v>43221</v>
      </c>
      <c r="K263" s="386"/>
      <c r="L263" s="392" t="str">
        <f>TEXT(F263,"mmm-yy")</f>
        <v>Feb-18</v>
      </c>
      <c r="M263" s="392" t="str">
        <f>TEXT(J263,"mmm-yy")</f>
        <v>May-18</v>
      </c>
      <c r="N263" s="445" t="s">
        <v>2614</v>
      </c>
      <c r="O263" s="418" t="s">
        <v>2200</v>
      </c>
      <c r="P263" s="538">
        <v>320.36</v>
      </c>
      <c r="Q263" s="700"/>
      <c r="R263" s="538">
        <f>SUM(P263:Q263)</f>
        <v>320.36</v>
      </c>
      <c r="S263" s="494">
        <f>R263*1.1</f>
        <v>352.39600000000007</v>
      </c>
      <c r="T263" s="544"/>
      <c r="U263" s="544">
        <f>44.14*2.5</f>
        <v>110.35</v>
      </c>
      <c r="V263" s="389">
        <f>SUM(T263:U263)</f>
        <v>110.35</v>
      </c>
      <c r="W263" s="388">
        <f>R263-V263</f>
        <v>210.01000000000002</v>
      </c>
      <c r="X263" s="589">
        <f>W263/R263</f>
        <v>0.65554376326632546</v>
      </c>
      <c r="Y263" s="544"/>
      <c r="Z263" s="536">
        <f>F263+14</f>
        <v>43168</v>
      </c>
      <c r="AA263" s="544"/>
      <c r="AB263" s="393" t="s">
        <v>2209</v>
      </c>
      <c r="AC263" s="691"/>
      <c r="AD263" s="691"/>
      <c r="AE263" s="692"/>
      <c r="AF263" s="691"/>
      <c r="AG263" s="693"/>
      <c r="AJ263" s="553"/>
    </row>
    <row r="264" spans="1:36" s="218" customFormat="1" ht="14.25" customHeight="1">
      <c r="A264" s="586" t="s">
        <v>2331</v>
      </c>
      <c r="B264" s="545" t="s">
        <v>540</v>
      </c>
      <c r="C264" s="386" t="s">
        <v>2216</v>
      </c>
      <c r="D264" s="386">
        <v>43154</v>
      </c>
      <c r="E264" s="386">
        <v>43154</v>
      </c>
      <c r="F264" s="392">
        <v>43154</v>
      </c>
      <c r="G264" s="756"/>
      <c r="H264" s="757"/>
      <c r="I264" s="756"/>
      <c r="J264" s="576">
        <v>43221</v>
      </c>
      <c r="K264" s="386"/>
      <c r="L264" s="392" t="str">
        <f>TEXT(F264,"mmm-yy")</f>
        <v>Feb-18</v>
      </c>
      <c r="M264" s="392" t="str">
        <f>TEXT(J264,"mmm-yy")</f>
        <v>May-18</v>
      </c>
      <c r="N264" s="397" t="s">
        <v>2592</v>
      </c>
      <c r="O264" s="418" t="s">
        <v>2212</v>
      </c>
      <c r="P264" s="538">
        <v>320.36</v>
      </c>
      <c r="Q264" s="700"/>
      <c r="R264" s="538">
        <f>SUM(P264:Q264)</f>
        <v>320.36</v>
      </c>
      <c r="S264" s="494">
        <f>R264*1.1</f>
        <v>352.39600000000007</v>
      </c>
      <c r="T264" s="544"/>
      <c r="U264" s="544">
        <f>44.14*2.5</f>
        <v>110.35</v>
      </c>
      <c r="V264" s="389">
        <f>SUM(T264:U264)</f>
        <v>110.35</v>
      </c>
      <c r="W264" s="388">
        <f>R264-V264</f>
        <v>210.01000000000002</v>
      </c>
      <c r="X264" s="589">
        <f>W264/R264</f>
        <v>0.65554376326632546</v>
      </c>
      <c r="Y264" s="544"/>
      <c r="Z264" s="536">
        <f>F264+14</f>
        <v>43168</v>
      </c>
      <c r="AA264" s="544"/>
      <c r="AB264" s="393" t="s">
        <v>2209</v>
      </c>
      <c r="AC264" s="691"/>
      <c r="AD264" s="691"/>
      <c r="AE264" s="692"/>
      <c r="AF264" s="691"/>
      <c r="AG264" s="693"/>
      <c r="AJ264" s="553"/>
    </row>
    <row r="265" spans="1:36" s="218" customFormat="1" ht="14.25" customHeight="1">
      <c r="A265" s="586" t="s">
        <v>2331</v>
      </c>
      <c r="B265" s="545" t="s">
        <v>540</v>
      </c>
      <c r="C265" s="386" t="s">
        <v>2268</v>
      </c>
      <c r="D265" s="386">
        <v>43161</v>
      </c>
      <c r="E265" s="386">
        <v>43161</v>
      </c>
      <c r="F265" s="392">
        <v>43161</v>
      </c>
      <c r="G265" s="756"/>
      <c r="H265" s="757"/>
      <c r="I265" s="756"/>
      <c r="J265" s="576">
        <v>43221</v>
      </c>
      <c r="K265" s="386"/>
      <c r="L265" s="392" t="str">
        <f>TEXT(F265,"mmm-yy")</f>
        <v>Mar-18</v>
      </c>
      <c r="M265" s="392" t="str">
        <f>TEXT(J265,"mmm-yy")</f>
        <v>May-18</v>
      </c>
      <c r="N265" s="397" t="s">
        <v>2593</v>
      </c>
      <c r="O265" s="418" t="s">
        <v>2212</v>
      </c>
      <c r="P265" s="538">
        <v>640.71</v>
      </c>
      <c r="Q265" s="700"/>
      <c r="R265" s="538">
        <f>SUM(P265:Q265)</f>
        <v>640.71</v>
      </c>
      <c r="S265" s="494">
        <f>R265*1.1</f>
        <v>704.78100000000006</v>
      </c>
      <c r="T265" s="544"/>
      <c r="U265" s="544">
        <f>44.14*5</f>
        <v>220.7</v>
      </c>
      <c r="V265" s="389">
        <f>SUM(T265:U265)</f>
        <v>220.7</v>
      </c>
      <c r="W265" s="388">
        <f>R265-V265</f>
        <v>420.01000000000005</v>
      </c>
      <c r="X265" s="589">
        <f>W265/R265</f>
        <v>0.65553838710180901</v>
      </c>
      <c r="Y265" s="544"/>
      <c r="Z265" s="536">
        <f>F265+14</f>
        <v>43175</v>
      </c>
      <c r="AA265" s="544"/>
      <c r="AB265" s="393" t="s">
        <v>2209</v>
      </c>
      <c r="AC265" s="691"/>
      <c r="AD265" s="691"/>
      <c r="AE265" s="692"/>
      <c r="AF265" s="691"/>
      <c r="AG265" s="693"/>
      <c r="AJ265" s="553"/>
    </row>
    <row r="266" spans="1:36" s="218" customFormat="1" ht="14.25" customHeight="1">
      <c r="A266" s="545" t="s">
        <v>716</v>
      </c>
      <c r="B266" s="545" t="s">
        <v>722</v>
      </c>
      <c r="C266" s="386" t="s">
        <v>3304</v>
      </c>
      <c r="D266" s="386">
        <v>43287</v>
      </c>
      <c r="E266" s="392">
        <v>43265</v>
      </c>
      <c r="F266" s="392">
        <v>43266</v>
      </c>
      <c r="G266" s="603">
        <v>43266</v>
      </c>
      <c r="H266" s="753">
        <v>43278</v>
      </c>
      <c r="I266" s="577">
        <v>43283</v>
      </c>
      <c r="J266" s="603">
        <v>43286</v>
      </c>
      <c r="K266" s="386"/>
      <c r="L266" s="392" t="str">
        <f>TEXT(F266,"mmm-yy")</f>
        <v>Jun-18</v>
      </c>
      <c r="M266" s="392" t="str">
        <f>TEXT(J266,"mmm-yy")</f>
        <v>Jul-18</v>
      </c>
      <c r="N266" s="397" t="s">
        <v>2674</v>
      </c>
      <c r="O266" s="418" t="s">
        <v>709</v>
      </c>
      <c r="P266" s="538">
        <v>1919</v>
      </c>
      <c r="Q266" s="538">
        <v>5178.72</v>
      </c>
      <c r="R266" s="538">
        <f>SUM(P266:Q266)</f>
        <v>7097.72</v>
      </c>
      <c r="S266" s="494">
        <f>R266*1.1</f>
        <v>7807.4920000000011</v>
      </c>
      <c r="T266" s="544">
        <v>1120</v>
      </c>
      <c r="U266" s="544">
        <v>2043.8035299999997</v>
      </c>
      <c r="V266" s="389">
        <f>SUM(T266:U266)</f>
        <v>3163.8035299999997</v>
      </c>
      <c r="W266" s="388">
        <f>R266-V266</f>
        <v>3933.9164700000006</v>
      </c>
      <c r="X266" s="589">
        <f>W266/R266</f>
        <v>0.55425072699402067</v>
      </c>
      <c r="Y266" s="544"/>
      <c r="Z266" s="536">
        <f>F266+14</f>
        <v>43280</v>
      </c>
      <c r="AA266" s="544"/>
      <c r="AB266" s="393" t="s">
        <v>210</v>
      </c>
      <c r="AC266" s="392">
        <v>43079</v>
      </c>
      <c r="AD266" s="392">
        <v>43154</v>
      </c>
      <c r="AE266" s="689">
        <f>AD266-AC266</f>
        <v>75</v>
      </c>
      <c r="AF266" s="392">
        <v>43147</v>
      </c>
      <c r="AG266" s="546">
        <f>AF266-AD266</f>
        <v>-7</v>
      </c>
      <c r="AJ266" s="553"/>
    </row>
    <row r="267" spans="1:36" s="218" customFormat="1" ht="14.25" customHeight="1">
      <c r="A267" s="586" t="s">
        <v>714</v>
      </c>
      <c r="B267" s="545" t="s">
        <v>227</v>
      </c>
      <c r="C267" s="386" t="s">
        <v>2814</v>
      </c>
      <c r="D267" s="386">
        <v>43235</v>
      </c>
      <c r="E267" s="392">
        <v>43209</v>
      </c>
      <c r="F267" s="536">
        <v>43209</v>
      </c>
      <c r="G267" s="667">
        <v>43208</v>
      </c>
      <c r="H267" s="754">
        <v>43223</v>
      </c>
      <c r="I267" s="601">
        <f>F267+14</f>
        <v>43223</v>
      </c>
      <c r="J267" s="601">
        <f>I267+14</f>
        <v>43237</v>
      </c>
      <c r="K267" s="386"/>
      <c r="L267" s="392" t="str">
        <f>TEXT(F267,"mmm-yy")</f>
        <v>Apr-18</v>
      </c>
      <c r="M267" s="392" t="str">
        <f>TEXT(J267,"mmm-yy")</f>
        <v>May-18</v>
      </c>
      <c r="N267" s="397" t="s">
        <v>2693</v>
      </c>
      <c r="O267" s="418" t="s">
        <v>2219</v>
      </c>
      <c r="P267" s="538">
        <v>2010.27</v>
      </c>
      <c r="Q267" s="538">
        <v>14142.210000000001</v>
      </c>
      <c r="R267" s="538">
        <f>SUM(P267:Q267)</f>
        <v>16152.480000000001</v>
      </c>
      <c r="S267" s="494">
        <f>R267*1.1</f>
        <v>17767.728000000003</v>
      </c>
      <c r="T267" s="544">
        <v>11377.92</v>
      </c>
      <c r="U267" s="544"/>
      <c r="V267" s="389">
        <f>SUM(T267:U267)</f>
        <v>11377.92</v>
      </c>
      <c r="W267" s="388">
        <f>R267-V267</f>
        <v>4774.5600000000013</v>
      </c>
      <c r="X267" s="589">
        <f>W267/R267</f>
        <v>0.2955929987221777</v>
      </c>
      <c r="Y267" s="544"/>
      <c r="Z267" s="536">
        <f>F267+14</f>
        <v>43223</v>
      </c>
      <c r="AA267" s="544"/>
      <c r="AB267" s="393" t="s">
        <v>220</v>
      </c>
      <c r="AC267" s="392" t="s">
        <v>752</v>
      </c>
      <c r="AD267" s="392">
        <v>43154</v>
      </c>
      <c r="AE267" s="550"/>
      <c r="AF267" s="392">
        <v>43187</v>
      </c>
      <c r="AG267" s="546">
        <f>AF267-AD267</f>
        <v>33</v>
      </c>
      <c r="AJ267" s="553"/>
    </row>
    <row r="268" spans="1:36" s="218" customFormat="1" ht="14.25" customHeight="1">
      <c r="A268" s="586" t="s">
        <v>714</v>
      </c>
      <c r="B268" s="545" t="s">
        <v>190</v>
      </c>
      <c r="C268" s="386"/>
      <c r="D268" s="386"/>
      <c r="E268" s="392"/>
      <c r="F268" s="536">
        <v>43311</v>
      </c>
      <c r="G268" s="601"/>
      <c r="H268" s="752"/>
      <c r="I268" s="601"/>
      <c r="J268" s="601"/>
      <c r="K268" s="386"/>
      <c r="L268" s="392" t="str">
        <f>TEXT(F268,"mmm-yy")</f>
        <v>Jul-18</v>
      </c>
      <c r="M268" s="392" t="str">
        <f>TEXT(J268,"mmm-yy")</f>
        <v>Jan-00</v>
      </c>
      <c r="N268" s="397" t="s">
        <v>2220</v>
      </c>
      <c r="O268" s="418" t="s">
        <v>1181</v>
      </c>
      <c r="P268" s="538">
        <v>515.58000000000004</v>
      </c>
      <c r="Q268" s="538"/>
      <c r="R268" s="538">
        <f>SUM(P268:Q268)</f>
        <v>515.58000000000004</v>
      </c>
      <c r="S268" s="494">
        <f>R268*1.1</f>
        <v>567.13800000000015</v>
      </c>
      <c r="T268" s="544"/>
      <c r="U268" s="544"/>
      <c r="V268" s="389">
        <f>SUM(T268:U268)</f>
        <v>0</v>
      </c>
      <c r="W268" s="388">
        <f>R268-V268</f>
        <v>515.58000000000004</v>
      </c>
      <c r="X268" s="589">
        <f>W268/R268</f>
        <v>1</v>
      </c>
      <c r="Y268" s="544"/>
      <c r="Z268" s="536">
        <f>F268+14</f>
        <v>43325</v>
      </c>
      <c r="AA268" s="544"/>
      <c r="AB268" s="393" t="s">
        <v>201</v>
      </c>
      <c r="AC268" s="392" t="s">
        <v>752</v>
      </c>
      <c r="AD268" s="392">
        <v>43154</v>
      </c>
      <c r="AE268" s="550"/>
      <c r="AF268" s="392">
        <v>43181</v>
      </c>
      <c r="AG268" s="546">
        <f>AF268-AD268</f>
        <v>27</v>
      </c>
      <c r="AJ268" s="553"/>
    </row>
    <row r="269" spans="1:36" s="218" customFormat="1" ht="14.25" customHeight="1">
      <c r="A269" s="545" t="s">
        <v>716</v>
      </c>
      <c r="B269" s="545" t="s">
        <v>722</v>
      </c>
      <c r="C269" s="386" t="s">
        <v>2728</v>
      </c>
      <c r="D269" s="386">
        <v>43217</v>
      </c>
      <c r="E269" s="392">
        <v>43199</v>
      </c>
      <c r="F269" s="536">
        <v>43200</v>
      </c>
      <c r="G269" s="756"/>
      <c r="H269" s="757"/>
      <c r="I269" s="603">
        <v>43213</v>
      </c>
      <c r="J269" s="603">
        <v>43221</v>
      </c>
      <c r="K269" s="386"/>
      <c r="L269" s="392" t="str">
        <f>TEXT(F269,"mmm-yy")</f>
        <v>Apr-18</v>
      </c>
      <c r="M269" s="392" t="str">
        <f>TEXT(J269,"mmm-yy")</f>
        <v>May-18</v>
      </c>
      <c r="N269" s="397" t="s">
        <v>2181</v>
      </c>
      <c r="O269" s="418" t="s">
        <v>1360</v>
      </c>
      <c r="P269" s="538">
        <v>9706.1</v>
      </c>
      <c r="Q269" s="684"/>
      <c r="R269" s="538">
        <f>SUM(P269:Q269)</f>
        <v>9706.1</v>
      </c>
      <c r="S269" s="494">
        <f>R269*1.1</f>
        <v>10676.710000000001</v>
      </c>
      <c r="T269" s="544"/>
      <c r="U269" s="544"/>
      <c r="V269" s="389">
        <f>SUM(T269:U269)</f>
        <v>0</v>
      </c>
      <c r="W269" s="388">
        <f>R269-V269</f>
        <v>9706.1</v>
      </c>
      <c r="X269" s="589">
        <f>W269/R269</f>
        <v>1</v>
      </c>
      <c r="Y269" s="544"/>
      <c r="Z269" s="536">
        <f>F269+14</f>
        <v>43214</v>
      </c>
      <c r="AA269" s="544"/>
      <c r="AB269" s="393" t="s">
        <v>210</v>
      </c>
      <c r="AC269" s="392">
        <v>43151</v>
      </c>
      <c r="AD269" s="392"/>
      <c r="AE269" s="550"/>
      <c r="AF269" s="392">
        <v>43189</v>
      </c>
      <c r="AG269" s="546"/>
      <c r="AJ269" s="553"/>
    </row>
    <row r="270" spans="1:36" s="218" customFormat="1" ht="14.25" customHeight="1">
      <c r="A270" s="586" t="s">
        <v>2331</v>
      </c>
      <c r="B270" s="545" t="s">
        <v>540</v>
      </c>
      <c r="C270" s="386" t="s">
        <v>2221</v>
      </c>
      <c r="D270" s="386">
        <v>43157</v>
      </c>
      <c r="E270" s="392">
        <v>43157</v>
      </c>
      <c r="F270" s="536">
        <v>43159</v>
      </c>
      <c r="G270" s="756"/>
      <c r="H270" s="757"/>
      <c r="I270" s="756"/>
      <c r="J270" s="576">
        <v>43221</v>
      </c>
      <c r="K270" s="386"/>
      <c r="L270" s="392" t="str">
        <f>TEXT(F270,"mmm-yy")</f>
        <v>Feb-18</v>
      </c>
      <c r="M270" s="392" t="str">
        <f>TEXT(J270,"mmm-yy")</f>
        <v>May-18</v>
      </c>
      <c r="N270" s="397" t="s">
        <v>2590</v>
      </c>
      <c r="O270" s="418" t="s">
        <v>831</v>
      </c>
      <c r="P270" s="538">
        <v>3625.46</v>
      </c>
      <c r="Q270" s="700"/>
      <c r="R270" s="538">
        <f>SUM(P270:Q270)</f>
        <v>3625.46</v>
      </c>
      <c r="S270" s="495">
        <f>R270*1.1</f>
        <v>3988.0060000000003</v>
      </c>
      <c r="T270" s="539">
        <v>2952.6</v>
      </c>
      <c r="U270" s="539">
        <f>44.14*3</f>
        <v>132.42000000000002</v>
      </c>
      <c r="V270" s="389">
        <f>SUM(T270:U270)</f>
        <v>3085.02</v>
      </c>
      <c r="W270" s="388">
        <f>R270-V270</f>
        <v>540.44000000000005</v>
      </c>
      <c r="X270" s="589">
        <f>W270/R270</f>
        <v>0.14906798033904664</v>
      </c>
      <c r="Y270" s="544"/>
      <c r="Z270" s="536">
        <f>F270+14</f>
        <v>43173</v>
      </c>
      <c r="AA270" s="544"/>
      <c r="AB270" s="393" t="s">
        <v>2209</v>
      </c>
      <c r="AC270" s="392" t="s">
        <v>752</v>
      </c>
      <c r="AD270" s="392">
        <v>43157</v>
      </c>
      <c r="AE270" s="550"/>
      <c r="AF270" s="392">
        <v>43179</v>
      </c>
      <c r="AG270" s="546">
        <f>AF270-AD270</f>
        <v>22</v>
      </c>
      <c r="AJ270" s="553"/>
    </row>
    <row r="271" spans="1:36" s="218" customFormat="1" ht="14.25" customHeight="1">
      <c r="A271" s="586" t="s">
        <v>714</v>
      </c>
      <c r="B271" s="545" t="s">
        <v>722</v>
      </c>
      <c r="C271" s="386"/>
      <c r="D271" s="386"/>
      <c r="E271" s="392"/>
      <c r="F271" s="536">
        <v>43311</v>
      </c>
      <c r="G271" s="601"/>
      <c r="H271" s="752"/>
      <c r="I271" s="601"/>
      <c r="J271" s="601"/>
      <c r="K271" s="386"/>
      <c r="L271" s="392" t="str">
        <f>TEXT(F271,"mmm-yy")</f>
        <v>Jul-18</v>
      </c>
      <c r="M271" s="392" t="str">
        <f>TEXT(J271,"mmm-yy")</f>
        <v>Jan-00</v>
      </c>
      <c r="N271" s="397" t="s">
        <v>2315</v>
      </c>
      <c r="O271" s="418" t="s">
        <v>2226</v>
      </c>
      <c r="P271" s="538">
        <v>1924.61</v>
      </c>
      <c r="Q271" s="538"/>
      <c r="R271" s="538">
        <f>SUM(P271:Q271)</f>
        <v>1924.61</v>
      </c>
      <c r="S271" s="495">
        <f>R271*1.1</f>
        <v>2117.0709999999999</v>
      </c>
      <c r="T271" s="539"/>
      <c r="U271" s="539"/>
      <c r="V271" s="389">
        <f>SUM(T271:U271)</f>
        <v>0</v>
      </c>
      <c r="W271" s="388">
        <f>R271-V271</f>
        <v>1924.61</v>
      </c>
      <c r="X271" s="589">
        <f>W271/R271</f>
        <v>1</v>
      </c>
      <c r="Y271" s="544"/>
      <c r="Z271" s="536">
        <f>F271+14</f>
        <v>43325</v>
      </c>
      <c r="AA271" s="544"/>
      <c r="AB271" s="393" t="s">
        <v>727</v>
      </c>
      <c r="AC271" s="392" t="s">
        <v>752</v>
      </c>
      <c r="AD271" s="392">
        <v>43157</v>
      </c>
      <c r="AE271" s="550"/>
      <c r="AF271" s="392">
        <v>43179</v>
      </c>
      <c r="AG271" s="546">
        <f>AF271-AD271</f>
        <v>22</v>
      </c>
      <c r="AJ271" s="553"/>
    </row>
    <row r="272" spans="1:36" s="218" customFormat="1" ht="14.25" customHeight="1">
      <c r="A272" s="586" t="s">
        <v>714</v>
      </c>
      <c r="B272" s="545" t="s">
        <v>190</v>
      </c>
      <c r="C272" s="386" t="s">
        <v>2807</v>
      </c>
      <c r="D272" s="386">
        <v>43237</v>
      </c>
      <c r="E272" s="392">
        <v>43218</v>
      </c>
      <c r="F272" s="536">
        <v>43220</v>
      </c>
      <c r="G272" s="603">
        <v>43221</v>
      </c>
      <c r="H272" s="753">
        <v>43230</v>
      </c>
      <c r="I272" s="603">
        <v>43230</v>
      </c>
      <c r="J272" s="603">
        <v>43237</v>
      </c>
      <c r="K272" s="386"/>
      <c r="L272" s="392" t="str">
        <f>TEXT(F272,"mmm-yy")</f>
        <v>Apr-18</v>
      </c>
      <c r="M272" s="392" t="str">
        <f>TEXT(J272,"mmm-yy")</f>
        <v>May-18</v>
      </c>
      <c r="N272" s="397" t="s">
        <v>2314</v>
      </c>
      <c r="O272" s="418" t="s">
        <v>2244</v>
      </c>
      <c r="P272" s="538">
        <v>1568.02</v>
      </c>
      <c r="Q272" s="538">
        <v>18711.260000000002</v>
      </c>
      <c r="R272" s="538">
        <f>SUM(P272:Q272)</f>
        <v>20279.280000000002</v>
      </c>
      <c r="S272" s="495">
        <f>R272*1.1</f>
        <v>22307.208000000006</v>
      </c>
      <c r="T272" s="539">
        <v>13649.17</v>
      </c>
      <c r="U272" s="539"/>
      <c r="V272" s="389">
        <f>SUM(T272:U272)</f>
        <v>13649.17</v>
      </c>
      <c r="W272" s="593">
        <f>R272-V272</f>
        <v>6630.1100000000024</v>
      </c>
      <c r="X272" s="589">
        <f>W272/R272</f>
        <v>0.3269401083273174</v>
      </c>
      <c r="Y272" s="544"/>
      <c r="Z272" s="536">
        <f>F272+14</f>
        <v>43234</v>
      </c>
      <c r="AA272" s="544"/>
      <c r="AB272" s="393" t="s">
        <v>201</v>
      </c>
      <c r="AC272" s="392" t="s">
        <v>752</v>
      </c>
      <c r="AD272" s="392">
        <v>43158</v>
      </c>
      <c r="AE272" s="550"/>
      <c r="AF272" s="392">
        <v>43159</v>
      </c>
      <c r="AG272" s="546">
        <f>AF272-AD272</f>
        <v>1</v>
      </c>
      <c r="AJ272" s="553"/>
    </row>
    <row r="273" spans="1:36" s="218" customFormat="1" ht="14.25" customHeight="1">
      <c r="A273" s="586" t="s">
        <v>2331</v>
      </c>
      <c r="B273" s="545" t="s">
        <v>540</v>
      </c>
      <c r="C273" s="386" t="s">
        <v>2248</v>
      </c>
      <c r="D273" s="386">
        <v>43158</v>
      </c>
      <c r="E273" s="392">
        <v>43160</v>
      </c>
      <c r="F273" s="536">
        <v>43160</v>
      </c>
      <c r="G273" s="756"/>
      <c r="H273" s="757"/>
      <c r="I273" s="756"/>
      <c r="J273" s="576">
        <v>43221</v>
      </c>
      <c r="K273" s="386"/>
      <c r="L273" s="392" t="str">
        <f>TEXT(F273,"mmm-yy")</f>
        <v>Mar-18</v>
      </c>
      <c r="M273" s="392" t="str">
        <f>TEXT(J273,"mmm-yy")</f>
        <v>May-18</v>
      </c>
      <c r="N273" s="397" t="s">
        <v>2591</v>
      </c>
      <c r="O273" s="418" t="s">
        <v>2208</v>
      </c>
      <c r="P273" s="538">
        <v>2498.79</v>
      </c>
      <c r="Q273" s="700"/>
      <c r="R273" s="538">
        <f>SUM(P273:Q273)</f>
        <v>2498.79</v>
      </c>
      <c r="S273" s="495">
        <f>R273*1.1</f>
        <v>2748.6690000000003</v>
      </c>
      <c r="T273" s="539"/>
      <c r="U273" s="539">
        <f>44.14*7.5+20*6+46.98*6</f>
        <v>732.93000000000006</v>
      </c>
      <c r="V273" s="389">
        <f>SUM(T273:U273)</f>
        <v>732.93000000000006</v>
      </c>
      <c r="W273" s="388">
        <f>R273-V273</f>
        <v>1765.86</v>
      </c>
      <c r="X273" s="589">
        <f>W273/R273</f>
        <v>0.70668603604144398</v>
      </c>
      <c r="Y273" s="544"/>
      <c r="Z273" s="536">
        <f>F273+14</f>
        <v>43174</v>
      </c>
      <c r="AA273" s="544"/>
      <c r="AB273" s="393" t="s">
        <v>2209</v>
      </c>
      <c r="AC273" s="691"/>
      <c r="AD273" s="691"/>
      <c r="AE273" s="692"/>
      <c r="AF273" s="691"/>
      <c r="AG273" s="693"/>
      <c r="AJ273" s="553"/>
    </row>
    <row r="274" spans="1:36" s="218" customFormat="1" ht="14.25" customHeight="1">
      <c r="A274" s="586" t="s">
        <v>714</v>
      </c>
      <c r="B274" s="545" t="s">
        <v>190</v>
      </c>
      <c r="C274" s="386" t="s">
        <v>2808</v>
      </c>
      <c r="D274" s="386">
        <v>43237</v>
      </c>
      <c r="E274" s="392">
        <v>43218</v>
      </c>
      <c r="F274" s="536">
        <v>43220</v>
      </c>
      <c r="G274" s="603">
        <v>43223</v>
      </c>
      <c r="H274" s="753">
        <v>43230</v>
      </c>
      <c r="I274" s="603">
        <v>43229</v>
      </c>
      <c r="J274" s="603">
        <v>43237</v>
      </c>
      <c r="K274" s="386"/>
      <c r="L274" s="392" t="str">
        <f>TEXT(F274,"mmm-yy")</f>
        <v>Apr-18</v>
      </c>
      <c r="M274" s="392" t="str">
        <f>TEXT(J274,"mmm-yy")</f>
        <v>May-18</v>
      </c>
      <c r="N274" s="397" t="s">
        <v>2253</v>
      </c>
      <c r="O274" s="418" t="s">
        <v>1282</v>
      </c>
      <c r="P274" s="538">
        <v>674.33</v>
      </c>
      <c r="Q274" s="538">
        <v>2407.5039999999999</v>
      </c>
      <c r="R274" s="538">
        <f>SUM(P274:Q274)</f>
        <v>3081.8339999999998</v>
      </c>
      <c r="S274" s="495">
        <f>R274*1.1</f>
        <v>3390.0174000000002</v>
      </c>
      <c r="T274" s="409">
        <v>613.94000000000005</v>
      </c>
      <c r="U274" s="409"/>
      <c r="V274" s="389">
        <f>SUM(T274:U274)</f>
        <v>613.94000000000005</v>
      </c>
      <c r="W274" s="593">
        <f>R274-V274</f>
        <v>2467.8939999999998</v>
      </c>
      <c r="X274" s="589">
        <f>W274/R274</f>
        <v>0.8007874531853435</v>
      </c>
      <c r="Y274" s="544"/>
      <c r="Z274" s="536">
        <f>F274+14</f>
        <v>43234</v>
      </c>
      <c r="AA274" s="544"/>
      <c r="AB274" s="393" t="s">
        <v>201</v>
      </c>
      <c r="AC274" s="392" t="s">
        <v>752</v>
      </c>
      <c r="AD274" s="392">
        <v>43159</v>
      </c>
      <c r="AE274" s="550"/>
      <c r="AF274" s="392">
        <v>43195</v>
      </c>
      <c r="AG274" s="546">
        <f>AF274-AD274</f>
        <v>36</v>
      </c>
      <c r="AJ274" s="553"/>
    </row>
    <row r="275" spans="1:36" s="218" customFormat="1" ht="14.25" customHeight="1">
      <c r="A275" s="586" t="s">
        <v>2331</v>
      </c>
      <c r="B275" s="545" t="s">
        <v>540</v>
      </c>
      <c r="C275" s="386" t="s">
        <v>2295</v>
      </c>
      <c r="D275" s="386">
        <v>43161</v>
      </c>
      <c r="E275" s="386">
        <v>43161</v>
      </c>
      <c r="F275" s="536">
        <v>43161</v>
      </c>
      <c r="G275" s="756"/>
      <c r="H275" s="757"/>
      <c r="I275" s="756"/>
      <c r="J275" s="601">
        <v>43242</v>
      </c>
      <c r="K275" s="386"/>
      <c r="L275" s="392" t="str">
        <f>TEXT(F275,"mmm-yy")</f>
        <v>Mar-18</v>
      </c>
      <c r="M275" s="392" t="str">
        <f>TEXT(J275,"mmm-yy")</f>
        <v>May-18</v>
      </c>
      <c r="N275" s="397" t="s">
        <v>2616</v>
      </c>
      <c r="O275" s="418" t="s">
        <v>2265</v>
      </c>
      <c r="P275" s="538">
        <v>3281.35</v>
      </c>
      <c r="Q275" s="700"/>
      <c r="R275" s="538">
        <f>SUM(P275:Q275)</f>
        <v>3281.35</v>
      </c>
      <c r="S275" s="495">
        <f>R275*1.1</f>
        <v>3609.4850000000001</v>
      </c>
      <c r="T275" s="539">
        <v>2590</v>
      </c>
      <c r="U275" s="539">
        <f>44.14*8.5</f>
        <v>375.19</v>
      </c>
      <c r="V275" s="389">
        <f>SUM(T275:U275)</f>
        <v>2965.19</v>
      </c>
      <c r="W275" s="388">
        <f>R275-V275</f>
        <v>316.15999999999985</v>
      </c>
      <c r="X275" s="589">
        <f>W275/R275</f>
        <v>9.6350587410669347E-2</v>
      </c>
      <c r="Y275" s="544"/>
      <c r="Z275" s="536">
        <f>F275+14</f>
        <v>43175</v>
      </c>
      <c r="AA275" s="544"/>
      <c r="AB275" s="393" t="s">
        <v>2209</v>
      </c>
      <c r="AC275" s="691"/>
      <c r="AD275" s="691"/>
      <c r="AE275" s="692"/>
      <c r="AF275" s="691"/>
      <c r="AG275" s="693"/>
      <c r="AJ275" s="553"/>
    </row>
    <row r="276" spans="1:36" s="218" customFormat="1" ht="14.25" customHeight="1">
      <c r="A276" s="586" t="s">
        <v>2331</v>
      </c>
      <c r="B276" s="545" t="s">
        <v>540</v>
      </c>
      <c r="C276" s="386" t="s">
        <v>2294</v>
      </c>
      <c r="D276" s="386">
        <v>43161</v>
      </c>
      <c r="E276" s="386">
        <v>43161</v>
      </c>
      <c r="F276" s="536">
        <v>43161</v>
      </c>
      <c r="G276" s="756"/>
      <c r="H276" s="757"/>
      <c r="I276" s="756"/>
      <c r="J276" s="576">
        <v>43221</v>
      </c>
      <c r="K276" s="386"/>
      <c r="L276" s="392" t="str">
        <f>TEXT(F276,"mmm-yy")</f>
        <v>Mar-18</v>
      </c>
      <c r="M276" s="392" t="str">
        <f>TEXT(J276,"mmm-yy")</f>
        <v>May-18</v>
      </c>
      <c r="N276" s="397" t="s">
        <v>2594</v>
      </c>
      <c r="O276" s="418" t="s">
        <v>2208</v>
      </c>
      <c r="P276" s="538">
        <v>256.27999999999997</v>
      </c>
      <c r="Q276" s="700"/>
      <c r="R276" s="538">
        <f>SUM(P276:Q276)</f>
        <v>256.27999999999997</v>
      </c>
      <c r="S276" s="495">
        <f>R276*1.1</f>
        <v>281.90800000000002</v>
      </c>
      <c r="T276" s="539"/>
      <c r="U276" s="539">
        <f>44.14*2</f>
        <v>88.28</v>
      </c>
      <c r="V276" s="389">
        <f>SUM(T276:U276)</f>
        <v>88.28</v>
      </c>
      <c r="W276" s="388">
        <f>R276-V276</f>
        <v>167.99999999999997</v>
      </c>
      <c r="X276" s="589">
        <f>W276/R276</f>
        <v>0.6555330107694709</v>
      </c>
      <c r="Y276" s="544"/>
      <c r="Z276" s="536">
        <f>F276+14</f>
        <v>43175</v>
      </c>
      <c r="AA276" s="544"/>
      <c r="AB276" s="393" t="s">
        <v>2209</v>
      </c>
      <c r="AC276" s="691"/>
      <c r="AD276" s="691"/>
      <c r="AE276" s="692"/>
      <c r="AF276" s="691"/>
      <c r="AG276" s="693"/>
      <c r="AJ276" s="553"/>
    </row>
    <row r="277" spans="1:36" s="218" customFormat="1" ht="14.25" customHeight="1">
      <c r="A277" s="586" t="s">
        <v>2331</v>
      </c>
      <c r="B277" s="545" t="s">
        <v>540</v>
      </c>
      <c r="C277" s="386" t="s">
        <v>2780</v>
      </c>
      <c r="D277" s="386">
        <v>43165</v>
      </c>
      <c r="E277" s="392">
        <v>43165</v>
      </c>
      <c r="F277" s="536">
        <v>43165</v>
      </c>
      <c r="G277" s="756"/>
      <c r="H277" s="757"/>
      <c r="I277" s="756"/>
      <c r="J277" s="576">
        <v>43230</v>
      </c>
      <c r="K277" s="386"/>
      <c r="L277" s="392" t="str">
        <f>TEXT(F277,"mmm-yy")</f>
        <v>Mar-18</v>
      </c>
      <c r="M277" s="392" t="str">
        <f>TEXT(J277,"mmm-yy")</f>
        <v>May-18</v>
      </c>
      <c r="N277" s="397" t="s">
        <v>2620</v>
      </c>
      <c r="O277" s="418" t="s">
        <v>2208</v>
      </c>
      <c r="P277" s="538">
        <v>512.55999999999995</v>
      </c>
      <c r="Q277" s="700"/>
      <c r="R277" s="538">
        <f>SUM(P277:Q277)</f>
        <v>512.55999999999995</v>
      </c>
      <c r="S277" s="495">
        <f>R277*1.1</f>
        <v>563.81600000000003</v>
      </c>
      <c r="T277" s="539"/>
      <c r="U277" s="539">
        <f>44.14*4</f>
        <v>176.56</v>
      </c>
      <c r="V277" s="389">
        <f>SUM(T277:U277)</f>
        <v>176.56</v>
      </c>
      <c r="W277" s="388">
        <f>R277-V277</f>
        <v>335.99999999999994</v>
      </c>
      <c r="X277" s="589">
        <f>W277/R277</f>
        <v>0.6555330107694709</v>
      </c>
      <c r="Y277" s="544"/>
      <c r="Z277" s="536">
        <f>F277+14</f>
        <v>43179</v>
      </c>
      <c r="AA277" s="544"/>
      <c r="AB277" s="393" t="s">
        <v>2209</v>
      </c>
      <c r="AC277" s="691"/>
      <c r="AD277" s="691"/>
      <c r="AE277" s="692"/>
      <c r="AF277" s="691"/>
      <c r="AG277" s="693"/>
      <c r="AJ277" s="553"/>
    </row>
    <row r="278" spans="1:36" s="218" customFormat="1" ht="14.25" customHeight="1">
      <c r="A278" s="586" t="s">
        <v>2331</v>
      </c>
      <c r="B278" s="545" t="s">
        <v>540</v>
      </c>
      <c r="C278" s="386" t="s">
        <v>2482</v>
      </c>
      <c r="D278" s="386">
        <v>43165</v>
      </c>
      <c r="E278" s="386">
        <v>43165</v>
      </c>
      <c r="F278" s="536">
        <v>43147</v>
      </c>
      <c r="G278" s="756"/>
      <c r="H278" s="757"/>
      <c r="I278" s="756"/>
      <c r="J278" s="576">
        <v>43235</v>
      </c>
      <c r="K278" s="386"/>
      <c r="L278" s="392" t="str">
        <f>TEXT(F278,"mmm-yy")</f>
        <v>Feb-18</v>
      </c>
      <c r="M278" s="392" t="str">
        <f>TEXT(J278,"mmm-yy")</f>
        <v>May-18</v>
      </c>
      <c r="N278" s="397" t="s">
        <v>2619</v>
      </c>
      <c r="O278" s="418" t="s">
        <v>865</v>
      </c>
      <c r="P278" s="538">
        <v>128.13999999999999</v>
      </c>
      <c r="Q278" s="700"/>
      <c r="R278" s="538">
        <f>SUM(P278:Q278)</f>
        <v>128.13999999999999</v>
      </c>
      <c r="S278" s="495">
        <f>R278*1.1</f>
        <v>140.95400000000001</v>
      </c>
      <c r="T278" s="539"/>
      <c r="U278" s="539">
        <f>44.14</f>
        <v>44.14</v>
      </c>
      <c r="V278" s="389">
        <f>SUM(T278:U278)</f>
        <v>44.14</v>
      </c>
      <c r="W278" s="388">
        <f>R278-V278</f>
        <v>83.999999999999986</v>
      </c>
      <c r="X278" s="589">
        <f>W278/R278</f>
        <v>0.6555330107694709</v>
      </c>
      <c r="Y278" s="544"/>
      <c r="Z278" s="536">
        <f>F278+14</f>
        <v>43161</v>
      </c>
      <c r="AA278" s="544"/>
      <c r="AB278" s="393" t="s">
        <v>2209</v>
      </c>
      <c r="AC278" s="691"/>
      <c r="AD278" s="691"/>
      <c r="AE278" s="692"/>
      <c r="AF278" s="691"/>
      <c r="AG278" s="693"/>
      <c r="AJ278" s="553"/>
    </row>
    <row r="279" spans="1:36" s="218" customFormat="1" ht="14.25" customHeight="1">
      <c r="A279" s="586" t="s">
        <v>714</v>
      </c>
      <c r="B279" s="545" t="s">
        <v>190</v>
      </c>
      <c r="C279" s="386" t="s">
        <v>3095</v>
      </c>
      <c r="D279" s="386">
        <v>43271</v>
      </c>
      <c r="E279" s="392">
        <v>43248</v>
      </c>
      <c r="F279" s="536">
        <v>43249</v>
      </c>
      <c r="G279" s="603">
        <v>43251</v>
      </c>
      <c r="H279" s="753">
        <v>43256</v>
      </c>
      <c r="I279" s="603">
        <v>43259</v>
      </c>
      <c r="J279" s="603">
        <v>43270</v>
      </c>
      <c r="K279" s="386"/>
      <c r="L279" s="392" t="str">
        <f>TEXT(F279,"mmm-yy")</f>
        <v>May-18</v>
      </c>
      <c r="M279" s="392" t="str">
        <f>TEXT(J279,"mmm-yy")</f>
        <v>Jun-18</v>
      </c>
      <c r="N279" s="397" t="s">
        <v>2313</v>
      </c>
      <c r="O279" s="418" t="s">
        <v>902</v>
      </c>
      <c r="P279" s="538">
        <v>1021.38</v>
      </c>
      <c r="Q279" s="538">
        <v>3224.76</v>
      </c>
      <c r="R279" s="538">
        <f>SUM(P279:Q279)</f>
        <v>4246.1400000000003</v>
      </c>
      <c r="S279" s="495">
        <f>R279*1.1</f>
        <v>4670.7540000000008</v>
      </c>
      <c r="T279" s="539">
        <v>2111.52</v>
      </c>
      <c r="U279" s="801"/>
      <c r="V279" s="389">
        <f>SUM(T279:U279)</f>
        <v>2111.52</v>
      </c>
      <c r="W279" s="388">
        <f>R279-V279</f>
        <v>2134.6200000000003</v>
      </c>
      <c r="X279" s="589">
        <f>W279/R279</f>
        <v>0.50272011756560075</v>
      </c>
      <c r="Y279" s="544"/>
      <c r="Z279" s="536">
        <f>F279+14</f>
        <v>43263</v>
      </c>
      <c r="AA279" s="544"/>
      <c r="AB279" s="393" t="s">
        <v>201</v>
      </c>
      <c r="AC279" s="392" t="s">
        <v>752</v>
      </c>
      <c r="AD279" s="392">
        <v>43161</v>
      </c>
      <c r="AE279" s="550"/>
      <c r="AF279" s="392">
        <v>43196</v>
      </c>
      <c r="AG279" s="546">
        <f>AF279-AD279</f>
        <v>35</v>
      </c>
      <c r="AJ279" s="553"/>
    </row>
    <row r="280" spans="1:36" s="218" customFormat="1" ht="14.25" customHeight="1">
      <c r="A280" s="586" t="s">
        <v>714</v>
      </c>
      <c r="B280" s="545" t="s">
        <v>190</v>
      </c>
      <c r="C280" s="386" t="s">
        <v>2573</v>
      </c>
      <c r="D280" s="386">
        <v>43209</v>
      </c>
      <c r="E280" s="392">
        <v>43185</v>
      </c>
      <c r="F280" s="536">
        <v>43186</v>
      </c>
      <c r="G280" s="603">
        <v>43194</v>
      </c>
      <c r="H280" s="753">
        <v>43196</v>
      </c>
      <c r="I280" s="667">
        <v>43202</v>
      </c>
      <c r="J280" s="601">
        <f>I280+14</f>
        <v>43216</v>
      </c>
      <c r="K280" s="386"/>
      <c r="L280" s="392" t="str">
        <f>TEXT(F280,"mmm-yy")</f>
        <v>Mar-18</v>
      </c>
      <c r="M280" s="392" t="str">
        <f>TEXT(J280,"mmm-yy")</f>
        <v>Apr-18</v>
      </c>
      <c r="N280" s="397" t="s">
        <v>1785</v>
      </c>
      <c r="O280" s="418" t="s">
        <v>725</v>
      </c>
      <c r="P280" s="538">
        <v>1195.8499999999999</v>
      </c>
      <c r="Q280" s="538">
        <v>3999.57</v>
      </c>
      <c r="R280" s="538">
        <f>SUM(P280:Q280)</f>
        <v>5195.42</v>
      </c>
      <c r="S280" s="495">
        <f>R280*1.1</f>
        <v>5714.9620000000004</v>
      </c>
      <c r="T280" s="539">
        <v>1294.92</v>
      </c>
      <c r="U280" s="539"/>
      <c r="V280" s="389">
        <f>SUM(T280:U280)</f>
        <v>1294.92</v>
      </c>
      <c r="W280" s="388">
        <f>R280-V280</f>
        <v>3900.5</v>
      </c>
      <c r="X280" s="589">
        <f>W280/R280</f>
        <v>0.75075739786196305</v>
      </c>
      <c r="Y280" s="544"/>
      <c r="Z280" s="536">
        <f>F280+14</f>
        <v>43200</v>
      </c>
      <c r="AA280" s="544"/>
      <c r="AB280" s="393" t="s">
        <v>959</v>
      </c>
      <c r="AC280" s="392" t="s">
        <v>752</v>
      </c>
      <c r="AD280" s="392">
        <v>43105</v>
      </c>
      <c r="AE280" s="550"/>
      <c r="AF280" s="392">
        <v>43130</v>
      </c>
      <c r="AG280" s="546">
        <f>AF280-AD280</f>
        <v>25</v>
      </c>
      <c r="AJ280" s="553"/>
    </row>
    <row r="281" spans="1:36" s="218" customFormat="1" ht="14.25" customHeight="1">
      <c r="A281" s="545" t="s">
        <v>716</v>
      </c>
      <c r="B281" s="545" t="s">
        <v>190</v>
      </c>
      <c r="C281" s="386"/>
      <c r="D281" s="386"/>
      <c r="E281" s="392"/>
      <c r="F281" s="536">
        <v>43311</v>
      </c>
      <c r="G281" s="601"/>
      <c r="H281" s="752"/>
      <c r="I281" s="601"/>
      <c r="J281" s="601"/>
      <c r="K281" s="386"/>
      <c r="L281" s="392" t="str">
        <f>TEXT(F281,"mmm-yy")</f>
        <v>Jul-18</v>
      </c>
      <c r="M281" s="392" t="str">
        <f>TEXT(J281,"mmm-yy")</f>
        <v>Jan-00</v>
      </c>
      <c r="N281" s="397" t="s">
        <v>2311</v>
      </c>
      <c r="O281" s="418" t="s">
        <v>488</v>
      </c>
      <c r="P281" s="538">
        <v>30428.35</v>
      </c>
      <c r="Q281" s="538"/>
      <c r="R281" s="538">
        <f>SUM(P281:Q281)</f>
        <v>30428.35</v>
      </c>
      <c r="S281" s="495">
        <f>R281*1.1</f>
        <v>33471.184999999998</v>
      </c>
      <c r="T281" s="539">
        <f>8804.68+600</f>
        <v>9404.68</v>
      </c>
      <c r="U281" s="539"/>
      <c r="V281" s="389">
        <f>SUM(T281:U281)</f>
        <v>9404.68</v>
      </c>
      <c r="W281" s="388">
        <f>R281-V281</f>
        <v>21023.67</v>
      </c>
      <c r="X281" s="589">
        <f>W281/R281</f>
        <v>0.69092376024332569</v>
      </c>
      <c r="Y281" s="544"/>
      <c r="Z281" s="536">
        <f>F281+14</f>
        <v>43325</v>
      </c>
      <c r="AA281" s="544"/>
      <c r="AB281" s="393" t="s">
        <v>2283</v>
      </c>
      <c r="AC281" s="392">
        <v>43066</v>
      </c>
      <c r="AD281" s="392">
        <v>43187</v>
      </c>
      <c r="AE281" s="550"/>
      <c r="AF281" s="392">
        <v>43220</v>
      </c>
      <c r="AG281" s="546">
        <f>AF281-AD281</f>
        <v>33</v>
      </c>
      <c r="AJ281" s="553"/>
    </row>
    <row r="282" spans="1:36" s="218" customFormat="1" ht="14.25" customHeight="1">
      <c r="A282" s="586" t="s">
        <v>2330</v>
      </c>
      <c r="B282" s="545" t="s">
        <v>540</v>
      </c>
      <c r="C282" s="386" t="s">
        <v>2296</v>
      </c>
      <c r="D282" s="386">
        <v>43165</v>
      </c>
      <c r="E282" s="536">
        <v>43165</v>
      </c>
      <c r="F282" s="536">
        <v>43165</v>
      </c>
      <c r="G282" s="756"/>
      <c r="H282" s="757"/>
      <c r="I282" s="756"/>
      <c r="J282" s="576">
        <v>43221</v>
      </c>
      <c r="K282" s="386"/>
      <c r="L282" s="392" t="str">
        <f>TEXT(F282,"mmm-yy")</f>
        <v>Mar-18</v>
      </c>
      <c r="M282" s="392" t="str">
        <f>TEXT(J282,"mmm-yy")</f>
        <v>May-18</v>
      </c>
      <c r="N282" s="397" t="s">
        <v>2595</v>
      </c>
      <c r="O282" s="418" t="s">
        <v>2198</v>
      </c>
      <c r="P282" s="538">
        <v>640.70000000000005</v>
      </c>
      <c r="Q282" s="700"/>
      <c r="R282" s="538">
        <f>SUM(P282:Q282)</f>
        <v>640.70000000000005</v>
      </c>
      <c r="S282" s="495">
        <f>R282*1.1</f>
        <v>704.7700000000001</v>
      </c>
      <c r="T282" s="539"/>
      <c r="U282" s="539">
        <f>50*5</f>
        <v>250</v>
      </c>
      <c r="V282" s="389">
        <f>SUM(T282:U282)</f>
        <v>250</v>
      </c>
      <c r="W282" s="388">
        <f>R282-V282</f>
        <v>390.70000000000005</v>
      </c>
      <c r="X282" s="589">
        <f>W282/R282</f>
        <v>0.60980177930388635</v>
      </c>
      <c r="Y282" s="544"/>
      <c r="Z282" s="536">
        <f>F282+14</f>
        <v>43179</v>
      </c>
      <c r="AA282" s="544"/>
      <c r="AB282" s="393" t="s">
        <v>2209</v>
      </c>
      <c r="AC282" s="691"/>
      <c r="AD282" s="691"/>
      <c r="AE282" s="692"/>
      <c r="AF282" s="691"/>
      <c r="AG282" s="693"/>
      <c r="AJ282" s="553"/>
    </row>
    <row r="283" spans="1:36" s="218" customFormat="1" ht="14.25" customHeight="1">
      <c r="A283" s="586" t="s">
        <v>2331</v>
      </c>
      <c r="B283" s="545" t="s">
        <v>540</v>
      </c>
      <c r="C283" s="386" t="s">
        <v>2297</v>
      </c>
      <c r="D283" s="386">
        <v>43165</v>
      </c>
      <c r="E283" s="536">
        <v>43165</v>
      </c>
      <c r="F283" s="536">
        <v>43165</v>
      </c>
      <c r="G283" s="756"/>
      <c r="H283" s="757"/>
      <c r="I283" s="756"/>
      <c r="J283" s="576">
        <v>43221</v>
      </c>
      <c r="K283" s="386"/>
      <c r="L283" s="392" t="str">
        <f>TEXT(F283,"mmm-yy")</f>
        <v>Mar-18</v>
      </c>
      <c r="M283" s="392" t="str">
        <f>TEXT(J283,"mmm-yy")</f>
        <v>May-18</v>
      </c>
      <c r="N283" s="397" t="s">
        <v>2589</v>
      </c>
      <c r="O283" s="418" t="s">
        <v>2208</v>
      </c>
      <c r="P283" s="538">
        <v>704.77</v>
      </c>
      <c r="Q283" s="700"/>
      <c r="R283" s="538">
        <f>SUM(P283:Q283)</f>
        <v>704.77</v>
      </c>
      <c r="S283" s="495">
        <f>R283*1.1</f>
        <v>775.24700000000007</v>
      </c>
      <c r="T283" s="539"/>
      <c r="U283" s="539">
        <f>44.14*5.5</f>
        <v>242.77</v>
      </c>
      <c r="V283" s="389">
        <f>SUM(T283:U283)</f>
        <v>242.77</v>
      </c>
      <c r="W283" s="388">
        <f>R283-V283</f>
        <v>462</v>
      </c>
      <c r="X283" s="589">
        <f>W283/R283</f>
        <v>0.6555330107694709</v>
      </c>
      <c r="Y283" s="544"/>
      <c r="Z283" s="536">
        <f>F283+14</f>
        <v>43179</v>
      </c>
      <c r="AA283" s="544"/>
      <c r="AB283" s="393" t="s">
        <v>2209</v>
      </c>
      <c r="AC283" s="691"/>
      <c r="AD283" s="691"/>
      <c r="AE283" s="692"/>
      <c r="AF283" s="691"/>
      <c r="AG283" s="693"/>
      <c r="AJ283" s="553"/>
    </row>
    <row r="284" spans="1:36" s="218" customFormat="1" ht="14.25" customHeight="1">
      <c r="A284" s="586" t="s">
        <v>2331</v>
      </c>
      <c r="B284" s="545" t="s">
        <v>540</v>
      </c>
      <c r="C284" s="386" t="s">
        <v>2298</v>
      </c>
      <c r="D284" s="386">
        <v>43165</v>
      </c>
      <c r="E284" s="536">
        <v>43165</v>
      </c>
      <c r="F284" s="536">
        <v>43165</v>
      </c>
      <c r="G284" s="756"/>
      <c r="H284" s="757"/>
      <c r="I284" s="756"/>
      <c r="J284" s="576">
        <v>43221</v>
      </c>
      <c r="K284" s="386"/>
      <c r="L284" s="392" t="str">
        <f>TEXT(F284,"mmm-yy")</f>
        <v>Mar-18</v>
      </c>
      <c r="M284" s="392" t="str">
        <f>TEXT(J284,"mmm-yy")</f>
        <v>May-18</v>
      </c>
      <c r="N284" s="397" t="s">
        <v>2588</v>
      </c>
      <c r="O284" s="418" t="s">
        <v>865</v>
      </c>
      <c r="P284" s="538">
        <v>256.27999999999997</v>
      </c>
      <c r="Q284" s="700"/>
      <c r="R284" s="538">
        <f>SUM(P284:Q284)</f>
        <v>256.27999999999997</v>
      </c>
      <c r="S284" s="495">
        <f>R284*1.1</f>
        <v>281.90800000000002</v>
      </c>
      <c r="T284" s="539"/>
      <c r="U284" s="539">
        <f>44.14*2</f>
        <v>88.28</v>
      </c>
      <c r="V284" s="389">
        <f>SUM(T284:U284)</f>
        <v>88.28</v>
      </c>
      <c r="W284" s="388">
        <f>R284-V284</f>
        <v>167.99999999999997</v>
      </c>
      <c r="X284" s="589">
        <f>W284/R284</f>
        <v>0.6555330107694709</v>
      </c>
      <c r="Y284" s="544"/>
      <c r="Z284" s="536">
        <f>F284+14</f>
        <v>43179</v>
      </c>
      <c r="AA284" s="544"/>
      <c r="AB284" s="393" t="s">
        <v>2209</v>
      </c>
      <c r="AC284" s="691"/>
      <c r="AD284" s="691"/>
      <c r="AE284" s="692"/>
      <c r="AF284" s="691"/>
      <c r="AG284" s="693"/>
      <c r="AJ284" s="553"/>
    </row>
    <row r="285" spans="1:36" s="218" customFormat="1" ht="14.25" customHeight="1">
      <c r="A285" s="586" t="s">
        <v>2331</v>
      </c>
      <c r="B285" s="545" t="s">
        <v>540</v>
      </c>
      <c r="C285" s="386" t="s">
        <v>2328</v>
      </c>
      <c r="D285" s="386">
        <v>43166</v>
      </c>
      <c r="E285" s="392">
        <v>43166</v>
      </c>
      <c r="F285" s="392">
        <v>43166</v>
      </c>
      <c r="G285" s="756"/>
      <c r="H285" s="757"/>
      <c r="I285" s="756"/>
      <c r="J285" s="576">
        <v>43221</v>
      </c>
      <c r="K285" s="386"/>
      <c r="L285" s="392" t="str">
        <f>TEXT(F285,"mmm-yy")</f>
        <v>Mar-18</v>
      </c>
      <c r="M285" s="392" t="str">
        <f>TEXT(J285,"mmm-yy")</f>
        <v>May-18</v>
      </c>
      <c r="N285" s="397" t="s">
        <v>2586</v>
      </c>
      <c r="O285" s="418" t="s">
        <v>2161</v>
      </c>
      <c r="P285" s="538">
        <v>128.13999999999999</v>
      </c>
      <c r="Q285" s="700"/>
      <c r="R285" s="538">
        <f>SUM(P285:Q285)</f>
        <v>128.13999999999999</v>
      </c>
      <c r="S285" s="495">
        <f>R285*1.1</f>
        <v>140.95400000000001</v>
      </c>
      <c r="T285" s="539"/>
      <c r="U285" s="539">
        <v>44.14</v>
      </c>
      <c r="V285" s="389">
        <f>SUM(T285:U285)</f>
        <v>44.14</v>
      </c>
      <c r="W285" s="388">
        <f>R285-V285</f>
        <v>83.999999999999986</v>
      </c>
      <c r="X285" s="589">
        <f>W285/R285</f>
        <v>0.6555330107694709</v>
      </c>
      <c r="Y285" s="544"/>
      <c r="Z285" s="536">
        <f>F285+14</f>
        <v>43180</v>
      </c>
      <c r="AA285" s="544"/>
      <c r="AB285" s="393" t="s">
        <v>2209</v>
      </c>
      <c r="AC285" s="691"/>
      <c r="AD285" s="691"/>
      <c r="AE285" s="692"/>
      <c r="AF285" s="691"/>
      <c r="AG285" s="693"/>
      <c r="AJ285" s="553"/>
    </row>
    <row r="286" spans="1:36" s="218" customFormat="1" ht="14.25" customHeight="1">
      <c r="A286" s="586" t="s">
        <v>2331</v>
      </c>
      <c r="B286" s="545" t="s">
        <v>540</v>
      </c>
      <c r="C286" s="386" t="s">
        <v>2329</v>
      </c>
      <c r="D286" s="386">
        <v>43166</v>
      </c>
      <c r="E286" s="392">
        <v>43166</v>
      </c>
      <c r="F286" s="392">
        <v>43166</v>
      </c>
      <c r="G286" s="756"/>
      <c r="H286" s="757"/>
      <c r="I286" s="756"/>
      <c r="J286" s="576">
        <v>43221</v>
      </c>
      <c r="K286" s="386"/>
      <c r="L286" s="392" t="str">
        <f>TEXT(F286,"mmm-yy")</f>
        <v>Mar-18</v>
      </c>
      <c r="M286" s="392" t="str">
        <f>TEXT(J286,"mmm-yy")</f>
        <v>May-18</v>
      </c>
      <c r="N286" s="397" t="s">
        <v>2568</v>
      </c>
      <c r="O286" s="418" t="s">
        <v>2208</v>
      </c>
      <c r="P286" s="538">
        <v>256.27999999999997</v>
      </c>
      <c r="Q286" s="700"/>
      <c r="R286" s="538">
        <f>SUM(P286:Q286)</f>
        <v>256.27999999999997</v>
      </c>
      <c r="S286" s="495">
        <f>R286*1.1</f>
        <v>281.90800000000002</v>
      </c>
      <c r="T286" s="539"/>
      <c r="U286" s="539">
        <f>44.14*2</f>
        <v>88.28</v>
      </c>
      <c r="V286" s="389">
        <f>SUM(T286:U286)</f>
        <v>88.28</v>
      </c>
      <c r="W286" s="388">
        <f>R286-V286</f>
        <v>167.99999999999997</v>
      </c>
      <c r="X286" s="589">
        <f>W286/R286</f>
        <v>0.6555330107694709</v>
      </c>
      <c r="Y286" s="544"/>
      <c r="Z286" s="536">
        <f>F286+14</f>
        <v>43180</v>
      </c>
      <c r="AA286" s="544"/>
      <c r="AB286" s="393" t="s">
        <v>2209</v>
      </c>
      <c r="AC286" s="691"/>
      <c r="AD286" s="691"/>
      <c r="AE286" s="692"/>
      <c r="AF286" s="691"/>
      <c r="AG286" s="693"/>
      <c r="AJ286" s="553"/>
    </row>
    <row r="287" spans="1:36" s="218" customFormat="1" ht="14.25" customHeight="1">
      <c r="A287" s="586" t="s">
        <v>2331</v>
      </c>
      <c r="B287" s="545" t="s">
        <v>540</v>
      </c>
      <c r="C287" s="386" t="s">
        <v>2327</v>
      </c>
      <c r="D287" s="386">
        <v>43166</v>
      </c>
      <c r="E287" s="392">
        <v>43166</v>
      </c>
      <c r="F287" s="392">
        <v>43166</v>
      </c>
      <c r="G287" s="756"/>
      <c r="H287" s="757"/>
      <c r="I287" s="756"/>
      <c r="J287" s="576">
        <v>43221</v>
      </c>
      <c r="K287" s="386"/>
      <c r="L287" s="392" t="str">
        <f>TEXT(F287,"mmm-yy")</f>
        <v>Mar-18</v>
      </c>
      <c r="M287" s="392" t="str">
        <f>TEXT(J287,"mmm-yy")</f>
        <v>May-18</v>
      </c>
      <c r="N287" s="397" t="s">
        <v>2569</v>
      </c>
      <c r="O287" s="418" t="s">
        <v>2299</v>
      </c>
      <c r="P287" s="538">
        <v>320.34999999999997</v>
      </c>
      <c r="Q287" s="700"/>
      <c r="R287" s="538">
        <f>SUM(P287:Q287)</f>
        <v>320.34999999999997</v>
      </c>
      <c r="S287" s="495">
        <f>R287*1.1</f>
        <v>352.38499999999999</v>
      </c>
      <c r="T287" s="539"/>
      <c r="U287" s="539">
        <f>44.14*2.5</f>
        <v>110.35</v>
      </c>
      <c r="V287" s="389">
        <f>SUM(T287:U287)</f>
        <v>110.35</v>
      </c>
      <c r="W287" s="388">
        <f>R287-V287</f>
        <v>209.99999999999997</v>
      </c>
      <c r="X287" s="589">
        <f>W287/R287</f>
        <v>0.6555330107694709</v>
      </c>
      <c r="Y287" s="544"/>
      <c r="Z287" s="536">
        <f>F287+14</f>
        <v>43180</v>
      </c>
      <c r="AA287" s="544"/>
      <c r="AB287" s="393" t="s">
        <v>2209</v>
      </c>
      <c r="AC287" s="691"/>
      <c r="AD287" s="691"/>
      <c r="AE287" s="692"/>
      <c r="AF287" s="691"/>
      <c r="AG287" s="693"/>
      <c r="AJ287" s="553"/>
    </row>
    <row r="288" spans="1:36" s="218" customFormat="1" ht="14.25" customHeight="1">
      <c r="A288" s="586" t="s">
        <v>2306</v>
      </c>
      <c r="B288" s="545" t="s">
        <v>540</v>
      </c>
      <c r="C288" s="386" t="s">
        <v>2409</v>
      </c>
      <c r="D288" s="386">
        <v>43182</v>
      </c>
      <c r="E288" s="536">
        <v>43189</v>
      </c>
      <c r="F288" s="536">
        <v>43189</v>
      </c>
      <c r="G288" s="756"/>
      <c r="H288" s="757"/>
      <c r="I288" s="756"/>
      <c r="J288" s="741">
        <v>43220</v>
      </c>
      <c r="K288" s="386"/>
      <c r="L288" s="392" t="str">
        <f>TEXT(F288,"mmm-yy")</f>
        <v>Mar-18</v>
      </c>
      <c r="M288" s="392" t="str">
        <f>TEXT(J288,"mmm-yy")</f>
        <v>Apr-18</v>
      </c>
      <c r="N288" s="397" t="s">
        <v>2307</v>
      </c>
      <c r="O288" s="418" t="s">
        <v>2308</v>
      </c>
      <c r="P288" s="538">
        <v>8225.7000000000007</v>
      </c>
      <c r="Q288" s="538">
        <v>1515.82</v>
      </c>
      <c r="R288" s="538">
        <f>SUM(P288:Q288)</f>
        <v>9741.52</v>
      </c>
      <c r="S288" s="495">
        <f>R288*1.1</f>
        <v>10715.672</v>
      </c>
      <c r="T288" s="539"/>
      <c r="U288" s="539"/>
      <c r="V288" s="389">
        <f>SUM(T288:U288)</f>
        <v>0</v>
      </c>
      <c r="W288" s="388">
        <f>R288-V288</f>
        <v>9741.52</v>
      </c>
      <c r="X288" s="589">
        <f>W288/R288</f>
        <v>1</v>
      </c>
      <c r="Y288" s="544"/>
      <c r="Z288" s="536">
        <f>F288+14</f>
        <v>43203</v>
      </c>
      <c r="AA288" s="544"/>
      <c r="AB288" s="393" t="s">
        <v>2309</v>
      </c>
      <c r="AC288" s="691"/>
      <c r="AD288" s="691"/>
      <c r="AE288" s="692"/>
      <c r="AF288" s="691"/>
      <c r="AG288" s="693"/>
      <c r="AJ288" s="553"/>
    </row>
    <row r="289" spans="1:36" s="218" customFormat="1" ht="14.25" customHeight="1">
      <c r="A289" s="586" t="s">
        <v>2331</v>
      </c>
      <c r="B289" s="545" t="s">
        <v>540</v>
      </c>
      <c r="C289" s="386" t="s">
        <v>2326</v>
      </c>
      <c r="D289" s="386">
        <v>43166</v>
      </c>
      <c r="E289" s="392">
        <v>43166</v>
      </c>
      <c r="F289" s="690">
        <v>43166</v>
      </c>
      <c r="G289" s="756"/>
      <c r="H289" s="757"/>
      <c r="I289" s="756"/>
      <c r="J289" s="576">
        <v>43221</v>
      </c>
      <c r="K289" s="386"/>
      <c r="L289" s="392" t="str">
        <f>TEXT(F289,"mmm-yy")</f>
        <v>Mar-18</v>
      </c>
      <c r="M289" s="392" t="str">
        <f>TEXT(J289,"mmm-yy")</f>
        <v>May-18</v>
      </c>
      <c r="N289" s="397" t="s">
        <v>2583</v>
      </c>
      <c r="O289" s="418" t="s">
        <v>2310</v>
      </c>
      <c r="P289" s="538">
        <v>825.69999999999993</v>
      </c>
      <c r="Q289" s="700"/>
      <c r="R289" s="538">
        <f>SUM(P289:Q289)</f>
        <v>825.69999999999993</v>
      </c>
      <c r="S289" s="495">
        <f>R289*1.1</f>
        <v>908.27</v>
      </c>
      <c r="T289" s="539"/>
      <c r="U289" s="539">
        <f>44.14*5</f>
        <v>220.7</v>
      </c>
      <c r="V289" s="389">
        <f>SUM(T289:U289)</f>
        <v>220.7</v>
      </c>
      <c r="W289" s="388">
        <f>R289-V289</f>
        <v>605</v>
      </c>
      <c r="X289" s="589">
        <f>W289/R289</f>
        <v>0.7327116386096646</v>
      </c>
      <c r="Y289" s="544"/>
      <c r="Z289" s="536">
        <f>F289+14</f>
        <v>43180</v>
      </c>
      <c r="AA289" s="544"/>
      <c r="AB289" s="393" t="s">
        <v>2209</v>
      </c>
      <c r="AC289" s="691"/>
      <c r="AD289" s="691"/>
      <c r="AE289" s="692"/>
      <c r="AF289" s="691"/>
      <c r="AG289" s="693"/>
      <c r="AJ289" s="553"/>
    </row>
    <row r="290" spans="1:36" s="218" customFormat="1" ht="14.25" customHeight="1">
      <c r="A290" s="586" t="s">
        <v>2331</v>
      </c>
      <c r="B290" s="545" t="s">
        <v>540</v>
      </c>
      <c r="C290" s="386" t="s">
        <v>2333</v>
      </c>
      <c r="D290" s="386">
        <v>43166</v>
      </c>
      <c r="E290" s="392">
        <v>43166</v>
      </c>
      <c r="F290" s="690">
        <v>43166</v>
      </c>
      <c r="G290" s="756"/>
      <c r="H290" s="757"/>
      <c r="I290" s="756"/>
      <c r="J290" s="576">
        <v>43221</v>
      </c>
      <c r="K290" s="386"/>
      <c r="L290" s="392" t="str">
        <f>TEXT(F290,"mmm-yy")</f>
        <v>Mar-18</v>
      </c>
      <c r="M290" s="392" t="str">
        <f>TEXT(J290,"mmm-yy")</f>
        <v>May-18</v>
      </c>
      <c r="N290" s="397" t="s">
        <v>2571</v>
      </c>
      <c r="O290" s="418" t="s">
        <v>2332</v>
      </c>
      <c r="P290" s="538">
        <v>2229.3000000000002</v>
      </c>
      <c r="Q290" s="700"/>
      <c r="R290" s="538">
        <f>SUM(P290:Q290)</f>
        <v>2229.3000000000002</v>
      </c>
      <c r="S290" s="495">
        <f>R290*1.1</f>
        <v>2452.2300000000005</v>
      </c>
      <c r="T290" s="539"/>
      <c r="U290" s="539">
        <f>44.14*4</f>
        <v>176.56</v>
      </c>
      <c r="V290" s="389">
        <f>SUM(T290:U290)</f>
        <v>176.56</v>
      </c>
      <c r="W290" s="388">
        <f>R290-V290</f>
        <v>2052.7400000000002</v>
      </c>
      <c r="X290" s="589">
        <f>W290/R290</f>
        <v>0.92080025119992825</v>
      </c>
      <c r="Y290" s="544"/>
      <c r="Z290" s="536">
        <f>F290+14</f>
        <v>43180</v>
      </c>
      <c r="AA290" s="544"/>
      <c r="AB290" s="393" t="s">
        <v>2209</v>
      </c>
      <c r="AC290" s="691"/>
      <c r="AD290" s="691"/>
      <c r="AE290" s="692"/>
      <c r="AF290" s="691"/>
      <c r="AG290" s="693"/>
      <c r="AJ290" s="553"/>
    </row>
    <row r="291" spans="1:36" s="218" customFormat="1" ht="14.25" customHeight="1">
      <c r="A291" s="586" t="s">
        <v>2331</v>
      </c>
      <c r="B291" s="545" t="s">
        <v>540</v>
      </c>
      <c r="C291" s="386" t="s">
        <v>2335</v>
      </c>
      <c r="D291" s="386">
        <v>43166</v>
      </c>
      <c r="E291" s="392">
        <v>43166</v>
      </c>
      <c r="F291" s="690">
        <v>43166</v>
      </c>
      <c r="G291" s="756"/>
      <c r="H291" s="757"/>
      <c r="I291" s="756"/>
      <c r="J291" s="576">
        <v>43221</v>
      </c>
      <c r="K291" s="386"/>
      <c r="L291" s="392" t="str">
        <f>TEXT(F291,"mmm-yy")</f>
        <v>Mar-18</v>
      </c>
      <c r="M291" s="392" t="str">
        <f>TEXT(J291,"mmm-yy")</f>
        <v>May-18</v>
      </c>
      <c r="N291" s="397" t="s">
        <v>2585</v>
      </c>
      <c r="O291" s="418" t="s">
        <v>772</v>
      </c>
      <c r="P291" s="538">
        <v>3511.9700000000003</v>
      </c>
      <c r="Q291" s="700"/>
      <c r="R291" s="538">
        <f>SUM(P291:Q291)</f>
        <v>3511.9700000000003</v>
      </c>
      <c r="S291" s="495">
        <f>R291*1.1</f>
        <v>3863.1670000000004</v>
      </c>
      <c r="T291" s="539"/>
      <c r="U291" s="539">
        <f>44.14*3.5</f>
        <v>154.49</v>
      </c>
      <c r="V291" s="389">
        <f>SUM(T291:U291)</f>
        <v>154.49</v>
      </c>
      <c r="W291" s="388">
        <f>R291-V291</f>
        <v>3357.4800000000005</v>
      </c>
      <c r="X291" s="589">
        <f>W291/R291</f>
        <v>0.95601044428056059</v>
      </c>
      <c r="Y291" s="544"/>
      <c r="Z291" s="536">
        <f>F291+14</f>
        <v>43180</v>
      </c>
      <c r="AA291" s="544"/>
      <c r="AB291" s="393" t="s">
        <v>2209</v>
      </c>
      <c r="AC291" s="691"/>
      <c r="AD291" s="691"/>
      <c r="AE291" s="692"/>
      <c r="AF291" s="691"/>
      <c r="AG291" s="693"/>
      <c r="AJ291" s="553"/>
    </row>
    <row r="292" spans="1:36" s="218" customFormat="1" ht="14.25" customHeight="1">
      <c r="A292" s="586" t="s">
        <v>2331</v>
      </c>
      <c r="B292" s="545" t="s">
        <v>540</v>
      </c>
      <c r="C292" s="386" t="s">
        <v>2336</v>
      </c>
      <c r="D292" s="386">
        <v>43166</v>
      </c>
      <c r="E292" s="392">
        <v>43166</v>
      </c>
      <c r="F292" s="690">
        <v>43166</v>
      </c>
      <c r="G292" s="756"/>
      <c r="H292" s="757"/>
      <c r="I292" s="756"/>
      <c r="J292" s="576">
        <v>43221</v>
      </c>
      <c r="K292" s="386"/>
      <c r="L292" s="392" t="str">
        <f>TEXT(F292,"mmm-yy")</f>
        <v>Mar-18</v>
      </c>
      <c r="M292" s="392" t="str">
        <f>TEXT(J292,"mmm-yy")</f>
        <v>May-18</v>
      </c>
      <c r="N292" s="397" t="s">
        <v>2587</v>
      </c>
      <c r="O292" s="418" t="s">
        <v>2334</v>
      </c>
      <c r="P292" s="538">
        <v>1402.33</v>
      </c>
      <c r="Q292" s="700"/>
      <c r="R292" s="538">
        <f>SUM(P292:Q292)</f>
        <v>1402.33</v>
      </c>
      <c r="S292" s="495">
        <f>R292*1.1</f>
        <v>1542.5630000000001</v>
      </c>
      <c r="T292" s="539"/>
      <c r="U292" s="539">
        <f>44.14*9.5+185</f>
        <v>604.32999999999993</v>
      </c>
      <c r="V292" s="389">
        <f>SUM(T292:U292)</f>
        <v>604.32999999999993</v>
      </c>
      <c r="W292" s="388">
        <f>R292-V292</f>
        <v>798</v>
      </c>
      <c r="X292" s="589">
        <f>W292/R292</f>
        <v>0.5690529333323826</v>
      </c>
      <c r="Y292" s="544"/>
      <c r="Z292" s="536">
        <f>F292+14</f>
        <v>43180</v>
      </c>
      <c r="AA292" s="544"/>
      <c r="AB292" s="393" t="s">
        <v>2209</v>
      </c>
      <c r="AC292" s="691"/>
      <c r="AD292" s="691"/>
      <c r="AE292" s="692"/>
      <c r="AF292" s="691"/>
      <c r="AG292" s="693"/>
      <c r="AJ292" s="553"/>
    </row>
    <row r="293" spans="1:36" s="218" customFormat="1" ht="14.25" customHeight="1">
      <c r="A293" s="586" t="s">
        <v>2331</v>
      </c>
      <c r="B293" s="545" t="s">
        <v>540</v>
      </c>
      <c r="C293" s="386" t="s">
        <v>2356</v>
      </c>
      <c r="D293" s="386">
        <v>43166</v>
      </c>
      <c r="E293" s="392">
        <v>43166</v>
      </c>
      <c r="F293" s="690">
        <v>43166</v>
      </c>
      <c r="G293" s="756"/>
      <c r="H293" s="757"/>
      <c r="I293" s="756"/>
      <c r="J293" s="576">
        <v>43221</v>
      </c>
      <c r="K293" s="386"/>
      <c r="L293" s="392" t="str">
        <f>TEXT(F293,"mmm-yy")</f>
        <v>Mar-18</v>
      </c>
      <c r="M293" s="392" t="str">
        <f>TEXT(J293,"mmm-yy")</f>
        <v>May-18</v>
      </c>
      <c r="N293" s="397" t="s">
        <v>2566</v>
      </c>
      <c r="O293" s="418" t="s">
        <v>2265</v>
      </c>
      <c r="P293" s="538">
        <v>512.55999999999995</v>
      </c>
      <c r="Q293" s="700"/>
      <c r="R293" s="538">
        <f>SUM(P293:Q293)</f>
        <v>512.55999999999995</v>
      </c>
      <c r="S293" s="495">
        <f>R293*1.1</f>
        <v>563.81600000000003</v>
      </c>
      <c r="T293" s="539"/>
      <c r="U293" s="539">
        <f>44.14*4</f>
        <v>176.56</v>
      </c>
      <c r="V293" s="389">
        <f>SUM(T293:U293)</f>
        <v>176.56</v>
      </c>
      <c r="W293" s="388">
        <f>R293-V293</f>
        <v>335.99999999999994</v>
      </c>
      <c r="X293" s="589">
        <f>W293/R293</f>
        <v>0.6555330107694709</v>
      </c>
      <c r="Y293" s="544"/>
      <c r="Z293" s="536">
        <f>F293+14</f>
        <v>43180</v>
      </c>
      <c r="AA293" s="544"/>
      <c r="AB293" s="393" t="s">
        <v>2209</v>
      </c>
      <c r="AC293" s="691"/>
      <c r="AD293" s="691"/>
      <c r="AE293" s="692"/>
      <c r="AF293" s="691"/>
      <c r="AG293" s="693"/>
      <c r="AJ293" s="553"/>
    </row>
    <row r="294" spans="1:36" s="218" customFormat="1" ht="14.25" customHeight="1">
      <c r="A294" s="586" t="s">
        <v>2330</v>
      </c>
      <c r="B294" s="545" t="s">
        <v>540</v>
      </c>
      <c r="C294" s="386" t="s">
        <v>2355</v>
      </c>
      <c r="D294" s="386">
        <v>43167</v>
      </c>
      <c r="E294" s="392">
        <v>43167</v>
      </c>
      <c r="F294" s="392">
        <v>43167</v>
      </c>
      <c r="G294" s="756"/>
      <c r="H294" s="757"/>
      <c r="I294" s="756"/>
      <c r="J294" s="576">
        <v>43221</v>
      </c>
      <c r="K294" s="386"/>
      <c r="L294" s="392" t="str">
        <f>TEXT(F294,"mmm-yy")</f>
        <v>Mar-18</v>
      </c>
      <c r="M294" s="392" t="str">
        <f>TEXT(J294,"mmm-yy")</f>
        <v>May-18</v>
      </c>
      <c r="N294" s="397" t="s">
        <v>2596</v>
      </c>
      <c r="O294" s="418" t="s">
        <v>2198</v>
      </c>
      <c r="P294" s="538">
        <v>1153.26</v>
      </c>
      <c r="Q294" s="700"/>
      <c r="R294" s="538">
        <f>SUM(P294:Q294)</f>
        <v>1153.26</v>
      </c>
      <c r="S294" s="495">
        <f>R294*1.1</f>
        <v>1268.586</v>
      </c>
      <c r="T294" s="539"/>
      <c r="U294" s="539">
        <f>50*7</f>
        <v>350</v>
      </c>
      <c r="V294" s="389">
        <f>SUM(T294:U294)</f>
        <v>350</v>
      </c>
      <c r="W294" s="388">
        <f>R294-V294</f>
        <v>803.26</v>
      </c>
      <c r="X294" s="589">
        <f>W294/R293</f>
        <v>1.5671531137818013</v>
      </c>
      <c r="Y294" s="544"/>
      <c r="Z294" s="536">
        <f>F293+14</f>
        <v>43180</v>
      </c>
      <c r="AA294" s="544"/>
      <c r="AB294" s="393" t="s">
        <v>2209</v>
      </c>
      <c r="AC294" s="691"/>
      <c r="AD294" s="691"/>
      <c r="AE294" s="692"/>
      <c r="AF294" s="691"/>
      <c r="AG294" s="693"/>
      <c r="AJ294" s="553"/>
    </row>
    <row r="295" spans="1:36" s="218" customFormat="1" ht="14.25" customHeight="1">
      <c r="A295" s="586" t="s">
        <v>2330</v>
      </c>
      <c r="B295" s="545" t="s">
        <v>540</v>
      </c>
      <c r="C295" s="386" t="s">
        <v>2359</v>
      </c>
      <c r="D295" s="386">
        <v>43167</v>
      </c>
      <c r="E295" s="392">
        <v>43167</v>
      </c>
      <c r="F295" s="392">
        <v>43167</v>
      </c>
      <c r="G295" s="756"/>
      <c r="H295" s="757"/>
      <c r="I295" s="756"/>
      <c r="J295" s="576">
        <v>43221</v>
      </c>
      <c r="K295" s="386"/>
      <c r="L295" s="392" t="str">
        <f>TEXT(F295,"mmm-yy")</f>
        <v>Mar-18</v>
      </c>
      <c r="M295" s="392" t="str">
        <f>TEXT(J295,"mmm-yy")</f>
        <v>May-18</v>
      </c>
      <c r="N295" s="397" t="s">
        <v>2597</v>
      </c>
      <c r="O295" s="418" t="s">
        <v>2357</v>
      </c>
      <c r="P295" s="538">
        <v>1217.33</v>
      </c>
      <c r="Q295" s="700"/>
      <c r="R295" s="538">
        <f>SUM(P295:Q295)</f>
        <v>1217.33</v>
      </c>
      <c r="S295" s="495">
        <f>R295*1.1</f>
        <v>1339.0630000000001</v>
      </c>
      <c r="T295" s="539"/>
      <c r="U295" s="539">
        <f>50*9.5</f>
        <v>475</v>
      </c>
      <c r="V295" s="389">
        <f>SUM(T295:U295)</f>
        <v>475</v>
      </c>
      <c r="W295" s="388">
        <f>R295-V295</f>
        <v>742.32999999999993</v>
      </c>
      <c r="X295" s="589">
        <f>W295/R294</f>
        <v>0.64367965593188003</v>
      </c>
      <c r="Y295" s="544"/>
      <c r="Z295" s="536">
        <f>F294+14</f>
        <v>43181</v>
      </c>
      <c r="AA295" s="544"/>
      <c r="AB295" s="393" t="s">
        <v>2209</v>
      </c>
      <c r="AC295" s="691"/>
      <c r="AD295" s="691"/>
      <c r="AE295" s="692"/>
      <c r="AF295" s="691"/>
      <c r="AG295" s="693"/>
      <c r="AJ295" s="553"/>
    </row>
    <row r="296" spans="1:36" s="218" customFormat="1" ht="14.25" customHeight="1">
      <c r="A296" s="586" t="s">
        <v>2330</v>
      </c>
      <c r="B296" s="545" t="s">
        <v>540</v>
      </c>
      <c r="C296" s="386" t="s">
        <v>2363</v>
      </c>
      <c r="D296" s="386">
        <v>43167</v>
      </c>
      <c r="E296" s="392">
        <v>43167</v>
      </c>
      <c r="F296" s="392">
        <v>43167</v>
      </c>
      <c r="G296" s="756"/>
      <c r="H296" s="757"/>
      <c r="I296" s="756"/>
      <c r="J296" s="576">
        <v>43221</v>
      </c>
      <c r="K296" s="386"/>
      <c r="L296" s="392" t="str">
        <f>TEXT(F296,"mmm-yy")</f>
        <v>Mar-18</v>
      </c>
      <c r="M296" s="392" t="str">
        <f>TEXT(J296,"mmm-yy")</f>
        <v>May-18</v>
      </c>
      <c r="N296" s="397" t="s">
        <v>2598</v>
      </c>
      <c r="O296" s="418" t="s">
        <v>2358</v>
      </c>
      <c r="P296" s="538">
        <v>320.35000000000002</v>
      </c>
      <c r="Q296" s="700"/>
      <c r="R296" s="538">
        <f>SUM(P296:Q296)</f>
        <v>320.35000000000002</v>
      </c>
      <c r="S296" s="495">
        <f>R296*1.1</f>
        <v>352.38500000000005</v>
      </c>
      <c r="T296" s="539"/>
      <c r="U296" s="539">
        <f>3*50</f>
        <v>150</v>
      </c>
      <c r="V296" s="389">
        <f>SUM(T296:U296)</f>
        <v>150</v>
      </c>
      <c r="W296" s="388">
        <f>R296-V296</f>
        <v>170.35000000000002</v>
      </c>
      <c r="X296" s="589">
        <f>W296/R295</f>
        <v>0.13993740399070098</v>
      </c>
      <c r="Y296" s="544"/>
      <c r="Z296" s="536">
        <f>F295+14</f>
        <v>43181</v>
      </c>
      <c r="AA296" s="544"/>
      <c r="AB296" s="393" t="s">
        <v>2209</v>
      </c>
      <c r="AC296" s="691"/>
      <c r="AD296" s="691"/>
      <c r="AE296" s="692"/>
      <c r="AF296" s="691"/>
      <c r="AG296" s="693"/>
      <c r="AJ296" s="553"/>
    </row>
    <row r="297" spans="1:36" s="218" customFormat="1" ht="14.25" customHeight="1">
      <c r="A297" s="586" t="s">
        <v>2330</v>
      </c>
      <c r="B297" s="545" t="s">
        <v>540</v>
      </c>
      <c r="C297" s="386" t="s">
        <v>2360</v>
      </c>
      <c r="D297" s="386">
        <v>43167</v>
      </c>
      <c r="E297" s="392">
        <v>43167</v>
      </c>
      <c r="F297" s="392">
        <v>43167</v>
      </c>
      <c r="G297" s="756"/>
      <c r="H297" s="757"/>
      <c r="I297" s="756"/>
      <c r="J297" s="576">
        <v>43221</v>
      </c>
      <c r="K297" s="386"/>
      <c r="L297" s="392" t="str">
        <f>TEXT(F297,"mmm-yy")</f>
        <v>Mar-18</v>
      </c>
      <c r="M297" s="392" t="str">
        <f>TEXT(J297,"mmm-yy")</f>
        <v>May-18</v>
      </c>
      <c r="N297" s="397" t="s">
        <v>2599</v>
      </c>
      <c r="O297" s="418" t="s">
        <v>1168</v>
      </c>
      <c r="P297" s="538">
        <v>512.55999999999995</v>
      </c>
      <c r="Q297" s="700"/>
      <c r="R297" s="538">
        <f>SUM(P297:Q297)</f>
        <v>512.55999999999995</v>
      </c>
      <c r="S297" s="495">
        <f>R297*1.1</f>
        <v>563.81600000000003</v>
      </c>
      <c r="T297" s="539"/>
      <c r="U297" s="539">
        <f>50*3.5</f>
        <v>175</v>
      </c>
      <c r="V297" s="389">
        <f>SUM(T297:U297)</f>
        <v>175</v>
      </c>
      <c r="W297" s="388">
        <f>R297-V297</f>
        <v>337.55999999999995</v>
      </c>
      <c r="X297" s="589">
        <f>W297/R296</f>
        <v>1.0537224910254406</v>
      </c>
      <c r="Y297" s="544"/>
      <c r="Z297" s="536">
        <f>F296+14</f>
        <v>43181</v>
      </c>
      <c r="AA297" s="544"/>
      <c r="AB297" s="393" t="s">
        <v>2209</v>
      </c>
      <c r="AC297" s="691"/>
      <c r="AD297" s="691"/>
      <c r="AE297" s="692"/>
      <c r="AF297" s="691"/>
      <c r="AG297" s="693"/>
      <c r="AJ297" s="553"/>
    </row>
    <row r="298" spans="1:36" s="218" customFormat="1" ht="14.25" customHeight="1">
      <c r="A298" s="586" t="s">
        <v>2330</v>
      </c>
      <c r="B298" s="545" t="s">
        <v>540</v>
      </c>
      <c r="C298" s="386" t="s">
        <v>2361</v>
      </c>
      <c r="D298" s="386">
        <v>43167</v>
      </c>
      <c r="E298" s="392">
        <v>43167</v>
      </c>
      <c r="F298" s="392">
        <v>43167</v>
      </c>
      <c r="G298" s="756"/>
      <c r="H298" s="757"/>
      <c r="I298" s="756"/>
      <c r="J298" s="576">
        <v>43242</v>
      </c>
      <c r="K298" s="386"/>
      <c r="L298" s="392" t="str">
        <f>TEXT(F298,"mmm-yy")</f>
        <v>Mar-18</v>
      </c>
      <c r="M298" s="392" t="str">
        <f>TEXT(J298,"mmm-yy")</f>
        <v>May-18</v>
      </c>
      <c r="N298" s="445" t="s">
        <v>2792</v>
      </c>
      <c r="O298" s="418" t="s">
        <v>2193</v>
      </c>
      <c r="P298" s="418">
        <v>256.27999999999997</v>
      </c>
      <c r="Q298" s="685"/>
      <c r="R298" s="418">
        <f>SUM(P298:Q298)</f>
        <v>256.27999999999997</v>
      </c>
      <c r="S298" s="494">
        <f>R298*1.1</f>
        <v>281.90800000000002</v>
      </c>
      <c r="T298" s="544"/>
      <c r="U298" s="544">
        <f>50*2</f>
        <v>100</v>
      </c>
      <c r="V298" s="389">
        <f>SUM(T298:U298)</f>
        <v>100</v>
      </c>
      <c r="W298" s="388">
        <f>R298-V298</f>
        <v>156.27999999999997</v>
      </c>
      <c r="X298" s="589">
        <f>W298/R297</f>
        <v>0.30490088965194317</v>
      </c>
      <c r="Y298" s="544"/>
      <c r="Z298" s="536">
        <f>F297+14</f>
        <v>43181</v>
      </c>
      <c r="AA298" s="544"/>
      <c r="AB298" s="393" t="s">
        <v>2209</v>
      </c>
      <c r="AC298" s="691"/>
      <c r="AD298" s="691"/>
      <c r="AE298" s="692"/>
      <c r="AF298" s="691"/>
      <c r="AG298" s="693"/>
      <c r="AJ298" s="553"/>
    </row>
    <row r="299" spans="1:36" s="218" customFormat="1" ht="14.25" customHeight="1">
      <c r="A299" s="586" t="s">
        <v>2330</v>
      </c>
      <c r="B299" s="545" t="s">
        <v>540</v>
      </c>
      <c r="C299" s="386" t="s">
        <v>2362</v>
      </c>
      <c r="D299" s="386">
        <v>43167</v>
      </c>
      <c r="E299" s="392">
        <v>43167</v>
      </c>
      <c r="F299" s="392">
        <v>43167</v>
      </c>
      <c r="G299" s="756"/>
      <c r="H299" s="757"/>
      <c r="I299" s="756"/>
      <c r="J299" s="601"/>
      <c r="K299" s="386"/>
      <c r="L299" s="392" t="str">
        <f>TEXT(F299,"mmm-yy")</f>
        <v>Mar-18</v>
      </c>
      <c r="M299" s="392" t="str">
        <f>TEXT(J299,"mmm-yy")</f>
        <v>Jan-00</v>
      </c>
      <c r="N299" s="397" t="s">
        <v>2621</v>
      </c>
      <c r="O299" s="418" t="s">
        <v>2198</v>
      </c>
      <c r="P299" s="538">
        <v>1153.2599999999998</v>
      </c>
      <c r="Q299" s="700"/>
      <c r="R299" s="538">
        <f>SUM(P299:Q299)</f>
        <v>1153.2599999999998</v>
      </c>
      <c r="S299" s="495">
        <f>R299*1.1</f>
        <v>1268.5859999999998</v>
      </c>
      <c r="T299" s="539"/>
      <c r="U299" s="539">
        <f>50*9</f>
        <v>450</v>
      </c>
      <c r="V299" s="389">
        <f>SUM(T299:U299)</f>
        <v>450</v>
      </c>
      <c r="W299" s="388">
        <f>R299-V299</f>
        <v>703.25999999999976</v>
      </c>
      <c r="X299" s="589">
        <f>W299/R298</f>
        <v>2.7441080068674881</v>
      </c>
      <c r="Y299" s="544"/>
      <c r="Z299" s="536">
        <f>F298+14</f>
        <v>43181</v>
      </c>
      <c r="AA299" s="544"/>
      <c r="AB299" s="393" t="s">
        <v>2209</v>
      </c>
      <c r="AC299" s="691"/>
      <c r="AD299" s="691"/>
      <c r="AE299" s="692"/>
      <c r="AF299" s="691"/>
      <c r="AG299" s="693"/>
      <c r="AJ299" s="553"/>
    </row>
    <row r="300" spans="1:36" s="218" customFormat="1" ht="14.25" customHeight="1">
      <c r="A300" s="586" t="s">
        <v>714</v>
      </c>
      <c r="B300" s="545" t="s">
        <v>190</v>
      </c>
      <c r="C300" s="386" t="s">
        <v>3071</v>
      </c>
      <c r="D300" s="386">
        <v>43248</v>
      </c>
      <c r="E300" s="392">
        <v>43229</v>
      </c>
      <c r="F300" s="392">
        <v>43229</v>
      </c>
      <c r="G300" s="601">
        <v>43235</v>
      </c>
      <c r="H300" s="752">
        <v>43222</v>
      </c>
      <c r="I300" s="603">
        <v>43243</v>
      </c>
      <c r="J300" s="576">
        <v>43263</v>
      </c>
      <c r="K300" s="386"/>
      <c r="L300" s="392" t="str">
        <f>TEXT(F300,"mmm-yy")</f>
        <v>May-18</v>
      </c>
      <c r="M300" s="392" t="str">
        <f>TEXT(J300,"mmm-yy")</f>
        <v>Jun-18</v>
      </c>
      <c r="N300" s="397" t="s">
        <v>2446</v>
      </c>
      <c r="O300" s="418" t="s">
        <v>2447</v>
      </c>
      <c r="P300" s="538">
        <v>704.71</v>
      </c>
      <c r="Q300" s="538">
        <v>4996.3599999999997</v>
      </c>
      <c r="R300" s="538">
        <f>SUM(P300:Q300)</f>
        <v>5701.07</v>
      </c>
      <c r="S300" s="495">
        <f>R300*1.1</f>
        <v>6271.1770000000006</v>
      </c>
      <c r="T300" s="539">
        <v>1885.45</v>
      </c>
      <c r="U300" s="539"/>
      <c r="V300" s="424">
        <f>SUM(T300:U300)</f>
        <v>1885.45</v>
      </c>
      <c r="W300" s="501">
        <f>R300-V300</f>
        <v>3815.62</v>
      </c>
      <c r="X300" s="775">
        <f>W300/R300</f>
        <v>0.66928138051278097</v>
      </c>
      <c r="Y300" s="544"/>
      <c r="Z300" s="536">
        <f>F300+14</f>
        <v>43243</v>
      </c>
      <c r="AA300" s="544"/>
      <c r="AB300" s="393" t="s">
        <v>201</v>
      </c>
      <c r="AC300" s="392" t="s">
        <v>752</v>
      </c>
      <c r="AD300" s="392">
        <v>43166</v>
      </c>
      <c r="AE300" s="550"/>
      <c r="AF300" s="392">
        <v>43179</v>
      </c>
      <c r="AG300" s="546">
        <f>AF300-AD300</f>
        <v>13</v>
      </c>
      <c r="AJ300" s="553"/>
    </row>
    <row r="301" spans="1:36" s="218" customFormat="1" ht="14.25" customHeight="1">
      <c r="A301" s="545" t="s">
        <v>715</v>
      </c>
      <c r="B301" s="545" t="s">
        <v>1210</v>
      </c>
      <c r="C301" s="386" t="s">
        <v>2812</v>
      </c>
      <c r="D301" s="386">
        <v>43237</v>
      </c>
      <c r="E301" s="392">
        <v>43217</v>
      </c>
      <c r="F301" s="392">
        <v>43220</v>
      </c>
      <c r="G301" s="756"/>
      <c r="H301" s="757"/>
      <c r="I301" s="603">
        <v>43229</v>
      </c>
      <c r="J301" s="603">
        <v>43235</v>
      </c>
      <c r="K301" s="386"/>
      <c r="L301" s="392" t="str">
        <f>TEXT(F301,"mmm-yy")</f>
        <v>Apr-18</v>
      </c>
      <c r="M301" s="392" t="str">
        <f>TEXT(J301,"mmm-yy")</f>
        <v>May-18</v>
      </c>
      <c r="N301" s="397" t="s">
        <v>2462</v>
      </c>
      <c r="O301" s="418" t="s">
        <v>1211</v>
      </c>
      <c r="P301" s="538">
        <v>6077.33</v>
      </c>
      <c r="Q301" s="776"/>
      <c r="R301" s="538">
        <f>SUM(P301:Q301)</f>
        <v>6077.33</v>
      </c>
      <c r="S301" s="495">
        <f>R301*1.1</f>
        <v>6685.0630000000001</v>
      </c>
      <c r="T301" s="539">
        <v>3773.27</v>
      </c>
      <c r="U301" s="539"/>
      <c r="V301" s="389">
        <f>SUM(T301:U301)</f>
        <v>3773.27</v>
      </c>
      <c r="W301" s="388">
        <f>R301-V301</f>
        <v>2304.06</v>
      </c>
      <c r="X301" s="589">
        <f>W301/R301</f>
        <v>0.37912372703144309</v>
      </c>
      <c r="Y301" s="544"/>
      <c r="Z301" s="536">
        <f>F301+14</f>
        <v>43234</v>
      </c>
      <c r="AA301" s="544"/>
      <c r="AB301" s="442" t="s">
        <v>517</v>
      </c>
      <c r="AC301" s="392">
        <v>43164</v>
      </c>
      <c r="AD301" s="392">
        <v>43177</v>
      </c>
      <c r="AE301" s="550"/>
      <c r="AF301" s="392">
        <v>43191</v>
      </c>
      <c r="AG301" s="546">
        <f>AF301-AD301</f>
        <v>14</v>
      </c>
      <c r="AJ301" s="553"/>
    </row>
    <row r="302" spans="1:36" s="218" customFormat="1" ht="14.25" customHeight="1">
      <c r="A302" s="545" t="s">
        <v>715</v>
      </c>
      <c r="B302" s="545" t="s">
        <v>1210</v>
      </c>
      <c r="C302" s="386" t="s">
        <v>3209</v>
      </c>
      <c r="D302" s="386">
        <v>43265</v>
      </c>
      <c r="E302" s="392">
        <v>43255</v>
      </c>
      <c r="F302" s="392">
        <v>43255</v>
      </c>
      <c r="G302" s="756"/>
      <c r="H302" s="757"/>
      <c r="I302" s="603">
        <v>43266</v>
      </c>
      <c r="J302" s="603">
        <v>43273</v>
      </c>
      <c r="K302" s="386"/>
      <c r="L302" s="392" t="str">
        <f>TEXT(F302,"mmm-yy")</f>
        <v>Jun-18</v>
      </c>
      <c r="M302" s="392" t="str">
        <f>TEXT(J302,"mmm-yy")</f>
        <v>Jun-18</v>
      </c>
      <c r="N302" s="397" t="s">
        <v>2391</v>
      </c>
      <c r="O302" s="418" t="s">
        <v>2346</v>
      </c>
      <c r="P302" s="538">
        <v>8506.73</v>
      </c>
      <c r="Q302" s="776"/>
      <c r="R302" s="538">
        <f>SUM(P302:Q302)</f>
        <v>8506.73</v>
      </c>
      <c r="S302" s="495">
        <f>R302*1.1</f>
        <v>9357.4030000000002</v>
      </c>
      <c r="T302" s="539"/>
      <c r="U302" s="539"/>
      <c r="V302" s="389">
        <f>SUM(T302:U302)</f>
        <v>0</v>
      </c>
      <c r="W302" s="388">
        <f>R302-V302</f>
        <v>8506.73</v>
      </c>
      <c r="X302" s="589">
        <f>W302/R302</f>
        <v>1</v>
      </c>
      <c r="Y302" s="544"/>
      <c r="Z302" s="536">
        <f>F302+14</f>
        <v>43269</v>
      </c>
      <c r="AA302" s="544"/>
      <c r="AB302" s="442" t="s">
        <v>517</v>
      </c>
      <c r="AC302" s="392">
        <v>43164</v>
      </c>
      <c r="AD302" s="392">
        <v>43175</v>
      </c>
      <c r="AE302" s="550"/>
      <c r="AF302" s="392">
        <v>43191</v>
      </c>
      <c r="AG302" s="546">
        <f>AF302-AD302</f>
        <v>16</v>
      </c>
      <c r="AJ302" s="553"/>
    </row>
    <row r="303" spans="1:36" s="218" customFormat="1" ht="14.25" customHeight="1">
      <c r="A303" s="545" t="s">
        <v>715</v>
      </c>
      <c r="B303" s="545" t="s">
        <v>227</v>
      </c>
      <c r="C303" s="386"/>
      <c r="D303" s="386"/>
      <c r="E303" s="392">
        <v>43200</v>
      </c>
      <c r="F303" s="392">
        <v>43200</v>
      </c>
      <c r="G303" s="756"/>
      <c r="H303" s="757"/>
      <c r="I303" s="603">
        <v>43213</v>
      </c>
      <c r="J303" s="603">
        <v>43221</v>
      </c>
      <c r="K303" s="386"/>
      <c r="L303" s="392" t="str">
        <f>TEXT(F303,"mmm-yy")</f>
        <v>Apr-18</v>
      </c>
      <c r="M303" s="392" t="str">
        <f>TEXT(J303,"mmm-yy")</f>
        <v>May-18</v>
      </c>
      <c r="N303" s="397" t="s">
        <v>2461</v>
      </c>
      <c r="O303" s="418" t="s">
        <v>2345</v>
      </c>
      <c r="P303" s="538">
        <v>4859.5</v>
      </c>
      <c r="Q303" s="776"/>
      <c r="R303" s="538">
        <f>SUM(P303:Q303)</f>
        <v>4859.5</v>
      </c>
      <c r="S303" s="495">
        <f>R303*1.1</f>
        <v>5345.4500000000007</v>
      </c>
      <c r="T303" s="539">
        <v>3013.08</v>
      </c>
      <c r="U303" s="539"/>
      <c r="V303" s="389">
        <f>SUM(T303:U303)</f>
        <v>3013.08</v>
      </c>
      <c r="W303" s="388">
        <f>R303-V303</f>
        <v>1846.42</v>
      </c>
      <c r="X303" s="589">
        <f>W303/R303</f>
        <v>0.37996090132729704</v>
      </c>
      <c r="Y303" s="544"/>
      <c r="Z303" s="536">
        <f>F303+14</f>
        <v>43214</v>
      </c>
      <c r="AA303" s="544"/>
      <c r="AB303" s="442" t="s">
        <v>517</v>
      </c>
      <c r="AC303" s="392">
        <v>43164</v>
      </c>
      <c r="AD303" s="392">
        <v>43178</v>
      </c>
      <c r="AE303" s="550"/>
      <c r="AF303" s="392">
        <v>43191</v>
      </c>
      <c r="AG303" s="546">
        <f>AF303-AD303</f>
        <v>13</v>
      </c>
      <c r="AJ303" s="553"/>
    </row>
    <row r="304" spans="1:36" s="218" customFormat="1" ht="14.25" customHeight="1">
      <c r="A304" s="545" t="s">
        <v>715</v>
      </c>
      <c r="B304" s="545" t="s">
        <v>764</v>
      </c>
      <c r="C304" s="386" t="s">
        <v>3190</v>
      </c>
      <c r="D304" s="386">
        <v>43280</v>
      </c>
      <c r="E304" s="392">
        <v>43256</v>
      </c>
      <c r="F304" s="392">
        <v>43256</v>
      </c>
      <c r="G304" s="777"/>
      <c r="H304" s="778"/>
      <c r="I304" s="667">
        <v>43271</v>
      </c>
      <c r="J304" s="603">
        <v>43277</v>
      </c>
      <c r="K304" s="386"/>
      <c r="L304" s="392" t="str">
        <f>TEXT(F304,"mmm-yy")</f>
        <v>Jun-18</v>
      </c>
      <c r="M304" s="392" t="str">
        <f>TEXT(J304,"mmm-yy")</f>
        <v>Jun-18</v>
      </c>
      <c r="N304" s="397" t="s">
        <v>2385</v>
      </c>
      <c r="O304" s="418" t="s">
        <v>2344</v>
      </c>
      <c r="P304" s="538">
        <v>2191.88</v>
      </c>
      <c r="Q304" s="776"/>
      <c r="R304" s="538">
        <f>SUM(P304:Q304)</f>
        <v>2191.88</v>
      </c>
      <c r="S304" s="495">
        <f>R304*1.1</f>
        <v>2411.0680000000002</v>
      </c>
      <c r="T304" s="539"/>
      <c r="U304" s="539"/>
      <c r="V304" s="389">
        <f>SUM(T304:U304)</f>
        <v>0</v>
      </c>
      <c r="W304" s="388">
        <f>R304-V304</f>
        <v>2191.88</v>
      </c>
      <c r="X304" s="589">
        <f>W304/R304</f>
        <v>1</v>
      </c>
      <c r="Y304" s="544"/>
      <c r="Z304" s="536">
        <f>F304+14</f>
        <v>43270</v>
      </c>
      <c r="AA304" s="544"/>
      <c r="AB304" s="442" t="s">
        <v>517</v>
      </c>
      <c r="AC304" s="392">
        <v>43164</v>
      </c>
      <c r="AD304" s="392">
        <v>43175</v>
      </c>
      <c r="AE304" s="550"/>
      <c r="AF304" s="392">
        <v>43191</v>
      </c>
      <c r="AG304" s="546">
        <f>AF304-AD304</f>
        <v>16</v>
      </c>
      <c r="AJ304" s="553"/>
    </row>
    <row r="305" spans="1:36" s="218" customFormat="1" ht="14.25" customHeight="1">
      <c r="A305" s="586" t="s">
        <v>714</v>
      </c>
      <c r="B305" s="545" t="s">
        <v>190</v>
      </c>
      <c r="C305" s="386"/>
      <c r="D305" s="386"/>
      <c r="E305" s="392"/>
      <c r="F305" s="392">
        <v>43434</v>
      </c>
      <c r="G305" s="601"/>
      <c r="H305" s="752"/>
      <c r="I305" s="601"/>
      <c r="J305" s="601"/>
      <c r="K305" s="386"/>
      <c r="L305" s="392" t="str">
        <f>TEXT(F305,"mmm-yy")</f>
        <v>Nov-18</v>
      </c>
      <c r="M305" s="392" t="str">
        <f>TEXT(J305,"mmm-yy")</f>
        <v>Jan-00</v>
      </c>
      <c r="N305" s="397" t="s">
        <v>2495</v>
      </c>
      <c r="O305" s="418" t="s">
        <v>755</v>
      </c>
      <c r="P305" s="538">
        <v>279.01</v>
      </c>
      <c r="Q305" s="538"/>
      <c r="R305" s="538">
        <f>SUM(P305:Q305)</f>
        <v>279.01</v>
      </c>
      <c r="S305" s="495">
        <f>R305*1.1</f>
        <v>306.911</v>
      </c>
      <c r="T305" s="539"/>
      <c r="U305" s="539"/>
      <c r="V305" s="389">
        <f>SUM(T305:U305)</f>
        <v>0</v>
      </c>
      <c r="W305" s="388">
        <f>R305-V305</f>
        <v>279.01</v>
      </c>
      <c r="X305" s="589">
        <f>W305/R305</f>
        <v>1</v>
      </c>
      <c r="Y305" s="544"/>
      <c r="Z305" s="536">
        <f>F305+14</f>
        <v>43448</v>
      </c>
      <c r="AA305" s="544"/>
      <c r="AB305" s="393" t="s">
        <v>727</v>
      </c>
      <c r="AC305" s="392" t="s">
        <v>752</v>
      </c>
      <c r="AD305" s="392">
        <v>43159</v>
      </c>
      <c r="AE305" s="550"/>
      <c r="AF305" s="392">
        <v>43196</v>
      </c>
      <c r="AG305" s="546">
        <f>AF305-AD305</f>
        <v>37</v>
      </c>
      <c r="AJ305" s="553"/>
    </row>
    <row r="306" spans="1:36" s="218" customFormat="1" ht="14.25" customHeight="1">
      <c r="A306" s="586" t="s">
        <v>714</v>
      </c>
      <c r="B306" s="545" t="s">
        <v>190</v>
      </c>
      <c r="C306" s="386"/>
      <c r="D306" s="386"/>
      <c r="E306" s="392">
        <v>43276</v>
      </c>
      <c r="F306" s="392">
        <v>43276</v>
      </c>
      <c r="G306" s="756"/>
      <c r="H306" s="757"/>
      <c r="I306" s="603">
        <f>F306+14</f>
        <v>43290</v>
      </c>
      <c r="J306" s="601">
        <f>I306+14</f>
        <v>43304</v>
      </c>
      <c r="K306" s="386"/>
      <c r="L306" s="392" t="str">
        <f>TEXT(F306,"mmm-yy")</f>
        <v>Jun-18</v>
      </c>
      <c r="M306" s="392" t="str">
        <f>TEXT(J306,"mmm-yy")</f>
        <v>Jul-18</v>
      </c>
      <c r="N306" s="397" t="s">
        <v>2347</v>
      </c>
      <c r="O306" s="418" t="s">
        <v>745</v>
      </c>
      <c r="P306" s="538">
        <v>840</v>
      </c>
      <c r="Q306" s="776"/>
      <c r="R306" s="538">
        <f>SUM(P306:Q306)</f>
        <v>840</v>
      </c>
      <c r="S306" s="495">
        <f>R306*1.1</f>
        <v>924.00000000000011</v>
      </c>
      <c r="T306" s="539"/>
      <c r="U306" s="539"/>
      <c r="V306" s="389">
        <f>SUM(T306:U306)</f>
        <v>0</v>
      </c>
      <c r="W306" s="388">
        <f>R306-V306</f>
        <v>840</v>
      </c>
      <c r="X306" s="589">
        <f>W306/R306</f>
        <v>1</v>
      </c>
      <c r="Y306" s="544"/>
      <c r="Z306" s="536">
        <f>F306+14</f>
        <v>43290</v>
      </c>
      <c r="AA306" s="544"/>
      <c r="AB306" s="393" t="s">
        <v>727</v>
      </c>
      <c r="AC306" s="392" t="s">
        <v>752</v>
      </c>
      <c r="AD306" s="392">
        <v>43165</v>
      </c>
      <c r="AE306" s="550"/>
      <c r="AF306" s="392">
        <v>43187</v>
      </c>
      <c r="AG306" s="546">
        <f>AF306-AD306</f>
        <v>22</v>
      </c>
      <c r="AJ306" s="553"/>
    </row>
    <row r="307" spans="1:36" s="218" customFormat="1" ht="14.25" customHeight="1">
      <c r="A307" s="586" t="s">
        <v>714</v>
      </c>
      <c r="B307" s="545" t="s">
        <v>190</v>
      </c>
      <c r="C307" s="386"/>
      <c r="D307" s="386"/>
      <c r="E307" s="392"/>
      <c r="F307" s="392">
        <v>43434</v>
      </c>
      <c r="G307" s="601"/>
      <c r="H307" s="752"/>
      <c r="I307" s="601"/>
      <c r="J307" s="601"/>
      <c r="K307" s="386"/>
      <c r="L307" s="392" t="str">
        <f>TEXT(F307,"mmm-yy")</f>
        <v>Nov-18</v>
      </c>
      <c r="M307" s="392" t="str">
        <f>TEXT(J307,"mmm-yy")</f>
        <v>Jan-00</v>
      </c>
      <c r="N307" s="397" t="s">
        <v>2496</v>
      </c>
      <c r="O307" s="418" t="s">
        <v>755</v>
      </c>
      <c r="P307" s="538">
        <v>560</v>
      </c>
      <c r="Q307" s="538"/>
      <c r="R307" s="538">
        <f>SUM(P307:Q307)</f>
        <v>560</v>
      </c>
      <c r="S307" s="495">
        <f>R307*1.1</f>
        <v>616</v>
      </c>
      <c r="T307" s="539"/>
      <c r="U307" s="539"/>
      <c r="V307" s="389">
        <f>SUM(T307:U307)</f>
        <v>0</v>
      </c>
      <c r="W307" s="388">
        <f>R307-V307</f>
        <v>560</v>
      </c>
      <c r="X307" s="589">
        <f>W307/R307</f>
        <v>1</v>
      </c>
      <c r="Y307" s="544"/>
      <c r="Z307" s="536">
        <f>F307+14</f>
        <v>43448</v>
      </c>
      <c r="AA307" s="544"/>
      <c r="AB307" s="393" t="s">
        <v>727</v>
      </c>
      <c r="AC307" s="392" t="s">
        <v>752</v>
      </c>
      <c r="AD307" s="392">
        <v>43165</v>
      </c>
      <c r="AE307" s="550"/>
      <c r="AF307" s="392">
        <v>43193</v>
      </c>
      <c r="AG307" s="546">
        <f>AF307-AD307</f>
        <v>28</v>
      </c>
      <c r="AJ307" s="553"/>
    </row>
    <row r="308" spans="1:36" s="218" customFormat="1" ht="14.25" customHeight="1">
      <c r="A308" s="586" t="s">
        <v>714</v>
      </c>
      <c r="B308" s="545" t="s">
        <v>190</v>
      </c>
      <c r="C308" s="386"/>
      <c r="D308" s="386"/>
      <c r="E308" s="392"/>
      <c r="F308" s="392">
        <v>43311</v>
      </c>
      <c r="G308" s="601" t="s">
        <v>16</v>
      </c>
      <c r="H308" s="752"/>
      <c r="I308" s="601"/>
      <c r="J308" s="601"/>
      <c r="K308" s="386"/>
      <c r="L308" s="392" t="str">
        <f>TEXT(F308,"mmm-yy")</f>
        <v>Jul-18</v>
      </c>
      <c r="M308" s="392" t="str">
        <f>TEXT(J308,"mmm-yy")</f>
        <v>Jan-00</v>
      </c>
      <c r="N308" s="397" t="s">
        <v>2350</v>
      </c>
      <c r="O308" s="418" t="s">
        <v>1777</v>
      </c>
      <c r="P308" s="538">
        <v>1201.18</v>
      </c>
      <c r="Q308" s="538"/>
      <c r="R308" s="538">
        <f>SUM(P308:Q308)</f>
        <v>1201.18</v>
      </c>
      <c r="S308" s="495">
        <f>R308*1.1</f>
        <v>1321.2980000000002</v>
      </c>
      <c r="T308" s="539"/>
      <c r="U308" s="539"/>
      <c r="V308" s="389">
        <f>SUM(T308:U308)</f>
        <v>0</v>
      </c>
      <c r="W308" s="388">
        <f>R308-V308</f>
        <v>1201.18</v>
      </c>
      <c r="X308" s="589">
        <f>W308/R308</f>
        <v>1</v>
      </c>
      <c r="Y308" s="544"/>
      <c r="Z308" s="536">
        <f>F308+14</f>
        <v>43325</v>
      </c>
      <c r="AA308" s="544"/>
      <c r="AB308" s="393" t="s">
        <v>201</v>
      </c>
      <c r="AC308" s="392" t="s">
        <v>752</v>
      </c>
      <c r="AD308" s="392">
        <v>43166</v>
      </c>
      <c r="AE308" s="550"/>
      <c r="AF308" s="392">
        <v>43195</v>
      </c>
      <c r="AG308" s="546">
        <f>AF308-AD308</f>
        <v>29</v>
      </c>
      <c r="AJ308" s="553"/>
    </row>
    <row r="309" spans="1:36" s="218" customFormat="1" ht="14.25" customHeight="1">
      <c r="A309" s="586" t="s">
        <v>714</v>
      </c>
      <c r="B309" s="545" t="s">
        <v>190</v>
      </c>
      <c r="C309" s="386" t="s">
        <v>2636</v>
      </c>
      <c r="D309" s="386">
        <v>43210</v>
      </c>
      <c r="E309" s="392">
        <v>43185</v>
      </c>
      <c r="F309" s="392">
        <v>43186</v>
      </c>
      <c r="G309" s="603">
        <v>43194</v>
      </c>
      <c r="H309" s="753">
        <v>43203</v>
      </c>
      <c r="I309" s="667">
        <v>43201</v>
      </c>
      <c r="J309" s="603">
        <v>43214</v>
      </c>
      <c r="K309" s="386"/>
      <c r="L309" s="392" t="str">
        <f>TEXT(F309,"mmm-yy")</f>
        <v>Mar-18</v>
      </c>
      <c r="M309" s="392" t="str">
        <f>TEXT(J309,"mmm-yy")</f>
        <v>Apr-18</v>
      </c>
      <c r="N309" s="397" t="s">
        <v>2349</v>
      </c>
      <c r="O309" s="418" t="s">
        <v>725</v>
      </c>
      <c r="P309" s="538">
        <v>561.20000000000005</v>
      </c>
      <c r="Q309" s="538">
        <v>3014.58</v>
      </c>
      <c r="R309" s="538">
        <f>SUM(P309:Q309)</f>
        <v>3575.7799999999997</v>
      </c>
      <c r="S309" s="495">
        <f>R309*1.1</f>
        <v>3933.3580000000002</v>
      </c>
      <c r="T309" s="539">
        <v>2156.54</v>
      </c>
      <c r="U309" s="539"/>
      <c r="V309" s="389">
        <f>SUM(T309:U309)</f>
        <v>2156.54</v>
      </c>
      <c r="W309" s="388">
        <f>R309-V309</f>
        <v>1419.2399999999998</v>
      </c>
      <c r="X309" s="589">
        <f>W309/R309</f>
        <v>0.39690361263836138</v>
      </c>
      <c r="Y309" s="544"/>
      <c r="Z309" s="536">
        <f>F309+14</f>
        <v>43200</v>
      </c>
      <c r="AA309" s="544"/>
      <c r="AB309" s="393" t="s">
        <v>201</v>
      </c>
      <c r="AC309" s="392" t="s">
        <v>752</v>
      </c>
      <c r="AD309" s="392">
        <v>43157</v>
      </c>
      <c r="AE309" s="550"/>
      <c r="AF309" s="392">
        <v>43181</v>
      </c>
      <c r="AG309" s="546">
        <f>AF309-AD309</f>
        <v>24</v>
      </c>
      <c r="AJ309" s="553"/>
    </row>
    <row r="310" spans="1:36" s="218" customFormat="1" ht="14.25" customHeight="1">
      <c r="A310" s="545" t="s">
        <v>715</v>
      </c>
      <c r="B310" s="545" t="s">
        <v>190</v>
      </c>
      <c r="C310" s="386" t="s">
        <v>2634</v>
      </c>
      <c r="D310" s="386">
        <v>43210</v>
      </c>
      <c r="E310" s="392">
        <v>43195</v>
      </c>
      <c r="F310" s="392">
        <v>43196</v>
      </c>
      <c r="G310" s="603">
        <v>43196</v>
      </c>
      <c r="H310" s="753">
        <v>43207</v>
      </c>
      <c r="I310" s="603">
        <v>43208</v>
      </c>
      <c r="J310" s="603">
        <v>43214</v>
      </c>
      <c r="K310" s="386"/>
      <c r="L310" s="392" t="str">
        <f>TEXT(F310,"mmm-yy")</f>
        <v>Apr-18</v>
      </c>
      <c r="M310" s="392" t="str">
        <f>TEXT(J310,"mmm-yy")</f>
        <v>Apr-18</v>
      </c>
      <c r="N310" s="397" t="s">
        <v>2351</v>
      </c>
      <c r="O310" s="418" t="s">
        <v>2352</v>
      </c>
      <c r="P310" s="538">
        <v>900</v>
      </c>
      <c r="Q310" s="538">
        <v>3694.31</v>
      </c>
      <c r="R310" s="538">
        <f>SUM(P310:Q310)</f>
        <v>4594.3099999999995</v>
      </c>
      <c r="S310" s="495">
        <f>R310*1.1</f>
        <v>5053.741</v>
      </c>
      <c r="T310" s="539"/>
      <c r="U310" s="539"/>
      <c r="V310" s="389">
        <f>SUM(T310:U310)</f>
        <v>0</v>
      </c>
      <c r="W310" s="388">
        <f>R310-V310</f>
        <v>4594.3099999999995</v>
      </c>
      <c r="X310" s="589">
        <f>W310/R310</f>
        <v>1</v>
      </c>
      <c r="Y310" s="544"/>
      <c r="Z310" s="536">
        <f>F310+14</f>
        <v>43210</v>
      </c>
      <c r="AA310" s="544"/>
      <c r="AB310" s="393" t="s">
        <v>210</v>
      </c>
      <c r="AC310" s="392">
        <v>43010</v>
      </c>
      <c r="AD310" s="392">
        <v>43144</v>
      </c>
      <c r="AE310" s="689">
        <f>AD310-AC310</f>
        <v>134</v>
      </c>
      <c r="AF310" s="392">
        <v>43161</v>
      </c>
      <c r="AG310" s="546">
        <f>AF310-AD310</f>
        <v>17</v>
      </c>
      <c r="AJ310" s="553"/>
    </row>
    <row r="311" spans="1:36" s="218" customFormat="1" ht="14.25" customHeight="1">
      <c r="A311" s="586" t="s">
        <v>714</v>
      </c>
      <c r="B311" s="545" t="s">
        <v>190</v>
      </c>
      <c r="C311" s="386" t="s">
        <v>2632</v>
      </c>
      <c r="D311" s="386">
        <v>43214</v>
      </c>
      <c r="E311" s="392">
        <v>43182</v>
      </c>
      <c r="F311" s="392">
        <v>43186</v>
      </c>
      <c r="G311" s="603">
        <v>43186</v>
      </c>
      <c r="H311" s="753">
        <v>43194</v>
      </c>
      <c r="I311" s="667">
        <v>43201</v>
      </c>
      <c r="J311" s="603">
        <v>43214</v>
      </c>
      <c r="K311" s="386"/>
      <c r="L311" s="392" t="str">
        <f>TEXT(F311,"mmm-yy")</f>
        <v>Mar-18</v>
      </c>
      <c r="M311" s="392" t="str">
        <f>TEXT(J311,"mmm-yy")</f>
        <v>Apr-18</v>
      </c>
      <c r="N311" s="397" t="s">
        <v>2467</v>
      </c>
      <c r="O311" s="418" t="s">
        <v>2429</v>
      </c>
      <c r="P311" s="538">
        <v>1234.18</v>
      </c>
      <c r="Q311" s="538">
        <v>1744.1900000000003</v>
      </c>
      <c r="R311" s="538">
        <f>SUM(P311:Q311)</f>
        <v>2978.3700000000003</v>
      </c>
      <c r="S311" s="495">
        <f>R311*1.1</f>
        <v>3276.2070000000008</v>
      </c>
      <c r="T311" s="539">
        <v>1639.63</v>
      </c>
      <c r="U311" s="539"/>
      <c r="V311" s="389">
        <f>SUM(T311:U311)</f>
        <v>1639.63</v>
      </c>
      <c r="W311" s="388">
        <f>R311-V311</f>
        <v>1338.7400000000002</v>
      </c>
      <c r="X311" s="589">
        <f>W311/R311</f>
        <v>0.44948747133499201</v>
      </c>
      <c r="Y311" s="544"/>
      <c r="Z311" s="536">
        <f>F311+14</f>
        <v>43200</v>
      </c>
      <c r="AA311" s="544"/>
      <c r="AB311" s="393" t="s">
        <v>201</v>
      </c>
      <c r="AC311" s="392" t="s">
        <v>752</v>
      </c>
      <c r="AD311" s="392">
        <v>43185</v>
      </c>
      <c r="AE311" s="550"/>
      <c r="AF311" s="392">
        <v>43220</v>
      </c>
      <c r="AG311" s="546">
        <f>AF311-AD311</f>
        <v>35</v>
      </c>
      <c r="AJ311" s="553"/>
    </row>
    <row r="312" spans="1:36" s="218" customFormat="1" ht="14.25" customHeight="1">
      <c r="A312" s="545" t="s">
        <v>714</v>
      </c>
      <c r="B312" s="545" t="s">
        <v>190</v>
      </c>
      <c r="C312" s="386" t="s">
        <v>2834</v>
      </c>
      <c r="D312" s="386">
        <v>43242</v>
      </c>
      <c r="E312" s="392">
        <v>43223</v>
      </c>
      <c r="F312" s="392">
        <v>43223</v>
      </c>
      <c r="G312" s="603">
        <v>43228</v>
      </c>
      <c r="H312" s="753">
        <v>43230</v>
      </c>
      <c r="I312" s="603">
        <v>43236</v>
      </c>
      <c r="J312" s="603">
        <v>43242</v>
      </c>
      <c r="K312" s="386"/>
      <c r="L312" s="392" t="str">
        <f>TEXT(F312,"mmm-yy")</f>
        <v>May-18</v>
      </c>
      <c r="M312" s="392" t="str">
        <f>TEXT(J312,"mmm-yy")</f>
        <v>May-18</v>
      </c>
      <c r="N312" s="397" t="s">
        <v>2508</v>
      </c>
      <c r="O312" s="418" t="s">
        <v>743</v>
      </c>
      <c r="P312" s="538">
        <v>1400.62</v>
      </c>
      <c r="Q312" s="538">
        <v>7702.47</v>
      </c>
      <c r="R312" s="538">
        <f>SUM(P312:Q312)</f>
        <v>9103.09</v>
      </c>
      <c r="S312" s="495">
        <f>R312*1.1</f>
        <v>10013.399000000001</v>
      </c>
      <c r="T312" s="539">
        <v>4761.7299999999996</v>
      </c>
      <c r="U312" s="539"/>
      <c r="V312" s="389">
        <f>SUM(T312:U312)</f>
        <v>4761.7299999999996</v>
      </c>
      <c r="W312" s="388">
        <f>R312-V312</f>
        <v>4341.3600000000006</v>
      </c>
      <c r="X312" s="589">
        <f>W312/R312</f>
        <v>0.47691058750380372</v>
      </c>
      <c r="Y312" s="544"/>
      <c r="Z312" s="536">
        <f>F312+14</f>
        <v>43237</v>
      </c>
      <c r="AA312" s="544"/>
      <c r="AB312" s="393" t="s">
        <v>201</v>
      </c>
      <c r="AC312" s="392" t="s">
        <v>752</v>
      </c>
      <c r="AD312" s="392">
        <v>43167</v>
      </c>
      <c r="AE312" s="550"/>
      <c r="AF312" s="392">
        <v>43200</v>
      </c>
      <c r="AG312" s="546">
        <f>AF312-AD312</f>
        <v>33</v>
      </c>
      <c r="AJ312" s="553"/>
    </row>
    <row r="313" spans="1:36" s="218" customFormat="1" ht="14.25" customHeight="1">
      <c r="A313" s="545" t="s">
        <v>715</v>
      </c>
      <c r="B313" s="545" t="s">
        <v>190</v>
      </c>
      <c r="C313" s="386"/>
      <c r="D313" s="386"/>
      <c r="E313" s="392"/>
      <c r="F313" s="392">
        <v>43311</v>
      </c>
      <c r="G313" s="601"/>
      <c r="H313" s="752"/>
      <c r="I313" s="601"/>
      <c r="J313" s="601"/>
      <c r="K313" s="386"/>
      <c r="L313" s="392" t="str">
        <f>TEXT(F313,"mmm-yy")</f>
        <v>Jul-18</v>
      </c>
      <c r="M313" s="392" t="str">
        <f>TEXT(J313,"mmm-yy")</f>
        <v>Jan-00</v>
      </c>
      <c r="N313" s="397" t="s">
        <v>2507</v>
      </c>
      <c r="O313" s="418" t="s">
        <v>458</v>
      </c>
      <c r="P313" s="538">
        <v>2197.21</v>
      </c>
      <c r="Q313" s="538"/>
      <c r="R313" s="538">
        <f>SUM(P313:Q313)</f>
        <v>2197.21</v>
      </c>
      <c r="S313" s="495">
        <f>R313*1.1</f>
        <v>2416.931</v>
      </c>
      <c r="T313" s="539"/>
      <c r="U313" s="539"/>
      <c r="V313" s="389">
        <f>SUM(T313:U313)</f>
        <v>0</v>
      </c>
      <c r="W313" s="388">
        <f>R313-V313</f>
        <v>2197.21</v>
      </c>
      <c r="X313" s="589">
        <f>W313/R313</f>
        <v>1</v>
      </c>
      <c r="Y313" s="544"/>
      <c r="Z313" s="536">
        <f>F313+14</f>
        <v>43325</v>
      </c>
      <c r="AA313" s="544"/>
      <c r="AB313" s="393" t="s">
        <v>201</v>
      </c>
      <c r="AC313" s="392" t="s">
        <v>752</v>
      </c>
      <c r="AD313" s="392">
        <v>43167</v>
      </c>
      <c r="AE313" s="550"/>
      <c r="AF313" s="392">
        <v>43200</v>
      </c>
      <c r="AG313" s="546">
        <f>AF313-AD313</f>
        <v>33</v>
      </c>
      <c r="AJ313" s="553"/>
    </row>
    <row r="314" spans="1:36" s="218" customFormat="1" ht="14.25" customHeight="1">
      <c r="A314" s="586" t="s">
        <v>714</v>
      </c>
      <c r="B314" s="545" t="s">
        <v>190</v>
      </c>
      <c r="C314" s="386" t="s">
        <v>2680</v>
      </c>
      <c r="D314" s="386">
        <v>43216</v>
      </c>
      <c r="E314" s="392">
        <v>43186</v>
      </c>
      <c r="F314" s="392">
        <v>43187</v>
      </c>
      <c r="G314" s="603">
        <v>43194</v>
      </c>
      <c r="H314" s="753">
        <v>43203</v>
      </c>
      <c r="I314" s="603">
        <f>F314+14</f>
        <v>43201</v>
      </c>
      <c r="J314" s="603">
        <v>43216</v>
      </c>
      <c r="K314" s="386"/>
      <c r="L314" s="392" t="str">
        <f>TEXT(F314,"mmm-yy")</f>
        <v>Mar-18</v>
      </c>
      <c r="M314" s="392" t="str">
        <f>TEXT(J314,"mmm-yy")</f>
        <v>Apr-18</v>
      </c>
      <c r="N314" s="397" t="s">
        <v>1773</v>
      </c>
      <c r="O314" s="418" t="s">
        <v>1302</v>
      </c>
      <c r="P314" s="538">
        <v>2026.01</v>
      </c>
      <c r="Q314" s="538">
        <v>4233.07</v>
      </c>
      <c r="R314" s="538">
        <f>SUM(P314:Q314)</f>
        <v>6259.08</v>
      </c>
      <c r="S314" s="495">
        <f>R314*1.1</f>
        <v>6884.9880000000003</v>
      </c>
      <c r="T314" s="539">
        <v>2015.96</v>
      </c>
      <c r="U314" s="539"/>
      <c r="V314" s="389">
        <f>SUM(T314:U314)</f>
        <v>2015.96</v>
      </c>
      <c r="W314" s="388">
        <f>R314-V314</f>
        <v>4243.12</v>
      </c>
      <c r="X314" s="589">
        <f>W314/R314</f>
        <v>0.67791432606708968</v>
      </c>
      <c r="Y314" s="544"/>
      <c r="Z314" s="536">
        <f>F314+14</f>
        <v>43201</v>
      </c>
      <c r="AA314" s="544"/>
      <c r="AB314" s="442" t="s">
        <v>223</v>
      </c>
      <c r="AC314" s="392" t="s">
        <v>752</v>
      </c>
      <c r="AD314" s="392">
        <v>43090</v>
      </c>
      <c r="AE314" s="550"/>
      <c r="AF314" s="392">
        <v>43141</v>
      </c>
      <c r="AG314" s="546">
        <f>AF314-AD314</f>
        <v>51</v>
      </c>
      <c r="AJ314" s="553"/>
    </row>
    <row r="315" spans="1:36" s="218" customFormat="1" ht="14.25" customHeight="1">
      <c r="A315" s="545" t="s">
        <v>715</v>
      </c>
      <c r="B315" s="545" t="s">
        <v>724</v>
      </c>
      <c r="C315" s="386" t="s">
        <v>2730</v>
      </c>
      <c r="D315" s="386">
        <v>43217</v>
      </c>
      <c r="E315" s="392">
        <v>43201</v>
      </c>
      <c r="F315" s="392">
        <v>43203</v>
      </c>
      <c r="G315" s="756"/>
      <c r="H315" s="757"/>
      <c r="I315" s="603">
        <v>43214</v>
      </c>
      <c r="J315" s="603">
        <v>43221</v>
      </c>
      <c r="K315" s="386"/>
      <c r="L315" s="392" t="str">
        <f>TEXT(F315,"mmm-yy")</f>
        <v>Apr-18</v>
      </c>
      <c r="M315" s="392" t="str">
        <f>TEXT(J315,"mmm-yy")</f>
        <v>May-18</v>
      </c>
      <c r="N315" s="397" t="s">
        <v>2370</v>
      </c>
      <c r="O315" s="418" t="s">
        <v>933</v>
      </c>
      <c r="P315" s="538">
        <v>3519</v>
      </c>
      <c r="Q315" s="776"/>
      <c r="R315" s="538">
        <f>SUM(P315:Q315)</f>
        <v>3519</v>
      </c>
      <c r="S315" s="495">
        <f>R315*1.1</f>
        <v>3870.9</v>
      </c>
      <c r="T315" s="539">
        <v>2323.3000000000002</v>
      </c>
      <c r="U315" s="539"/>
      <c r="V315" s="389">
        <f>SUM(T315:U315)</f>
        <v>2323.3000000000002</v>
      </c>
      <c r="W315" s="388">
        <f>R315-V315</f>
        <v>1195.6999999999998</v>
      </c>
      <c r="X315" s="589">
        <f>W315/R315</f>
        <v>0.33978402955385045</v>
      </c>
      <c r="Y315" s="544"/>
      <c r="Z315" s="536">
        <f>F315+14</f>
        <v>43217</v>
      </c>
      <c r="AA315" s="544"/>
      <c r="AB315" s="393" t="s">
        <v>446</v>
      </c>
      <c r="AC315" s="392">
        <v>43159</v>
      </c>
      <c r="AD315" s="392">
        <v>43172</v>
      </c>
      <c r="AE315" s="689">
        <f>AD315-AC315</f>
        <v>13</v>
      </c>
      <c r="AF315" s="392">
        <v>43191</v>
      </c>
      <c r="AG315" s="546">
        <f>AF315-AD315</f>
        <v>19</v>
      </c>
      <c r="AJ315" s="553"/>
    </row>
    <row r="316" spans="1:36" s="218" customFormat="1" ht="14.25" customHeight="1">
      <c r="A316" s="545" t="s">
        <v>715</v>
      </c>
      <c r="B316" s="545" t="s">
        <v>227</v>
      </c>
      <c r="C316" s="386"/>
      <c r="D316" s="386"/>
      <c r="E316" s="392">
        <v>43216</v>
      </c>
      <c r="F316" s="392">
        <v>43216</v>
      </c>
      <c r="G316" s="603">
        <v>43228</v>
      </c>
      <c r="H316" s="753">
        <v>43236</v>
      </c>
      <c r="I316" s="603">
        <v>43227</v>
      </c>
      <c r="J316" s="576">
        <v>43249</v>
      </c>
      <c r="K316" s="386"/>
      <c r="L316" s="392" t="str">
        <f>TEXT(F316,"mmm-yy")</f>
        <v>Apr-18</v>
      </c>
      <c r="M316" s="392" t="str">
        <f>TEXT(J316,"mmm-yy")</f>
        <v>May-18</v>
      </c>
      <c r="N316" s="397" t="s">
        <v>2371</v>
      </c>
      <c r="O316" s="418" t="s">
        <v>2372</v>
      </c>
      <c r="P316" s="538">
        <v>2191.88</v>
      </c>
      <c r="Q316" s="538">
        <v>6277.4249999999993</v>
      </c>
      <c r="R316" s="538">
        <f>SUM(P316:Q316)</f>
        <v>8469.3050000000003</v>
      </c>
      <c r="S316" s="495">
        <f>R316*1.1</f>
        <v>9316.2355000000007</v>
      </c>
      <c r="T316" s="539">
        <v>5405.07</v>
      </c>
      <c r="U316" s="539"/>
      <c r="V316" s="389">
        <f>SUM(T316:U316)</f>
        <v>5405.07</v>
      </c>
      <c r="W316" s="388">
        <f>R316-V316</f>
        <v>3064.2350000000006</v>
      </c>
      <c r="X316" s="589">
        <f>W316/R316</f>
        <v>0.36180477618883727</v>
      </c>
      <c r="Y316" s="544"/>
      <c r="Z316" s="536">
        <f>F316+14</f>
        <v>43230</v>
      </c>
      <c r="AA316" s="544"/>
      <c r="AB316" s="393" t="s">
        <v>446</v>
      </c>
      <c r="AC316" s="392">
        <v>43159</v>
      </c>
      <c r="AD316" s="392">
        <v>43172</v>
      </c>
      <c r="AE316" s="689">
        <f>AD316-AC316</f>
        <v>13</v>
      </c>
      <c r="AF316" s="392">
        <v>43191</v>
      </c>
      <c r="AG316" s="546">
        <f>AF316-AD316</f>
        <v>19</v>
      </c>
      <c r="AJ316" s="553"/>
    </row>
    <row r="317" spans="1:36" s="218" customFormat="1" ht="14.25" customHeight="1">
      <c r="A317" s="586" t="s">
        <v>714</v>
      </c>
      <c r="B317" s="545" t="s">
        <v>190</v>
      </c>
      <c r="C317" s="386"/>
      <c r="D317" s="386"/>
      <c r="E317" s="392"/>
      <c r="F317" s="392">
        <v>43311</v>
      </c>
      <c r="G317" s="601"/>
      <c r="H317" s="752"/>
      <c r="I317" s="601"/>
      <c r="J317" s="601"/>
      <c r="K317" s="386"/>
      <c r="L317" s="392" t="str">
        <f>TEXT(F317,"mmm-yy")</f>
        <v>Jul-18</v>
      </c>
      <c r="M317" s="392" t="str">
        <f>TEXT(J317,"mmm-yy")</f>
        <v>Jan-00</v>
      </c>
      <c r="N317" s="397" t="s">
        <v>3168</v>
      </c>
      <c r="O317" s="418" t="s">
        <v>744</v>
      </c>
      <c r="P317" s="538">
        <v>3858.83</v>
      </c>
      <c r="Q317" s="538"/>
      <c r="R317" s="538">
        <f>SUM(P317:Q317)</f>
        <v>3858.83</v>
      </c>
      <c r="S317" s="495">
        <f>R317*1.1</f>
        <v>4244.7130000000006</v>
      </c>
      <c r="T317" s="539">
        <v>1285</v>
      </c>
      <c r="U317" s="539"/>
      <c r="V317" s="389">
        <f>SUM(T317:U317)</f>
        <v>1285</v>
      </c>
      <c r="W317" s="388">
        <f>R317-V317</f>
        <v>2573.83</v>
      </c>
      <c r="X317" s="589">
        <f>W317/R317</f>
        <v>0.66699750960783444</v>
      </c>
      <c r="Y317" s="544"/>
      <c r="Z317" s="536">
        <f>F317+14</f>
        <v>43325</v>
      </c>
      <c r="AA317" s="544"/>
      <c r="AB317" s="393" t="s">
        <v>201</v>
      </c>
      <c r="AC317" s="392" t="s">
        <v>752</v>
      </c>
      <c r="AD317" s="392">
        <v>43172</v>
      </c>
      <c r="AE317" s="550"/>
      <c r="AF317" s="392">
        <v>43199</v>
      </c>
      <c r="AG317" s="546">
        <f>AF317-AD317</f>
        <v>27</v>
      </c>
      <c r="AJ317" s="553"/>
    </row>
    <row r="318" spans="1:36" s="218" customFormat="1" ht="14.25" customHeight="1">
      <c r="A318" s="586" t="s">
        <v>714</v>
      </c>
      <c r="B318" s="545" t="s">
        <v>190</v>
      </c>
      <c r="C318" s="386"/>
      <c r="D318" s="386"/>
      <c r="E318" s="392"/>
      <c r="F318" s="392">
        <v>42916</v>
      </c>
      <c r="G318" s="601"/>
      <c r="H318" s="752"/>
      <c r="I318" s="601"/>
      <c r="J318" s="601"/>
      <c r="K318" s="386"/>
      <c r="L318" s="392" t="str">
        <f>TEXT(F318,"mmm-yy")</f>
        <v>Jun-17</v>
      </c>
      <c r="M318" s="392" t="str">
        <f>TEXT(J318,"mmm-yy")</f>
        <v>Jan-00</v>
      </c>
      <c r="N318" s="397" t="s">
        <v>2506</v>
      </c>
      <c r="O318" s="418" t="s">
        <v>2380</v>
      </c>
      <c r="P318" s="538">
        <v>560</v>
      </c>
      <c r="Q318" s="538"/>
      <c r="R318" s="538">
        <f>SUM(P318:Q318)</f>
        <v>560</v>
      </c>
      <c r="S318" s="495">
        <f>R318*1.1</f>
        <v>616</v>
      </c>
      <c r="T318" s="539"/>
      <c r="U318" s="539"/>
      <c r="V318" s="389">
        <f>SUM(T318:U318)</f>
        <v>0</v>
      </c>
      <c r="W318" s="388">
        <f>R318-V318</f>
        <v>560</v>
      </c>
      <c r="X318" s="589">
        <f>W318/R318</f>
        <v>1</v>
      </c>
      <c r="Y318" s="544"/>
      <c r="Z318" s="536">
        <f>F318+14</f>
        <v>42930</v>
      </c>
      <c r="AA318" s="544"/>
      <c r="AB318" s="393" t="s">
        <v>201</v>
      </c>
      <c r="AC318" s="392" t="s">
        <v>752</v>
      </c>
      <c r="AD318" s="392">
        <v>43173</v>
      </c>
      <c r="AE318" s="550"/>
      <c r="AF318" s="392">
        <v>43235</v>
      </c>
      <c r="AG318" s="546">
        <f>AF318-AD318</f>
        <v>62</v>
      </c>
      <c r="AJ318" s="553"/>
    </row>
    <row r="319" spans="1:36" s="218" customFormat="1" ht="14.25" customHeight="1">
      <c r="A319" s="586" t="s">
        <v>714</v>
      </c>
      <c r="B319" s="545" t="s">
        <v>190</v>
      </c>
      <c r="C319" s="386"/>
      <c r="D319" s="386"/>
      <c r="E319" s="392"/>
      <c r="F319" s="392">
        <v>43311</v>
      </c>
      <c r="G319" s="601"/>
      <c r="H319" s="752"/>
      <c r="I319" s="601"/>
      <c r="J319" s="601"/>
      <c r="K319" s="386"/>
      <c r="L319" s="392" t="str">
        <f>TEXT(F319,"mmm-yy")</f>
        <v>Jul-18</v>
      </c>
      <c r="M319" s="392" t="str">
        <f>TEXT(J319,"mmm-yy")</f>
        <v>Jan-00</v>
      </c>
      <c r="N319" s="397" t="s">
        <v>3169</v>
      </c>
      <c r="O319" s="418" t="s">
        <v>2388</v>
      </c>
      <c r="P319" s="538">
        <v>1156.52</v>
      </c>
      <c r="Q319" s="538"/>
      <c r="R319" s="538">
        <f>SUM(P319:Q319)</f>
        <v>1156.52</v>
      </c>
      <c r="S319" s="495">
        <f>R319*1.1</f>
        <v>1272.172</v>
      </c>
      <c r="T319" s="539"/>
      <c r="U319" s="539"/>
      <c r="V319" s="389">
        <f>SUM(T319:U319)</f>
        <v>0</v>
      </c>
      <c r="W319" s="388">
        <f>R319-V319</f>
        <v>1156.52</v>
      </c>
      <c r="X319" s="589">
        <f>W319/R319</f>
        <v>1</v>
      </c>
      <c r="Y319" s="544"/>
      <c r="Z319" s="536">
        <f>F319+14</f>
        <v>43325</v>
      </c>
      <c r="AA319" s="544"/>
      <c r="AB319" s="393" t="s">
        <v>201</v>
      </c>
      <c r="AC319" s="392" t="s">
        <v>752</v>
      </c>
      <c r="AD319" s="392">
        <v>43174</v>
      </c>
      <c r="AE319" s="550"/>
      <c r="AF319" s="392">
        <v>43220</v>
      </c>
      <c r="AG319" s="546">
        <f>AF319-AD319</f>
        <v>46</v>
      </c>
      <c r="AJ319" s="553"/>
    </row>
    <row r="320" spans="1:36" s="218" customFormat="1" ht="14.25" customHeight="1">
      <c r="A320" s="586" t="s">
        <v>714</v>
      </c>
      <c r="B320" s="545" t="s">
        <v>190</v>
      </c>
      <c r="C320" s="386"/>
      <c r="D320" s="386"/>
      <c r="E320" s="392"/>
      <c r="F320" s="392">
        <v>43311</v>
      </c>
      <c r="G320" s="601"/>
      <c r="H320" s="752"/>
      <c r="I320" s="601"/>
      <c r="J320" s="601"/>
      <c r="K320" s="386"/>
      <c r="L320" s="392" t="str">
        <f>TEXT(F320,"mmm-yy")</f>
        <v>Jul-18</v>
      </c>
      <c r="M320" s="392" t="str">
        <f>TEXT(J320,"mmm-yy")</f>
        <v>Jan-00</v>
      </c>
      <c r="N320" s="397" t="s">
        <v>2389</v>
      </c>
      <c r="O320" s="418" t="s">
        <v>2387</v>
      </c>
      <c r="P320" s="538">
        <v>2731.54</v>
      </c>
      <c r="Q320" s="538"/>
      <c r="R320" s="538">
        <f>SUM(P320:Q320)</f>
        <v>2731.54</v>
      </c>
      <c r="S320" s="495">
        <f>R320*1.1</f>
        <v>3004.6940000000004</v>
      </c>
      <c r="T320" s="539"/>
      <c r="U320" s="539"/>
      <c r="V320" s="389">
        <f>SUM(T320:U320)</f>
        <v>0</v>
      </c>
      <c r="W320" s="388">
        <f>R320-V320</f>
        <v>2731.54</v>
      </c>
      <c r="X320" s="589">
        <f>W320/R320</f>
        <v>1</v>
      </c>
      <c r="Y320" s="544"/>
      <c r="Z320" s="536">
        <f>F320+14</f>
        <v>43325</v>
      </c>
      <c r="AA320" s="544"/>
      <c r="AB320" s="393" t="s">
        <v>727</v>
      </c>
      <c r="AC320" s="392" t="s">
        <v>752</v>
      </c>
      <c r="AD320" s="392">
        <v>43174</v>
      </c>
      <c r="AE320" s="550"/>
      <c r="AF320" s="392">
        <v>43231</v>
      </c>
      <c r="AG320" s="546">
        <f>AF320-AD320</f>
        <v>57</v>
      </c>
      <c r="AJ320" s="553"/>
    </row>
    <row r="321" spans="1:36" s="218" customFormat="1" ht="14.25" customHeight="1">
      <c r="A321" s="586" t="s">
        <v>714</v>
      </c>
      <c r="B321" s="545" t="s">
        <v>190</v>
      </c>
      <c r="C321" s="386"/>
      <c r="D321" s="386"/>
      <c r="E321" s="392"/>
      <c r="F321" s="392">
        <v>43311</v>
      </c>
      <c r="G321" s="601"/>
      <c r="H321" s="752"/>
      <c r="I321" s="601"/>
      <c r="J321" s="601"/>
      <c r="K321" s="386"/>
      <c r="L321" s="392" t="str">
        <f>TEXT(F321,"mmm-yy")</f>
        <v>Jul-18</v>
      </c>
      <c r="M321" s="392" t="str">
        <f>TEXT(J321,"mmm-yy")</f>
        <v>Jan-00</v>
      </c>
      <c r="N321" s="397" t="s">
        <v>2675</v>
      </c>
      <c r="O321" s="418" t="s">
        <v>2386</v>
      </c>
      <c r="P321" s="538">
        <v>560</v>
      </c>
      <c r="Q321" s="538"/>
      <c r="R321" s="538">
        <f>SUM(P321:Q321)</f>
        <v>560</v>
      </c>
      <c r="S321" s="495">
        <f>R321*1.1</f>
        <v>616</v>
      </c>
      <c r="T321" s="539"/>
      <c r="U321" s="539"/>
      <c r="V321" s="389">
        <f>SUM(T321:U321)</f>
        <v>0</v>
      </c>
      <c r="W321" s="388">
        <f>R321-V321</f>
        <v>560</v>
      </c>
      <c r="X321" s="589">
        <f>W321/R321</f>
        <v>1</v>
      </c>
      <c r="Y321" s="544"/>
      <c r="Z321" s="536">
        <f>F321+14</f>
        <v>43325</v>
      </c>
      <c r="AA321" s="544"/>
      <c r="AB321" s="393" t="s">
        <v>727</v>
      </c>
      <c r="AC321" s="392" t="s">
        <v>752</v>
      </c>
      <c r="AD321" s="392">
        <v>43174</v>
      </c>
      <c r="AE321" s="550"/>
      <c r="AF321" s="392">
        <v>43251</v>
      </c>
      <c r="AG321" s="546">
        <f>AF321-AD321</f>
        <v>77</v>
      </c>
      <c r="AJ321" s="553"/>
    </row>
    <row r="322" spans="1:36" s="218" customFormat="1" ht="14.25" customHeight="1">
      <c r="A322" s="586" t="s">
        <v>714</v>
      </c>
      <c r="B322" s="545" t="s">
        <v>190</v>
      </c>
      <c r="C322" s="386"/>
      <c r="D322" s="386"/>
      <c r="E322" s="392"/>
      <c r="F322" s="392">
        <v>43311</v>
      </c>
      <c r="G322" s="601"/>
      <c r="H322" s="752"/>
      <c r="I322" s="601"/>
      <c r="J322" s="601"/>
      <c r="K322" s="386"/>
      <c r="L322" s="392" t="str">
        <f>TEXT(F322,"mmm-yy")</f>
        <v>Jul-18</v>
      </c>
      <c r="M322" s="392" t="str">
        <f>TEXT(J322,"mmm-yy")</f>
        <v>Jan-00</v>
      </c>
      <c r="N322" s="397" t="s">
        <v>2381</v>
      </c>
      <c r="O322" s="418" t="s">
        <v>695</v>
      </c>
      <c r="P322" s="538">
        <v>2930.88</v>
      </c>
      <c r="Q322" s="538"/>
      <c r="R322" s="538">
        <f>SUM(P322:Q322)</f>
        <v>2930.88</v>
      </c>
      <c r="S322" s="495">
        <f>R322*1.1</f>
        <v>3223.9680000000003</v>
      </c>
      <c r="T322" s="539"/>
      <c r="U322" s="539"/>
      <c r="V322" s="389">
        <f>SUM(T322:U322)</f>
        <v>0</v>
      </c>
      <c r="W322" s="388">
        <f>R322-V322</f>
        <v>2930.88</v>
      </c>
      <c r="X322" s="589">
        <f>W322/R322</f>
        <v>1</v>
      </c>
      <c r="Y322" s="544"/>
      <c r="Z322" s="536">
        <f>F322+14</f>
        <v>43325</v>
      </c>
      <c r="AA322" s="544"/>
      <c r="AB322" s="393" t="s">
        <v>201</v>
      </c>
      <c r="AC322" s="392" t="s">
        <v>752</v>
      </c>
      <c r="AD322" s="392">
        <v>43174</v>
      </c>
      <c r="AE322" s="550"/>
      <c r="AF322" s="392">
        <v>43185</v>
      </c>
      <c r="AG322" s="546">
        <f>AF322-AD322</f>
        <v>11</v>
      </c>
      <c r="AJ322" s="553"/>
    </row>
    <row r="323" spans="1:36" s="218" customFormat="1" ht="14.25" customHeight="1">
      <c r="A323" s="586" t="s">
        <v>714</v>
      </c>
      <c r="B323" s="545" t="s">
        <v>190</v>
      </c>
      <c r="C323" s="386" t="s">
        <v>3013</v>
      </c>
      <c r="D323" s="386">
        <v>43257</v>
      </c>
      <c r="E323" s="392">
        <v>43234</v>
      </c>
      <c r="F323" s="392">
        <v>43235</v>
      </c>
      <c r="G323" s="603">
        <v>43238</v>
      </c>
      <c r="H323" s="753">
        <v>43250</v>
      </c>
      <c r="I323" s="603">
        <f>F323+14</f>
        <v>43249</v>
      </c>
      <c r="J323" s="603">
        <v>43256</v>
      </c>
      <c r="K323" s="386"/>
      <c r="L323" s="392" t="str">
        <f>TEXT(F323,"mmm-yy")</f>
        <v>May-18</v>
      </c>
      <c r="M323" s="392" t="str">
        <f>TEXT(J323,"mmm-yy")</f>
        <v>Jun-18</v>
      </c>
      <c r="N323" s="397" t="s">
        <v>2795</v>
      </c>
      <c r="O323" s="418" t="s">
        <v>459</v>
      </c>
      <c r="P323" s="538">
        <v>5800.45</v>
      </c>
      <c r="Q323" s="538">
        <v>-1002.48</v>
      </c>
      <c r="R323" s="538">
        <f>SUM(P323:Q323)</f>
        <v>4797.9699999999993</v>
      </c>
      <c r="S323" s="495">
        <f>R323*1.1</f>
        <v>5277.7669999999998</v>
      </c>
      <c r="T323" s="539"/>
      <c r="U323" s="539"/>
      <c r="V323" s="389">
        <f>SUM(T323:U323)</f>
        <v>0</v>
      </c>
      <c r="W323" s="388">
        <f>R323-V323</f>
        <v>4797.9699999999993</v>
      </c>
      <c r="X323" s="589">
        <f>W323/R323</f>
        <v>1</v>
      </c>
      <c r="Y323" s="544"/>
      <c r="Z323" s="536">
        <f>F323+14</f>
        <v>43249</v>
      </c>
      <c r="AA323" s="544"/>
      <c r="AB323" s="393" t="s">
        <v>3047</v>
      </c>
      <c r="AC323" s="392" t="s">
        <v>752</v>
      </c>
      <c r="AD323" s="392">
        <v>43174</v>
      </c>
      <c r="AE323" s="550"/>
      <c r="AF323" s="392">
        <v>43206</v>
      </c>
      <c r="AG323" s="546">
        <f>AF323-AD323</f>
        <v>32</v>
      </c>
      <c r="AJ323" s="553"/>
    </row>
    <row r="324" spans="1:36" s="218" customFormat="1" ht="14.25" customHeight="1">
      <c r="A324" s="586" t="s">
        <v>714</v>
      </c>
      <c r="B324" s="545" t="s">
        <v>190</v>
      </c>
      <c r="C324" s="386"/>
      <c r="D324" s="386"/>
      <c r="E324" s="392"/>
      <c r="F324" s="392">
        <v>43311</v>
      </c>
      <c r="G324" s="601"/>
      <c r="H324" s="752"/>
      <c r="I324" s="601"/>
      <c r="J324" s="601"/>
      <c r="K324" s="386"/>
      <c r="L324" s="392" t="str">
        <f>TEXT(F324,"mmm-yy")</f>
        <v>Jul-18</v>
      </c>
      <c r="M324" s="392" t="str">
        <f>TEXT(J324,"mmm-yy")</f>
        <v>Jan-00</v>
      </c>
      <c r="N324" s="397" t="s">
        <v>2390</v>
      </c>
      <c r="O324" s="418" t="s">
        <v>755</v>
      </c>
      <c r="P324" s="538">
        <v>2800</v>
      </c>
      <c r="Q324" s="538"/>
      <c r="R324" s="538">
        <f>SUM(P324:Q324)</f>
        <v>2800</v>
      </c>
      <c r="S324" s="495">
        <f>R324*1.1</f>
        <v>3080.0000000000005</v>
      </c>
      <c r="T324" s="539">
        <v>1434.4</v>
      </c>
      <c r="U324" s="539"/>
      <c r="V324" s="389">
        <f>SUM(T324:U324)</f>
        <v>1434.4</v>
      </c>
      <c r="W324" s="388">
        <f>R324-V324</f>
        <v>1365.6</v>
      </c>
      <c r="X324" s="589">
        <f>W324/R324</f>
        <v>0.48771428571428566</v>
      </c>
      <c r="Y324" s="544"/>
      <c r="Z324" s="536">
        <f>F324+14</f>
        <v>43325</v>
      </c>
      <c r="AA324" s="544"/>
      <c r="AB324" s="393" t="s">
        <v>201</v>
      </c>
      <c r="AC324" s="392" t="s">
        <v>752</v>
      </c>
      <c r="AD324" s="392">
        <v>43174</v>
      </c>
      <c r="AE324" s="550"/>
      <c r="AF324" s="392">
        <v>43220</v>
      </c>
      <c r="AG324" s="546">
        <f>AF324-AD324</f>
        <v>46</v>
      </c>
      <c r="AJ324" s="553"/>
    </row>
    <row r="325" spans="1:36" s="218" customFormat="1" ht="14.25" customHeight="1">
      <c r="A325" s="586" t="s">
        <v>714</v>
      </c>
      <c r="B325" s="545" t="s">
        <v>190</v>
      </c>
      <c r="C325" s="386" t="s">
        <v>2810</v>
      </c>
      <c r="D325" s="386">
        <v>43237</v>
      </c>
      <c r="E325" s="392">
        <v>43199</v>
      </c>
      <c r="F325" s="392">
        <v>43200</v>
      </c>
      <c r="G325" s="576">
        <v>43202</v>
      </c>
      <c r="H325" s="669">
        <v>43230</v>
      </c>
      <c r="I325" s="603">
        <v>43213</v>
      </c>
      <c r="J325" s="603">
        <v>43237</v>
      </c>
      <c r="K325" s="386"/>
      <c r="L325" s="392" t="str">
        <f>TEXT(F325,"mmm-yy")</f>
        <v>Apr-18</v>
      </c>
      <c r="M325" s="392" t="str">
        <f>TEXT(J325,"mmm-yy")</f>
        <v>May-18</v>
      </c>
      <c r="N325" s="397" t="s">
        <v>2392</v>
      </c>
      <c r="O325" s="418" t="s">
        <v>2393</v>
      </c>
      <c r="P325" s="538">
        <v>1747.6</v>
      </c>
      <c r="Q325" s="538">
        <v>5475.6200000000008</v>
      </c>
      <c r="R325" s="538">
        <f>SUM(P325:Q325)</f>
        <v>7223.2200000000012</v>
      </c>
      <c r="S325" s="495">
        <f>R325*1.1</f>
        <v>7945.5420000000022</v>
      </c>
      <c r="T325" s="539">
        <v>4066.58</v>
      </c>
      <c r="U325" s="539"/>
      <c r="V325" s="389">
        <f>SUM(T325:U325)</f>
        <v>4066.58</v>
      </c>
      <c r="W325" s="388">
        <f>R325-V325</f>
        <v>3156.6400000000012</v>
      </c>
      <c r="X325" s="589">
        <f>W325/R325</f>
        <v>0.43701285576238863</v>
      </c>
      <c r="Y325" s="544"/>
      <c r="Z325" s="536">
        <f>F325+14</f>
        <v>43214</v>
      </c>
      <c r="AA325" s="544"/>
      <c r="AB325" s="393" t="s">
        <v>201</v>
      </c>
      <c r="AC325" s="392" t="s">
        <v>752</v>
      </c>
      <c r="AD325" s="392">
        <v>43175</v>
      </c>
      <c r="AE325" s="550"/>
      <c r="AF325" s="392">
        <v>43199</v>
      </c>
      <c r="AG325" s="546">
        <f>AF325-AD325</f>
        <v>24</v>
      </c>
      <c r="AJ325" s="553"/>
    </row>
    <row r="326" spans="1:36" s="218" customFormat="1" ht="14.25" customHeight="1">
      <c r="A326" s="586" t="s">
        <v>714</v>
      </c>
      <c r="B326" s="545" t="s">
        <v>190</v>
      </c>
      <c r="C326" s="386" t="s">
        <v>2809</v>
      </c>
      <c r="D326" s="386">
        <v>43237</v>
      </c>
      <c r="E326" s="392">
        <v>43207</v>
      </c>
      <c r="F326" s="392">
        <v>43207</v>
      </c>
      <c r="G326" s="603">
        <v>43216</v>
      </c>
      <c r="H326" s="753">
        <v>43230</v>
      </c>
      <c r="I326" s="603">
        <v>43220</v>
      </c>
      <c r="J326" s="603">
        <v>43237</v>
      </c>
      <c r="K326" s="386"/>
      <c r="L326" s="392" t="str">
        <f>TEXT(F326,"mmm-yy")</f>
        <v>Apr-18</v>
      </c>
      <c r="M326" s="392" t="str">
        <f>TEXT(J326,"mmm-yy")</f>
        <v>May-18</v>
      </c>
      <c r="N326" s="397" t="s">
        <v>2394</v>
      </c>
      <c r="O326" s="418" t="s">
        <v>2395</v>
      </c>
      <c r="P326" s="538">
        <v>3770.14</v>
      </c>
      <c r="Q326" s="538">
        <v>8711</v>
      </c>
      <c r="R326" s="538">
        <f>SUM(P326:Q326)</f>
        <v>12481.14</v>
      </c>
      <c r="S326" s="495">
        <f>R326*1.1</f>
        <v>13729.254000000001</v>
      </c>
      <c r="T326" s="539">
        <v>9477.91</v>
      </c>
      <c r="U326" s="539"/>
      <c r="V326" s="389">
        <f>SUM(T326:U326)</f>
        <v>9477.91</v>
      </c>
      <c r="W326" s="388">
        <f>R326-V326</f>
        <v>3003.2299999999996</v>
      </c>
      <c r="X326" s="589">
        <f>W326/R326</f>
        <v>0.24062144964322166</v>
      </c>
      <c r="Y326" s="544"/>
      <c r="Z326" s="536">
        <f>F326+14</f>
        <v>43221</v>
      </c>
      <c r="AA326" s="544"/>
      <c r="AB326" s="393" t="s">
        <v>201</v>
      </c>
      <c r="AC326" s="392" t="s">
        <v>752</v>
      </c>
      <c r="AD326" s="392">
        <v>43175</v>
      </c>
      <c r="AE326" s="550"/>
      <c r="AF326" s="392">
        <v>43195</v>
      </c>
      <c r="AG326" s="546">
        <f>AF326-AD326</f>
        <v>20</v>
      </c>
      <c r="AJ326" s="553"/>
    </row>
    <row r="327" spans="1:36" s="218" customFormat="1" ht="14.25" customHeight="1">
      <c r="A327" s="586" t="s">
        <v>714</v>
      </c>
      <c r="B327" s="545" t="s">
        <v>190</v>
      </c>
      <c r="C327" s="386" t="s">
        <v>3002</v>
      </c>
      <c r="D327" s="386">
        <v>43250</v>
      </c>
      <c r="E327" s="392">
        <v>43199</v>
      </c>
      <c r="F327" s="392">
        <v>43200</v>
      </c>
      <c r="G327" s="576">
        <v>43202</v>
      </c>
      <c r="H327" s="669">
        <v>43200</v>
      </c>
      <c r="I327" s="576">
        <v>43244</v>
      </c>
      <c r="J327" s="603">
        <v>43251</v>
      </c>
      <c r="K327" s="386"/>
      <c r="L327" s="392" t="str">
        <f>TEXT(F327,"mmm-yy")</f>
        <v>Apr-18</v>
      </c>
      <c r="M327" s="392" t="str">
        <f>TEXT(J327,"mmm-yy")</f>
        <v>May-18</v>
      </c>
      <c r="N327" s="397" t="s">
        <v>2505</v>
      </c>
      <c r="O327" s="418" t="s">
        <v>491</v>
      </c>
      <c r="P327" s="538">
        <v>1129.8399999999999</v>
      </c>
      <c r="Q327" s="538">
        <v>2377.36</v>
      </c>
      <c r="R327" s="538">
        <f>SUM(P327:Q327)</f>
        <v>3507.2</v>
      </c>
      <c r="S327" s="495">
        <f>R327*1.1</f>
        <v>3857.92</v>
      </c>
      <c r="T327" s="539"/>
      <c r="U327" s="539"/>
      <c r="V327" s="389">
        <f>SUM(T327:U327)</f>
        <v>0</v>
      </c>
      <c r="W327" s="388">
        <f>R327-V327</f>
        <v>3507.2</v>
      </c>
      <c r="X327" s="589">
        <f>W327/R327</f>
        <v>1</v>
      </c>
      <c r="Y327" s="544"/>
      <c r="Z327" s="536">
        <f>F327+14</f>
        <v>43214</v>
      </c>
      <c r="AA327" s="544"/>
      <c r="AB327" s="393" t="s">
        <v>201</v>
      </c>
      <c r="AC327" s="392" t="s">
        <v>752</v>
      </c>
      <c r="AD327" s="392">
        <v>43179</v>
      </c>
      <c r="AE327" s="550"/>
      <c r="AF327" s="392">
        <v>43206</v>
      </c>
      <c r="AG327" s="546">
        <f>AF327-AD327</f>
        <v>27</v>
      </c>
      <c r="AJ327" s="553"/>
    </row>
    <row r="328" spans="1:36" s="218" customFormat="1" ht="14.25" customHeight="1">
      <c r="A328" s="586" t="s">
        <v>714</v>
      </c>
      <c r="B328" s="545" t="s">
        <v>190</v>
      </c>
      <c r="C328" s="386" t="s">
        <v>2986</v>
      </c>
      <c r="D328" s="386">
        <v>43250</v>
      </c>
      <c r="E328" s="392">
        <v>43223</v>
      </c>
      <c r="F328" s="392">
        <v>43223</v>
      </c>
      <c r="G328" s="603">
        <v>43230</v>
      </c>
      <c r="H328" s="753">
        <v>43243</v>
      </c>
      <c r="I328" s="603">
        <v>43236</v>
      </c>
      <c r="J328" s="603">
        <v>43251</v>
      </c>
      <c r="K328" s="386"/>
      <c r="L328" s="392" t="str">
        <f>TEXT(F328,"mmm-yy")</f>
        <v>May-18</v>
      </c>
      <c r="M328" s="392" t="str">
        <f>TEXT(J328,"mmm-yy")</f>
        <v>May-18</v>
      </c>
      <c r="N328" s="397" t="s">
        <v>2504</v>
      </c>
      <c r="O328" s="418" t="s">
        <v>2397</v>
      </c>
      <c r="P328" s="538">
        <v>1692.36</v>
      </c>
      <c r="Q328" s="538">
        <v>8088.39</v>
      </c>
      <c r="R328" s="538">
        <f>SUM(P328:Q328)</f>
        <v>9780.75</v>
      </c>
      <c r="S328" s="495">
        <f>R328*1.1</f>
        <v>10758.825000000001</v>
      </c>
      <c r="T328" s="389">
        <v>5968.17</v>
      </c>
      <c r="U328" s="539"/>
      <c r="V328" s="389">
        <f>SUM(T328:U328)</f>
        <v>5968.17</v>
      </c>
      <c r="W328" s="388">
        <f>R328-V328</f>
        <v>3812.58</v>
      </c>
      <c r="X328" s="589">
        <f>W328/R328</f>
        <v>0.38980446284794112</v>
      </c>
      <c r="Y328" s="544"/>
      <c r="Z328" s="536">
        <f>F328+14</f>
        <v>43237</v>
      </c>
      <c r="AA328" s="544"/>
      <c r="AB328" s="393" t="s">
        <v>201</v>
      </c>
      <c r="AC328" s="392" t="s">
        <v>752</v>
      </c>
      <c r="AD328" s="392">
        <v>43178</v>
      </c>
      <c r="AE328" s="550"/>
      <c r="AF328" s="392">
        <v>43208</v>
      </c>
      <c r="AG328" s="546">
        <f>AF328-AD328</f>
        <v>30</v>
      </c>
      <c r="AJ328" s="553"/>
    </row>
    <row r="329" spans="1:36" s="218" customFormat="1" ht="14.25" customHeight="1">
      <c r="A329" s="586" t="s">
        <v>714</v>
      </c>
      <c r="B329" s="545" t="s">
        <v>190</v>
      </c>
      <c r="C329" s="386" t="s">
        <v>3188</v>
      </c>
      <c r="D329" s="386">
        <v>43263</v>
      </c>
      <c r="E329" s="392">
        <v>43258</v>
      </c>
      <c r="F329" s="392">
        <v>43258</v>
      </c>
      <c r="G329" s="614">
        <v>43258</v>
      </c>
      <c r="H329" s="753">
        <v>43272</v>
      </c>
      <c r="I329" s="603">
        <f>F329+14</f>
        <v>43272</v>
      </c>
      <c r="J329" s="603">
        <v>43279</v>
      </c>
      <c r="K329" s="386"/>
      <c r="L329" s="392" t="str">
        <f>TEXT(F329,"mmm-yy")</f>
        <v>Jun-18</v>
      </c>
      <c r="M329" s="392" t="str">
        <f>TEXT(J329,"mmm-yy")</f>
        <v>Jun-18</v>
      </c>
      <c r="N329" s="397" t="s">
        <v>2796</v>
      </c>
      <c r="O329" s="418" t="s">
        <v>459</v>
      </c>
      <c r="P329" s="538">
        <v>2640</v>
      </c>
      <c r="Q329" s="538">
        <v>512.55999999999995</v>
      </c>
      <c r="R329" s="538">
        <f>SUM(P329:Q329)</f>
        <v>3152.56</v>
      </c>
      <c r="S329" s="495">
        <f>R329*1.1</f>
        <v>3467.8160000000003</v>
      </c>
      <c r="T329" s="539"/>
      <c r="U329" s="539"/>
      <c r="V329" s="389">
        <f>SUM(T329:U329)</f>
        <v>0</v>
      </c>
      <c r="W329" s="388">
        <f>R329-V329</f>
        <v>3152.56</v>
      </c>
      <c r="X329" s="589">
        <f>W329/R329</f>
        <v>1</v>
      </c>
      <c r="Y329" s="544"/>
      <c r="Z329" s="536">
        <f>F329+14</f>
        <v>43272</v>
      </c>
      <c r="AA329" s="544"/>
      <c r="AB329" s="393" t="s">
        <v>3047</v>
      </c>
      <c r="AC329" s="392" t="s">
        <v>752</v>
      </c>
      <c r="AD329" s="392">
        <v>43180</v>
      </c>
      <c r="AE329" s="550"/>
      <c r="AF329" s="392">
        <v>43200</v>
      </c>
      <c r="AG329" s="546">
        <f>AF329-AD329</f>
        <v>20</v>
      </c>
      <c r="AJ329" s="553"/>
    </row>
    <row r="330" spans="1:36" s="218" customFormat="1" ht="14.25" customHeight="1">
      <c r="A330" s="586" t="s">
        <v>714</v>
      </c>
      <c r="B330" s="545" t="s">
        <v>190</v>
      </c>
      <c r="C330" s="386"/>
      <c r="D330" s="386"/>
      <c r="E330" s="392"/>
      <c r="F330" s="392">
        <v>43434</v>
      </c>
      <c r="G330" s="601"/>
      <c r="H330" s="752"/>
      <c r="I330" s="601"/>
      <c r="J330" s="601"/>
      <c r="K330" s="386"/>
      <c r="L330" s="392" t="str">
        <f>TEXT(F330,"mmm-yy")</f>
        <v>Nov-18</v>
      </c>
      <c r="M330" s="392" t="str">
        <f>TEXT(J330,"mmm-yy")</f>
        <v>Jan-00</v>
      </c>
      <c r="N330" s="397" t="s">
        <v>2503</v>
      </c>
      <c r="O330" s="418" t="s">
        <v>2399</v>
      </c>
      <c r="P330" s="538">
        <v>857.61</v>
      </c>
      <c r="Q330" s="538"/>
      <c r="R330" s="538">
        <f>SUM(P330:Q330)</f>
        <v>857.61</v>
      </c>
      <c r="S330" s="495">
        <f>R330*1.1</f>
        <v>943.37100000000009</v>
      </c>
      <c r="T330" s="539"/>
      <c r="U330" s="539"/>
      <c r="V330" s="389">
        <f>SUM(T330:U330)</f>
        <v>0</v>
      </c>
      <c r="W330" s="388">
        <f>R330-V330</f>
        <v>857.61</v>
      </c>
      <c r="X330" s="589">
        <f>W330/R330</f>
        <v>1</v>
      </c>
      <c r="Y330" s="544"/>
      <c r="Z330" s="536">
        <f>F330+14</f>
        <v>43448</v>
      </c>
      <c r="AA330" s="544"/>
      <c r="AB330" s="393" t="s">
        <v>201</v>
      </c>
      <c r="AC330" s="392" t="s">
        <v>752</v>
      </c>
      <c r="AD330" s="392">
        <v>43180</v>
      </c>
      <c r="AE330" s="550"/>
      <c r="AF330" s="392">
        <v>43213</v>
      </c>
      <c r="AG330" s="546">
        <f>AF330-AD330</f>
        <v>33</v>
      </c>
      <c r="AJ330" s="553"/>
    </row>
    <row r="331" spans="1:36" s="218" customFormat="1" ht="14.25" customHeight="1">
      <c r="A331" s="586" t="s">
        <v>714</v>
      </c>
      <c r="B331" s="545" t="s">
        <v>190</v>
      </c>
      <c r="C331" s="386" t="s">
        <v>2582</v>
      </c>
      <c r="D331" s="386">
        <v>43209</v>
      </c>
      <c r="E331" s="392">
        <v>43188</v>
      </c>
      <c r="F331" s="392">
        <v>43188</v>
      </c>
      <c r="G331" s="603">
        <v>43194</v>
      </c>
      <c r="H331" s="753">
        <v>43203</v>
      </c>
      <c r="I331" s="576">
        <v>43203</v>
      </c>
      <c r="J331" s="601">
        <f>I331+14</f>
        <v>43217</v>
      </c>
      <c r="K331" s="386"/>
      <c r="L331" s="392" t="str">
        <f>TEXT(F331,"mmm-yy")</f>
        <v>Mar-18</v>
      </c>
      <c r="M331" s="392" t="str">
        <f>TEXT(J331,"mmm-yy")</f>
        <v>Apr-18</v>
      </c>
      <c r="N331" s="397" t="s">
        <v>1776</v>
      </c>
      <c r="O331" s="418" t="s">
        <v>1777</v>
      </c>
      <c r="P331" s="538">
        <v>1338.12</v>
      </c>
      <c r="Q331" s="538">
        <v>16376.49</v>
      </c>
      <c r="R331" s="538">
        <f>SUM(P331:Q331)</f>
        <v>17714.61</v>
      </c>
      <c r="S331" s="495">
        <f>R331*1.1</f>
        <v>19486.071000000004</v>
      </c>
      <c r="T331" s="539">
        <v>9951.76</v>
      </c>
      <c r="U331" s="539"/>
      <c r="V331" s="389">
        <f>SUM(T331:U331)</f>
        <v>9951.76</v>
      </c>
      <c r="W331" s="388">
        <f>R331-V331</f>
        <v>7762.85</v>
      </c>
      <c r="X331" s="589">
        <f>W331/R331</f>
        <v>0.43821738102052488</v>
      </c>
      <c r="Y331" s="544"/>
      <c r="Z331" s="536">
        <f>F331+14</f>
        <v>43202</v>
      </c>
      <c r="AA331" s="544"/>
      <c r="AB331" s="393" t="s">
        <v>201</v>
      </c>
      <c r="AC331" s="392" t="s">
        <v>752</v>
      </c>
      <c r="AD331" s="392">
        <v>43090</v>
      </c>
      <c r="AE331" s="550"/>
      <c r="AF331" s="392">
        <v>43102</v>
      </c>
      <c r="AG331" s="546">
        <f>AF331-AD331</f>
        <v>12</v>
      </c>
      <c r="AJ331" s="553"/>
    </row>
    <row r="332" spans="1:36" s="218" customFormat="1" ht="14.25" customHeight="1">
      <c r="A332" s="586" t="s">
        <v>2331</v>
      </c>
      <c r="B332" s="545" t="s">
        <v>540</v>
      </c>
      <c r="C332" s="386" t="s">
        <v>2415</v>
      </c>
      <c r="D332" s="386">
        <v>43182</v>
      </c>
      <c r="E332" s="392">
        <v>43175</v>
      </c>
      <c r="F332" s="392">
        <v>43175</v>
      </c>
      <c r="G332" s="756"/>
      <c r="H332" s="757"/>
      <c r="I332" s="756"/>
      <c r="J332" s="576">
        <v>43221</v>
      </c>
      <c r="K332" s="386"/>
      <c r="L332" s="392" t="str">
        <f>TEXT(F332,"mmm-yy")</f>
        <v>Mar-18</v>
      </c>
      <c r="M332" s="392" t="str">
        <f>TEXT(J332,"mmm-yy")</f>
        <v>May-18</v>
      </c>
      <c r="N332" s="397" t="s">
        <v>2600</v>
      </c>
      <c r="O332" s="418" t="s">
        <v>612</v>
      </c>
      <c r="P332" s="538">
        <v>6897.78</v>
      </c>
      <c r="Q332" s="700"/>
      <c r="R332" s="538">
        <f>SUM(P332:Q332)</f>
        <v>6897.78</v>
      </c>
      <c r="S332" s="495">
        <f>R332*1.1</f>
        <v>7587.558</v>
      </c>
      <c r="T332" s="539">
        <v>2849</v>
      </c>
      <c r="U332" s="539">
        <f>10*44.14</f>
        <v>441.4</v>
      </c>
      <c r="V332" s="389">
        <f>SUM(T332:U332)</f>
        <v>3290.4</v>
      </c>
      <c r="W332" s="388">
        <f>R332-V332</f>
        <v>3607.3799999999997</v>
      </c>
      <c r="X332" s="589">
        <f>W332/R332</f>
        <v>0.52297695780381515</v>
      </c>
      <c r="Y332" s="544"/>
      <c r="Z332" s="536">
        <f>F332+14</f>
        <v>43189</v>
      </c>
      <c r="AA332" s="544"/>
      <c r="AB332" s="393" t="s">
        <v>2209</v>
      </c>
      <c r="AC332" s="691"/>
      <c r="AD332" s="691"/>
      <c r="AE332" s="692"/>
      <c r="AF332" s="691"/>
      <c r="AG332" s="693"/>
      <c r="AJ332" s="553"/>
    </row>
    <row r="333" spans="1:36" s="218" customFormat="1" ht="14.25" customHeight="1">
      <c r="A333" s="586" t="s">
        <v>2331</v>
      </c>
      <c r="B333" s="545" t="s">
        <v>540</v>
      </c>
      <c r="C333" s="386" t="s">
        <v>2412</v>
      </c>
      <c r="D333" s="386">
        <v>43182</v>
      </c>
      <c r="E333" s="392">
        <v>43166</v>
      </c>
      <c r="F333" s="392">
        <v>43166</v>
      </c>
      <c r="G333" s="756"/>
      <c r="H333" s="757"/>
      <c r="I333" s="756"/>
      <c r="J333" s="576">
        <v>43221</v>
      </c>
      <c r="K333" s="386"/>
      <c r="L333" s="392" t="str">
        <f>TEXT(F333,"mmm-yy")</f>
        <v>Mar-18</v>
      </c>
      <c r="M333" s="392" t="str">
        <f>TEXT(J333,"mmm-yy")</f>
        <v>May-18</v>
      </c>
      <c r="N333" s="397" t="s">
        <v>2604</v>
      </c>
      <c r="O333" s="418" t="s">
        <v>772</v>
      </c>
      <c r="P333" s="538">
        <v>3001.39</v>
      </c>
      <c r="Q333" s="700"/>
      <c r="R333" s="538">
        <f>SUM(P333:Q333)</f>
        <v>3001.39</v>
      </c>
      <c r="S333" s="495">
        <f>R333*1.1</f>
        <v>3301.529</v>
      </c>
      <c r="T333" s="539">
        <v>1295</v>
      </c>
      <c r="U333" s="539">
        <f>3.5*44.14</f>
        <v>154.49</v>
      </c>
      <c r="V333" s="389">
        <f>SUM(T333:U333)</f>
        <v>1449.49</v>
      </c>
      <c r="W333" s="388">
        <f>R333-V333</f>
        <v>1551.8999999999999</v>
      </c>
      <c r="X333" s="589">
        <f>W333/R333</f>
        <v>0.51706042866805046</v>
      </c>
      <c r="Y333" s="544"/>
      <c r="Z333" s="536">
        <f>F333+14</f>
        <v>43180</v>
      </c>
      <c r="AA333" s="544"/>
      <c r="AB333" s="393" t="s">
        <v>2209</v>
      </c>
      <c r="AC333" s="691"/>
      <c r="AD333" s="691"/>
      <c r="AE333" s="692"/>
      <c r="AF333" s="691"/>
      <c r="AG333" s="693"/>
      <c r="AJ333" s="553"/>
    </row>
    <row r="334" spans="1:36" s="218" customFormat="1" ht="14.25" customHeight="1">
      <c r="A334" s="586" t="s">
        <v>2331</v>
      </c>
      <c r="B334" s="545" t="s">
        <v>540</v>
      </c>
      <c r="C334" s="386" t="s">
        <v>2411</v>
      </c>
      <c r="D334" s="386">
        <v>43182</v>
      </c>
      <c r="E334" s="392">
        <v>43178</v>
      </c>
      <c r="F334" s="392">
        <v>43178</v>
      </c>
      <c r="G334" s="756"/>
      <c r="H334" s="757"/>
      <c r="I334" s="756"/>
      <c r="J334" s="576">
        <v>43221</v>
      </c>
      <c r="K334" s="386"/>
      <c r="L334" s="392" t="str">
        <f>TEXT(F334,"mmm-yy")</f>
        <v>Mar-18</v>
      </c>
      <c r="M334" s="392" t="str">
        <f>TEXT(J334,"mmm-yy")</f>
        <v>May-18</v>
      </c>
      <c r="N334" s="397" t="s">
        <v>2601</v>
      </c>
      <c r="O334" s="418" t="s">
        <v>2410</v>
      </c>
      <c r="P334" s="538">
        <v>3575.87</v>
      </c>
      <c r="Q334" s="700"/>
      <c r="R334" s="538">
        <f>SUM(P334:Q334)</f>
        <v>3575.87</v>
      </c>
      <c r="S334" s="495">
        <f>R334*1.1</f>
        <v>3933.4570000000003</v>
      </c>
      <c r="T334" s="539">
        <v>140</v>
      </c>
      <c r="U334" s="539">
        <f>44.14*20.5+10*20</f>
        <v>1104.8699999999999</v>
      </c>
      <c r="V334" s="389">
        <f>SUM(T334:U334)</f>
        <v>1244.8699999999999</v>
      </c>
      <c r="W334" s="388">
        <f>R334-V334</f>
        <v>2331</v>
      </c>
      <c r="X334" s="589">
        <f>W334/R334</f>
        <v>0.65186933529462765</v>
      </c>
      <c r="Y334" s="544"/>
      <c r="Z334" s="536">
        <f>F334+14</f>
        <v>43192</v>
      </c>
      <c r="AA334" s="544"/>
      <c r="AB334" s="393" t="s">
        <v>2209</v>
      </c>
      <c r="AC334" s="691"/>
      <c r="AD334" s="691"/>
      <c r="AE334" s="692"/>
      <c r="AF334" s="691"/>
      <c r="AG334" s="693"/>
      <c r="AJ334" s="553"/>
    </row>
    <row r="335" spans="1:36" s="218" customFormat="1" ht="14.25" customHeight="1">
      <c r="A335" s="586" t="s">
        <v>2331</v>
      </c>
      <c r="B335" s="545" t="s">
        <v>540</v>
      </c>
      <c r="C335" s="386" t="s">
        <v>2414</v>
      </c>
      <c r="D335" s="386">
        <v>43182</v>
      </c>
      <c r="E335" s="392">
        <v>43178</v>
      </c>
      <c r="F335" s="392">
        <v>43178</v>
      </c>
      <c r="G335" s="756"/>
      <c r="H335" s="757"/>
      <c r="I335" s="756"/>
      <c r="J335" s="576">
        <v>43221</v>
      </c>
      <c r="K335" s="386"/>
      <c r="L335" s="392" t="str">
        <f>TEXT(F335,"mmm-yy")</f>
        <v>Mar-18</v>
      </c>
      <c r="M335" s="392" t="str">
        <f>TEXT(J335,"mmm-yy")</f>
        <v>May-18</v>
      </c>
      <c r="N335" s="397" t="s">
        <v>2603</v>
      </c>
      <c r="O335" s="418" t="s">
        <v>2410</v>
      </c>
      <c r="P335" s="538">
        <v>1281.4000000000001</v>
      </c>
      <c r="Q335" s="700"/>
      <c r="R335" s="538">
        <f>SUM(P335:Q335)</f>
        <v>1281.4000000000001</v>
      </c>
      <c r="S335" s="495">
        <f>R335*1.1</f>
        <v>1409.5400000000002</v>
      </c>
      <c r="T335" s="539"/>
      <c r="U335" s="539">
        <f>10*44.14</f>
        <v>441.4</v>
      </c>
      <c r="V335" s="389">
        <f>SUM(T335:U335)</f>
        <v>441.4</v>
      </c>
      <c r="W335" s="388">
        <f>R335-V335</f>
        <v>840.00000000000011</v>
      </c>
      <c r="X335" s="589">
        <f>W335/R335</f>
        <v>0.6555330107694709</v>
      </c>
      <c r="Y335" s="544"/>
      <c r="Z335" s="536">
        <f>F335+14</f>
        <v>43192</v>
      </c>
      <c r="AA335" s="544"/>
      <c r="AB335" s="393" t="s">
        <v>2209</v>
      </c>
      <c r="AC335" s="691"/>
      <c r="AD335" s="691"/>
      <c r="AE335" s="692"/>
      <c r="AF335" s="691"/>
      <c r="AG335" s="693"/>
      <c r="AJ335" s="553"/>
    </row>
    <row r="336" spans="1:36" s="218" customFormat="1" ht="14.25" customHeight="1">
      <c r="A336" s="586" t="s">
        <v>2331</v>
      </c>
      <c r="B336" s="545" t="s">
        <v>540</v>
      </c>
      <c r="C336" s="386" t="s">
        <v>2413</v>
      </c>
      <c r="D336" s="386">
        <v>43182</v>
      </c>
      <c r="E336" s="392">
        <v>43178</v>
      </c>
      <c r="F336" s="392">
        <v>43178</v>
      </c>
      <c r="G336" s="756"/>
      <c r="H336" s="757"/>
      <c r="I336" s="756"/>
      <c r="J336" s="576">
        <v>43221</v>
      </c>
      <c r="K336" s="386"/>
      <c r="L336" s="392" t="str">
        <f>TEXT(F336,"mmm-yy")</f>
        <v>Mar-18</v>
      </c>
      <c r="M336" s="392" t="str">
        <f>TEXT(J336,"mmm-yy")</f>
        <v>May-18</v>
      </c>
      <c r="N336" s="397" t="s">
        <v>2602</v>
      </c>
      <c r="O336" s="418" t="s">
        <v>2410</v>
      </c>
      <c r="P336" s="538">
        <v>1025.1199999999999</v>
      </c>
      <c r="Q336" s="700"/>
      <c r="R336" s="538">
        <f>SUM(P336:Q336)</f>
        <v>1025.1199999999999</v>
      </c>
      <c r="S336" s="495">
        <f>R336*1.1</f>
        <v>1127.6320000000001</v>
      </c>
      <c r="T336" s="539"/>
      <c r="U336" s="539">
        <f>8*44.14</f>
        <v>353.12</v>
      </c>
      <c r="V336" s="389">
        <f>SUM(T336:U336)</f>
        <v>353.12</v>
      </c>
      <c r="W336" s="388">
        <f>R336-V336</f>
        <v>671.99999999999989</v>
      </c>
      <c r="X336" s="589">
        <f>W336/R336</f>
        <v>0.6555330107694709</v>
      </c>
      <c r="Y336" s="608" t="s">
        <v>199</v>
      </c>
      <c r="Z336" s="536">
        <f>F336+14</f>
        <v>43192</v>
      </c>
      <c r="AA336" s="383" t="s">
        <v>200</v>
      </c>
      <c r="AB336" s="393" t="s">
        <v>2209</v>
      </c>
      <c r="AC336" s="691"/>
      <c r="AD336" s="691"/>
      <c r="AE336" s="692"/>
      <c r="AF336" s="691"/>
      <c r="AG336" s="693"/>
      <c r="AJ336" s="553"/>
    </row>
    <row r="337" spans="1:36" s="218" customFormat="1" ht="14.25" customHeight="1">
      <c r="A337" s="586" t="s">
        <v>2331</v>
      </c>
      <c r="B337" s="545" t="s">
        <v>540</v>
      </c>
      <c r="C337" s="386" t="s">
        <v>2418</v>
      </c>
      <c r="D337" s="386">
        <v>43182</v>
      </c>
      <c r="E337" s="392">
        <v>43178</v>
      </c>
      <c r="F337" s="392">
        <v>43178</v>
      </c>
      <c r="G337" s="756"/>
      <c r="H337" s="757"/>
      <c r="I337" s="756"/>
      <c r="J337" s="576">
        <v>43221</v>
      </c>
      <c r="K337" s="386"/>
      <c r="L337" s="392" t="str">
        <f>TEXT(F337,"mmm-yy")</f>
        <v>Mar-18</v>
      </c>
      <c r="M337" s="392" t="str">
        <f>TEXT(J337,"mmm-yy")</f>
        <v>May-18</v>
      </c>
      <c r="N337" s="397" t="s">
        <v>2607</v>
      </c>
      <c r="O337" s="418" t="s">
        <v>2417</v>
      </c>
      <c r="P337" s="538">
        <v>6768.65</v>
      </c>
      <c r="Q337" s="700"/>
      <c r="R337" s="538">
        <f>SUM(P337:Q337)</f>
        <v>6768.65</v>
      </c>
      <c r="S337" s="495">
        <f>R337*1.1</f>
        <v>7445.5150000000003</v>
      </c>
      <c r="T337" s="539">
        <v>2849</v>
      </c>
      <c r="U337" s="539">
        <f>7*44.14</f>
        <v>308.98</v>
      </c>
      <c r="V337" s="389">
        <f>SUM(T337:U337)</f>
        <v>3157.98</v>
      </c>
      <c r="W337" s="388">
        <f>R337-V337</f>
        <v>3610.6699999999996</v>
      </c>
      <c r="X337" s="589">
        <f>W337/R337</f>
        <v>0.53344019856249025</v>
      </c>
      <c r="Y337" s="544"/>
      <c r="Z337" s="536">
        <f>F337+14</f>
        <v>43192</v>
      </c>
      <c r="AA337" s="544"/>
      <c r="AB337" s="393" t="s">
        <v>2209</v>
      </c>
      <c r="AC337" s="691"/>
      <c r="AD337" s="691"/>
      <c r="AE337" s="692"/>
      <c r="AF337" s="691"/>
      <c r="AG337" s="693"/>
      <c r="AJ337" s="553"/>
    </row>
    <row r="338" spans="1:36" s="218" customFormat="1" ht="14.25" customHeight="1">
      <c r="A338" s="586" t="s">
        <v>714</v>
      </c>
      <c r="B338" s="545" t="s">
        <v>190</v>
      </c>
      <c r="C338" s="386" t="s">
        <v>2889</v>
      </c>
      <c r="D338" s="386">
        <v>43242</v>
      </c>
      <c r="E338" s="392">
        <v>43223</v>
      </c>
      <c r="F338" s="392">
        <v>43223</v>
      </c>
      <c r="G338" s="603">
        <v>43228</v>
      </c>
      <c r="H338" s="753">
        <v>43234</v>
      </c>
      <c r="I338" s="603">
        <v>43236</v>
      </c>
      <c r="J338" s="603">
        <v>43242</v>
      </c>
      <c r="K338" s="386"/>
      <c r="L338" s="392" t="str">
        <f>TEXT(F338,"mmm-yy")</f>
        <v>May-18</v>
      </c>
      <c r="M338" s="392" t="str">
        <f>TEXT(J338,"mmm-yy")</f>
        <v>May-18</v>
      </c>
      <c r="N338" s="397" t="s">
        <v>2421</v>
      </c>
      <c r="O338" s="418" t="s">
        <v>385</v>
      </c>
      <c r="P338" s="538">
        <v>355.84</v>
      </c>
      <c r="Q338" s="538">
        <v>668.3599999999999</v>
      </c>
      <c r="R338" s="538">
        <f>SUM(P338:Q338)</f>
        <v>1024.1999999999998</v>
      </c>
      <c r="S338" s="495">
        <f>R338*1.1</f>
        <v>1126.6199999999999</v>
      </c>
      <c r="T338" s="539"/>
      <c r="U338" s="539"/>
      <c r="V338" s="389">
        <f>SUM(T338:U338)</f>
        <v>0</v>
      </c>
      <c r="W338" s="388">
        <f>R338-V338</f>
        <v>1024.1999999999998</v>
      </c>
      <c r="X338" s="589">
        <f>W338/R338</f>
        <v>1</v>
      </c>
      <c r="Y338" s="544"/>
      <c r="Z338" s="536">
        <f>F338+14</f>
        <v>43237</v>
      </c>
      <c r="AA338" s="544"/>
      <c r="AB338" s="393" t="s">
        <v>201</v>
      </c>
      <c r="AC338" s="392" t="s">
        <v>752</v>
      </c>
      <c r="AD338" s="392">
        <v>43182</v>
      </c>
      <c r="AE338" s="550"/>
      <c r="AF338" s="392">
        <v>43221</v>
      </c>
      <c r="AG338" s="546">
        <f>AF338-AD338</f>
        <v>39</v>
      </c>
      <c r="AJ338" s="553"/>
    </row>
    <row r="339" spans="1:36" s="218" customFormat="1" ht="14.25" customHeight="1">
      <c r="A339" s="586" t="s">
        <v>2331</v>
      </c>
      <c r="B339" s="545" t="s">
        <v>540</v>
      </c>
      <c r="C339" s="386" t="s">
        <v>2430</v>
      </c>
      <c r="D339" s="386">
        <v>43185</v>
      </c>
      <c r="E339" s="392">
        <v>43167</v>
      </c>
      <c r="F339" s="392">
        <v>43167</v>
      </c>
      <c r="G339" s="756"/>
      <c r="H339" s="757"/>
      <c r="I339" s="756"/>
      <c r="J339" s="576">
        <v>43221</v>
      </c>
      <c r="K339" s="386"/>
      <c r="L339" s="392" t="str">
        <f>TEXT(F339,"mmm-yy")</f>
        <v>Mar-18</v>
      </c>
      <c r="M339" s="392" t="str">
        <f>TEXT(J339,"mmm-yy")</f>
        <v>May-18</v>
      </c>
      <c r="N339" s="397" t="s">
        <v>2605</v>
      </c>
      <c r="O339" s="418" t="s">
        <v>2423</v>
      </c>
      <c r="P339" s="538">
        <v>3441.9114285714286</v>
      </c>
      <c r="Q339" s="700"/>
      <c r="R339" s="538">
        <f>SUM(P339:Q339)</f>
        <v>3441.9114285714286</v>
      </c>
      <c r="S339" s="495">
        <f>R339*1.1</f>
        <v>3786.1025714285715</v>
      </c>
      <c r="T339" s="539">
        <v>1559</v>
      </c>
      <c r="U339" s="539">
        <f>50*18.5</f>
        <v>925</v>
      </c>
      <c r="V339" s="389">
        <f>SUM(T339:U339)</f>
        <v>2484</v>
      </c>
      <c r="W339" s="388">
        <f>R339-V339</f>
        <v>957.91142857142859</v>
      </c>
      <c r="X339" s="589">
        <f>W339/R339</f>
        <v>0.27830798335476387</v>
      </c>
      <c r="Y339" s="544"/>
      <c r="Z339" s="536">
        <f>F339+14</f>
        <v>43181</v>
      </c>
      <c r="AA339" s="544"/>
      <c r="AB339" s="393" t="s">
        <v>2209</v>
      </c>
      <c r="AC339" s="691"/>
      <c r="AD339" s="691"/>
      <c r="AE339" s="692"/>
      <c r="AF339" s="691"/>
      <c r="AG339" s="693"/>
      <c r="AJ339" s="553"/>
    </row>
    <row r="340" spans="1:36" s="218" customFormat="1" ht="14.25" customHeight="1">
      <c r="A340" s="586" t="s">
        <v>2331</v>
      </c>
      <c r="B340" s="545" t="s">
        <v>540</v>
      </c>
      <c r="C340" s="386" t="s">
        <v>2431</v>
      </c>
      <c r="D340" s="386">
        <v>43185</v>
      </c>
      <c r="E340" s="392">
        <v>43165</v>
      </c>
      <c r="F340" s="392">
        <v>43165</v>
      </c>
      <c r="G340" s="756"/>
      <c r="H340" s="757"/>
      <c r="I340" s="756"/>
      <c r="J340" s="576">
        <v>43221</v>
      </c>
      <c r="K340" s="386"/>
      <c r="L340" s="392" t="str">
        <f>TEXT(F340,"mmm-yy")</f>
        <v>Mar-18</v>
      </c>
      <c r="M340" s="392" t="str">
        <f>TEXT(J340,"mmm-yy")</f>
        <v>May-18</v>
      </c>
      <c r="N340" s="397" t="s">
        <v>2606</v>
      </c>
      <c r="O340" s="418" t="s">
        <v>2419</v>
      </c>
      <c r="P340" s="538">
        <v>512.55999999999995</v>
      </c>
      <c r="Q340" s="776"/>
      <c r="R340" s="538">
        <f>SUM(P340:Q340)</f>
        <v>512.55999999999995</v>
      </c>
      <c r="S340" s="495">
        <f>R340*1.1</f>
        <v>563.81600000000003</v>
      </c>
      <c r="T340" s="539"/>
      <c r="U340" s="539">
        <f>44.14*4</f>
        <v>176.56</v>
      </c>
      <c r="V340" s="389">
        <f>SUM(T340:U340)</f>
        <v>176.56</v>
      </c>
      <c r="W340" s="388">
        <f>R340-V340</f>
        <v>335.99999999999994</v>
      </c>
      <c r="X340" s="589">
        <f>W340/R340</f>
        <v>0.6555330107694709</v>
      </c>
      <c r="Y340" s="544"/>
      <c r="Z340" s="536">
        <f>F340+14</f>
        <v>43179</v>
      </c>
      <c r="AA340" s="544"/>
      <c r="AB340" s="393" t="s">
        <v>2209</v>
      </c>
      <c r="AC340" s="691"/>
      <c r="AD340" s="691"/>
      <c r="AE340" s="692"/>
      <c r="AF340" s="691"/>
      <c r="AG340" s="693"/>
      <c r="AJ340" s="553"/>
    </row>
    <row r="341" spans="1:36" s="218" customFormat="1" ht="14.25" customHeight="1">
      <c r="A341" s="586" t="s">
        <v>2331</v>
      </c>
      <c r="B341" s="545" t="s">
        <v>540</v>
      </c>
      <c r="C341" s="386" t="s">
        <v>2465</v>
      </c>
      <c r="D341" s="386">
        <v>43187</v>
      </c>
      <c r="E341" s="392">
        <v>43167</v>
      </c>
      <c r="F341" s="392">
        <v>43167</v>
      </c>
      <c r="G341" s="756"/>
      <c r="H341" s="757"/>
      <c r="I341" s="756"/>
      <c r="J341" s="576">
        <v>43235</v>
      </c>
      <c r="K341" s="386"/>
      <c r="L341" s="392" t="str">
        <f>TEXT(F341,"mmm-yy")</f>
        <v>Mar-18</v>
      </c>
      <c r="M341" s="392" t="str">
        <f>TEXT(J341,"mmm-yy")</f>
        <v>May-18</v>
      </c>
      <c r="N341" s="397" t="s">
        <v>2622</v>
      </c>
      <c r="O341" s="418" t="s">
        <v>772</v>
      </c>
      <c r="P341" s="538">
        <v>1151.28</v>
      </c>
      <c r="Q341" s="700"/>
      <c r="R341" s="538">
        <f>SUM(P341:Q341)</f>
        <v>1151.28</v>
      </c>
      <c r="S341" s="495">
        <f>R341*1.1</f>
        <v>1266.4080000000001</v>
      </c>
      <c r="T341" s="539"/>
      <c r="U341" s="539">
        <f>5*41.14</f>
        <v>205.7</v>
      </c>
      <c r="V341" s="389">
        <f>SUM(T341:U341)</f>
        <v>205.7</v>
      </c>
      <c r="W341" s="388">
        <f>R341-V341</f>
        <v>945.57999999999993</v>
      </c>
      <c r="X341" s="589">
        <f>W341/R341</f>
        <v>0.82132930303662011</v>
      </c>
      <c r="Y341" s="544"/>
      <c r="Z341" s="536">
        <f>F341+14</f>
        <v>43181</v>
      </c>
      <c r="AA341" s="544"/>
      <c r="AB341" s="393" t="s">
        <v>2209</v>
      </c>
      <c r="AC341" s="691"/>
      <c r="AD341" s="691"/>
      <c r="AE341" s="692"/>
      <c r="AF341" s="691"/>
      <c r="AG341" s="693"/>
      <c r="AJ341" s="553"/>
    </row>
    <row r="342" spans="1:36" s="218" customFormat="1" ht="14.25" customHeight="1">
      <c r="A342" s="586" t="s">
        <v>2331</v>
      </c>
      <c r="B342" s="545" t="s">
        <v>540</v>
      </c>
      <c r="C342" s="386" t="s">
        <v>2432</v>
      </c>
      <c r="D342" s="386">
        <v>43186</v>
      </c>
      <c r="E342" s="392">
        <v>43174</v>
      </c>
      <c r="F342" s="392">
        <v>43174</v>
      </c>
      <c r="G342" s="756"/>
      <c r="H342" s="757"/>
      <c r="I342" s="756"/>
      <c r="J342" s="576">
        <v>43237</v>
      </c>
      <c r="K342" s="386"/>
      <c r="L342" s="392" t="str">
        <f>TEXT(F342,"mmm-yy")</f>
        <v>Mar-18</v>
      </c>
      <c r="M342" s="392" t="str">
        <f>TEXT(J342,"mmm-yy")</f>
        <v>May-18</v>
      </c>
      <c r="N342" s="397" t="s">
        <v>2618</v>
      </c>
      <c r="O342" s="418" t="s">
        <v>422</v>
      </c>
      <c r="P342" s="538">
        <v>2619.94</v>
      </c>
      <c r="Q342" s="700"/>
      <c r="R342" s="538">
        <f>SUM(P342:Q342)</f>
        <v>2619.94</v>
      </c>
      <c r="S342" s="495">
        <f>R342*1.1</f>
        <v>2881.9340000000002</v>
      </c>
      <c r="T342" s="539">
        <v>1036</v>
      </c>
      <c r="U342" s="539">
        <f>3*42.06</f>
        <v>126.18</v>
      </c>
      <c r="V342" s="389">
        <f>SUM(T342:U342)</f>
        <v>1162.18</v>
      </c>
      <c r="W342" s="388">
        <f>R342-V342</f>
        <v>1457.76</v>
      </c>
      <c r="X342" s="589">
        <f>W342/R342</f>
        <v>0.55640968877149855</v>
      </c>
      <c r="Y342" s="544"/>
      <c r="Z342" s="536">
        <f>F342+14</f>
        <v>43188</v>
      </c>
      <c r="AA342" s="544"/>
      <c r="AB342" s="393" t="s">
        <v>2209</v>
      </c>
      <c r="AC342" s="691"/>
      <c r="AD342" s="691"/>
      <c r="AE342" s="692"/>
      <c r="AF342" s="691"/>
      <c r="AG342" s="693"/>
      <c r="AJ342" s="553"/>
    </row>
    <row r="343" spans="1:36" s="218" customFormat="1" ht="14.25" customHeight="1">
      <c r="A343" s="586" t="s">
        <v>2330</v>
      </c>
      <c r="B343" s="545" t="s">
        <v>540</v>
      </c>
      <c r="C343" s="386" t="s">
        <v>2434</v>
      </c>
      <c r="D343" s="386">
        <v>43186</v>
      </c>
      <c r="E343" s="392">
        <v>43181</v>
      </c>
      <c r="F343" s="392">
        <v>43181</v>
      </c>
      <c r="G343" s="756"/>
      <c r="H343" s="757"/>
      <c r="I343" s="756"/>
      <c r="J343" s="576">
        <v>43221</v>
      </c>
      <c r="K343" s="386"/>
      <c r="L343" s="392" t="str">
        <f>TEXT(F343,"mmm-yy")</f>
        <v>Mar-18</v>
      </c>
      <c r="M343" s="392" t="str">
        <f>TEXT(J343,"mmm-yy")</f>
        <v>May-18</v>
      </c>
      <c r="N343" s="397" t="s">
        <v>2609</v>
      </c>
      <c r="O343" s="418" t="s">
        <v>2198</v>
      </c>
      <c r="P343" s="538">
        <v>2501.66</v>
      </c>
      <c r="Q343" s="700"/>
      <c r="R343" s="538">
        <f>SUM(P343:Q343)</f>
        <v>2501.66</v>
      </c>
      <c r="S343" s="495">
        <f>R343*1.1</f>
        <v>2751.826</v>
      </c>
      <c r="T343" s="539"/>
      <c r="U343" s="539"/>
      <c r="V343" s="389">
        <f>SUM(T343:U343)</f>
        <v>0</v>
      </c>
      <c r="W343" s="388">
        <f>R343-V343</f>
        <v>2501.66</v>
      </c>
      <c r="X343" s="589">
        <f>W343/R343</f>
        <v>1</v>
      </c>
      <c r="Y343" s="544"/>
      <c r="Z343" s="536">
        <f>F343+14</f>
        <v>43195</v>
      </c>
      <c r="AA343" s="544"/>
      <c r="AB343" s="393" t="s">
        <v>2209</v>
      </c>
      <c r="AC343" s="691"/>
      <c r="AD343" s="691"/>
      <c r="AE343" s="692"/>
      <c r="AF343" s="691"/>
      <c r="AG343" s="693"/>
      <c r="AJ343" s="553"/>
    </row>
    <row r="344" spans="1:36" s="218" customFormat="1" ht="14.25" customHeight="1">
      <c r="A344" s="586" t="s">
        <v>2331</v>
      </c>
      <c r="B344" s="545" t="s">
        <v>540</v>
      </c>
      <c r="C344" s="386" t="s">
        <v>2435</v>
      </c>
      <c r="D344" s="386">
        <v>43186</v>
      </c>
      <c r="E344" s="392">
        <v>43161</v>
      </c>
      <c r="F344" s="392">
        <v>43161</v>
      </c>
      <c r="G344" s="756"/>
      <c r="H344" s="757"/>
      <c r="I344" s="756"/>
      <c r="J344" s="576">
        <v>43221</v>
      </c>
      <c r="K344" s="386"/>
      <c r="L344" s="392" t="str">
        <f>TEXT(F344,"mmm-yy")</f>
        <v>Mar-18</v>
      </c>
      <c r="M344" s="392" t="str">
        <f>TEXT(J344,"mmm-yy")</f>
        <v>May-18</v>
      </c>
      <c r="N344" s="397" t="s">
        <v>2610</v>
      </c>
      <c r="O344" s="418" t="s">
        <v>2427</v>
      </c>
      <c r="P344" s="538">
        <v>512.55999999999995</v>
      </c>
      <c r="Q344" s="700"/>
      <c r="R344" s="538">
        <f>SUM(P344:Q344)</f>
        <v>512.55999999999995</v>
      </c>
      <c r="S344" s="495">
        <f>R344*1.1</f>
        <v>563.81600000000003</v>
      </c>
      <c r="T344" s="539"/>
      <c r="U344" s="539">
        <f>44.14*4</f>
        <v>176.56</v>
      </c>
      <c r="V344" s="389">
        <f>SUM(T344:U344)</f>
        <v>176.56</v>
      </c>
      <c r="W344" s="388">
        <f>R344-V344</f>
        <v>335.99999999999994</v>
      </c>
      <c r="X344" s="589">
        <f>W344/R344</f>
        <v>0.6555330107694709</v>
      </c>
      <c r="Y344" s="544"/>
      <c r="Z344" s="536">
        <f>F344+14</f>
        <v>43175</v>
      </c>
      <c r="AA344" s="544"/>
      <c r="AB344" s="393" t="s">
        <v>2209</v>
      </c>
      <c r="AC344" s="691"/>
      <c r="AD344" s="691"/>
      <c r="AE344" s="692"/>
      <c r="AF344" s="691"/>
      <c r="AG344" s="693"/>
      <c r="AJ344" s="553"/>
    </row>
    <row r="345" spans="1:36" s="218" customFormat="1" ht="14.25" customHeight="1">
      <c r="A345" s="586" t="s">
        <v>2331</v>
      </c>
      <c r="B345" s="545" t="s">
        <v>540</v>
      </c>
      <c r="C345" s="386" t="s">
        <v>2437</v>
      </c>
      <c r="D345" s="386">
        <v>43186</v>
      </c>
      <c r="E345" s="392">
        <v>43168</v>
      </c>
      <c r="F345" s="392">
        <v>43168</v>
      </c>
      <c r="G345" s="756"/>
      <c r="H345" s="757"/>
      <c r="I345" s="756"/>
      <c r="J345" s="576">
        <v>43221</v>
      </c>
      <c r="K345" s="386"/>
      <c r="L345" s="392" t="str">
        <f>TEXT(F345,"mmm-yy")</f>
        <v>Mar-18</v>
      </c>
      <c r="M345" s="392" t="str">
        <f>TEXT(J345,"mmm-yy")</f>
        <v>May-18</v>
      </c>
      <c r="N345" s="397" t="s">
        <v>2611</v>
      </c>
      <c r="O345" s="418" t="s">
        <v>2428</v>
      </c>
      <c r="P345" s="538">
        <v>384.42</v>
      </c>
      <c r="Q345" s="700"/>
      <c r="R345" s="538">
        <f>SUM(P345:Q345)</f>
        <v>384.42</v>
      </c>
      <c r="S345" s="495">
        <f>R345*1.1</f>
        <v>422.86200000000008</v>
      </c>
      <c r="T345" s="539"/>
      <c r="U345" s="539">
        <f>3*44.14</f>
        <v>132.42000000000002</v>
      </c>
      <c r="V345" s="389">
        <f>SUM(T345:U345)</f>
        <v>132.42000000000002</v>
      </c>
      <c r="W345" s="388">
        <f>R345-V345</f>
        <v>252</v>
      </c>
      <c r="X345" s="589">
        <f>W345/R345</f>
        <v>0.6555330107694709</v>
      </c>
      <c r="Y345" s="544"/>
      <c r="Z345" s="536">
        <f>F345+14</f>
        <v>43182</v>
      </c>
      <c r="AA345" s="544"/>
      <c r="AB345" s="393" t="s">
        <v>2209</v>
      </c>
      <c r="AC345" s="691"/>
      <c r="AD345" s="691"/>
      <c r="AE345" s="692"/>
      <c r="AF345" s="691"/>
      <c r="AG345" s="693"/>
      <c r="AJ345" s="553"/>
    </row>
    <row r="346" spans="1:36" s="218" customFormat="1" ht="14.25" customHeight="1">
      <c r="A346" s="586" t="s">
        <v>2331</v>
      </c>
      <c r="B346" s="545" t="s">
        <v>540</v>
      </c>
      <c r="C346" s="386" t="s">
        <v>2439</v>
      </c>
      <c r="D346" s="386">
        <v>43186</v>
      </c>
      <c r="E346" s="392">
        <v>43175</v>
      </c>
      <c r="F346" s="392">
        <v>43175</v>
      </c>
      <c r="G346" s="756"/>
      <c r="H346" s="757"/>
      <c r="I346" s="756"/>
      <c r="J346" s="576">
        <v>43160</v>
      </c>
      <c r="K346" s="386"/>
      <c r="L346" s="392" t="str">
        <f>TEXT(F346,"mmm-yy")</f>
        <v>Mar-18</v>
      </c>
      <c r="M346" s="392" t="str">
        <f>TEXT(J346,"mmm-yy")</f>
        <v>Mar-18</v>
      </c>
      <c r="N346" s="397" t="s">
        <v>2615</v>
      </c>
      <c r="O346" s="418" t="s">
        <v>2212</v>
      </c>
      <c r="P346" s="538">
        <v>256.27999999999997</v>
      </c>
      <c r="Q346" s="700"/>
      <c r="R346" s="538">
        <f>SUM(P346:Q346)</f>
        <v>256.27999999999997</v>
      </c>
      <c r="S346" s="495">
        <f>R346*1.1</f>
        <v>281.90800000000002</v>
      </c>
      <c r="T346" s="539"/>
      <c r="U346" s="539">
        <f>44.14*2</f>
        <v>88.28</v>
      </c>
      <c r="V346" s="389">
        <f>SUM(T346:U346)</f>
        <v>88.28</v>
      </c>
      <c r="W346" s="388">
        <f>R346-V346</f>
        <v>167.99999999999997</v>
      </c>
      <c r="X346" s="589">
        <f>W346/R346</f>
        <v>0.6555330107694709</v>
      </c>
      <c r="Y346" s="544"/>
      <c r="Z346" s="536">
        <f>F346+14</f>
        <v>43189</v>
      </c>
      <c r="AA346" s="544"/>
      <c r="AB346" s="393" t="s">
        <v>2209</v>
      </c>
      <c r="AC346" s="691"/>
      <c r="AD346" s="691"/>
      <c r="AE346" s="692"/>
      <c r="AF346" s="691"/>
      <c r="AG346" s="693"/>
      <c r="AJ346" s="553"/>
    </row>
    <row r="347" spans="1:36" s="218" customFormat="1" ht="14.25" customHeight="1">
      <c r="A347" s="586" t="s">
        <v>714</v>
      </c>
      <c r="B347" s="545" t="s">
        <v>190</v>
      </c>
      <c r="C347" s="386" t="s">
        <v>2581</v>
      </c>
      <c r="D347" s="386">
        <v>43209</v>
      </c>
      <c r="E347" s="392">
        <v>43188</v>
      </c>
      <c r="F347" s="536">
        <v>43188</v>
      </c>
      <c r="G347" s="601">
        <v>43188</v>
      </c>
      <c r="H347" s="752"/>
      <c r="I347" s="667">
        <v>43203</v>
      </c>
      <c r="J347" s="601">
        <f>I347+14</f>
        <v>43217</v>
      </c>
      <c r="K347" s="386"/>
      <c r="L347" s="392" t="str">
        <f>TEXT(F347,"mmm-yy")</f>
        <v>Mar-18</v>
      </c>
      <c r="M347" s="392" t="str">
        <f>TEXT(J347,"mmm-yy")</f>
        <v>Apr-18</v>
      </c>
      <c r="N347" s="397" t="s">
        <v>2478</v>
      </c>
      <c r="O347" s="418" t="s">
        <v>458</v>
      </c>
      <c r="P347" s="538">
        <v>8288.41</v>
      </c>
      <c r="Q347" s="538">
        <v>-772.02</v>
      </c>
      <c r="R347" s="538">
        <f>SUM(P347:Q347)</f>
        <v>7516.3899999999994</v>
      </c>
      <c r="S347" s="495">
        <f>R347*1.1</f>
        <v>8268.0290000000005</v>
      </c>
      <c r="T347" s="539">
        <v>4736.21</v>
      </c>
      <c r="U347" s="539"/>
      <c r="V347" s="389">
        <f>SUM(T347:U347)</f>
        <v>4736.21</v>
      </c>
      <c r="W347" s="388">
        <f>R347-V347</f>
        <v>2780.1799999999994</v>
      </c>
      <c r="X347" s="589">
        <f>W347/R347</f>
        <v>0.36988235043684531</v>
      </c>
      <c r="Y347" s="544"/>
      <c r="Z347" s="536">
        <f>F347+14</f>
        <v>43202</v>
      </c>
      <c r="AA347" s="544"/>
      <c r="AB347" s="393" t="s">
        <v>1338</v>
      </c>
      <c r="AC347" s="392" t="s">
        <v>752</v>
      </c>
      <c r="AD347" s="392">
        <v>43151</v>
      </c>
      <c r="AE347" s="550"/>
      <c r="AF347" s="392">
        <v>43181</v>
      </c>
      <c r="AG347" s="546">
        <f>AF347-AD347</f>
        <v>30</v>
      </c>
      <c r="AJ347" s="553"/>
    </row>
    <row r="348" spans="1:36" s="218" customFormat="1" ht="14.25" customHeight="1">
      <c r="A348" s="586" t="s">
        <v>2331</v>
      </c>
      <c r="B348" s="545" t="s">
        <v>540</v>
      </c>
      <c r="C348" s="386" t="s">
        <v>2438</v>
      </c>
      <c r="D348" s="386">
        <v>43186</v>
      </c>
      <c r="E348" s="392">
        <v>43172</v>
      </c>
      <c r="F348" s="392">
        <v>43172</v>
      </c>
      <c r="G348" s="756"/>
      <c r="H348" s="757"/>
      <c r="I348" s="756"/>
      <c r="J348" s="576">
        <v>43221</v>
      </c>
      <c r="K348" s="386"/>
      <c r="L348" s="392" t="str">
        <f>TEXT(F348,"mmm-yy")</f>
        <v>Mar-18</v>
      </c>
      <c r="M348" s="392" t="str">
        <f>TEXT(J348,"mmm-yy")</f>
        <v>May-18</v>
      </c>
      <c r="N348" s="397" t="s">
        <v>2612</v>
      </c>
      <c r="O348" s="418" t="s">
        <v>240</v>
      </c>
      <c r="P348" s="538">
        <v>961.05</v>
      </c>
      <c r="Q348" s="700"/>
      <c r="R348" s="538">
        <f>SUM(P348:Q348)</f>
        <v>961.05</v>
      </c>
      <c r="S348" s="495">
        <f>R348*1.1</f>
        <v>1057.155</v>
      </c>
      <c r="T348" s="539"/>
      <c r="U348" s="539">
        <f>42.06*7.5</f>
        <v>315.45000000000005</v>
      </c>
      <c r="V348" s="389">
        <f>SUM(T348:U348)</f>
        <v>315.45000000000005</v>
      </c>
      <c r="W348" s="388">
        <f>R348-V348</f>
        <v>645.59999999999991</v>
      </c>
      <c r="X348" s="589">
        <f>W348/R348</f>
        <v>0.6717652567504292</v>
      </c>
      <c r="Y348" s="544"/>
      <c r="Z348" s="536">
        <f>F348+14</f>
        <v>43186</v>
      </c>
      <c r="AA348" s="544"/>
      <c r="AB348" s="393" t="s">
        <v>2209</v>
      </c>
      <c r="AC348" s="691"/>
      <c r="AD348" s="691"/>
      <c r="AE348" s="692"/>
      <c r="AF348" s="691"/>
      <c r="AG348" s="693"/>
      <c r="AJ348" s="553"/>
    </row>
    <row r="349" spans="1:36" s="218" customFormat="1" ht="14.25" customHeight="1">
      <c r="A349" s="586" t="s">
        <v>714</v>
      </c>
      <c r="B349" s="545" t="s">
        <v>1210</v>
      </c>
      <c r="C349" s="386" t="s">
        <v>2887</v>
      </c>
      <c r="D349" s="386">
        <v>43242</v>
      </c>
      <c r="E349" s="392">
        <v>43217</v>
      </c>
      <c r="F349" s="392">
        <v>43220</v>
      </c>
      <c r="G349" s="603">
        <v>43223</v>
      </c>
      <c r="H349" s="753">
        <v>43235</v>
      </c>
      <c r="I349" s="603">
        <v>43229</v>
      </c>
      <c r="J349" s="603">
        <v>43242</v>
      </c>
      <c r="K349" s="386"/>
      <c r="L349" s="392" t="str">
        <f>TEXT(F349,"mmm-yy")</f>
        <v>Apr-18</v>
      </c>
      <c r="M349" s="392" t="str">
        <f>TEXT(J349,"mmm-yy")</f>
        <v>May-18</v>
      </c>
      <c r="N349" s="397" t="s">
        <v>2500</v>
      </c>
      <c r="O349" s="418" t="s">
        <v>225</v>
      </c>
      <c r="P349" s="538">
        <v>1316.17</v>
      </c>
      <c r="Q349" s="538">
        <v>2965.92</v>
      </c>
      <c r="R349" s="538">
        <f>SUM(P349:Q349)</f>
        <v>4282.09</v>
      </c>
      <c r="S349" s="495">
        <f>R349*1.1</f>
        <v>4710.2990000000009</v>
      </c>
      <c r="T349" s="539"/>
      <c r="U349" s="539"/>
      <c r="V349" s="389">
        <f>SUM(T349:U349)</f>
        <v>0</v>
      </c>
      <c r="W349" s="388">
        <f>R349-V349</f>
        <v>4282.09</v>
      </c>
      <c r="X349" s="589">
        <f>W349/R349</f>
        <v>1</v>
      </c>
      <c r="Y349" s="544"/>
      <c r="Z349" s="536">
        <f>F349+14</f>
        <v>43234</v>
      </c>
      <c r="AA349" s="544"/>
      <c r="AB349" s="393" t="s">
        <v>201</v>
      </c>
      <c r="AC349" s="392" t="s">
        <v>752</v>
      </c>
      <c r="AD349" s="392">
        <v>43186</v>
      </c>
      <c r="AE349" s="550"/>
      <c r="AF349" s="392">
        <v>43220</v>
      </c>
      <c r="AG349" s="546">
        <f>AF349-AD349</f>
        <v>34</v>
      </c>
      <c r="AJ349" s="553"/>
    </row>
    <row r="350" spans="1:36" s="218" customFormat="1" ht="14.25" customHeight="1">
      <c r="A350" s="586" t="s">
        <v>2330</v>
      </c>
      <c r="B350" s="545" t="s">
        <v>540</v>
      </c>
      <c r="C350" s="386" t="s">
        <v>2436</v>
      </c>
      <c r="D350" s="386">
        <v>43186</v>
      </c>
      <c r="E350" s="392">
        <v>43158</v>
      </c>
      <c r="F350" s="392">
        <v>43158</v>
      </c>
      <c r="G350" s="756"/>
      <c r="H350" s="757"/>
      <c r="I350" s="756"/>
      <c r="J350" s="576">
        <v>43221</v>
      </c>
      <c r="K350" s="386"/>
      <c r="L350" s="392" t="str">
        <f>TEXT(F350,"mmm-yy")</f>
        <v>Feb-18</v>
      </c>
      <c r="M350" s="392" t="str">
        <f>TEXT(J350,"mmm-yy")</f>
        <v>May-18</v>
      </c>
      <c r="N350" s="397" t="s">
        <v>2608</v>
      </c>
      <c r="O350" s="418" t="s">
        <v>2358</v>
      </c>
      <c r="P350" s="538">
        <v>512.55999999999995</v>
      </c>
      <c r="Q350" s="700"/>
      <c r="R350" s="538">
        <f>SUM(P350:Q350)</f>
        <v>512.55999999999995</v>
      </c>
      <c r="S350" s="495">
        <f>R350*1.1</f>
        <v>563.81600000000003</v>
      </c>
      <c r="T350" s="539"/>
      <c r="U350" s="539">
        <f>50*4</f>
        <v>200</v>
      </c>
      <c r="V350" s="389">
        <f>SUM(T350:U350)</f>
        <v>200</v>
      </c>
      <c r="W350" s="388">
        <f>R350-V350</f>
        <v>312.55999999999995</v>
      </c>
      <c r="X350" s="589">
        <f>W350/R350</f>
        <v>0.60980177930388635</v>
      </c>
      <c r="Y350" s="544"/>
      <c r="Z350" s="536">
        <f>F350+14</f>
        <v>43172</v>
      </c>
      <c r="AA350" s="544"/>
      <c r="AB350" s="393" t="s">
        <v>2209</v>
      </c>
      <c r="AC350" s="691"/>
      <c r="AD350" s="691"/>
      <c r="AE350" s="692"/>
      <c r="AF350" s="691"/>
      <c r="AG350" s="693"/>
      <c r="AJ350" s="553"/>
    </row>
    <row r="351" spans="1:36" s="218" customFormat="1" ht="14.25" customHeight="1">
      <c r="A351" s="586" t="s">
        <v>2330</v>
      </c>
      <c r="B351" s="545" t="s">
        <v>540</v>
      </c>
      <c r="C351" s="386" t="s">
        <v>2731</v>
      </c>
      <c r="D351" s="386">
        <v>43186</v>
      </c>
      <c r="E351" s="392">
        <v>43178</v>
      </c>
      <c r="F351" s="392">
        <v>43178</v>
      </c>
      <c r="G351" s="756"/>
      <c r="H351" s="757"/>
      <c r="I351" s="756"/>
      <c r="J351" s="576">
        <v>43221</v>
      </c>
      <c r="K351" s="386"/>
      <c r="L351" s="392" t="str">
        <f>TEXT(F351,"mmm-yy")</f>
        <v>Mar-18</v>
      </c>
      <c r="M351" s="392" t="str">
        <f>TEXT(J351,"mmm-yy")</f>
        <v>May-18</v>
      </c>
      <c r="N351" s="397" t="s">
        <v>2613</v>
      </c>
      <c r="O351" s="418" t="s">
        <v>2198</v>
      </c>
      <c r="P351" s="538">
        <v>128.13999999999999</v>
      </c>
      <c r="Q351" s="700"/>
      <c r="R351" s="538">
        <f>SUM(P351:Q351)</f>
        <v>128.13999999999999</v>
      </c>
      <c r="S351" s="495">
        <f>R351*1.1</f>
        <v>140.95400000000001</v>
      </c>
      <c r="T351" s="539"/>
      <c r="U351" s="539">
        <f>50</f>
        <v>50</v>
      </c>
      <c r="V351" s="389">
        <f>SUM(T351:U351)</f>
        <v>50</v>
      </c>
      <c r="W351" s="388">
        <f>R351-V351</f>
        <v>78.139999999999986</v>
      </c>
      <c r="X351" s="589">
        <f>W351/R351</f>
        <v>0.60980177930388635</v>
      </c>
      <c r="Y351" s="544"/>
      <c r="Z351" s="536">
        <f>F351+14</f>
        <v>43192</v>
      </c>
      <c r="AA351" s="544"/>
      <c r="AB351" s="393" t="s">
        <v>2209</v>
      </c>
      <c r="AC351" s="691"/>
      <c r="AD351" s="691"/>
      <c r="AE351" s="692"/>
      <c r="AF351" s="691"/>
      <c r="AG351" s="693"/>
      <c r="AJ351" s="553"/>
    </row>
    <row r="352" spans="1:36" s="218" customFormat="1" ht="14.25" customHeight="1">
      <c r="A352" s="586" t="s">
        <v>2330</v>
      </c>
      <c r="B352" s="545" t="s">
        <v>540</v>
      </c>
      <c r="C352" s="386" t="s">
        <v>2458</v>
      </c>
      <c r="D352" s="386">
        <v>43186</v>
      </c>
      <c r="E352" s="392">
        <v>43180</v>
      </c>
      <c r="F352" s="392">
        <v>43180</v>
      </c>
      <c r="G352" s="756"/>
      <c r="H352" s="757"/>
      <c r="I352" s="756"/>
      <c r="J352" s="601">
        <v>43258</v>
      </c>
      <c r="K352" s="386"/>
      <c r="L352" s="392" t="str">
        <f>TEXT(F352,"mmm-yy")</f>
        <v>Mar-18</v>
      </c>
      <c r="M352" s="392" t="str">
        <f>TEXT(J352,"mmm-yy")</f>
        <v>Jun-18</v>
      </c>
      <c r="N352" s="445" t="s">
        <v>2716</v>
      </c>
      <c r="O352" s="418" t="s">
        <v>702</v>
      </c>
      <c r="P352" s="538">
        <v>5297.0749999999998</v>
      </c>
      <c r="Q352" s="700"/>
      <c r="R352" s="538">
        <f>SUM(P352:Q352)</f>
        <v>5297.0749999999998</v>
      </c>
      <c r="S352" s="495">
        <f>R352*1.1</f>
        <v>5826.7825000000003</v>
      </c>
      <c r="T352" s="539">
        <v>1496</v>
      </c>
      <c r="U352" s="539">
        <f>9.5*41.14+9.5*20</f>
        <v>580.82999999999993</v>
      </c>
      <c r="V352" s="389">
        <f>SUM(T352:U352)</f>
        <v>2076.83</v>
      </c>
      <c r="W352" s="388">
        <f>R352-V352</f>
        <v>3220.2449999999999</v>
      </c>
      <c r="X352" s="589">
        <f>W352/R352</f>
        <v>0.60792890415937095</v>
      </c>
      <c r="Y352" s="544"/>
      <c r="Z352" s="536">
        <f>F352+14</f>
        <v>43194</v>
      </c>
      <c r="AA352" s="544"/>
      <c r="AB352" s="393" t="s">
        <v>2209</v>
      </c>
      <c r="AC352" s="691"/>
      <c r="AD352" s="691"/>
      <c r="AE352" s="692"/>
      <c r="AF352" s="691"/>
      <c r="AG352" s="693"/>
      <c r="AJ352" s="553"/>
    </row>
    <row r="353" spans="1:36" s="218" customFormat="1" ht="14.25" customHeight="1">
      <c r="A353" s="586" t="s">
        <v>714</v>
      </c>
      <c r="B353" s="545" t="s">
        <v>190</v>
      </c>
      <c r="C353" s="386"/>
      <c r="D353" s="386"/>
      <c r="E353" s="392"/>
      <c r="F353" s="392">
        <v>43434</v>
      </c>
      <c r="G353" s="601"/>
      <c r="H353" s="752"/>
      <c r="I353" s="601"/>
      <c r="J353" s="601"/>
      <c r="K353" s="386"/>
      <c r="L353" s="392" t="str">
        <f>TEXT(F353,"mmm-yy")</f>
        <v>Nov-18</v>
      </c>
      <c r="M353" s="392" t="str">
        <f>TEXT(J353,"mmm-yy")</f>
        <v>Jan-00</v>
      </c>
      <c r="N353" s="397" t="s">
        <v>2480</v>
      </c>
      <c r="O353" s="418" t="s">
        <v>2479</v>
      </c>
      <c r="P353" s="538">
        <v>2574.5100000000002</v>
      </c>
      <c r="Q353" s="538"/>
      <c r="R353" s="538">
        <f>SUM(P353:Q353)</f>
        <v>2574.5100000000002</v>
      </c>
      <c r="S353" s="495">
        <f>R353*1.1</f>
        <v>2831.9610000000007</v>
      </c>
      <c r="T353" s="539"/>
      <c r="U353" s="539"/>
      <c r="V353" s="389">
        <f>SUM(T353:U353)</f>
        <v>0</v>
      </c>
      <c r="W353" s="388">
        <f>R353-V353</f>
        <v>2574.5100000000002</v>
      </c>
      <c r="X353" s="589">
        <f>W353/R353</f>
        <v>1</v>
      </c>
      <c r="Y353" s="544"/>
      <c r="Z353" s="536">
        <f>F353+14</f>
        <v>43448</v>
      </c>
      <c r="AA353" s="544"/>
      <c r="AB353" s="393" t="s">
        <v>201</v>
      </c>
      <c r="AC353" s="392" t="s">
        <v>752</v>
      </c>
      <c r="AD353" s="392">
        <v>43187</v>
      </c>
      <c r="AE353" s="550"/>
      <c r="AF353" s="392">
        <v>43214</v>
      </c>
      <c r="AG353" s="546">
        <f>AF353-AD353</f>
        <v>27</v>
      </c>
      <c r="AJ353" s="553"/>
    </row>
    <row r="354" spans="1:36" s="218" customFormat="1" ht="14.25" customHeight="1">
      <c r="A354" s="586" t="s">
        <v>714</v>
      </c>
      <c r="B354" s="545" t="s">
        <v>190</v>
      </c>
      <c r="C354" s="386" t="s">
        <v>2513</v>
      </c>
      <c r="D354" s="386">
        <v>43195</v>
      </c>
      <c r="E354" s="392">
        <v>43172</v>
      </c>
      <c r="F354" s="392">
        <v>43172</v>
      </c>
      <c r="G354" s="603">
        <v>43173</v>
      </c>
      <c r="H354" s="753">
        <v>43185</v>
      </c>
      <c r="I354" s="667">
        <v>43187</v>
      </c>
      <c r="J354" s="731">
        <v>43195</v>
      </c>
      <c r="K354" s="392" t="s">
        <v>2287</v>
      </c>
      <c r="L354" s="392" t="str">
        <f>TEXT(F354,"mmm-yy")</f>
        <v>Mar-18</v>
      </c>
      <c r="M354" s="392" t="str">
        <f>TEXT(J354,"mmm-yy")</f>
        <v>Apr-18</v>
      </c>
      <c r="N354" s="397" t="s">
        <v>2481</v>
      </c>
      <c r="O354" s="418" t="s">
        <v>2183</v>
      </c>
      <c r="P354" s="538">
        <v>1516.19</v>
      </c>
      <c r="Q354" s="538">
        <v>1033.57</v>
      </c>
      <c r="R354" s="538">
        <f>SUM(P354:Q354)</f>
        <v>2549.7600000000002</v>
      </c>
      <c r="S354" s="494">
        <f>R354*1.1</f>
        <v>2804.7360000000003</v>
      </c>
      <c r="T354" s="544"/>
      <c r="U354" s="544"/>
      <c r="V354" s="389">
        <f>SUM(T354:U354)</f>
        <v>0</v>
      </c>
      <c r="W354" s="388">
        <f>R354-V354</f>
        <v>2549.7600000000002</v>
      </c>
      <c r="X354" s="589">
        <f>W354/R354</f>
        <v>1</v>
      </c>
      <c r="Y354" s="544"/>
      <c r="Z354" s="536">
        <f>F354+14</f>
        <v>43186</v>
      </c>
      <c r="AA354" s="544"/>
      <c r="AB354" s="442" t="s">
        <v>210</v>
      </c>
      <c r="AC354" s="392" t="s">
        <v>752</v>
      </c>
      <c r="AD354" s="392">
        <v>43151</v>
      </c>
      <c r="AE354" s="550"/>
      <c r="AF354" s="392">
        <v>43187</v>
      </c>
      <c r="AG354" s="546">
        <f>AF354-AD354</f>
        <v>36</v>
      </c>
      <c r="AJ354" s="553"/>
    </row>
    <row r="355" spans="1:36" s="218" customFormat="1" ht="14.25" customHeight="1">
      <c r="A355" s="586" t="s">
        <v>714</v>
      </c>
      <c r="B355" s="545" t="s">
        <v>190</v>
      </c>
      <c r="C355" s="386"/>
      <c r="D355" s="386"/>
      <c r="E355" s="392"/>
      <c r="F355" s="392">
        <v>43311</v>
      </c>
      <c r="G355" s="601"/>
      <c r="H355" s="752"/>
      <c r="I355" s="601"/>
      <c r="J355" s="601"/>
      <c r="K355" s="386"/>
      <c r="L355" s="392" t="str">
        <f>TEXT(F355,"mmm-yy")</f>
        <v>Jul-18</v>
      </c>
      <c r="M355" s="392" t="str">
        <f>TEXT(J355,"mmm-yy")</f>
        <v>Jan-00</v>
      </c>
      <c r="N355" s="397" t="s">
        <v>2483</v>
      </c>
      <c r="O355" s="418" t="s">
        <v>891</v>
      </c>
      <c r="P355" s="538">
        <v>1358.92</v>
      </c>
      <c r="Q355" s="538"/>
      <c r="R355" s="538">
        <f>SUM(P355:Q355)</f>
        <v>1358.92</v>
      </c>
      <c r="S355" s="494">
        <f>R355*1.1</f>
        <v>1494.8120000000001</v>
      </c>
      <c r="T355" s="544"/>
      <c r="U355" s="544"/>
      <c r="V355" s="389">
        <f>SUM(T355:U355)</f>
        <v>0</v>
      </c>
      <c r="W355" s="388">
        <f>R355-V355</f>
        <v>1358.92</v>
      </c>
      <c r="X355" s="589">
        <f>W355/R355</f>
        <v>1</v>
      </c>
      <c r="Y355" s="544"/>
      <c r="Z355" s="536">
        <f>F355+14</f>
        <v>43325</v>
      </c>
      <c r="AA355" s="544"/>
      <c r="AB355" s="393" t="s">
        <v>201</v>
      </c>
      <c r="AC355" s="392" t="s">
        <v>752</v>
      </c>
      <c r="AD355" s="392">
        <v>43187</v>
      </c>
      <c r="AE355" s="550"/>
      <c r="AF355" s="392">
        <v>43214</v>
      </c>
      <c r="AG355" s="546">
        <f>AF355-AD355</f>
        <v>27</v>
      </c>
      <c r="AJ355" s="553"/>
    </row>
    <row r="356" spans="1:36" s="218" customFormat="1" ht="14.25" customHeight="1">
      <c r="A356" s="586" t="s">
        <v>714</v>
      </c>
      <c r="B356" s="545" t="s">
        <v>190</v>
      </c>
      <c r="C356" s="386"/>
      <c r="D356" s="386"/>
      <c r="E356" s="392"/>
      <c r="F356" s="392">
        <v>43311</v>
      </c>
      <c r="G356" s="601"/>
      <c r="H356" s="752"/>
      <c r="I356" s="601"/>
      <c r="J356" s="601"/>
      <c r="K356" s="386"/>
      <c r="L356" s="392" t="str">
        <f>TEXT(F356,"mmm-yy")</f>
        <v>Jul-18</v>
      </c>
      <c r="M356" s="392" t="str">
        <f>TEXT(J356,"mmm-yy")</f>
        <v>Jan-00</v>
      </c>
      <c r="N356" s="397" t="s">
        <v>2488</v>
      </c>
      <c r="O356" s="418" t="s">
        <v>2489</v>
      </c>
      <c r="P356" s="538">
        <v>1828.86</v>
      </c>
      <c r="Q356" s="538"/>
      <c r="R356" s="538">
        <f>SUM(P356:Q356)</f>
        <v>1828.86</v>
      </c>
      <c r="S356" s="494">
        <f>R356*1.1</f>
        <v>2011.7460000000001</v>
      </c>
      <c r="T356" s="544"/>
      <c r="U356" s="544"/>
      <c r="V356" s="389">
        <f>SUM(T356:U356)</f>
        <v>0</v>
      </c>
      <c r="W356" s="388">
        <f>R356-V356</f>
        <v>1828.86</v>
      </c>
      <c r="X356" s="589">
        <f>W356/R356</f>
        <v>1</v>
      </c>
      <c r="Y356" s="544"/>
      <c r="Z356" s="536">
        <f>F356+14</f>
        <v>43325</v>
      </c>
      <c r="AA356" s="544"/>
      <c r="AB356" s="393" t="s">
        <v>201</v>
      </c>
      <c r="AC356" s="392" t="s">
        <v>752</v>
      </c>
      <c r="AD356" s="392">
        <v>43188</v>
      </c>
      <c r="AE356" s="550"/>
      <c r="AF356" s="392">
        <v>43214</v>
      </c>
      <c r="AG356" s="546">
        <f>AF356-AD356</f>
        <v>26</v>
      </c>
      <c r="AJ356" s="553"/>
    </row>
    <row r="357" spans="1:36" s="218" customFormat="1" ht="14.25" customHeight="1">
      <c r="A357" s="545" t="s">
        <v>715</v>
      </c>
      <c r="B357" s="545" t="s">
        <v>227</v>
      </c>
      <c r="C357" s="386" t="s">
        <v>2935</v>
      </c>
      <c r="D357" s="386">
        <v>43248</v>
      </c>
      <c r="E357" s="392">
        <v>43220</v>
      </c>
      <c r="F357" s="392">
        <v>43220</v>
      </c>
      <c r="G357" s="603">
        <v>43221</v>
      </c>
      <c r="H357" s="753">
        <v>43227</v>
      </c>
      <c r="I357" s="601">
        <v>43230</v>
      </c>
      <c r="J357" s="667">
        <v>43249</v>
      </c>
      <c r="K357" s="386"/>
      <c r="L357" s="392" t="str">
        <f>TEXT(F357,"mmm-yy")</f>
        <v>Apr-18</v>
      </c>
      <c r="M357" s="392" t="str">
        <f>TEXT(J357,"mmm-yy")</f>
        <v>May-18</v>
      </c>
      <c r="N357" s="397" t="s">
        <v>2460</v>
      </c>
      <c r="O357" s="418" t="s">
        <v>2490</v>
      </c>
      <c r="P357" s="538">
        <v>5003.75</v>
      </c>
      <c r="Q357" s="538">
        <v>10131.1</v>
      </c>
      <c r="R357" s="538">
        <f>SUM(P357:Q357)</f>
        <v>15134.85</v>
      </c>
      <c r="S357" s="494">
        <f>R357*1.1</f>
        <v>16648.335000000003</v>
      </c>
      <c r="T357" s="539"/>
      <c r="U357" s="539"/>
      <c r="V357" s="389">
        <f>SUM(T357:U357)</f>
        <v>0</v>
      </c>
      <c r="W357" s="388">
        <f>R357-V357</f>
        <v>15134.85</v>
      </c>
      <c r="X357" s="589">
        <f>W357/R357</f>
        <v>1</v>
      </c>
      <c r="Y357" s="544"/>
      <c r="Z357" s="536">
        <f>F357+14</f>
        <v>43234</v>
      </c>
      <c r="AA357" s="544"/>
      <c r="AB357" s="393" t="s">
        <v>517</v>
      </c>
      <c r="AC357" s="392">
        <v>43187</v>
      </c>
      <c r="AD357" s="392">
        <v>43188</v>
      </c>
      <c r="AE357" s="689">
        <f>AD357-AC357</f>
        <v>1</v>
      </c>
      <c r="AF357" s="392">
        <v>43228</v>
      </c>
      <c r="AG357" s="546">
        <f>AF357-AD357</f>
        <v>40</v>
      </c>
      <c r="AJ357" s="553"/>
    </row>
    <row r="358" spans="1:36" s="218" customFormat="1" ht="14.25" customHeight="1">
      <c r="A358" s="586" t="s">
        <v>714</v>
      </c>
      <c r="B358" s="545" t="s">
        <v>190</v>
      </c>
      <c r="C358" s="386"/>
      <c r="D358" s="386" t="s">
        <v>16</v>
      </c>
      <c r="E358" s="392"/>
      <c r="F358" s="392">
        <v>43311</v>
      </c>
      <c r="G358" s="658"/>
      <c r="H358" s="658"/>
      <c r="I358" s="601"/>
      <c r="J358" s="601"/>
      <c r="K358" s="386"/>
      <c r="L358" s="392" t="str">
        <f>TEXT(F358,"mmm-yy")</f>
        <v>Jul-18</v>
      </c>
      <c r="M358" s="392" t="str">
        <f>TEXT(J358,"mmm-yy")</f>
        <v>Jan-00</v>
      </c>
      <c r="N358" s="397" t="s">
        <v>2501</v>
      </c>
      <c r="O358" s="418" t="s">
        <v>2491</v>
      </c>
      <c r="P358" s="538">
        <v>1428.48</v>
      </c>
      <c r="Q358" s="840"/>
      <c r="R358" s="538">
        <f>SUM(P358:Q358)</f>
        <v>1428.48</v>
      </c>
      <c r="S358" s="494">
        <f>R358*1.1</f>
        <v>1571.3280000000002</v>
      </c>
      <c r="T358" s="539">
        <v>6326.5</v>
      </c>
      <c r="U358" s="539">
        <v>451.59774999999996</v>
      </c>
      <c r="V358" s="389">
        <f>SUM(T358:U358)</f>
        <v>6778.0977499999999</v>
      </c>
      <c r="W358" s="388">
        <f>R358-V358</f>
        <v>-5349.6177499999994</v>
      </c>
      <c r="X358" s="775">
        <f>W358/R358</f>
        <v>-3.7449721032146055</v>
      </c>
      <c r="Y358" s="544"/>
      <c r="Z358" s="536">
        <f>F358+14</f>
        <v>43325</v>
      </c>
      <c r="AA358" s="544"/>
      <c r="AB358" s="393" t="s">
        <v>201</v>
      </c>
      <c r="AC358" s="392" t="s">
        <v>752</v>
      </c>
      <c r="AD358" s="392">
        <v>43188</v>
      </c>
      <c r="AE358" s="550"/>
      <c r="AF358" s="392">
        <v>43214</v>
      </c>
      <c r="AG358" s="546">
        <f>AF358-AD358</f>
        <v>26</v>
      </c>
      <c r="AJ358" s="553"/>
    </row>
    <row r="359" spans="1:36" s="218" customFormat="1" ht="14.25" customHeight="1">
      <c r="A359" s="586" t="s">
        <v>714</v>
      </c>
      <c r="B359" s="545" t="s">
        <v>190</v>
      </c>
      <c r="C359" s="386" t="s">
        <v>3011</v>
      </c>
      <c r="D359" s="386">
        <v>43257</v>
      </c>
      <c r="E359" s="392">
        <v>43234</v>
      </c>
      <c r="F359" s="392">
        <v>43235</v>
      </c>
      <c r="G359" s="603">
        <v>43238</v>
      </c>
      <c r="H359" s="753">
        <v>43245</v>
      </c>
      <c r="I359" s="603">
        <f>F359+14</f>
        <v>43249</v>
      </c>
      <c r="J359" s="603">
        <v>43256</v>
      </c>
      <c r="K359" s="386"/>
      <c r="L359" s="392" t="str">
        <f>TEXT(F359,"mmm-yy")</f>
        <v>May-18</v>
      </c>
      <c r="M359" s="392" t="str">
        <f>TEXT(J359,"mmm-yy")</f>
        <v>Jun-18</v>
      </c>
      <c r="N359" s="397" t="s">
        <v>2502</v>
      </c>
      <c r="O359" s="418" t="s">
        <v>2497</v>
      </c>
      <c r="P359" s="538">
        <v>69.16</v>
      </c>
      <c r="Q359" s="552">
        <v>524.41999999999996</v>
      </c>
      <c r="R359" s="538">
        <f>SUM(P359:Q359)</f>
        <v>593.57999999999993</v>
      </c>
      <c r="S359" s="495">
        <f>R359*1.1</f>
        <v>652.93799999999999</v>
      </c>
      <c r="T359" s="539"/>
      <c r="U359" s="539"/>
      <c r="V359" s="389">
        <f>SUM(T359:U359)</f>
        <v>0</v>
      </c>
      <c r="W359" s="388">
        <f>R359-V359</f>
        <v>593.57999999999993</v>
      </c>
      <c r="X359" s="589">
        <f>W359/R359</f>
        <v>1</v>
      </c>
      <c r="Y359" s="544"/>
      <c r="Z359" s="536">
        <f>F359+14</f>
        <v>43249</v>
      </c>
      <c r="AA359" s="544"/>
      <c r="AB359" s="393" t="s">
        <v>201</v>
      </c>
      <c r="AC359" s="392" t="s">
        <v>752</v>
      </c>
      <c r="AD359" s="392">
        <v>43194</v>
      </c>
      <c r="AE359" s="550"/>
      <c r="AF359" s="392">
        <v>43236</v>
      </c>
      <c r="AG359" s="546">
        <f>AF359-AD359</f>
        <v>42</v>
      </c>
      <c r="AJ359" s="553"/>
    </row>
    <row r="360" spans="1:36" s="218" customFormat="1" ht="14.25" customHeight="1">
      <c r="A360" s="586" t="s">
        <v>714</v>
      </c>
      <c r="B360" s="545" t="s">
        <v>190</v>
      </c>
      <c r="C360" s="386" t="s">
        <v>2775</v>
      </c>
      <c r="D360" s="386">
        <v>43230</v>
      </c>
      <c r="E360" s="392">
        <v>43203</v>
      </c>
      <c r="F360" s="392">
        <v>43203</v>
      </c>
      <c r="G360" s="777"/>
      <c r="H360" s="778"/>
      <c r="I360" s="603">
        <f>F360+14</f>
        <v>43217</v>
      </c>
      <c r="J360" s="601">
        <v>43223</v>
      </c>
      <c r="K360" s="386"/>
      <c r="L360" s="392" t="str">
        <f>TEXT(F360,"mmm-yy")</f>
        <v>Apr-18</v>
      </c>
      <c r="M360" s="392" t="str">
        <f>TEXT(J360,"mmm-yy")</f>
        <v>May-18</v>
      </c>
      <c r="N360" s="397" t="s">
        <v>2511</v>
      </c>
      <c r="O360" s="418" t="s">
        <v>385</v>
      </c>
      <c r="P360" s="538">
        <v>1088.03</v>
      </c>
      <c r="Q360" s="776"/>
      <c r="R360" s="538">
        <f>SUM(P360:Q360)</f>
        <v>1088.03</v>
      </c>
      <c r="S360" s="495">
        <f>R360*1.1</f>
        <v>1196.8330000000001</v>
      </c>
      <c r="T360" s="539"/>
      <c r="U360" s="539"/>
      <c r="V360" s="389">
        <f>SUM(T360:U360)</f>
        <v>0</v>
      </c>
      <c r="W360" s="388">
        <f>R360-V360</f>
        <v>1088.03</v>
      </c>
      <c r="X360" s="589">
        <f>W360/R360</f>
        <v>1</v>
      </c>
      <c r="Y360" s="544"/>
      <c r="Z360" s="536">
        <f>F360+14</f>
        <v>43217</v>
      </c>
      <c r="AA360" s="544"/>
      <c r="AB360" s="393" t="s">
        <v>201</v>
      </c>
      <c r="AC360" s="392" t="s">
        <v>752</v>
      </c>
      <c r="AD360" s="392">
        <v>43194</v>
      </c>
      <c r="AE360" s="550"/>
      <c r="AF360" s="392">
        <v>43231</v>
      </c>
      <c r="AG360" s="546">
        <f>AF360-AD360</f>
        <v>37</v>
      </c>
      <c r="AJ360" s="553"/>
    </row>
    <row r="361" spans="1:36" s="218" customFormat="1" ht="14.25" customHeight="1">
      <c r="A361" s="586" t="s">
        <v>714</v>
      </c>
      <c r="B361" s="545" t="s">
        <v>190</v>
      </c>
      <c r="C361" s="386" t="s">
        <v>2987</v>
      </c>
      <c r="D361" s="386">
        <v>43250</v>
      </c>
      <c r="E361" s="392">
        <v>43213</v>
      </c>
      <c r="F361" s="392">
        <v>43214</v>
      </c>
      <c r="G361" s="603">
        <v>43238</v>
      </c>
      <c r="H361" s="753">
        <v>46897</v>
      </c>
      <c r="I361" s="603">
        <v>43224</v>
      </c>
      <c r="J361" s="576">
        <v>43251</v>
      </c>
      <c r="K361" s="386"/>
      <c r="L361" s="392" t="str">
        <f>TEXT(F361,"mmm-yy")</f>
        <v>Apr-18</v>
      </c>
      <c r="M361" s="392" t="str">
        <f>TEXT(J361,"mmm-yy")</f>
        <v>May-18</v>
      </c>
      <c r="N361" s="397" t="s">
        <v>2512</v>
      </c>
      <c r="O361" s="418" t="s">
        <v>580</v>
      </c>
      <c r="P361" s="538">
        <v>4554.4399999999996</v>
      </c>
      <c r="Q361" s="538">
        <v>3756.7400000000002</v>
      </c>
      <c r="R361" s="538">
        <f>SUM(P361:Q361)</f>
        <v>8311.18</v>
      </c>
      <c r="S361" s="495">
        <f>R361*1.1</f>
        <v>9142.2980000000007</v>
      </c>
      <c r="T361" s="539"/>
      <c r="U361" s="539"/>
      <c r="V361" s="389">
        <f>SUM(T361:U361)</f>
        <v>0</v>
      </c>
      <c r="W361" s="388">
        <f>R361-V361</f>
        <v>8311.18</v>
      </c>
      <c r="X361" s="589">
        <f>W361/R361</f>
        <v>1</v>
      </c>
      <c r="Y361" s="544"/>
      <c r="Z361" s="536">
        <f>F361+14</f>
        <v>43228</v>
      </c>
      <c r="AA361" s="544"/>
      <c r="AB361" s="442" t="s">
        <v>210</v>
      </c>
      <c r="AC361" s="392" t="s">
        <v>752</v>
      </c>
      <c r="AD361" s="392">
        <v>43194</v>
      </c>
      <c r="AE361" s="550"/>
      <c r="AF361" s="392">
        <v>43231</v>
      </c>
      <c r="AG361" s="546">
        <f>AF361-AD361</f>
        <v>37</v>
      </c>
      <c r="AJ361" s="553"/>
    </row>
    <row r="362" spans="1:36" s="218" customFormat="1" ht="14.25" customHeight="1">
      <c r="A362" s="586" t="s">
        <v>714</v>
      </c>
      <c r="B362" s="545" t="s">
        <v>190</v>
      </c>
      <c r="C362" s="386" t="s">
        <v>3186</v>
      </c>
      <c r="D362" s="386">
        <v>43272</v>
      </c>
      <c r="E362" s="392">
        <v>43252</v>
      </c>
      <c r="F362" s="392">
        <v>43252</v>
      </c>
      <c r="G362" s="614">
        <v>43252</v>
      </c>
      <c r="H362" s="753">
        <v>43256</v>
      </c>
      <c r="I362" s="603">
        <v>43265</v>
      </c>
      <c r="J362" s="603">
        <v>43273</v>
      </c>
      <c r="K362" s="386"/>
      <c r="L362" s="392" t="str">
        <f>TEXT(F362,"mmm-yy")</f>
        <v>Jun-18</v>
      </c>
      <c r="M362" s="392" t="str">
        <f>TEXT(J362,"mmm-yy")</f>
        <v>Jun-18</v>
      </c>
      <c r="N362" s="397" t="s">
        <v>2525</v>
      </c>
      <c r="O362" s="418" t="s">
        <v>2526</v>
      </c>
      <c r="P362" s="538">
        <v>110.88</v>
      </c>
      <c r="Q362" s="538">
        <v>544.41999999999996</v>
      </c>
      <c r="R362" s="538">
        <f>SUM(P362:Q362)</f>
        <v>655.29999999999995</v>
      </c>
      <c r="S362" s="495">
        <f>R362*1.1</f>
        <v>720.83</v>
      </c>
      <c r="T362" s="539"/>
      <c r="U362" s="539"/>
      <c r="V362" s="389">
        <f>SUM(T362:U362)</f>
        <v>0</v>
      </c>
      <c r="W362" s="388">
        <f>R362-V362</f>
        <v>655.29999999999995</v>
      </c>
      <c r="X362" s="589">
        <f>W362/R362</f>
        <v>1</v>
      </c>
      <c r="Y362" s="544"/>
      <c r="Z362" s="536">
        <f>F362+14</f>
        <v>43266</v>
      </c>
      <c r="AA362" s="544"/>
      <c r="AB362" s="393" t="s">
        <v>201</v>
      </c>
      <c r="AC362" s="392" t="s">
        <v>752</v>
      </c>
      <c r="AD362" s="392">
        <v>43200</v>
      </c>
      <c r="AE362" s="550"/>
      <c r="AF362" s="392">
        <v>43238</v>
      </c>
      <c r="AG362" s="546">
        <f>AF362-AD362</f>
        <v>38</v>
      </c>
      <c r="AJ362" s="553"/>
    </row>
    <row r="363" spans="1:36" s="218" customFormat="1" ht="14.25" customHeight="1">
      <c r="A363" s="545" t="s">
        <v>715</v>
      </c>
      <c r="B363" s="545" t="s">
        <v>1210</v>
      </c>
      <c r="C363" s="386" t="s">
        <v>3098</v>
      </c>
      <c r="D363" s="386">
        <v>43264</v>
      </c>
      <c r="E363" s="392">
        <v>43243</v>
      </c>
      <c r="F363" s="392">
        <v>43243</v>
      </c>
      <c r="G363" s="603">
        <v>43243</v>
      </c>
      <c r="H363" s="753">
        <v>43251</v>
      </c>
      <c r="I363" s="603">
        <f>F363+14</f>
        <v>43257</v>
      </c>
      <c r="J363" s="601">
        <f>I363+14</f>
        <v>43271</v>
      </c>
      <c r="K363" s="386"/>
      <c r="L363" s="392" t="str">
        <f>TEXT(F363,"mmm-yy")</f>
        <v>May-18</v>
      </c>
      <c r="M363" s="392" t="str">
        <f>TEXT(J363,"mmm-yy")</f>
        <v>Jun-18</v>
      </c>
      <c r="N363" s="397" t="s">
        <v>2527</v>
      </c>
      <c r="O363" s="418" t="s">
        <v>702</v>
      </c>
      <c r="P363" s="538">
        <v>6657.74</v>
      </c>
      <c r="Q363" s="538">
        <v>4284.1550857142856</v>
      </c>
      <c r="R363" s="538">
        <f>SUM(P363:Q363)</f>
        <v>10941.895085714285</v>
      </c>
      <c r="S363" s="495">
        <f>R363*1.1</f>
        <v>12036.084594285714</v>
      </c>
      <c r="T363" s="539">
        <v>8266.83</v>
      </c>
      <c r="U363" s="539"/>
      <c r="V363" s="389">
        <f>SUM(T363:U363)</f>
        <v>8266.83</v>
      </c>
      <c r="W363" s="388">
        <f>R363-V363</f>
        <v>2675.0650857142846</v>
      </c>
      <c r="X363" s="589">
        <f>W363/R363</f>
        <v>0.24447913864636153</v>
      </c>
      <c r="Y363" s="544"/>
      <c r="Z363" s="536">
        <f>F363+14</f>
        <v>43257</v>
      </c>
      <c r="AA363" s="544"/>
      <c r="AB363" s="393" t="s">
        <v>517</v>
      </c>
      <c r="AC363" s="392">
        <v>43201</v>
      </c>
      <c r="AD363" s="392">
        <v>43206</v>
      </c>
      <c r="AE363" s="689">
        <f>AD363-AC363</f>
        <v>5</v>
      </c>
      <c r="AF363" s="392">
        <v>43259</v>
      </c>
      <c r="AG363" s="546">
        <f>AF363-AD363</f>
        <v>53</v>
      </c>
      <c r="AJ363" s="553"/>
    </row>
    <row r="364" spans="1:36" s="218" customFormat="1" ht="14.25" customHeight="1">
      <c r="A364" s="586" t="s">
        <v>714</v>
      </c>
      <c r="B364" s="545" t="s">
        <v>190</v>
      </c>
      <c r="C364" s="386" t="s">
        <v>3344</v>
      </c>
      <c r="D364" s="386">
        <v>43287</v>
      </c>
      <c r="E364" s="392">
        <v>43270</v>
      </c>
      <c r="F364" s="392">
        <v>43270</v>
      </c>
      <c r="G364" s="603">
        <v>43270</v>
      </c>
      <c r="H364" s="753">
        <v>43276</v>
      </c>
      <c r="I364" s="603">
        <f>F364+14</f>
        <v>43284</v>
      </c>
      <c r="J364" s="603">
        <v>43291</v>
      </c>
      <c r="K364" s="386"/>
      <c r="L364" s="392" t="str">
        <f>TEXT(F364,"mmm-yy")</f>
        <v>Jun-18</v>
      </c>
      <c r="M364" s="392" t="str">
        <f>TEXT(J364,"mmm-yy")</f>
        <v>Jul-18</v>
      </c>
      <c r="N364" s="397" t="s">
        <v>2529</v>
      </c>
      <c r="O364" s="418" t="s">
        <v>2530</v>
      </c>
      <c r="P364" s="538">
        <v>285.60000000000002</v>
      </c>
      <c r="Q364" s="538">
        <v>512.55999999999995</v>
      </c>
      <c r="R364" s="538">
        <f>SUM(P364:Q364)</f>
        <v>798.16</v>
      </c>
      <c r="S364" s="495">
        <f>R364*1.1</f>
        <v>877.976</v>
      </c>
      <c r="T364" s="539"/>
      <c r="U364" s="539"/>
      <c r="V364" s="389">
        <f>SUM(T364:U364)</f>
        <v>0</v>
      </c>
      <c r="W364" s="388">
        <f>R364-V364</f>
        <v>798.16</v>
      </c>
      <c r="X364" s="589">
        <f>W364/R364</f>
        <v>1</v>
      </c>
      <c r="Y364" s="544"/>
      <c r="Z364" s="536">
        <f>F364+14</f>
        <v>43284</v>
      </c>
      <c r="AA364" s="544"/>
      <c r="AB364" s="393" t="s">
        <v>727</v>
      </c>
      <c r="AC364" s="392" t="s">
        <v>752</v>
      </c>
      <c r="AD364" s="392">
        <v>43201</v>
      </c>
      <c r="AE364" s="550"/>
      <c r="AF364" s="392">
        <v>43240</v>
      </c>
      <c r="AG364" s="546">
        <f>AF364-AD364</f>
        <v>39</v>
      </c>
      <c r="AJ364" s="553"/>
    </row>
    <row r="365" spans="1:36" s="218" customFormat="1" ht="14.25" customHeight="1">
      <c r="A365" s="586" t="s">
        <v>714</v>
      </c>
      <c r="B365" s="545" t="s">
        <v>190</v>
      </c>
      <c r="C365" s="386" t="s">
        <v>2833</v>
      </c>
      <c r="D365" s="386">
        <v>43242</v>
      </c>
      <c r="E365" s="392">
        <v>43227</v>
      </c>
      <c r="F365" s="392">
        <v>43227</v>
      </c>
      <c r="G365" s="756"/>
      <c r="H365" s="757"/>
      <c r="I365" s="603">
        <v>43237</v>
      </c>
      <c r="J365" s="603">
        <v>43242</v>
      </c>
      <c r="K365" s="386"/>
      <c r="L365" s="392" t="str">
        <f>TEXT(F365,"mmm-yy")</f>
        <v>May-18</v>
      </c>
      <c r="M365" s="392" t="str">
        <f>TEXT(J365,"mmm-yy")</f>
        <v>May-18</v>
      </c>
      <c r="N365" s="397" t="s">
        <v>2536</v>
      </c>
      <c r="O365" s="418" t="s">
        <v>458</v>
      </c>
      <c r="P365" s="538">
        <v>1784.38</v>
      </c>
      <c r="Q365" s="776"/>
      <c r="R365" s="538">
        <f>SUM(P365:Q365)</f>
        <v>1784.38</v>
      </c>
      <c r="S365" s="495">
        <f>R365*1.1</f>
        <v>1962.8180000000002</v>
      </c>
      <c r="T365" s="539"/>
      <c r="U365" s="539"/>
      <c r="V365" s="389">
        <f>SUM(T365:U365)</f>
        <v>0</v>
      </c>
      <c r="W365" s="388">
        <f>R365-V365</f>
        <v>1784.38</v>
      </c>
      <c r="X365" s="589">
        <f>W365/R365</f>
        <v>1</v>
      </c>
      <c r="Y365" s="544"/>
      <c r="Z365" s="536">
        <f>F365+14</f>
        <v>43241</v>
      </c>
      <c r="AA365" s="544"/>
      <c r="AB365" s="393" t="s">
        <v>201</v>
      </c>
      <c r="AC365" s="392" t="s">
        <v>752</v>
      </c>
      <c r="AD365" s="392">
        <v>43202</v>
      </c>
      <c r="AE365" s="550"/>
      <c r="AF365" s="392">
        <v>43250</v>
      </c>
      <c r="AG365" s="546">
        <f>AF365-AD365</f>
        <v>48</v>
      </c>
      <c r="AJ365" s="553"/>
    </row>
    <row r="366" spans="1:36" s="218" customFormat="1" ht="14.25" customHeight="1">
      <c r="A366" s="545" t="s">
        <v>715</v>
      </c>
      <c r="B366" s="545" t="s">
        <v>190</v>
      </c>
      <c r="C366" s="386" t="s">
        <v>2836</v>
      </c>
      <c r="D366" s="386">
        <v>43242</v>
      </c>
      <c r="E366" s="392">
        <v>43223</v>
      </c>
      <c r="F366" s="392">
        <v>43223</v>
      </c>
      <c r="G366" s="756"/>
      <c r="H366" s="757"/>
      <c r="I366" s="603">
        <f>F366+14</f>
        <v>43237</v>
      </c>
      <c r="J366" s="603">
        <v>43242</v>
      </c>
      <c r="K366" s="386"/>
      <c r="L366" s="392" t="str">
        <f>TEXT(F366,"mmm-yy")</f>
        <v>May-18</v>
      </c>
      <c r="M366" s="392" t="str">
        <f>TEXT(J366,"mmm-yy")</f>
        <v>May-18</v>
      </c>
      <c r="N366" s="397" t="s">
        <v>2535</v>
      </c>
      <c r="O366" s="418" t="s">
        <v>2537</v>
      </c>
      <c r="P366" s="538">
        <v>3090.06</v>
      </c>
      <c r="Q366" s="776"/>
      <c r="R366" s="538">
        <f>SUM(P366:Q366)</f>
        <v>3090.06</v>
      </c>
      <c r="S366" s="495">
        <f>R366*1.1</f>
        <v>3399.0660000000003</v>
      </c>
      <c r="T366" s="539"/>
      <c r="U366" s="539">
        <v>380.18274999999994</v>
      </c>
      <c r="V366" s="389">
        <f>SUM(T366:U366)</f>
        <v>380.18274999999994</v>
      </c>
      <c r="W366" s="388">
        <f>R366-V366</f>
        <v>2709.87725</v>
      </c>
      <c r="X366" s="589">
        <f>W366/R366</f>
        <v>0.87696590033850474</v>
      </c>
      <c r="Y366" s="544"/>
      <c r="Z366" s="536">
        <f>F366+14</f>
        <v>43237</v>
      </c>
      <c r="AA366" s="544"/>
      <c r="AB366" s="393" t="s">
        <v>201</v>
      </c>
      <c r="AC366" s="392">
        <v>43200</v>
      </c>
      <c r="AD366" s="392">
        <v>43203</v>
      </c>
      <c r="AE366" s="689">
        <f>AD366-AC366</f>
        <v>3</v>
      </c>
      <c r="AF366" s="392">
        <v>43259</v>
      </c>
      <c r="AG366" s="546">
        <f>AF366-AD366</f>
        <v>56</v>
      </c>
      <c r="AJ366" s="553"/>
    </row>
    <row r="367" spans="1:36" s="218" customFormat="1" ht="14.25" customHeight="1">
      <c r="A367" s="545" t="s">
        <v>715</v>
      </c>
      <c r="B367" s="545" t="s">
        <v>722</v>
      </c>
      <c r="C367" s="386" t="s">
        <v>2891</v>
      </c>
      <c r="D367" s="386">
        <v>43244</v>
      </c>
      <c r="E367" s="392">
        <v>43227</v>
      </c>
      <c r="F367" s="392">
        <v>43227</v>
      </c>
      <c r="G367" s="603">
        <v>43228</v>
      </c>
      <c r="H367" s="753">
        <v>43234</v>
      </c>
      <c r="I367" s="603">
        <v>43237</v>
      </c>
      <c r="J367" s="603">
        <v>43244</v>
      </c>
      <c r="K367" s="386"/>
      <c r="L367" s="392" t="str">
        <f>TEXT(F367,"mmm-yy")</f>
        <v>May-18</v>
      </c>
      <c r="M367" s="392" t="str">
        <f>TEXT(J367,"mmm-yy")</f>
        <v>May-18</v>
      </c>
      <c r="N367" s="397" t="s">
        <v>2538</v>
      </c>
      <c r="O367" s="418" t="s">
        <v>2422</v>
      </c>
      <c r="P367" s="538">
        <v>6788.96</v>
      </c>
      <c r="Q367" s="538">
        <v>3392.1154285714283</v>
      </c>
      <c r="R367" s="538">
        <f>SUM(P367:Q367)</f>
        <v>10181.075428571428</v>
      </c>
      <c r="S367" s="495">
        <f>R367*1.1</f>
        <v>11199.182971428572</v>
      </c>
      <c r="T367" s="539">
        <v>2366.54</v>
      </c>
      <c r="U367" s="539"/>
      <c r="V367" s="389">
        <f>SUM(T367:U367)</f>
        <v>2366.54</v>
      </c>
      <c r="W367" s="388">
        <f>R367-V367</f>
        <v>7814.5354285714284</v>
      </c>
      <c r="X367" s="589">
        <f>W367/R367</f>
        <v>0.76755500766071194</v>
      </c>
      <c r="Y367" s="544"/>
      <c r="Z367" s="536">
        <f>F367+14</f>
        <v>43241</v>
      </c>
      <c r="AA367" s="544"/>
      <c r="AB367" s="393" t="s">
        <v>1338</v>
      </c>
      <c r="AC367" s="392">
        <v>43200</v>
      </c>
      <c r="AD367" s="392">
        <v>43203</v>
      </c>
      <c r="AE367" s="689">
        <f>AD367-AC367</f>
        <v>3</v>
      </c>
      <c r="AF367" s="392">
        <v>43231</v>
      </c>
      <c r="AG367" s="546">
        <f>AF367-AD367</f>
        <v>28</v>
      </c>
      <c r="AJ367" s="553"/>
    </row>
    <row r="368" spans="1:36" s="218" customFormat="1" ht="14.25" customHeight="1">
      <c r="A368" s="545" t="s">
        <v>715</v>
      </c>
      <c r="B368" s="545" t="s">
        <v>190</v>
      </c>
      <c r="C368" s="386" t="s">
        <v>3066</v>
      </c>
      <c r="D368" s="386">
        <v>43265</v>
      </c>
      <c r="E368" s="392">
        <v>43241</v>
      </c>
      <c r="F368" s="536">
        <v>43241</v>
      </c>
      <c r="G368" s="603">
        <v>43242</v>
      </c>
      <c r="H368" s="753">
        <v>43250</v>
      </c>
      <c r="I368" s="603">
        <v>43251</v>
      </c>
      <c r="J368" s="603">
        <v>43258</v>
      </c>
      <c r="K368" s="386"/>
      <c r="L368" s="392" t="str">
        <f>TEXT(F368,"mmm-yy")</f>
        <v>May-18</v>
      </c>
      <c r="M368" s="392" t="str">
        <f>TEXT(J368,"mmm-yy")</f>
        <v>Jun-18</v>
      </c>
      <c r="N368" s="397" t="s">
        <v>2539</v>
      </c>
      <c r="O368" s="418" t="s">
        <v>2540</v>
      </c>
      <c r="P368" s="538">
        <v>4057.47</v>
      </c>
      <c r="Q368" s="538">
        <v>3402.18</v>
      </c>
      <c r="R368" s="538">
        <f>SUM(P368:Q368)</f>
        <v>7459.65</v>
      </c>
      <c r="S368" s="495">
        <f>R368*1.1</f>
        <v>8205.6149999999998</v>
      </c>
      <c r="T368" s="539"/>
      <c r="U368" s="539">
        <v>1200.0607499999999</v>
      </c>
      <c r="V368" s="389">
        <f>SUM(T368:U368)</f>
        <v>1200.0607499999999</v>
      </c>
      <c r="W368" s="388">
        <f>R368-V368</f>
        <v>6259.58925</v>
      </c>
      <c r="X368" s="589">
        <f>W368/R368</f>
        <v>0.83912640003217309</v>
      </c>
      <c r="Y368" s="544"/>
      <c r="Z368" s="536">
        <f>F368+14</f>
        <v>43255</v>
      </c>
      <c r="AA368" s="544"/>
      <c r="AB368" s="393" t="s">
        <v>201</v>
      </c>
      <c r="AC368" s="392">
        <v>43200</v>
      </c>
      <c r="AD368" s="392">
        <v>43203</v>
      </c>
      <c r="AE368" s="689">
        <f>AD368-AC368</f>
        <v>3</v>
      </c>
      <c r="AF368" s="392">
        <v>43231</v>
      </c>
      <c r="AG368" s="546">
        <f>AF368-AD368</f>
        <v>28</v>
      </c>
      <c r="AJ368" s="553"/>
    </row>
    <row r="369" spans="1:36" s="218" customFormat="1" ht="14.25" customHeight="1">
      <c r="A369" s="586" t="s">
        <v>714</v>
      </c>
      <c r="B369" s="545" t="s">
        <v>190</v>
      </c>
      <c r="C369" s="386" t="s">
        <v>3343</v>
      </c>
      <c r="D369" s="386">
        <v>43287</v>
      </c>
      <c r="E369" s="392">
        <v>43269</v>
      </c>
      <c r="F369" s="392">
        <v>43269</v>
      </c>
      <c r="G369" s="603">
        <v>43269</v>
      </c>
      <c r="H369" s="753">
        <v>43283</v>
      </c>
      <c r="I369" s="603">
        <f>F369+14</f>
        <v>43283</v>
      </c>
      <c r="J369" s="603">
        <v>43291</v>
      </c>
      <c r="K369" s="386"/>
      <c r="L369" s="392" t="str">
        <f>TEXT(F369,"mmm-yy")</f>
        <v>Jun-18</v>
      </c>
      <c r="M369" s="392" t="str">
        <f>TEXT(J369,"mmm-yy")</f>
        <v>Jul-18</v>
      </c>
      <c r="N369" s="397" t="s">
        <v>2543</v>
      </c>
      <c r="O369" s="418" t="s">
        <v>491</v>
      </c>
      <c r="P369" s="538">
        <v>1382.92</v>
      </c>
      <c r="Q369" s="538">
        <v>5222.21</v>
      </c>
      <c r="R369" s="538">
        <f>SUM(P369:Q369)</f>
        <v>6605.13</v>
      </c>
      <c r="S369" s="495">
        <f>R369*1.1</f>
        <v>7265.6430000000009</v>
      </c>
      <c r="T369" s="539">
        <v>3074</v>
      </c>
      <c r="U369" s="539"/>
      <c r="V369" s="389">
        <f>SUM(T369:U369)</f>
        <v>3074</v>
      </c>
      <c r="W369" s="388">
        <f>R369-V369</f>
        <v>3531.13</v>
      </c>
      <c r="X369" s="589">
        <f>W369/R369</f>
        <v>0.53460416373334063</v>
      </c>
      <c r="Y369" s="544"/>
      <c r="Z369" s="536">
        <f>F369+14</f>
        <v>43283</v>
      </c>
      <c r="AA369" s="544"/>
      <c r="AB369" s="393" t="s">
        <v>201</v>
      </c>
      <c r="AC369" s="392" t="s">
        <v>752</v>
      </c>
      <c r="AD369" s="392">
        <v>43206</v>
      </c>
      <c r="AE369" s="550"/>
      <c r="AF369" s="392">
        <v>43267</v>
      </c>
      <c r="AG369" s="546">
        <f>AF369-AD369</f>
        <v>61</v>
      </c>
      <c r="AJ369" s="553"/>
    </row>
    <row r="370" spans="1:36" s="218" customFormat="1" ht="14.25" customHeight="1">
      <c r="A370" s="586" t="s">
        <v>714</v>
      </c>
      <c r="B370" s="545" t="s">
        <v>190</v>
      </c>
      <c r="C370" s="386"/>
      <c r="D370" s="386"/>
      <c r="E370" s="392"/>
      <c r="F370" s="392">
        <v>43311</v>
      </c>
      <c r="G370" s="601"/>
      <c r="H370" s="752"/>
      <c r="I370" s="601"/>
      <c r="J370" s="601"/>
      <c r="K370" s="386"/>
      <c r="L370" s="392" t="str">
        <f>TEXT(F370,"mmm-yy")</f>
        <v>Jul-18</v>
      </c>
      <c r="M370" s="392" t="str">
        <f>TEXT(J370,"mmm-yy")</f>
        <v>Jan-00</v>
      </c>
      <c r="N370" s="397" t="s">
        <v>3170</v>
      </c>
      <c r="O370" s="418" t="s">
        <v>1760</v>
      </c>
      <c r="P370" s="538">
        <v>1061.6500000000001</v>
      </c>
      <c r="Q370" s="538"/>
      <c r="R370" s="538">
        <f>SUM(P370:Q370)</f>
        <v>1061.6500000000001</v>
      </c>
      <c r="S370" s="495">
        <f>R370*1.1</f>
        <v>1167.8150000000003</v>
      </c>
      <c r="T370" s="539"/>
      <c r="U370" s="539"/>
      <c r="V370" s="389">
        <f>SUM(T370:U370)</f>
        <v>0</v>
      </c>
      <c r="W370" s="388">
        <f>R370-V370</f>
        <v>1061.6500000000001</v>
      </c>
      <c r="X370" s="589">
        <f>W370/R370</f>
        <v>1</v>
      </c>
      <c r="Y370" s="544"/>
      <c r="Z370" s="536">
        <f>F370+14</f>
        <v>43325</v>
      </c>
      <c r="AA370" s="544"/>
      <c r="AB370" s="393" t="s">
        <v>201</v>
      </c>
      <c r="AC370" s="392" t="s">
        <v>752</v>
      </c>
      <c r="AD370" s="392">
        <v>43206</v>
      </c>
      <c r="AE370" s="550"/>
      <c r="AF370" s="392">
        <v>43250</v>
      </c>
      <c r="AG370" s="546">
        <f>AF370-AD370</f>
        <v>44</v>
      </c>
      <c r="AJ370" s="553"/>
    </row>
    <row r="371" spans="1:36" s="218" customFormat="1" ht="14.25" customHeight="1">
      <c r="A371" s="586" t="s">
        <v>714</v>
      </c>
      <c r="B371" s="545" t="s">
        <v>190</v>
      </c>
      <c r="C371" s="386" t="s">
        <v>3065</v>
      </c>
      <c r="D371" s="386">
        <v>43265</v>
      </c>
      <c r="E371" s="392">
        <v>43224</v>
      </c>
      <c r="F371" s="392">
        <v>43227</v>
      </c>
      <c r="G371" s="603">
        <v>43228</v>
      </c>
      <c r="H371" s="753">
        <v>43229</v>
      </c>
      <c r="I371" s="603">
        <v>43237</v>
      </c>
      <c r="J371" s="576">
        <v>43258</v>
      </c>
      <c r="K371" s="386"/>
      <c r="L371" s="392" t="str">
        <f>TEXT(F371,"mmm-yy")</f>
        <v>May-18</v>
      </c>
      <c r="M371" s="392" t="str">
        <f>TEXT(J371,"mmm-yy")</f>
        <v>Jun-18</v>
      </c>
      <c r="N371" s="397" t="s">
        <v>2547</v>
      </c>
      <c r="O371" s="418" t="s">
        <v>385</v>
      </c>
      <c r="P371" s="538">
        <v>13978.73</v>
      </c>
      <c r="Q371" s="538">
        <v>-6944.3819999999796</v>
      </c>
      <c r="R371" s="538">
        <f>SUM(P371:Q371)</f>
        <v>7034.34800000002</v>
      </c>
      <c r="S371" s="495">
        <f>R371*1.1</f>
        <v>7737.7828000000227</v>
      </c>
      <c r="T371" s="544">
        <v>3157.04</v>
      </c>
      <c r="U371" s="539"/>
      <c r="V371" s="389">
        <f>SUM(T371:U371)</f>
        <v>3157.04</v>
      </c>
      <c r="W371" s="388">
        <f>R371-V371</f>
        <v>3877.30800000002</v>
      </c>
      <c r="X371" s="589">
        <f>W371/R371</f>
        <v>0.55119650037217505</v>
      </c>
      <c r="Y371" s="544"/>
      <c r="Z371" s="536">
        <f>F371+14</f>
        <v>43241</v>
      </c>
      <c r="AA371" s="544"/>
      <c r="AB371" s="393" t="s">
        <v>201</v>
      </c>
      <c r="AC371" s="392" t="s">
        <v>752</v>
      </c>
      <c r="AD371" s="392">
        <v>43206</v>
      </c>
      <c r="AE371" s="550"/>
      <c r="AF371" s="392">
        <v>43237</v>
      </c>
      <c r="AG371" s="546">
        <f>AF371-AD371</f>
        <v>31</v>
      </c>
      <c r="AJ371" s="553"/>
    </row>
    <row r="372" spans="1:36" s="218" customFormat="1" ht="14.25" customHeight="1">
      <c r="A372" s="545" t="s">
        <v>715</v>
      </c>
      <c r="B372" s="545" t="s">
        <v>190</v>
      </c>
      <c r="C372" s="386" t="s">
        <v>3100</v>
      </c>
      <c r="D372" s="386">
        <v>43271</v>
      </c>
      <c r="E372" s="392">
        <v>43238</v>
      </c>
      <c r="F372" s="392">
        <v>43241</v>
      </c>
      <c r="G372" s="576">
        <v>43242</v>
      </c>
      <c r="H372" s="669">
        <v>43265</v>
      </c>
      <c r="I372" s="603">
        <v>43251</v>
      </c>
      <c r="J372" s="576">
        <v>43270</v>
      </c>
      <c r="K372" s="386"/>
      <c r="L372" s="392" t="str">
        <f>TEXT(F372,"mmm-yy")</f>
        <v>May-18</v>
      </c>
      <c r="M372" s="392" t="str">
        <f>TEXT(J372,"mmm-yy")</f>
        <v>Jun-18</v>
      </c>
      <c r="N372" s="397" t="s">
        <v>2562</v>
      </c>
      <c r="O372" s="418" t="s">
        <v>2208</v>
      </c>
      <c r="P372" s="538">
        <v>2772.4</v>
      </c>
      <c r="Q372" s="538">
        <v>16972.475000000002</v>
      </c>
      <c r="R372" s="538">
        <f>SUM(P372:Q372)</f>
        <v>19744.875000000004</v>
      </c>
      <c r="S372" s="495">
        <f>R372*1.1</f>
        <v>21719.362500000007</v>
      </c>
      <c r="T372" s="539">
        <v>13346.45</v>
      </c>
      <c r="U372" s="539"/>
      <c r="V372" s="389">
        <f>SUM(T372:U372)</f>
        <v>13346.45</v>
      </c>
      <c r="W372" s="388">
        <f>R372-V372</f>
        <v>6398.4250000000029</v>
      </c>
      <c r="X372" s="589">
        <f>W372/R372</f>
        <v>0.32405497629131619</v>
      </c>
      <c r="Y372" s="544"/>
      <c r="Z372" s="536">
        <f>F372+14</f>
        <v>43255</v>
      </c>
      <c r="AA372" s="544"/>
      <c r="AB372" s="393" t="s">
        <v>201</v>
      </c>
      <c r="AC372" s="392" t="s">
        <v>752</v>
      </c>
      <c r="AD372" s="392">
        <v>43206</v>
      </c>
      <c r="AE372" s="550"/>
      <c r="AF372" s="392">
        <v>43229</v>
      </c>
      <c r="AG372" s="546">
        <f>AF372-AD372</f>
        <v>23</v>
      </c>
      <c r="AJ372" s="553"/>
    </row>
    <row r="373" spans="1:36" s="218" customFormat="1" ht="14.25" customHeight="1">
      <c r="A373" s="545" t="s">
        <v>715</v>
      </c>
      <c r="B373" s="545" t="s">
        <v>190</v>
      </c>
      <c r="C373" s="386" t="s">
        <v>2835</v>
      </c>
      <c r="D373" s="386">
        <v>43242</v>
      </c>
      <c r="E373" s="392">
        <v>43227</v>
      </c>
      <c r="F373" s="392">
        <v>43227</v>
      </c>
      <c r="G373" s="756"/>
      <c r="H373" s="757"/>
      <c r="I373" s="603">
        <v>43237</v>
      </c>
      <c r="J373" s="603">
        <v>43242</v>
      </c>
      <c r="K373" s="386"/>
      <c r="L373" s="392" t="str">
        <f>TEXT(F373,"mmm-yy")</f>
        <v>May-18</v>
      </c>
      <c r="M373" s="392" t="str">
        <f>TEXT(J373,"mmm-yy")</f>
        <v>May-18</v>
      </c>
      <c r="N373" s="397" t="s">
        <v>2561</v>
      </c>
      <c r="O373" s="418" t="s">
        <v>2558</v>
      </c>
      <c r="P373" s="538">
        <v>789.43</v>
      </c>
      <c r="Q373" s="779"/>
      <c r="R373" s="538">
        <f>SUM(P373:Q373)</f>
        <v>789.43</v>
      </c>
      <c r="S373" s="495">
        <f>R373*1.1</f>
        <v>868.37300000000005</v>
      </c>
      <c r="T373" s="539"/>
      <c r="U373" s="539">
        <v>380.18274999999994</v>
      </c>
      <c r="V373" s="389">
        <f>SUM(T373:U373)</f>
        <v>380.18274999999994</v>
      </c>
      <c r="W373" s="388">
        <f>R373-V373</f>
        <v>409.24725000000001</v>
      </c>
      <c r="X373" s="589">
        <f>W373/R373</f>
        <v>0.51840853527228514</v>
      </c>
      <c r="Y373" s="544"/>
      <c r="Z373" s="536">
        <f>F373+14</f>
        <v>43241</v>
      </c>
      <c r="AA373" s="544"/>
      <c r="AB373" s="393" t="s">
        <v>201</v>
      </c>
      <c r="AC373" s="392">
        <v>43201</v>
      </c>
      <c r="AD373" s="392">
        <v>43208</v>
      </c>
      <c r="AE373" s="689">
        <f>AD373-AC373</f>
        <v>7</v>
      </c>
      <c r="AF373" s="392">
        <v>43231</v>
      </c>
      <c r="AG373" s="546">
        <f>AF373-AD373</f>
        <v>23</v>
      </c>
      <c r="AJ373" s="553"/>
    </row>
    <row r="374" spans="1:36" s="218" customFormat="1" ht="14.25" customHeight="1">
      <c r="A374" s="545" t="s">
        <v>715</v>
      </c>
      <c r="B374" s="545" t="s">
        <v>190</v>
      </c>
      <c r="C374" s="386" t="s">
        <v>2886</v>
      </c>
      <c r="D374" s="386">
        <v>43242</v>
      </c>
      <c r="E374" s="392">
        <v>43223</v>
      </c>
      <c r="F374" s="392">
        <v>43223</v>
      </c>
      <c r="G374" s="756"/>
      <c r="H374" s="757"/>
      <c r="I374" s="603">
        <v>43236</v>
      </c>
      <c r="J374" s="603">
        <v>43242</v>
      </c>
      <c r="K374" s="386"/>
      <c r="L374" s="392" t="str">
        <f>TEXT(F374,"mmm-yy")</f>
        <v>May-18</v>
      </c>
      <c r="M374" s="392" t="str">
        <f>TEXT(J374,"mmm-yy")</f>
        <v>May-18</v>
      </c>
      <c r="N374" s="397" t="s">
        <v>2559</v>
      </c>
      <c r="O374" s="418" t="s">
        <v>458</v>
      </c>
      <c r="P374" s="538">
        <v>7979.71</v>
      </c>
      <c r="Q374" s="776"/>
      <c r="R374" s="538">
        <f>SUM(P374:Q374)</f>
        <v>7979.71</v>
      </c>
      <c r="S374" s="495">
        <f>R374*1.1</f>
        <v>8777.6810000000005</v>
      </c>
      <c r="T374" s="539">
        <v>1203.8</v>
      </c>
      <c r="U374" s="539"/>
      <c r="V374" s="389">
        <f>SUM(T374:U374)</f>
        <v>1203.8</v>
      </c>
      <c r="W374" s="388">
        <f>R374-V374</f>
        <v>6775.91</v>
      </c>
      <c r="X374" s="589">
        <f>W374/R374</f>
        <v>0.84914238737999248</v>
      </c>
      <c r="Y374" s="544"/>
      <c r="Z374" s="536">
        <f>F374+14</f>
        <v>43237</v>
      </c>
      <c r="AA374" s="544"/>
      <c r="AB374" s="393" t="s">
        <v>201</v>
      </c>
      <c r="AC374" s="392">
        <v>43201</v>
      </c>
      <c r="AD374" s="392">
        <v>43208</v>
      </c>
      <c r="AE374" s="689">
        <f>AD374-AC374</f>
        <v>7</v>
      </c>
      <c r="AF374" s="392">
        <v>43235</v>
      </c>
      <c r="AG374" s="546">
        <f>AF374-AD374</f>
        <v>27</v>
      </c>
      <c r="AJ374" s="553"/>
    </row>
    <row r="375" spans="1:36" s="218" customFormat="1" ht="14.25" customHeight="1">
      <c r="A375" s="586" t="s">
        <v>714</v>
      </c>
      <c r="B375" s="545" t="s">
        <v>190</v>
      </c>
      <c r="C375" s="386" t="s">
        <v>3339</v>
      </c>
      <c r="D375" s="386">
        <v>43287</v>
      </c>
      <c r="E375" s="392">
        <v>43271</v>
      </c>
      <c r="F375" s="392">
        <v>43271</v>
      </c>
      <c r="G375" s="603">
        <v>43273</v>
      </c>
      <c r="H375" s="753">
        <v>43267</v>
      </c>
      <c r="I375" s="603">
        <f>F375+14</f>
        <v>43285</v>
      </c>
      <c r="J375" s="603">
        <v>43291</v>
      </c>
      <c r="K375" s="386"/>
      <c r="L375" s="392" t="str">
        <f>TEXT(F375,"mmm-yy")</f>
        <v>Jun-18</v>
      </c>
      <c r="M375" s="392" t="str">
        <f>TEXT(J375,"mmm-yy")</f>
        <v>Jul-18</v>
      </c>
      <c r="N375" s="397" t="s">
        <v>2560</v>
      </c>
      <c r="O375" s="418" t="s">
        <v>385</v>
      </c>
      <c r="P375" s="538">
        <v>1747.53</v>
      </c>
      <c r="Q375" s="538">
        <v>1318.32</v>
      </c>
      <c r="R375" s="538">
        <f>SUM(P375:Q375)</f>
        <v>3065.85</v>
      </c>
      <c r="S375" s="495">
        <f>R375*1.1</f>
        <v>3372.4349999999999</v>
      </c>
      <c r="T375" s="539">
        <v>490.78</v>
      </c>
      <c r="U375" s="539"/>
      <c r="V375" s="389">
        <f>SUM(T375:U375)</f>
        <v>490.78</v>
      </c>
      <c r="W375" s="388">
        <f>R375-V375</f>
        <v>2575.0699999999997</v>
      </c>
      <c r="X375" s="589">
        <f>W375/R375</f>
        <v>0.83992041358840119</v>
      </c>
      <c r="Y375" s="544"/>
      <c r="Z375" s="536">
        <f>F375+14</f>
        <v>43285</v>
      </c>
      <c r="AA375" s="544"/>
      <c r="AB375" s="393" t="s">
        <v>201</v>
      </c>
      <c r="AC375" s="392" t="s">
        <v>752</v>
      </c>
      <c r="AD375" s="392">
        <v>43208</v>
      </c>
      <c r="AE375" s="550"/>
      <c r="AF375" s="392">
        <v>43259</v>
      </c>
      <c r="AG375" s="546">
        <f>AF375-AD375</f>
        <v>51</v>
      </c>
      <c r="AJ375" s="553"/>
    </row>
    <row r="376" spans="1:36" s="218" customFormat="1" ht="14.25" customHeight="1">
      <c r="A376" s="545" t="s">
        <v>715</v>
      </c>
      <c r="B376" s="545" t="s">
        <v>190</v>
      </c>
      <c r="C376" s="386"/>
      <c r="D376" s="386"/>
      <c r="E376" s="392"/>
      <c r="F376" s="392">
        <v>43342</v>
      </c>
      <c r="G376" s="601"/>
      <c r="H376" s="752"/>
      <c r="I376" s="601"/>
      <c r="J376" s="601"/>
      <c r="K376" s="386"/>
      <c r="L376" s="392" t="str">
        <f>TEXT(F376,"mmm-yy")</f>
        <v>Aug-18</v>
      </c>
      <c r="M376" s="392" t="str">
        <f>TEXT(J376,"mmm-yy")</f>
        <v>Jan-00</v>
      </c>
      <c r="N376" s="397" t="s">
        <v>3171</v>
      </c>
      <c r="O376" s="418" t="s">
        <v>2530</v>
      </c>
      <c r="P376" s="538">
        <v>41413.659642857143</v>
      </c>
      <c r="Q376" s="538"/>
      <c r="R376" s="538">
        <f>SUM(P376:Q376)</f>
        <v>41413.659642857143</v>
      </c>
      <c r="S376" s="495">
        <f>R376*1.1</f>
        <v>45555.025607142859</v>
      </c>
      <c r="T376" s="539"/>
      <c r="U376" s="539"/>
      <c r="V376" s="389">
        <f>SUM(T376:U376)</f>
        <v>0</v>
      </c>
      <c r="W376" s="388">
        <f>R376-V376</f>
        <v>41413.659642857143</v>
      </c>
      <c r="X376" s="589">
        <f>W376/R376</f>
        <v>1</v>
      </c>
      <c r="Y376" s="544"/>
      <c r="Z376" s="536">
        <f>F376+14</f>
        <v>43356</v>
      </c>
      <c r="AA376" s="544"/>
      <c r="AB376" s="393" t="s">
        <v>201</v>
      </c>
      <c r="AC376" s="392">
        <v>43200</v>
      </c>
      <c r="AD376" s="392">
        <v>43209</v>
      </c>
      <c r="AE376" s="689">
        <f>AD376-AC376</f>
        <v>9</v>
      </c>
      <c r="AF376" s="392">
        <v>43231</v>
      </c>
      <c r="AG376" s="546">
        <f>AF376-AD376</f>
        <v>22</v>
      </c>
      <c r="AJ376" s="553"/>
    </row>
    <row r="377" spans="1:36" s="218" customFormat="1" ht="14.25" customHeight="1">
      <c r="A377" s="586" t="s">
        <v>714</v>
      </c>
      <c r="B377" s="545" t="s">
        <v>190</v>
      </c>
      <c r="C377" s="386"/>
      <c r="D377" s="386"/>
      <c r="E377" s="392"/>
      <c r="F377" s="392">
        <v>43311</v>
      </c>
      <c r="G377" s="658"/>
      <c r="H377" s="658"/>
      <c r="I377" s="601"/>
      <c r="J377" s="601"/>
      <c r="K377" s="386"/>
      <c r="L377" s="392" t="str">
        <f>TEXT(F377,"mmm-yy")</f>
        <v>Jul-18</v>
      </c>
      <c r="M377" s="392" t="str">
        <f>TEXT(J377,"mmm-yy")</f>
        <v>Jan-00</v>
      </c>
      <c r="N377" s="397" t="s">
        <v>2625</v>
      </c>
      <c r="O377" s="418" t="s">
        <v>2574</v>
      </c>
      <c r="P377" s="538">
        <v>585.25</v>
      </c>
      <c r="Q377" s="840"/>
      <c r="R377" s="538">
        <f>SUM(P377:Q377)</f>
        <v>585.25</v>
      </c>
      <c r="S377" s="495">
        <f>R377*1.1</f>
        <v>643.77500000000009</v>
      </c>
      <c r="T377" s="539">
        <v>3140.46</v>
      </c>
      <c r="U377" s="539"/>
      <c r="V377" s="389">
        <f>SUM(T377:U377)</f>
        <v>3140.46</v>
      </c>
      <c r="W377" s="388">
        <f>R377-V377</f>
        <v>-2555.21</v>
      </c>
      <c r="X377" s="589">
        <f>W377/R377</f>
        <v>-4.3660145237078174</v>
      </c>
      <c r="Y377" s="544"/>
      <c r="Z377" s="536">
        <f>F377+14</f>
        <v>43325</v>
      </c>
      <c r="AA377" s="544"/>
      <c r="AB377" s="393" t="s">
        <v>201</v>
      </c>
      <c r="AC377" s="392" t="s">
        <v>752</v>
      </c>
      <c r="AD377" s="392">
        <v>43209</v>
      </c>
      <c r="AE377" s="550"/>
      <c r="AF377" s="392">
        <v>43281</v>
      </c>
      <c r="AG377" s="546">
        <f>AF377-AD377</f>
        <v>72</v>
      </c>
      <c r="AJ377" s="553"/>
    </row>
    <row r="378" spans="1:36" s="218" customFormat="1" ht="14.25" customHeight="1">
      <c r="A378" s="586" t="s">
        <v>714</v>
      </c>
      <c r="B378" s="545" t="s">
        <v>190</v>
      </c>
      <c r="C378" s="386" t="s">
        <v>2884</v>
      </c>
      <c r="D378" s="386">
        <v>43242</v>
      </c>
      <c r="E378" s="392">
        <v>43224</v>
      </c>
      <c r="F378" s="392">
        <v>43224</v>
      </c>
      <c r="G378" s="603">
        <v>43230</v>
      </c>
      <c r="H378" s="753">
        <v>43234</v>
      </c>
      <c r="I378" s="603">
        <f>F378+14</f>
        <v>43238</v>
      </c>
      <c r="J378" s="603">
        <v>43242</v>
      </c>
      <c r="K378" s="386"/>
      <c r="L378" s="392" t="str">
        <f>TEXT(F378,"mmm-yy")</f>
        <v>May-18</v>
      </c>
      <c r="M378" s="392" t="str">
        <f>TEXT(J378,"mmm-yy")</f>
        <v>May-18</v>
      </c>
      <c r="N378" s="397" t="s">
        <v>2575</v>
      </c>
      <c r="O378" s="418" t="s">
        <v>254</v>
      </c>
      <c r="P378" s="538">
        <v>410.89</v>
      </c>
      <c r="Q378" s="538">
        <v>4035.277</v>
      </c>
      <c r="R378" s="538">
        <f>SUM(P378:Q378)</f>
        <v>4446.1670000000004</v>
      </c>
      <c r="S378" s="495">
        <f>R378*1.1</f>
        <v>4890.7837000000009</v>
      </c>
      <c r="T378" s="539"/>
      <c r="U378" s="539"/>
      <c r="V378" s="389">
        <f>SUM(T378:U378)</f>
        <v>0</v>
      </c>
      <c r="W378" s="388">
        <f>R378-V378</f>
        <v>4446.1670000000004</v>
      </c>
      <c r="X378" s="589">
        <f>W378/R378</f>
        <v>1</v>
      </c>
      <c r="Y378" s="544"/>
      <c r="Z378" s="536">
        <f>F378+14</f>
        <v>43238</v>
      </c>
      <c r="AA378" s="544"/>
      <c r="AB378" s="393" t="s">
        <v>201</v>
      </c>
      <c r="AC378" s="392" t="s">
        <v>752</v>
      </c>
      <c r="AD378" s="392">
        <v>43209</v>
      </c>
      <c r="AE378" s="550"/>
      <c r="AF378" s="392">
        <v>43258</v>
      </c>
      <c r="AG378" s="546">
        <f>AF378-AD378</f>
        <v>49</v>
      </c>
      <c r="AJ378" s="553"/>
    </row>
    <row r="379" spans="1:36" s="218" customFormat="1" ht="14.25" customHeight="1">
      <c r="A379" s="586" t="s">
        <v>714</v>
      </c>
      <c r="B379" s="545" t="s">
        <v>190</v>
      </c>
      <c r="C379" s="386" t="s">
        <v>3014</v>
      </c>
      <c r="D379" s="386">
        <v>43257</v>
      </c>
      <c r="E379" s="392">
        <v>43234</v>
      </c>
      <c r="F379" s="392">
        <v>43234</v>
      </c>
      <c r="G379" s="603">
        <v>43238</v>
      </c>
      <c r="H379" s="753">
        <v>43250</v>
      </c>
      <c r="I379" s="603">
        <v>43245</v>
      </c>
      <c r="J379" s="603">
        <v>43256</v>
      </c>
      <c r="K379" s="386"/>
      <c r="L379" s="392" t="str">
        <f>TEXT(F379,"mmm-yy")</f>
        <v>May-18</v>
      </c>
      <c r="M379" s="392" t="str">
        <f>TEXT(J379,"mmm-yy")</f>
        <v>Jun-18</v>
      </c>
      <c r="N379" s="397" t="s">
        <v>2626</v>
      </c>
      <c r="O379" s="418" t="s">
        <v>658</v>
      </c>
      <c r="P379" s="538">
        <v>1202.46</v>
      </c>
      <c r="Q379" s="538">
        <v>3353.9829999999997</v>
      </c>
      <c r="R379" s="538">
        <f>SUM(P379:Q379)</f>
        <v>4556.4429999999993</v>
      </c>
      <c r="S379" s="495">
        <f>R379*1.1</f>
        <v>5012.0872999999992</v>
      </c>
      <c r="T379" s="539">
        <v>1225.45</v>
      </c>
      <c r="U379" s="539"/>
      <c r="V379" s="389">
        <f>SUM(T379:U379)</f>
        <v>1225.45</v>
      </c>
      <c r="W379" s="388">
        <f>R379-V379</f>
        <v>3330.9929999999995</v>
      </c>
      <c r="X379" s="589">
        <f>W379/R379</f>
        <v>0.73105117303124389</v>
      </c>
      <c r="Y379" s="544"/>
      <c r="Z379" s="536">
        <f>F379+14</f>
        <v>43248</v>
      </c>
      <c r="AA379" s="544"/>
      <c r="AB379" s="393" t="s">
        <v>201</v>
      </c>
      <c r="AC379" s="392" t="s">
        <v>752</v>
      </c>
      <c r="AD379" s="392">
        <v>43210</v>
      </c>
      <c r="AE379" s="550"/>
      <c r="AF379" s="392">
        <v>43280</v>
      </c>
      <c r="AG379" s="546">
        <f>AF379-AD379</f>
        <v>70</v>
      </c>
      <c r="AJ379" s="553"/>
    </row>
    <row r="380" spans="1:36" s="218" customFormat="1" ht="14.25" customHeight="1">
      <c r="A380" s="586" t="s">
        <v>714</v>
      </c>
      <c r="B380" s="545" t="s">
        <v>190</v>
      </c>
      <c r="C380" s="386"/>
      <c r="D380" s="386"/>
      <c r="E380" s="392"/>
      <c r="F380" s="392">
        <v>42977</v>
      </c>
      <c r="G380" s="658"/>
      <c r="H380" s="658"/>
      <c r="I380" s="601"/>
      <c r="J380" s="601"/>
      <c r="K380" s="386"/>
      <c r="L380" s="392" t="str">
        <f>TEXT(F380,"mmm-yy")</f>
        <v>Aug-17</v>
      </c>
      <c r="M380" s="392" t="str">
        <f>TEXT(J380,"mmm-yy")</f>
        <v>Jan-00</v>
      </c>
      <c r="N380" s="397" t="s">
        <v>2624</v>
      </c>
      <c r="O380" s="418" t="s">
        <v>753</v>
      </c>
      <c r="P380" s="538">
        <v>973.82</v>
      </c>
      <c r="Q380" s="840"/>
      <c r="R380" s="538">
        <f>SUM(P380:Q380)</f>
        <v>973.82</v>
      </c>
      <c r="S380" s="495">
        <f>R380*1.1</f>
        <v>1071.2020000000002</v>
      </c>
      <c r="T380" s="539">
        <v>4453.75</v>
      </c>
      <c r="U380" s="539"/>
      <c r="V380" s="389">
        <f>SUM(T380:U380)</f>
        <v>4453.75</v>
      </c>
      <c r="W380" s="388">
        <f>R380-V380</f>
        <v>-3479.93</v>
      </c>
      <c r="X380" s="589">
        <f>W380/R380</f>
        <v>-3.5734838060421841</v>
      </c>
      <c r="Y380" s="544"/>
      <c r="Z380" s="536">
        <f>F380+14</f>
        <v>42991</v>
      </c>
      <c r="AA380" s="544"/>
      <c r="AB380" s="393" t="s">
        <v>201</v>
      </c>
      <c r="AC380" s="392" t="s">
        <v>752</v>
      </c>
      <c r="AD380" s="392">
        <v>43210</v>
      </c>
      <c r="AE380" s="550"/>
      <c r="AF380" s="392">
        <v>43294</v>
      </c>
      <c r="AG380" s="546">
        <f>AF380-AD380</f>
        <v>84</v>
      </c>
      <c r="AJ380" s="553"/>
    </row>
    <row r="381" spans="1:36" s="218" customFormat="1" ht="14.25" customHeight="1">
      <c r="A381" s="586" t="s">
        <v>714</v>
      </c>
      <c r="B381" s="545" t="s">
        <v>190</v>
      </c>
      <c r="C381" s="386"/>
      <c r="D381" s="386"/>
      <c r="E381" s="392"/>
      <c r="F381" s="392">
        <v>42977</v>
      </c>
      <c r="G381" s="601"/>
      <c r="H381" s="752"/>
      <c r="I381" s="601"/>
      <c r="J381" s="601"/>
      <c r="K381" s="386"/>
      <c r="L381" s="392" t="str">
        <f>TEXT(F381,"mmm-yy")</f>
        <v>Aug-17</v>
      </c>
      <c r="M381" s="392" t="str">
        <f>TEXT(J381,"mmm-yy")</f>
        <v>Jan-00</v>
      </c>
      <c r="N381" s="397" t="s">
        <v>2628</v>
      </c>
      <c r="O381" s="418" t="s">
        <v>254</v>
      </c>
      <c r="P381" s="538">
        <v>5790.01</v>
      </c>
      <c r="Q381" s="538"/>
      <c r="R381" s="538">
        <f>SUM(P381:Q381)</f>
        <v>5790.01</v>
      </c>
      <c r="S381" s="495">
        <f>R381*1.1</f>
        <v>6369.0110000000004</v>
      </c>
      <c r="T381" s="539"/>
      <c r="U381" s="539"/>
      <c r="V381" s="389">
        <f>SUM(T381:U381)</f>
        <v>0</v>
      </c>
      <c r="W381" s="388">
        <f>R381-V381</f>
        <v>5790.01</v>
      </c>
      <c r="X381" s="589">
        <f>W381/R381</f>
        <v>1</v>
      </c>
      <c r="Y381" s="544"/>
      <c r="Z381" s="536">
        <f>F381+14</f>
        <v>42991</v>
      </c>
      <c r="AA381" s="544"/>
      <c r="AB381" s="393" t="s">
        <v>201</v>
      </c>
      <c r="AC381" s="392" t="s">
        <v>752</v>
      </c>
      <c r="AD381" s="392">
        <v>43213</v>
      </c>
      <c r="AE381" s="550"/>
      <c r="AF381" s="392">
        <v>43294</v>
      </c>
      <c r="AG381" s="546">
        <f>AF381-AD381</f>
        <v>81</v>
      </c>
      <c r="AJ381" s="553"/>
    </row>
    <row r="382" spans="1:36" s="218" customFormat="1" ht="14.25" customHeight="1">
      <c r="A382" s="586" t="s">
        <v>714</v>
      </c>
      <c r="B382" s="545" t="s">
        <v>190</v>
      </c>
      <c r="C382" s="386"/>
      <c r="D382" s="386"/>
      <c r="E382" s="392"/>
      <c r="F382" s="392">
        <v>42978</v>
      </c>
      <c r="G382" s="601"/>
      <c r="H382" s="752"/>
      <c r="I382" s="601"/>
      <c r="J382" s="601"/>
      <c r="K382" s="386"/>
      <c r="L382" s="392" t="str">
        <f>TEXT(F382,"mmm-yy")</f>
        <v>Aug-17</v>
      </c>
      <c r="M382" s="392" t="str">
        <f>TEXT(J382,"mmm-yy")</f>
        <v>Jan-00</v>
      </c>
      <c r="N382" s="397" t="s">
        <v>2627</v>
      </c>
      <c r="O382" s="418" t="s">
        <v>408</v>
      </c>
      <c r="P382" s="538">
        <v>1801.74</v>
      </c>
      <c r="Q382" s="538"/>
      <c r="R382" s="538">
        <f>SUM(P382:Q382)</f>
        <v>1801.74</v>
      </c>
      <c r="S382" s="495">
        <f>R382*1.1</f>
        <v>1981.9140000000002</v>
      </c>
      <c r="T382" s="539"/>
      <c r="U382" s="539"/>
      <c r="V382" s="389">
        <f>SUM(T382:U382)</f>
        <v>0</v>
      </c>
      <c r="W382" s="388">
        <f>R382-V382</f>
        <v>1801.74</v>
      </c>
      <c r="X382" s="589">
        <f>W382/R382</f>
        <v>1</v>
      </c>
      <c r="Y382" s="544"/>
      <c r="Z382" s="536">
        <f>F382+14</f>
        <v>42992</v>
      </c>
      <c r="AA382" s="544"/>
      <c r="AB382" s="393" t="s">
        <v>201</v>
      </c>
      <c r="AC382" s="392" t="s">
        <v>752</v>
      </c>
      <c r="AD382" s="392">
        <v>43213</v>
      </c>
      <c r="AE382" s="550"/>
      <c r="AF382" s="392">
        <v>43304</v>
      </c>
      <c r="AG382" s="546">
        <f>AF382-AD382</f>
        <v>91</v>
      </c>
      <c r="AJ382" s="553"/>
    </row>
    <row r="383" spans="1:36" s="218" customFormat="1" ht="14.25" customHeight="1">
      <c r="A383" s="586" t="s">
        <v>714</v>
      </c>
      <c r="B383" s="545" t="s">
        <v>190</v>
      </c>
      <c r="C383" s="386" t="s">
        <v>3302</v>
      </c>
      <c r="D383" s="386">
        <v>43287</v>
      </c>
      <c r="E383" s="392">
        <v>43265</v>
      </c>
      <c r="F383" s="392">
        <v>43265</v>
      </c>
      <c r="G383" s="603">
        <v>43266</v>
      </c>
      <c r="H383" s="753">
        <v>43278</v>
      </c>
      <c r="I383" s="603">
        <v>43279</v>
      </c>
      <c r="J383" s="603">
        <v>43286</v>
      </c>
      <c r="K383" s="386"/>
      <c r="L383" s="392" t="str">
        <f>TEXT(F383,"mmm-yy")</f>
        <v>Jun-18</v>
      </c>
      <c r="M383" s="392" t="str">
        <f>TEXT(J383,"mmm-yy")</f>
        <v>Jul-18</v>
      </c>
      <c r="N383" s="397" t="s">
        <v>2629</v>
      </c>
      <c r="O383" s="418" t="s">
        <v>702</v>
      </c>
      <c r="P383" s="538">
        <v>7615.85</v>
      </c>
      <c r="Q383" s="538">
        <v>1488.4099999999999</v>
      </c>
      <c r="R383" s="538">
        <f>SUM(P383:Q383)</f>
        <v>9104.26</v>
      </c>
      <c r="S383" s="495">
        <f>R383*1.1</f>
        <v>10014.686000000002</v>
      </c>
      <c r="T383" s="539"/>
      <c r="U383" s="539"/>
      <c r="V383" s="389">
        <f>SUM(T383:U383)</f>
        <v>0</v>
      </c>
      <c r="W383" s="388">
        <f>R383-V383</f>
        <v>9104.26</v>
      </c>
      <c r="X383" s="589">
        <f>W383/R383</f>
        <v>1</v>
      </c>
      <c r="Y383" s="544"/>
      <c r="Z383" s="536">
        <f>F383+14</f>
        <v>43279</v>
      </c>
      <c r="AA383" s="544"/>
      <c r="AB383" s="393" t="s">
        <v>220</v>
      </c>
      <c r="AC383" s="392">
        <v>43206</v>
      </c>
      <c r="AD383" s="392">
        <v>43213</v>
      </c>
      <c r="AE383" s="689">
        <f>AD383-AC383</f>
        <v>7</v>
      </c>
      <c r="AF383" s="392">
        <v>43235</v>
      </c>
      <c r="AG383" s="546">
        <f>AF383-AD383</f>
        <v>22</v>
      </c>
      <c r="AJ383" s="553"/>
    </row>
    <row r="384" spans="1:36" s="218" customFormat="1" ht="14.25" customHeight="1">
      <c r="A384" s="586" t="s">
        <v>2331</v>
      </c>
      <c r="B384" s="545" t="s">
        <v>540</v>
      </c>
      <c r="C384" s="386" t="s">
        <v>2641</v>
      </c>
      <c r="D384" s="386">
        <v>43214</v>
      </c>
      <c r="E384" s="392">
        <v>43213</v>
      </c>
      <c r="F384" s="392">
        <v>43213</v>
      </c>
      <c r="G384" s="756"/>
      <c r="H384" s="757"/>
      <c r="I384" s="756"/>
      <c r="J384" s="576">
        <v>43242</v>
      </c>
      <c r="K384" s="386"/>
      <c r="L384" s="392" t="str">
        <f>TEXT(F384,"mmm-yy")</f>
        <v>Apr-18</v>
      </c>
      <c r="M384" s="392" t="str">
        <f>TEXT(J384,"mmm-yy")</f>
        <v>May-18</v>
      </c>
      <c r="N384" s="397" t="s">
        <v>2764</v>
      </c>
      <c r="O384" s="418" t="s">
        <v>1211</v>
      </c>
      <c r="P384" s="538">
        <v>1530.4699999999998</v>
      </c>
      <c r="Q384" s="700"/>
      <c r="R384" s="538">
        <f>SUM(P384:Q384)</f>
        <v>1530.4699999999998</v>
      </c>
      <c r="S384" s="495">
        <f>R384*1.1</f>
        <v>1683.5169999999998</v>
      </c>
      <c r="T384" s="539"/>
      <c r="U384" s="539">
        <f>10.5*41.14</f>
        <v>431.97</v>
      </c>
      <c r="V384" s="389">
        <f>SUM(T384:U384)</f>
        <v>431.97</v>
      </c>
      <c r="W384" s="388">
        <f>R384-V384</f>
        <v>1098.4999999999998</v>
      </c>
      <c r="X384" s="589">
        <f>W384/R384</f>
        <v>0.71775336987984073</v>
      </c>
      <c r="Y384" s="544"/>
      <c r="Z384" s="536">
        <f>F384+14</f>
        <v>43227</v>
      </c>
      <c r="AA384" s="544"/>
      <c r="AB384" s="393" t="s">
        <v>2209</v>
      </c>
      <c r="AC384" s="691"/>
      <c r="AD384" s="691"/>
      <c r="AE384" s="692"/>
      <c r="AF384" s="691"/>
      <c r="AG384" s="693"/>
      <c r="AJ384" s="553"/>
    </row>
    <row r="385" spans="1:36" s="218" customFormat="1" ht="14.25" customHeight="1">
      <c r="A385" s="586" t="s">
        <v>2331</v>
      </c>
      <c r="B385" s="545" t="s">
        <v>540</v>
      </c>
      <c r="C385" s="386" t="s">
        <v>2646</v>
      </c>
      <c r="D385" s="386">
        <v>43214</v>
      </c>
      <c r="E385" s="392">
        <v>43213</v>
      </c>
      <c r="F385" s="392">
        <v>43213</v>
      </c>
      <c r="G385" s="756"/>
      <c r="H385" s="757"/>
      <c r="I385" s="756"/>
      <c r="J385" s="601"/>
      <c r="K385" s="386"/>
      <c r="L385" s="392" t="str">
        <f>TEXT(F385,"mmm-yy")</f>
        <v>Apr-18</v>
      </c>
      <c r="M385" s="392" t="str">
        <f>TEXT(J385,"mmm-yy")</f>
        <v>Jan-00</v>
      </c>
      <c r="N385" s="397" t="s">
        <v>2642</v>
      </c>
      <c r="O385" s="418" t="s">
        <v>2643</v>
      </c>
      <c r="P385" s="538">
        <v>1153.2599999999998</v>
      </c>
      <c r="Q385" s="700"/>
      <c r="R385" s="538">
        <f>SUM(P385:Q385)</f>
        <v>1153.2599999999998</v>
      </c>
      <c r="S385" s="495">
        <f>R385*1.1</f>
        <v>1268.5859999999998</v>
      </c>
      <c r="T385" s="539"/>
      <c r="U385" s="539">
        <f>8*41.14</f>
        <v>329.12</v>
      </c>
      <c r="V385" s="389">
        <f>SUM(T385:U385)</f>
        <v>329.12</v>
      </c>
      <c r="W385" s="388">
        <f>R385-V385</f>
        <v>824.13999999999976</v>
      </c>
      <c r="X385" s="589">
        <f>W385/R385</f>
        <v>0.71461769245443341</v>
      </c>
      <c r="Y385" s="544"/>
      <c r="Z385" s="536">
        <f>F385+14</f>
        <v>43227</v>
      </c>
      <c r="AA385" s="544"/>
      <c r="AB385" s="393" t="s">
        <v>2209</v>
      </c>
      <c r="AC385" s="691"/>
      <c r="AD385" s="691"/>
      <c r="AE385" s="692"/>
      <c r="AF385" s="691"/>
      <c r="AG385" s="693"/>
      <c r="AJ385" s="553"/>
    </row>
    <row r="386" spans="1:36" s="218" customFormat="1" ht="14.25" customHeight="1">
      <c r="A386" s="586" t="s">
        <v>2330</v>
      </c>
      <c r="B386" s="545" t="s">
        <v>540</v>
      </c>
      <c r="C386" s="386" t="s">
        <v>2650</v>
      </c>
      <c r="D386" s="386">
        <v>43214</v>
      </c>
      <c r="E386" s="392">
        <v>43195</v>
      </c>
      <c r="F386" s="392">
        <v>43195</v>
      </c>
      <c r="G386" s="756"/>
      <c r="H386" s="757"/>
      <c r="I386" s="756"/>
      <c r="J386" s="576">
        <v>43258</v>
      </c>
      <c r="K386" s="386"/>
      <c r="L386" s="392" t="str">
        <f>TEXT(F386,"mmm-yy")</f>
        <v>Apr-18</v>
      </c>
      <c r="M386" s="392" t="str">
        <f>TEXT(J386,"mmm-yy")</f>
        <v>Jun-18</v>
      </c>
      <c r="N386" s="397" t="s">
        <v>2644</v>
      </c>
      <c r="O386" s="418" t="s">
        <v>2645</v>
      </c>
      <c r="P386" s="538">
        <v>4275.79</v>
      </c>
      <c r="Q386" s="700"/>
      <c r="R386" s="538">
        <f>SUM(P386:Q386)</f>
        <v>4275.79</v>
      </c>
      <c r="S386" s="495">
        <f>R386*1.1</f>
        <v>4703.3690000000006</v>
      </c>
      <c r="T386" s="539">
        <v>1736</v>
      </c>
      <c r="U386" s="539">
        <f>17.5*50</f>
        <v>875</v>
      </c>
      <c r="V386" s="389">
        <f>SUM(T386:U386)</f>
        <v>2611</v>
      </c>
      <c r="W386" s="388">
        <f>R386-V386</f>
        <v>1664.79</v>
      </c>
      <c r="X386" s="589">
        <f>W386/R386</f>
        <v>0.38935261086255407</v>
      </c>
      <c r="Y386" s="544"/>
      <c r="Z386" s="536">
        <f>F386+14</f>
        <v>43209</v>
      </c>
      <c r="AA386" s="544"/>
      <c r="AB386" s="393" t="s">
        <v>2209</v>
      </c>
      <c r="AC386" s="691"/>
      <c r="AD386" s="691"/>
      <c r="AE386" s="692"/>
      <c r="AF386" s="691"/>
      <c r="AG386" s="693"/>
      <c r="AJ386" s="553"/>
    </row>
    <row r="387" spans="1:36" s="218" customFormat="1" ht="14.25" customHeight="1">
      <c r="A387" s="586" t="s">
        <v>2330</v>
      </c>
      <c r="B387" s="545" t="s">
        <v>540</v>
      </c>
      <c r="C387" s="386" t="s">
        <v>2649</v>
      </c>
      <c r="D387" s="386">
        <v>43214</v>
      </c>
      <c r="E387" s="392">
        <v>43188</v>
      </c>
      <c r="F387" s="392">
        <v>43188</v>
      </c>
      <c r="G387" s="756"/>
      <c r="H387" s="757"/>
      <c r="I387" s="756"/>
      <c r="J387" s="576">
        <v>43242</v>
      </c>
      <c r="K387" s="386"/>
      <c r="L387" s="392" t="str">
        <f>TEXT(F387,"mmm-yy")</f>
        <v>Mar-18</v>
      </c>
      <c r="M387" s="392" t="str">
        <f>TEXT(J387,"mmm-yy")</f>
        <v>May-18</v>
      </c>
      <c r="N387" s="397" t="s">
        <v>2771</v>
      </c>
      <c r="O387" s="418" t="s">
        <v>2344</v>
      </c>
      <c r="P387" s="538">
        <v>1576.87</v>
      </c>
      <c r="Q387" s="700"/>
      <c r="R387" s="538">
        <f>SUM(P387:Q387)</f>
        <v>1576.87</v>
      </c>
      <c r="S387" s="495">
        <f>R387*1.1</f>
        <v>1734.557</v>
      </c>
      <c r="T387" s="539"/>
      <c r="U387" s="539">
        <f>9.5*50</f>
        <v>475</v>
      </c>
      <c r="V387" s="389">
        <f>SUM(T387:U387)</f>
        <v>475</v>
      </c>
      <c r="W387" s="388">
        <f>R387-V387</f>
        <v>1101.8699999999999</v>
      </c>
      <c r="X387" s="589">
        <f>W387/R387</f>
        <v>0.69877034885564437</v>
      </c>
      <c r="Y387" s="544"/>
      <c r="Z387" s="536">
        <f>F387+14</f>
        <v>43202</v>
      </c>
      <c r="AA387" s="544"/>
      <c r="AB387" s="393" t="s">
        <v>2209</v>
      </c>
      <c r="AC387" s="691"/>
      <c r="AD387" s="691"/>
      <c r="AE387" s="692"/>
      <c r="AF387" s="691"/>
      <c r="AG387" s="693"/>
      <c r="AJ387" s="553"/>
    </row>
    <row r="388" spans="1:36" s="218" customFormat="1" ht="14.25" customHeight="1">
      <c r="A388" s="586" t="s">
        <v>2330</v>
      </c>
      <c r="B388" s="545" t="s">
        <v>540</v>
      </c>
      <c r="C388" s="386" t="s">
        <v>2651</v>
      </c>
      <c r="D388" s="386">
        <v>43214</v>
      </c>
      <c r="E388" s="392">
        <v>43185</v>
      </c>
      <c r="F388" s="392">
        <v>43185</v>
      </c>
      <c r="G388" s="756"/>
      <c r="H388" s="757"/>
      <c r="I388" s="756"/>
      <c r="J388" s="601"/>
      <c r="K388" s="386"/>
      <c r="L388" s="392" t="str">
        <f>TEXT(F388,"mmm-yy")</f>
        <v>Mar-18</v>
      </c>
      <c r="M388" s="392" t="str">
        <f>TEXT(J388,"mmm-yy")</f>
        <v>Jan-00</v>
      </c>
      <c r="N388" s="397" t="s">
        <v>2647</v>
      </c>
      <c r="O388" s="418" t="s">
        <v>2648</v>
      </c>
      <c r="P388" s="538">
        <v>896.9799999999999</v>
      </c>
      <c r="Q388" s="700"/>
      <c r="R388" s="538">
        <f>SUM(P388:Q388)</f>
        <v>896.9799999999999</v>
      </c>
      <c r="S388" s="495">
        <f>R388*1.1</f>
        <v>986.678</v>
      </c>
      <c r="T388" s="539"/>
      <c r="U388" s="539">
        <f>6*50</f>
        <v>300</v>
      </c>
      <c r="V388" s="389">
        <f>SUM(T388:U388)</f>
        <v>300</v>
      </c>
      <c r="W388" s="388">
        <f>R388-V388</f>
        <v>596.9799999999999</v>
      </c>
      <c r="X388" s="589">
        <f>W388/R388</f>
        <v>0.66554438226047397</v>
      </c>
      <c r="Y388" s="544"/>
      <c r="Z388" s="536">
        <f>F388+14</f>
        <v>43199</v>
      </c>
      <c r="AA388" s="544"/>
      <c r="AB388" s="393" t="s">
        <v>2209</v>
      </c>
      <c r="AC388" s="691"/>
      <c r="AD388" s="691"/>
      <c r="AE388" s="692"/>
      <c r="AF388" s="691"/>
      <c r="AG388" s="693"/>
      <c r="AJ388" s="553"/>
    </row>
    <row r="389" spans="1:36" s="218" customFormat="1" ht="14.25" customHeight="1">
      <c r="A389" s="586" t="s">
        <v>714</v>
      </c>
      <c r="B389" s="545" t="s">
        <v>190</v>
      </c>
      <c r="C389" s="386" t="s">
        <v>3187</v>
      </c>
      <c r="D389" s="386">
        <v>43278</v>
      </c>
      <c r="E389" s="392">
        <v>43258</v>
      </c>
      <c r="F389" s="392">
        <v>43258</v>
      </c>
      <c r="G389" s="603">
        <v>43265</v>
      </c>
      <c r="H389" s="753">
        <v>43272</v>
      </c>
      <c r="I389" s="603">
        <f>F389+14</f>
        <v>43272</v>
      </c>
      <c r="J389" s="603">
        <v>43279</v>
      </c>
      <c r="K389" s="386"/>
      <c r="L389" s="392" t="str">
        <f>TEXT(F389,"mmm-yy")</f>
        <v>Jun-18</v>
      </c>
      <c r="M389" s="392" t="str">
        <f>TEXT(J389,"mmm-yy")</f>
        <v>Jun-18</v>
      </c>
      <c r="N389" s="397" t="s">
        <v>2652</v>
      </c>
      <c r="O389" s="418" t="s">
        <v>491</v>
      </c>
      <c r="P389" s="538">
        <v>874.86</v>
      </c>
      <c r="Q389" s="538">
        <v>4861.0450000000001</v>
      </c>
      <c r="R389" s="538">
        <f>SUM(P389:Q389)</f>
        <v>5735.9049999999997</v>
      </c>
      <c r="S389" s="495">
        <f>R389*1.1</f>
        <v>6309.4955</v>
      </c>
      <c r="T389" s="539"/>
      <c r="U389" s="539">
        <v>1211.9632499999998</v>
      </c>
      <c r="V389" s="389">
        <f>SUM(T389:U389)</f>
        <v>1211.9632499999998</v>
      </c>
      <c r="W389" s="388">
        <f>R389-V389</f>
        <v>4523.94175</v>
      </c>
      <c r="X389" s="589">
        <f>W389/R389</f>
        <v>0.78870583630656366</v>
      </c>
      <c r="Y389" s="544"/>
      <c r="Z389" s="536">
        <f>F389+14</f>
        <v>43272</v>
      </c>
      <c r="AA389" s="544"/>
      <c r="AB389" s="393" t="s">
        <v>201</v>
      </c>
      <c r="AC389" s="392" t="s">
        <v>752</v>
      </c>
      <c r="AD389" s="392">
        <v>43214</v>
      </c>
      <c r="AE389" s="550"/>
      <c r="AF389" s="392">
        <v>43280</v>
      </c>
      <c r="AG389" s="546">
        <f>AF389-AD389</f>
        <v>66</v>
      </c>
      <c r="AJ389" s="553"/>
    </row>
    <row r="390" spans="1:36" s="218" customFormat="1" ht="14.25" customHeight="1">
      <c r="A390" s="586" t="s">
        <v>2690</v>
      </c>
      <c r="B390" s="545" t="s">
        <v>190</v>
      </c>
      <c r="C390" s="386"/>
      <c r="D390" s="386"/>
      <c r="E390" s="392">
        <v>43258</v>
      </c>
      <c r="F390" s="392">
        <v>43258</v>
      </c>
      <c r="G390" s="756"/>
      <c r="H390" s="757"/>
      <c r="I390" s="601">
        <f>F390+14</f>
        <v>43272</v>
      </c>
      <c r="J390" s="601">
        <f>I390+14</f>
        <v>43286</v>
      </c>
      <c r="K390" s="386"/>
      <c r="L390" s="392" t="str">
        <f>TEXT(F390,"mmm-yy")</f>
        <v>Jun-18</v>
      </c>
      <c r="M390" s="392" t="str">
        <f>TEXT(J390,"mmm-yy")</f>
        <v>Jul-18</v>
      </c>
      <c r="N390" s="397" t="s">
        <v>2653</v>
      </c>
      <c r="O390" s="418" t="s">
        <v>2661</v>
      </c>
      <c r="P390" s="538">
        <v>139911.24315249996</v>
      </c>
      <c r="Q390" s="776"/>
      <c r="R390" s="538">
        <f>SUM(P390:Q390)</f>
        <v>139911.24315249996</v>
      </c>
      <c r="S390" s="495">
        <f>R390*1.1</f>
        <v>153902.36746774995</v>
      </c>
      <c r="T390" s="409">
        <v>101277.7</v>
      </c>
      <c r="U390" s="539"/>
      <c r="V390" s="389">
        <f>SUM(T390:U390)</f>
        <v>101277.7</v>
      </c>
      <c r="W390" s="388">
        <f>R390-V390</f>
        <v>38633.543152499959</v>
      </c>
      <c r="X390" s="589">
        <f>W390/R390</f>
        <v>0.27612893919032871</v>
      </c>
      <c r="Y390" s="544"/>
      <c r="Z390" s="536">
        <f>F390+14</f>
        <v>43272</v>
      </c>
      <c r="AA390" s="544"/>
      <c r="AB390" s="393" t="s">
        <v>2671</v>
      </c>
      <c r="AC390" s="392" t="s">
        <v>752</v>
      </c>
      <c r="AD390" s="392">
        <v>43210</v>
      </c>
      <c r="AE390" s="550"/>
      <c r="AF390" s="392">
        <v>43257</v>
      </c>
      <c r="AG390" s="546">
        <f>AF390-AD390</f>
        <v>47</v>
      </c>
      <c r="AJ390" s="553"/>
    </row>
    <row r="391" spans="1:36" s="218" customFormat="1" ht="14.25" customHeight="1">
      <c r="A391" s="586" t="s">
        <v>2690</v>
      </c>
      <c r="B391" s="545" t="s">
        <v>190</v>
      </c>
      <c r="C391" s="386" t="s">
        <v>2853</v>
      </c>
      <c r="D391" s="386">
        <v>43230</v>
      </c>
      <c r="E391" s="392">
        <v>43217</v>
      </c>
      <c r="F391" s="392">
        <v>43217</v>
      </c>
      <c r="G391" s="667">
        <v>43223</v>
      </c>
      <c r="H391" s="754">
        <v>43227</v>
      </c>
      <c r="I391" s="603">
        <f>F391+14</f>
        <v>43231</v>
      </c>
      <c r="J391" s="577">
        <v>43259</v>
      </c>
      <c r="K391" s="386"/>
      <c r="L391" s="392" t="str">
        <f>TEXT(F391,"mmm-yy")</f>
        <v>Apr-18</v>
      </c>
      <c r="M391" s="392" t="str">
        <f>TEXT(J391,"mmm-yy")</f>
        <v>Jun-18</v>
      </c>
      <c r="N391" s="397" t="s">
        <v>2654</v>
      </c>
      <c r="O391" s="418" t="s">
        <v>2395</v>
      </c>
      <c r="P391" s="538">
        <v>34899.440000000002</v>
      </c>
      <c r="Q391" s="776"/>
      <c r="R391" s="538">
        <f>SUM(P391:Q391)</f>
        <v>34899.440000000002</v>
      </c>
      <c r="S391" s="495">
        <f>R391*1.1</f>
        <v>38389.384000000005</v>
      </c>
      <c r="T391" s="539">
        <v>25151.94</v>
      </c>
      <c r="U391" s="539"/>
      <c r="V391" s="389">
        <f>SUM(T391:U391)</f>
        <v>25151.94</v>
      </c>
      <c r="W391" s="389">
        <f>R391-V391</f>
        <v>9747.5000000000036</v>
      </c>
      <c r="X391" s="589">
        <f>W391/R391</f>
        <v>0.2793024759136537</v>
      </c>
      <c r="Y391" s="544"/>
      <c r="Z391" s="536">
        <f>F391+14</f>
        <v>43231</v>
      </c>
      <c r="AA391" s="544"/>
      <c r="AB391" s="393" t="s">
        <v>2671</v>
      </c>
      <c r="AC391" s="392" t="s">
        <v>752</v>
      </c>
      <c r="AD391" s="392">
        <v>43195</v>
      </c>
      <c r="AE391" s="550"/>
      <c r="AF391" s="614">
        <v>43217</v>
      </c>
      <c r="AG391" s="546">
        <f>AF391-AD391</f>
        <v>22</v>
      </c>
      <c r="AJ391" s="553"/>
    </row>
    <row r="392" spans="1:36" s="218" customFormat="1" ht="14.25" customHeight="1">
      <c r="A392" s="586" t="s">
        <v>2690</v>
      </c>
      <c r="B392" s="545" t="s">
        <v>190</v>
      </c>
      <c r="C392" s="386" t="s">
        <v>2854</v>
      </c>
      <c r="D392" s="386">
        <v>43230</v>
      </c>
      <c r="E392" s="392">
        <v>43217</v>
      </c>
      <c r="F392" s="392">
        <v>43217</v>
      </c>
      <c r="G392" s="667">
        <v>43223</v>
      </c>
      <c r="H392" s="754">
        <v>43228</v>
      </c>
      <c r="I392" s="603">
        <f>F392+14</f>
        <v>43231</v>
      </c>
      <c r="J392" s="577">
        <v>43259</v>
      </c>
      <c r="K392" s="386"/>
      <c r="L392" s="392" t="str">
        <f>TEXT(F392,"mmm-yy")</f>
        <v>Apr-18</v>
      </c>
      <c r="M392" s="392" t="str">
        <f>TEXT(J392,"mmm-yy")</f>
        <v>Jun-18</v>
      </c>
      <c r="N392" s="397" t="s">
        <v>2655</v>
      </c>
      <c r="O392" s="418" t="s">
        <v>687</v>
      </c>
      <c r="P392" s="538">
        <v>30368.89</v>
      </c>
      <c r="Q392" s="776"/>
      <c r="R392" s="538">
        <f>SUM(P392:Q392)</f>
        <v>30368.89</v>
      </c>
      <c r="S392" s="495">
        <f>R392*1.1</f>
        <v>33405.779000000002</v>
      </c>
      <c r="T392" s="539">
        <v>15394.18</v>
      </c>
      <c r="U392" s="539"/>
      <c r="V392" s="389">
        <f>SUM(T392:U392)</f>
        <v>15394.18</v>
      </c>
      <c r="W392" s="388">
        <f>R392-V392</f>
        <v>14974.71</v>
      </c>
      <c r="X392" s="589">
        <f>W392/R392</f>
        <v>0.49309375482607365</v>
      </c>
      <c r="Y392" s="544"/>
      <c r="Z392" s="536">
        <f>F392+14</f>
        <v>43231</v>
      </c>
      <c r="AA392" s="544"/>
      <c r="AB392" s="393" t="s">
        <v>2671</v>
      </c>
      <c r="AC392" s="392" t="s">
        <v>752</v>
      </c>
      <c r="AD392" s="392">
        <v>43195</v>
      </c>
      <c r="AE392" s="550"/>
      <c r="AF392" s="719">
        <v>43210</v>
      </c>
      <c r="AG392" s="546">
        <f>AF392-AD392</f>
        <v>15</v>
      </c>
      <c r="AJ392" s="553"/>
    </row>
    <row r="393" spans="1:36" s="218" customFormat="1" ht="14.25" customHeight="1">
      <c r="A393" s="586" t="s">
        <v>2690</v>
      </c>
      <c r="B393" s="545" t="s">
        <v>190</v>
      </c>
      <c r="C393" s="386" t="s">
        <v>3081</v>
      </c>
      <c r="D393" s="386">
        <v>43269</v>
      </c>
      <c r="E393" s="392">
        <v>43252</v>
      </c>
      <c r="F393" s="392">
        <v>43252</v>
      </c>
      <c r="G393" s="737">
        <v>43257</v>
      </c>
      <c r="H393" s="738">
        <v>43264</v>
      </c>
      <c r="I393" s="603">
        <f>F393+14</f>
        <v>43266</v>
      </c>
      <c r="J393" s="601">
        <f>I393+14</f>
        <v>43280</v>
      </c>
      <c r="K393" s="386"/>
      <c r="L393" s="392" t="str">
        <f>TEXT(F393,"mmm-yy")</f>
        <v>Jun-18</v>
      </c>
      <c r="M393" s="392" t="str">
        <f>TEXT(J393,"mmm-yy")</f>
        <v>Jun-18</v>
      </c>
      <c r="N393" s="397" t="s">
        <v>2656</v>
      </c>
      <c r="O393" s="418" t="s">
        <v>2662</v>
      </c>
      <c r="P393" s="538">
        <v>40799.910000000003</v>
      </c>
      <c r="Q393" s="776"/>
      <c r="R393" s="538">
        <f>SUM(P393:Q393)</f>
        <v>40799.910000000003</v>
      </c>
      <c r="S393" s="495">
        <f>R393*1.1</f>
        <v>44879.901000000005</v>
      </c>
      <c r="T393" s="426">
        <v>21000</v>
      </c>
      <c r="U393" s="539"/>
      <c r="V393" s="389">
        <f>SUM(T393:U393)</f>
        <v>21000</v>
      </c>
      <c r="W393" s="388">
        <f>R393-V393</f>
        <v>19799.910000000003</v>
      </c>
      <c r="X393" s="589">
        <f>W393/R393</f>
        <v>0.48529298226393153</v>
      </c>
      <c r="Y393" s="544"/>
      <c r="Z393" s="536">
        <f>F393+14</f>
        <v>43266</v>
      </c>
      <c r="AA393" s="544"/>
      <c r="AB393" s="393" t="s">
        <v>2671</v>
      </c>
      <c r="AC393" s="392" t="s">
        <v>752</v>
      </c>
      <c r="AD393" s="392">
        <v>43208</v>
      </c>
      <c r="AE393" s="550"/>
      <c r="AF393" s="392">
        <v>43242</v>
      </c>
      <c r="AG393" s="546">
        <f>AF393-AD393</f>
        <v>34</v>
      </c>
      <c r="AJ393" s="553"/>
    </row>
    <row r="394" spans="1:36" s="218" customFormat="1" ht="14.25" customHeight="1">
      <c r="A394" s="586" t="s">
        <v>2690</v>
      </c>
      <c r="B394" s="545" t="s">
        <v>190</v>
      </c>
      <c r="C394" s="386" t="s">
        <v>3123</v>
      </c>
      <c r="D394" s="386">
        <v>43243</v>
      </c>
      <c r="E394" s="392">
        <v>43234</v>
      </c>
      <c r="F394" s="392">
        <v>43234</v>
      </c>
      <c r="G394" s="667">
        <v>43238</v>
      </c>
      <c r="H394" s="754">
        <v>43241</v>
      </c>
      <c r="I394" s="603">
        <v>43241</v>
      </c>
      <c r="J394" s="576">
        <v>43259</v>
      </c>
      <c r="K394" s="386"/>
      <c r="L394" s="392" t="str">
        <f>TEXT(F394,"mmm-yy")</f>
        <v>May-18</v>
      </c>
      <c r="M394" s="392" t="str">
        <f>TEXT(J394,"mmm-yy")</f>
        <v>Jun-18</v>
      </c>
      <c r="N394" s="397" t="s">
        <v>2657</v>
      </c>
      <c r="O394" s="418" t="s">
        <v>2663</v>
      </c>
      <c r="P394" s="538">
        <v>1897.3506749999997</v>
      </c>
      <c r="Q394" s="776"/>
      <c r="R394" s="538">
        <f>SUM(P394:Q394)</f>
        <v>1897.3506749999997</v>
      </c>
      <c r="S394" s="495">
        <f>R394*1.1</f>
        <v>2087.0857424999999</v>
      </c>
      <c r="T394" s="539">
        <v>443.04</v>
      </c>
      <c r="U394" s="539">
        <f>30*4+22*4</f>
        <v>208</v>
      </c>
      <c r="V394" s="389">
        <f>SUM(T394:U394)</f>
        <v>651.04</v>
      </c>
      <c r="W394" s="388">
        <f>R394-V394</f>
        <v>1246.3106749999997</v>
      </c>
      <c r="X394" s="589">
        <f>W394/R394</f>
        <v>0.6568689127538323</v>
      </c>
      <c r="Y394" s="544"/>
      <c r="Z394" s="536">
        <f>F394+14</f>
        <v>43248</v>
      </c>
      <c r="AA394" s="544"/>
      <c r="AB394" s="393" t="s">
        <v>2671</v>
      </c>
      <c r="AC394" s="392" t="s">
        <v>752</v>
      </c>
      <c r="AD394" s="392">
        <v>43210</v>
      </c>
      <c r="AE394" s="550"/>
      <c r="AF394" s="392">
        <v>43255</v>
      </c>
      <c r="AG394" s="546">
        <f>AF394-AD394</f>
        <v>45</v>
      </c>
      <c r="AJ394" s="553"/>
    </row>
    <row r="395" spans="1:36" s="218" customFormat="1" ht="14.25" customHeight="1">
      <c r="A395" s="586" t="s">
        <v>2690</v>
      </c>
      <c r="B395" s="545" t="s">
        <v>190</v>
      </c>
      <c r="C395" s="386"/>
      <c r="D395" s="386"/>
      <c r="E395" s="392">
        <v>43242</v>
      </c>
      <c r="F395" s="392">
        <v>43242</v>
      </c>
      <c r="G395" s="756"/>
      <c r="H395" s="756"/>
      <c r="I395" s="601">
        <f>F395+14</f>
        <v>43256</v>
      </c>
      <c r="J395" s="601">
        <f>I395+14</f>
        <v>43270</v>
      </c>
      <c r="K395" s="386"/>
      <c r="L395" s="392" t="str">
        <f>TEXT(F395,"mmm-yy")</f>
        <v>May-18</v>
      </c>
      <c r="M395" s="392" t="str">
        <f>TEXT(J395,"mmm-yy")</f>
        <v>Jun-18</v>
      </c>
      <c r="N395" s="397" t="s">
        <v>2658</v>
      </c>
      <c r="O395" s="418" t="s">
        <v>2664</v>
      </c>
      <c r="P395" s="538">
        <v>46564.38</v>
      </c>
      <c r="Q395" s="776"/>
      <c r="R395" s="538">
        <f>SUM(P395:Q395)</f>
        <v>46564.38</v>
      </c>
      <c r="S395" s="495">
        <f>R395*1.1</f>
        <v>51220.817999999999</v>
      </c>
      <c r="T395" s="539">
        <v>27635.11</v>
      </c>
      <c r="U395" s="539"/>
      <c r="V395" s="389">
        <f>SUM(T395:U395)</f>
        <v>27635.11</v>
      </c>
      <c r="W395" s="388">
        <f>R395-V395</f>
        <v>18929.269999999997</v>
      </c>
      <c r="X395" s="589">
        <f>W395/R395</f>
        <v>0.40651824420297228</v>
      </c>
      <c r="Y395" s="544"/>
      <c r="Z395" s="536">
        <f>F395+14</f>
        <v>43256</v>
      </c>
      <c r="AA395" s="544"/>
      <c r="AB395" s="393" t="s">
        <v>2671</v>
      </c>
      <c r="AC395" s="392" t="s">
        <v>752</v>
      </c>
      <c r="AD395" s="392">
        <v>43195</v>
      </c>
      <c r="AE395" s="550"/>
      <c r="AF395" s="698">
        <v>43202</v>
      </c>
      <c r="AG395" s="546">
        <f>AF395-AD395</f>
        <v>7</v>
      </c>
      <c r="AJ395" s="553"/>
    </row>
    <row r="396" spans="1:36" s="218" customFormat="1" ht="14.25" customHeight="1">
      <c r="A396" s="586" t="s">
        <v>2690</v>
      </c>
      <c r="B396" s="545" t="s">
        <v>190</v>
      </c>
      <c r="C396" s="386"/>
      <c r="D396" s="386"/>
      <c r="E396" s="392">
        <v>43276</v>
      </c>
      <c r="F396" s="392">
        <v>43276</v>
      </c>
      <c r="G396" s="756"/>
      <c r="H396" s="757"/>
      <c r="I396" s="601">
        <f>F396+14</f>
        <v>43290</v>
      </c>
      <c r="J396" s="601">
        <f>I396+14</f>
        <v>43304</v>
      </c>
      <c r="K396" s="386"/>
      <c r="L396" s="392" t="str">
        <f>TEXT(F396,"mmm-yy")</f>
        <v>Jun-18</v>
      </c>
      <c r="M396" s="392" t="str">
        <f>TEXT(J396,"mmm-yy")</f>
        <v>Jul-18</v>
      </c>
      <c r="N396" s="397" t="s">
        <v>2659</v>
      </c>
      <c r="O396" s="418" t="s">
        <v>2664</v>
      </c>
      <c r="P396" s="538">
        <v>30911.409282500004</v>
      </c>
      <c r="Q396" s="776"/>
      <c r="R396" s="538">
        <f>SUM(P396:Q396)</f>
        <v>30911.409282500004</v>
      </c>
      <c r="S396" s="495">
        <f>R396*1.1</f>
        <v>34002.550210750007</v>
      </c>
      <c r="T396" s="539">
        <v>22810.11</v>
      </c>
      <c r="U396" s="539"/>
      <c r="V396" s="389">
        <f>SUM(T396:U396)</f>
        <v>22810.11</v>
      </c>
      <c r="W396" s="388">
        <f>R396-V396</f>
        <v>8101.2992825000038</v>
      </c>
      <c r="X396" s="589">
        <f>W396/R396</f>
        <v>0.26208120142508107</v>
      </c>
      <c r="Y396" s="544"/>
      <c r="Z396" s="536">
        <f>F396+14</f>
        <v>43290</v>
      </c>
      <c r="AA396" s="544"/>
      <c r="AB396" s="393" t="s">
        <v>2671</v>
      </c>
      <c r="AC396" s="392" t="s">
        <v>752</v>
      </c>
      <c r="AD396" s="392">
        <v>43195</v>
      </c>
      <c r="AE396" s="550"/>
      <c r="AF396" s="698">
        <v>43220</v>
      </c>
      <c r="AG396" s="546">
        <f>AF396-AD396</f>
        <v>25</v>
      </c>
      <c r="AJ396" s="553"/>
    </row>
    <row r="397" spans="1:36" s="218" customFormat="1" ht="14.25" customHeight="1">
      <c r="A397" s="586" t="s">
        <v>2690</v>
      </c>
      <c r="B397" s="545" t="s">
        <v>190</v>
      </c>
      <c r="C397" s="386" t="s">
        <v>2855</v>
      </c>
      <c r="D397" s="386">
        <v>43230</v>
      </c>
      <c r="E397" s="392">
        <v>43216</v>
      </c>
      <c r="F397" s="392">
        <v>43216</v>
      </c>
      <c r="G397" s="667">
        <v>43228</v>
      </c>
      <c r="H397" s="754">
        <v>43230</v>
      </c>
      <c r="I397" s="603">
        <f>F397+14</f>
        <v>43230</v>
      </c>
      <c r="J397" s="576">
        <v>43259</v>
      </c>
      <c r="K397" s="386"/>
      <c r="L397" s="392" t="str">
        <f>TEXT(F397,"mmm-yy")</f>
        <v>Apr-18</v>
      </c>
      <c r="M397" s="392" t="str">
        <f>TEXT(J397,"mmm-yy")</f>
        <v>Jun-18</v>
      </c>
      <c r="N397" s="397" t="s">
        <v>2660</v>
      </c>
      <c r="O397" s="418" t="s">
        <v>695</v>
      </c>
      <c r="P397" s="538">
        <v>5918.97</v>
      </c>
      <c r="Q397" s="776"/>
      <c r="R397" s="538">
        <f>SUM(P397:Q397)</f>
        <v>5918.97</v>
      </c>
      <c r="S397" s="495">
        <f>R397*1.1</f>
        <v>6510.8670000000011</v>
      </c>
      <c r="T397" s="539"/>
      <c r="U397" s="426">
        <v>1000</v>
      </c>
      <c r="V397" s="389">
        <f>SUM(T397:U397)</f>
        <v>1000</v>
      </c>
      <c r="W397" s="388">
        <f>R397-V397</f>
        <v>4918.97</v>
      </c>
      <c r="X397" s="589">
        <f>W397/R397</f>
        <v>0.83105168635759263</v>
      </c>
      <c r="Y397" s="544"/>
      <c r="Z397" s="536">
        <f>F397+14</f>
        <v>43230</v>
      </c>
      <c r="AA397" s="544"/>
      <c r="AB397" s="393" t="s">
        <v>2671</v>
      </c>
      <c r="AC397" s="392" t="s">
        <v>752</v>
      </c>
      <c r="AD397" s="392">
        <v>43201</v>
      </c>
      <c r="AE397" s="550"/>
      <c r="AF397" s="392">
        <v>43228</v>
      </c>
      <c r="AG397" s="546"/>
      <c r="AJ397" s="553"/>
    </row>
    <row r="398" spans="1:36" s="218" customFormat="1" ht="14.25" customHeight="1">
      <c r="A398" s="586" t="s">
        <v>714</v>
      </c>
      <c r="B398" s="545" t="s">
        <v>190</v>
      </c>
      <c r="C398" s="543" t="s">
        <v>3096</v>
      </c>
      <c r="D398" s="386">
        <v>43271</v>
      </c>
      <c r="E398" s="392">
        <v>43249</v>
      </c>
      <c r="F398" s="392">
        <v>43249</v>
      </c>
      <c r="G398" s="603">
        <v>43251</v>
      </c>
      <c r="H398" s="753">
        <v>43256</v>
      </c>
      <c r="I398" s="603">
        <v>43259</v>
      </c>
      <c r="J398" s="603">
        <v>43270</v>
      </c>
      <c r="K398" s="386"/>
      <c r="L398" s="392" t="str">
        <f>TEXT(F398,"mmm-yy")</f>
        <v>May-18</v>
      </c>
      <c r="M398" s="392" t="str">
        <f>TEXT(J398,"mmm-yy")</f>
        <v>Jun-18</v>
      </c>
      <c r="N398" s="397" t="s">
        <v>2665</v>
      </c>
      <c r="O398" s="418" t="s">
        <v>1780</v>
      </c>
      <c r="P398" s="538">
        <v>4140.32</v>
      </c>
      <c r="Q398" s="538">
        <v>7286.54</v>
      </c>
      <c r="R398" s="538">
        <f>SUM(P398:Q398)</f>
        <v>11426.86</v>
      </c>
      <c r="S398" s="495">
        <f>R398*1.1</f>
        <v>12569.546000000002</v>
      </c>
      <c r="T398" s="539">
        <v>6489.4400000000005</v>
      </c>
      <c r="U398" s="539"/>
      <c r="V398" s="389">
        <f>SUM(T398:U398)</f>
        <v>6489.4400000000005</v>
      </c>
      <c r="W398" s="388">
        <f>R398-V398</f>
        <v>4937.42</v>
      </c>
      <c r="X398" s="589">
        <f>W398/R398</f>
        <v>0.43208895532105929</v>
      </c>
      <c r="Y398" s="544"/>
      <c r="Z398" s="536">
        <f>F398+14</f>
        <v>43263</v>
      </c>
      <c r="AA398" s="544"/>
      <c r="AB398" s="393" t="s">
        <v>727</v>
      </c>
      <c r="AC398" s="392" t="s">
        <v>752</v>
      </c>
      <c r="AD398" s="392">
        <v>43214</v>
      </c>
      <c r="AE398" s="550"/>
      <c r="AF398" s="392">
        <v>43251</v>
      </c>
      <c r="AG398" s="546">
        <f>AF398-AD398</f>
        <v>37</v>
      </c>
      <c r="AJ398" s="553"/>
    </row>
    <row r="399" spans="1:36" s="218" customFormat="1" ht="14.25" customHeight="1">
      <c r="A399" s="545" t="s">
        <v>715</v>
      </c>
      <c r="B399" s="545" t="s">
        <v>190</v>
      </c>
      <c r="C399" s="386" t="s">
        <v>3017</v>
      </c>
      <c r="D399" s="386">
        <v>43257</v>
      </c>
      <c r="E399" s="392">
        <v>43236</v>
      </c>
      <c r="F399" s="392">
        <v>43236</v>
      </c>
      <c r="G399" s="603">
        <v>43238</v>
      </c>
      <c r="H399" s="753">
        <v>43243</v>
      </c>
      <c r="I399" s="576">
        <v>43256</v>
      </c>
      <c r="J399" s="603">
        <v>43256</v>
      </c>
      <c r="K399" s="386"/>
      <c r="L399" s="392" t="str">
        <f>TEXT(F399,"mmm-yy")</f>
        <v>May-18</v>
      </c>
      <c r="M399" s="392" t="str">
        <f>TEXT(J399,"mmm-yy")</f>
        <v>Jun-18</v>
      </c>
      <c r="N399" s="397" t="s">
        <v>2666</v>
      </c>
      <c r="O399" s="418" t="s">
        <v>2667</v>
      </c>
      <c r="P399" s="538">
        <v>8639.27</v>
      </c>
      <c r="Q399" s="538">
        <v>-2352.5499999999997</v>
      </c>
      <c r="R399" s="538">
        <f>SUM(P399:Q399)</f>
        <v>6286.7200000000012</v>
      </c>
      <c r="S399" s="495">
        <f>R399*1.1</f>
        <v>6915.3920000000016</v>
      </c>
      <c r="T399" s="539">
        <v>1143.6099999999999</v>
      </c>
      <c r="U399" s="539">
        <f>50*4+22*4+30*8+22*8</f>
        <v>704</v>
      </c>
      <c r="V399" s="389">
        <f>SUM(T399:U399)</f>
        <v>1847.61</v>
      </c>
      <c r="W399" s="388">
        <f>R399-V399</f>
        <v>4439.1100000000015</v>
      </c>
      <c r="X399" s="589">
        <f>W399/R399</f>
        <v>0.70610906800366502</v>
      </c>
      <c r="Y399" s="544"/>
      <c r="Z399" s="536">
        <f>F399+14</f>
        <v>43250</v>
      </c>
      <c r="AA399" s="544"/>
      <c r="AB399" s="393" t="s">
        <v>2668</v>
      </c>
      <c r="AC399" s="392">
        <v>43209</v>
      </c>
      <c r="AD399" s="392">
        <v>43214</v>
      </c>
      <c r="AE399" s="689">
        <f>AD399-AC399</f>
        <v>5</v>
      </c>
      <c r="AF399" s="392">
        <v>43243</v>
      </c>
      <c r="AG399" s="546">
        <f>AF399-AD399</f>
        <v>29</v>
      </c>
      <c r="AJ399" s="553"/>
    </row>
    <row r="400" spans="1:36" s="218" customFormat="1" ht="14.25" customHeight="1">
      <c r="A400" s="586" t="s">
        <v>714</v>
      </c>
      <c r="B400" s="545" t="s">
        <v>190</v>
      </c>
      <c r="C400" s="386"/>
      <c r="D400" s="386"/>
      <c r="E400" s="392">
        <v>43278</v>
      </c>
      <c r="F400" s="392">
        <v>43278</v>
      </c>
      <c r="G400" s="601">
        <v>43283</v>
      </c>
      <c r="H400" s="752"/>
      <c r="I400" s="603">
        <f>F400+14</f>
        <v>43292</v>
      </c>
      <c r="J400" s="601">
        <f>I400+14</f>
        <v>43306</v>
      </c>
      <c r="K400" s="386"/>
      <c r="L400" s="392" t="str">
        <f>TEXT(F400,"mmm-yy")</f>
        <v>Jun-18</v>
      </c>
      <c r="M400" s="392" t="str">
        <f>TEXT(J400,"mmm-yy")</f>
        <v>Jul-18</v>
      </c>
      <c r="N400" s="397" t="s">
        <v>2669</v>
      </c>
      <c r="O400" s="418" t="s">
        <v>796</v>
      </c>
      <c r="P400" s="538">
        <v>1734.4</v>
      </c>
      <c r="Q400" s="538">
        <v>13956.892000000005</v>
      </c>
      <c r="R400" s="538">
        <f>SUM(P400:Q400)</f>
        <v>15691.292000000005</v>
      </c>
      <c r="S400" s="495">
        <f>R400*1.1</f>
        <v>17260.421200000008</v>
      </c>
      <c r="T400" s="539">
        <v>9740.19</v>
      </c>
      <c r="U400" s="539"/>
      <c r="V400" s="389">
        <f>SUM(T400:U400)</f>
        <v>9740.19</v>
      </c>
      <c r="W400" s="388">
        <f>R400-V400</f>
        <v>5951.1020000000044</v>
      </c>
      <c r="X400" s="589">
        <f>W400/R400</f>
        <v>0.37926144003948192</v>
      </c>
      <c r="Y400" s="544"/>
      <c r="Z400" s="536">
        <f>F400+14</f>
        <v>43292</v>
      </c>
      <c r="AA400" s="544"/>
      <c r="AB400" s="393" t="s">
        <v>201</v>
      </c>
      <c r="AC400" s="392" t="s">
        <v>752</v>
      </c>
      <c r="AD400" s="392">
        <v>43214</v>
      </c>
      <c r="AE400" s="550"/>
      <c r="AF400" s="392">
        <v>43243</v>
      </c>
      <c r="AG400" s="546">
        <f>AF400-AD400</f>
        <v>29</v>
      </c>
      <c r="AJ400" s="553"/>
    </row>
    <row r="401" spans="1:36" s="218" customFormat="1" ht="14.25" customHeight="1">
      <c r="A401" s="586" t="s">
        <v>714</v>
      </c>
      <c r="B401" s="545" t="s">
        <v>190</v>
      </c>
      <c r="C401" s="386"/>
      <c r="D401" s="386"/>
      <c r="E401" s="392"/>
      <c r="F401" s="392">
        <v>43311</v>
      </c>
      <c r="G401" s="601"/>
      <c r="H401" s="752"/>
      <c r="I401" s="601"/>
      <c r="J401" s="601"/>
      <c r="K401" s="386"/>
      <c r="L401" s="392" t="str">
        <f>TEXT(F401,"mmm-yy")</f>
        <v>Jul-18</v>
      </c>
      <c r="M401" s="392" t="str">
        <f>TEXT(J401,"mmm-yy")</f>
        <v>Jan-00</v>
      </c>
      <c r="N401" s="397" t="s">
        <v>2670</v>
      </c>
      <c r="O401" s="418" t="s">
        <v>1284</v>
      </c>
      <c r="P401" s="538">
        <v>742.8</v>
      </c>
      <c r="Q401" s="538"/>
      <c r="R401" s="538">
        <f>SUM(P401:Q401)</f>
        <v>742.8</v>
      </c>
      <c r="S401" s="495">
        <f>R401*1.1</f>
        <v>817.08</v>
      </c>
      <c r="T401" s="539"/>
      <c r="U401" s="539"/>
      <c r="V401" s="389">
        <f>SUM(T401:U401)</f>
        <v>0</v>
      </c>
      <c r="W401" s="388">
        <f>R401-V401</f>
        <v>742.8</v>
      </c>
      <c r="X401" s="589">
        <f>W401/R401</f>
        <v>1</v>
      </c>
      <c r="Y401" s="544"/>
      <c r="Z401" s="536">
        <f>F401+14</f>
        <v>43325</v>
      </c>
      <c r="AA401" s="544"/>
      <c r="AB401" s="393" t="s">
        <v>201</v>
      </c>
      <c r="AC401" s="392" t="s">
        <v>752</v>
      </c>
      <c r="AD401" s="392">
        <v>43214</v>
      </c>
      <c r="AE401" s="550"/>
      <c r="AF401" s="392">
        <v>43280</v>
      </c>
      <c r="AG401" s="546">
        <f>AF401-AD401</f>
        <v>66</v>
      </c>
      <c r="AJ401" s="553"/>
    </row>
    <row r="402" spans="1:36" s="218" customFormat="1" ht="14.25" customHeight="1">
      <c r="A402" s="545" t="s">
        <v>715</v>
      </c>
      <c r="B402" s="545" t="s">
        <v>190</v>
      </c>
      <c r="C402" s="386" t="s">
        <v>2988</v>
      </c>
      <c r="D402" s="386">
        <v>43250</v>
      </c>
      <c r="E402" s="392">
        <v>43220</v>
      </c>
      <c r="F402" s="392">
        <v>43220</v>
      </c>
      <c r="G402" s="756"/>
      <c r="H402" s="757"/>
      <c r="I402" s="603">
        <v>43230</v>
      </c>
      <c r="J402" s="576">
        <v>43251</v>
      </c>
      <c r="K402" s="386"/>
      <c r="L402" s="392" t="str">
        <f>TEXT(F402,"mmm-yy")</f>
        <v>Apr-18</v>
      </c>
      <c r="M402" s="392" t="str">
        <f>TEXT(J402,"mmm-yy")</f>
        <v>May-18</v>
      </c>
      <c r="N402" s="397" t="s">
        <v>2743</v>
      </c>
      <c r="O402" s="418" t="s">
        <v>2208</v>
      </c>
      <c r="P402" s="538">
        <v>4434.76</v>
      </c>
      <c r="Q402" s="538"/>
      <c r="R402" s="538">
        <f>SUM(P402:Q402)</f>
        <v>4434.76</v>
      </c>
      <c r="S402" s="495">
        <f>R402*1.1</f>
        <v>4878.2360000000008</v>
      </c>
      <c r="T402" s="539"/>
      <c r="U402" s="539"/>
      <c r="V402" s="389">
        <f>SUM(T402:U402)</f>
        <v>0</v>
      </c>
      <c r="W402" s="388">
        <f>R402-V402</f>
        <v>4434.76</v>
      </c>
      <c r="X402" s="589">
        <f>W402/R402</f>
        <v>1</v>
      </c>
      <c r="Y402" s="544"/>
      <c r="Z402" s="536">
        <f>F402+14</f>
        <v>43234</v>
      </c>
      <c r="AA402" s="544"/>
      <c r="AB402" s="393" t="s">
        <v>1338</v>
      </c>
      <c r="AC402" s="392">
        <v>43206</v>
      </c>
      <c r="AD402" s="392">
        <v>43216</v>
      </c>
      <c r="AE402" s="689">
        <f>AD402-AC402</f>
        <v>10</v>
      </c>
      <c r="AF402" s="392">
        <v>43238</v>
      </c>
      <c r="AG402" s="546">
        <f>AF402-AD402</f>
        <v>22</v>
      </c>
      <c r="AJ402" s="553"/>
    </row>
    <row r="403" spans="1:36" s="218" customFormat="1" ht="14.25" customHeight="1">
      <c r="A403" s="586" t="s">
        <v>714</v>
      </c>
      <c r="B403" s="545" t="s">
        <v>190</v>
      </c>
      <c r="C403" s="386" t="s">
        <v>3193</v>
      </c>
      <c r="D403" s="386">
        <v>43280</v>
      </c>
      <c r="E403" s="392">
        <v>43257</v>
      </c>
      <c r="F403" s="392">
        <v>43258</v>
      </c>
      <c r="G403" s="603">
        <v>43258</v>
      </c>
      <c r="H403" s="753">
        <v>43259</v>
      </c>
      <c r="I403" s="603">
        <f>F403+14</f>
        <v>43272</v>
      </c>
      <c r="J403" s="603">
        <v>43273</v>
      </c>
      <c r="K403" s="386"/>
      <c r="L403" s="392" t="str">
        <f>TEXT(F403,"mmm-yy")</f>
        <v>Jun-18</v>
      </c>
      <c r="M403" s="392" t="str">
        <f>TEXT(J403,"mmm-yy")</f>
        <v>Jun-18</v>
      </c>
      <c r="N403" s="397" t="s">
        <v>2742</v>
      </c>
      <c r="O403" s="418" t="s">
        <v>458</v>
      </c>
      <c r="P403" s="538">
        <v>363.7</v>
      </c>
      <c r="Q403" s="538">
        <v>599.79</v>
      </c>
      <c r="R403" s="538">
        <f>SUM(P403:Q403)</f>
        <v>963.49</v>
      </c>
      <c r="S403" s="495">
        <f>R403*1.1</f>
        <v>1059.8390000000002</v>
      </c>
      <c r="T403" s="539"/>
      <c r="U403" s="539"/>
      <c r="V403" s="389">
        <f>SUM(T403:U403)</f>
        <v>0</v>
      </c>
      <c r="W403" s="388">
        <f>R403-V403</f>
        <v>963.49</v>
      </c>
      <c r="X403" s="589">
        <f>W403/R403</f>
        <v>1</v>
      </c>
      <c r="Y403" s="544"/>
      <c r="Z403" s="536">
        <f>F403+14</f>
        <v>43272</v>
      </c>
      <c r="AA403" s="544"/>
      <c r="AB403" s="393" t="s">
        <v>201</v>
      </c>
      <c r="AC403" s="392" t="s">
        <v>752</v>
      </c>
      <c r="AD403" s="392">
        <v>43217</v>
      </c>
      <c r="AE403" s="550"/>
      <c r="AF403" s="392">
        <v>43266</v>
      </c>
      <c r="AG403" s="546">
        <f>AF403-AD403</f>
        <v>49</v>
      </c>
      <c r="AJ403" s="553"/>
    </row>
    <row r="404" spans="1:36" s="218" customFormat="1" ht="14.25" customHeight="1">
      <c r="A404" s="586" t="s">
        <v>714</v>
      </c>
      <c r="B404" s="545" t="s">
        <v>724</v>
      </c>
      <c r="C404" s="386"/>
      <c r="D404" s="386"/>
      <c r="E404" s="392">
        <v>43280</v>
      </c>
      <c r="F404" s="392">
        <v>43280</v>
      </c>
      <c r="G404" s="601"/>
      <c r="H404" s="752"/>
      <c r="I404" s="603">
        <f>F404+14</f>
        <v>43294</v>
      </c>
      <c r="J404" s="601">
        <f>I404+14</f>
        <v>43308</v>
      </c>
      <c r="K404" s="386"/>
      <c r="L404" s="392" t="str">
        <f>TEXT(F404,"mmm-yy")</f>
        <v>Jun-18</v>
      </c>
      <c r="M404" s="392" t="str">
        <f>TEXT(J404,"mmm-yy")</f>
        <v>Jul-18</v>
      </c>
      <c r="N404" s="397" t="s">
        <v>2682</v>
      </c>
      <c r="O404" s="418" t="s">
        <v>1344</v>
      </c>
      <c r="P404" s="538">
        <v>1370.1</v>
      </c>
      <c r="Q404" s="538">
        <v>5576.54</v>
      </c>
      <c r="R404" s="538">
        <f>SUM(P404:Q404)</f>
        <v>6946.6399999999994</v>
      </c>
      <c r="S404" s="495">
        <f>R404*1.1</f>
        <v>7641.3040000000001</v>
      </c>
      <c r="T404" s="539">
        <v>4422.17</v>
      </c>
      <c r="U404" s="539"/>
      <c r="V404" s="389">
        <f>SUM(T404:U404)</f>
        <v>4422.17</v>
      </c>
      <c r="W404" s="388">
        <f>R404-V404</f>
        <v>2524.4699999999993</v>
      </c>
      <c r="X404" s="589">
        <f>W404/R404</f>
        <v>0.36340878467863597</v>
      </c>
      <c r="Y404" s="544"/>
      <c r="Z404" s="536">
        <f>F404+14</f>
        <v>43294</v>
      </c>
      <c r="AA404" s="544"/>
      <c r="AB404" s="393" t="s">
        <v>201</v>
      </c>
      <c r="AC404" s="392" t="s">
        <v>752</v>
      </c>
      <c r="AD404" s="392">
        <v>43217</v>
      </c>
      <c r="AE404" s="550"/>
      <c r="AF404" s="392">
        <v>43297</v>
      </c>
      <c r="AG404" s="546">
        <f>AF404-AD404</f>
        <v>80</v>
      </c>
      <c r="AJ404" s="553"/>
    </row>
    <row r="405" spans="1:36" s="218" customFormat="1" ht="14.25" customHeight="1">
      <c r="A405" s="586" t="s">
        <v>714</v>
      </c>
      <c r="B405" s="545" t="s">
        <v>190</v>
      </c>
      <c r="C405" s="386"/>
      <c r="D405" s="386"/>
      <c r="E405" s="392"/>
      <c r="F405" s="392">
        <v>43311</v>
      </c>
      <c r="G405" s="601"/>
      <c r="H405" s="752"/>
      <c r="I405" s="601"/>
      <c r="J405" s="601"/>
      <c r="K405" s="386"/>
      <c r="L405" s="392" t="str">
        <f>TEXT(F405,"mmm-yy")</f>
        <v>Jul-18</v>
      </c>
      <c r="M405" s="392" t="str">
        <f>TEXT(J405,"mmm-yy")</f>
        <v>Jan-00</v>
      </c>
      <c r="N405" s="397" t="s">
        <v>2683</v>
      </c>
      <c r="O405" s="418" t="s">
        <v>810</v>
      </c>
      <c r="P405" s="538">
        <v>2255.04</v>
      </c>
      <c r="Q405" s="538"/>
      <c r="R405" s="538">
        <f>SUM(P405:Q405)</f>
        <v>2255.04</v>
      </c>
      <c r="S405" s="495">
        <f>R405*1.1</f>
        <v>2480.5440000000003</v>
      </c>
      <c r="T405" s="539"/>
      <c r="U405" s="539"/>
      <c r="V405" s="389">
        <f>SUM(T405:U405)</f>
        <v>0</v>
      </c>
      <c r="W405" s="388">
        <f>R405-V405</f>
        <v>2255.04</v>
      </c>
      <c r="X405" s="589">
        <f>W405/R405</f>
        <v>1</v>
      </c>
      <c r="Y405" s="544"/>
      <c r="Z405" s="536">
        <f>F405+14</f>
        <v>43325</v>
      </c>
      <c r="AA405" s="544"/>
      <c r="AB405" s="393" t="s">
        <v>201</v>
      </c>
      <c r="AC405" s="392" t="s">
        <v>752</v>
      </c>
      <c r="AD405" s="392">
        <v>43217</v>
      </c>
      <c r="AE405" s="550"/>
      <c r="AF405" s="392">
        <v>43280</v>
      </c>
      <c r="AG405" s="546">
        <f>AF405-AD405</f>
        <v>63</v>
      </c>
      <c r="AJ405" s="553"/>
    </row>
    <row r="406" spans="1:36" s="218" customFormat="1" ht="14.25" customHeight="1">
      <c r="A406" s="586" t="s">
        <v>714</v>
      </c>
      <c r="B406" s="545" t="s">
        <v>764</v>
      </c>
      <c r="C406" s="386"/>
      <c r="D406" s="386"/>
      <c r="E406" s="392"/>
      <c r="F406" s="392">
        <v>43311</v>
      </c>
      <c r="G406" s="601"/>
      <c r="H406" s="752"/>
      <c r="I406" s="601"/>
      <c r="J406" s="601"/>
      <c r="K406" s="386"/>
      <c r="L406" s="392" t="str">
        <f>TEXT(F406,"mmm-yy")</f>
        <v>Jul-18</v>
      </c>
      <c r="M406" s="392" t="str">
        <f>TEXT(J406,"mmm-yy")</f>
        <v>Jan-00</v>
      </c>
      <c r="N406" s="397" t="s">
        <v>2684</v>
      </c>
      <c r="O406" s="418" t="s">
        <v>2685</v>
      </c>
      <c r="P406" s="538">
        <v>4344.17</v>
      </c>
      <c r="Q406" s="538"/>
      <c r="R406" s="538">
        <f>SUM(P406:Q406)</f>
        <v>4344.17</v>
      </c>
      <c r="S406" s="495">
        <f>R406*1.1</f>
        <v>4778.5870000000004</v>
      </c>
      <c r="T406" s="539"/>
      <c r="U406" s="539"/>
      <c r="V406" s="389">
        <f>SUM(T406:U406)</f>
        <v>0</v>
      </c>
      <c r="W406" s="388">
        <f>R406-V406</f>
        <v>4344.17</v>
      </c>
      <c r="X406" s="589">
        <f>W406/R406</f>
        <v>1</v>
      </c>
      <c r="Y406" s="544"/>
      <c r="Z406" s="536">
        <f>F406+14</f>
        <v>43325</v>
      </c>
      <c r="AA406" s="544"/>
      <c r="AB406" s="393" t="s">
        <v>201</v>
      </c>
      <c r="AC406" s="392" t="s">
        <v>752</v>
      </c>
      <c r="AD406" s="392">
        <v>43217</v>
      </c>
      <c r="AE406" s="550"/>
      <c r="AF406" s="392">
        <v>43291</v>
      </c>
      <c r="AG406" s="546">
        <f>AF406-AD406</f>
        <v>74</v>
      </c>
      <c r="AJ406" s="553"/>
    </row>
    <row r="407" spans="1:36" s="218" customFormat="1" ht="14.25" customHeight="1">
      <c r="A407" s="586" t="s">
        <v>2331</v>
      </c>
      <c r="B407" s="545" t="s">
        <v>540</v>
      </c>
      <c r="C407" s="386" t="s">
        <v>2718</v>
      </c>
      <c r="D407" s="386">
        <v>43220</v>
      </c>
      <c r="E407" s="392">
        <v>43185</v>
      </c>
      <c r="F407" s="392">
        <v>43185</v>
      </c>
      <c r="G407" s="756"/>
      <c r="H407" s="757"/>
      <c r="I407" s="756"/>
      <c r="J407" s="576">
        <v>43286</v>
      </c>
      <c r="K407" s="386"/>
      <c r="L407" s="392" t="str">
        <f>TEXT(F407,"mmm-yy")</f>
        <v>Mar-18</v>
      </c>
      <c r="M407" s="392" t="str">
        <f>TEXT(J407,"mmm-yy")</f>
        <v>Jul-18</v>
      </c>
      <c r="N407" s="397" t="s">
        <v>2686</v>
      </c>
      <c r="O407" s="418" t="s">
        <v>2691</v>
      </c>
      <c r="P407" s="538">
        <v>1550.47</v>
      </c>
      <c r="Q407" s="700"/>
      <c r="R407" s="538">
        <f>SUM(P407:Q407)</f>
        <v>1550.47</v>
      </c>
      <c r="S407" s="495">
        <f>R407*1.1</f>
        <v>1705.5170000000003</v>
      </c>
      <c r="T407" s="539"/>
      <c r="U407" s="539">
        <f>44.14*9.5</f>
        <v>419.33</v>
      </c>
      <c r="V407" s="389">
        <f>SUM(T407:U407)</f>
        <v>419.33</v>
      </c>
      <c r="W407" s="388">
        <f>R407-V407</f>
        <v>1131.1400000000001</v>
      </c>
      <c r="X407" s="589">
        <f>W407/R407</f>
        <v>0.72954652460221747</v>
      </c>
      <c r="Y407" s="544"/>
      <c r="Z407" s="536">
        <f>F407+14</f>
        <v>43199</v>
      </c>
      <c r="AA407" s="544"/>
      <c r="AB407" s="393" t="s">
        <v>2209</v>
      </c>
      <c r="AC407" s="691"/>
      <c r="AD407" s="691"/>
      <c r="AE407" s="692"/>
      <c r="AF407" s="691"/>
      <c r="AG407" s="693"/>
      <c r="AJ407" s="553"/>
    </row>
    <row r="408" spans="1:36" s="218" customFormat="1" ht="14.25" customHeight="1">
      <c r="A408" s="586" t="s">
        <v>2331</v>
      </c>
      <c r="B408" s="545" t="s">
        <v>540</v>
      </c>
      <c r="C408" s="386" t="s">
        <v>2717</v>
      </c>
      <c r="D408" s="386">
        <v>43220</v>
      </c>
      <c r="E408" s="392">
        <v>43185</v>
      </c>
      <c r="F408" s="392">
        <v>43185</v>
      </c>
      <c r="G408" s="756"/>
      <c r="H408" s="757"/>
      <c r="I408" s="756"/>
      <c r="J408" s="576">
        <v>43242</v>
      </c>
      <c r="K408" s="386"/>
      <c r="L408" s="392" t="str">
        <f>TEXT(F408,"mmm-yy")</f>
        <v>Mar-18</v>
      </c>
      <c r="M408" s="392" t="str">
        <f>TEXT(J408,"mmm-yy")</f>
        <v>May-18</v>
      </c>
      <c r="N408" s="397" t="s">
        <v>2794</v>
      </c>
      <c r="O408" s="418" t="s">
        <v>2692</v>
      </c>
      <c r="P408" s="538">
        <v>256.27999999999997</v>
      </c>
      <c r="Q408" s="700"/>
      <c r="R408" s="538">
        <f>SUM(P408:Q408)</f>
        <v>256.27999999999997</v>
      </c>
      <c r="S408" s="495">
        <f>R408*1.1</f>
        <v>281.90800000000002</v>
      </c>
      <c r="T408" s="539"/>
      <c r="U408" s="539">
        <f>41.14</f>
        <v>41.14</v>
      </c>
      <c r="V408" s="389">
        <f>SUM(T408:U408)</f>
        <v>41.14</v>
      </c>
      <c r="W408" s="388">
        <f>R408-V408</f>
        <v>215.14</v>
      </c>
      <c r="X408" s="589">
        <f>W408/R408</f>
        <v>0.83947245200561893</v>
      </c>
      <c r="Y408" s="544"/>
      <c r="Z408" s="536">
        <f>F408+14</f>
        <v>43199</v>
      </c>
      <c r="AA408" s="544"/>
      <c r="AB408" s="393" t="s">
        <v>2209</v>
      </c>
      <c r="AC408" s="691"/>
      <c r="AD408" s="691"/>
      <c r="AE408" s="692"/>
      <c r="AF408" s="691"/>
      <c r="AG408" s="693"/>
      <c r="AJ408" s="553"/>
    </row>
    <row r="409" spans="1:36" s="218" customFormat="1" ht="14.25" customHeight="1">
      <c r="A409" s="586" t="s">
        <v>2331</v>
      </c>
      <c r="B409" s="545" t="s">
        <v>540</v>
      </c>
      <c r="C409" s="386" t="s">
        <v>2719</v>
      </c>
      <c r="D409" s="386">
        <v>43220</v>
      </c>
      <c r="E409" s="392">
        <v>43185</v>
      </c>
      <c r="F409" s="392">
        <v>43185</v>
      </c>
      <c r="G409" s="756"/>
      <c r="H409" s="757"/>
      <c r="I409" s="756"/>
      <c r="J409" s="576">
        <v>43242</v>
      </c>
      <c r="K409" s="386"/>
      <c r="L409" s="392" t="str">
        <f>TEXT(F409,"mmm-yy")</f>
        <v>Mar-18</v>
      </c>
      <c r="M409" s="392" t="str">
        <f>TEXT(J409,"mmm-yy")</f>
        <v>May-18</v>
      </c>
      <c r="N409" s="397" t="s">
        <v>2781</v>
      </c>
      <c r="O409" s="418" t="s">
        <v>2428</v>
      </c>
      <c r="P409" s="538">
        <v>256.27999999999997</v>
      </c>
      <c r="Q409" s="700"/>
      <c r="R409" s="538">
        <f>SUM(P409:Q409)</f>
        <v>256.27999999999997</v>
      </c>
      <c r="S409" s="495">
        <f>R409*1.1</f>
        <v>281.90800000000002</v>
      </c>
      <c r="T409" s="539"/>
      <c r="U409" s="539">
        <f>44.14</f>
        <v>44.14</v>
      </c>
      <c r="V409" s="389">
        <f>SUM(T409:U409)</f>
        <v>44.14</v>
      </c>
      <c r="W409" s="388">
        <f>R409-V409</f>
        <v>212.14</v>
      </c>
      <c r="X409" s="589">
        <f>W409/R409</f>
        <v>0.82776650538473551</v>
      </c>
      <c r="Y409" s="544"/>
      <c r="Z409" s="536">
        <f>F409+14</f>
        <v>43199</v>
      </c>
      <c r="AA409" s="544"/>
      <c r="AB409" s="393" t="s">
        <v>2209</v>
      </c>
      <c r="AC409" s="691"/>
      <c r="AD409" s="691"/>
      <c r="AE409" s="692"/>
      <c r="AF409" s="691"/>
      <c r="AG409" s="693"/>
      <c r="AJ409" s="553"/>
    </row>
    <row r="410" spans="1:36" s="218" customFormat="1" ht="14.25" customHeight="1">
      <c r="A410" s="586" t="s">
        <v>2331</v>
      </c>
      <c r="B410" s="545" t="s">
        <v>540</v>
      </c>
      <c r="C410" s="386" t="s">
        <v>2720</v>
      </c>
      <c r="D410" s="386">
        <v>43220</v>
      </c>
      <c r="E410" s="392">
        <v>43185</v>
      </c>
      <c r="F410" s="392">
        <v>43185</v>
      </c>
      <c r="G410" s="756"/>
      <c r="H410" s="757"/>
      <c r="I410" s="756"/>
      <c r="J410" s="576">
        <v>43286</v>
      </c>
      <c r="K410" s="386"/>
      <c r="L410" s="392" t="str">
        <f>TEXT(F410,"mmm-yy")</f>
        <v>Mar-18</v>
      </c>
      <c r="M410" s="392" t="str">
        <f>TEXT(J410,"mmm-yy")</f>
        <v>Jul-18</v>
      </c>
      <c r="N410" s="397" t="s">
        <v>2687</v>
      </c>
      <c r="O410" s="418" t="s">
        <v>2691</v>
      </c>
      <c r="P410" s="538">
        <v>640.69999999999993</v>
      </c>
      <c r="Q410" s="700"/>
      <c r="R410" s="538">
        <f>SUM(P410:Q410)</f>
        <v>640.69999999999993</v>
      </c>
      <c r="S410" s="495">
        <f>R410*1.1</f>
        <v>704.77</v>
      </c>
      <c r="T410" s="539"/>
      <c r="U410" s="539">
        <f>4*44.14</f>
        <v>176.56</v>
      </c>
      <c r="V410" s="389">
        <f>SUM(T410:U410)</f>
        <v>176.56</v>
      </c>
      <c r="W410" s="388">
        <f>R410-V410</f>
        <v>464.13999999999993</v>
      </c>
      <c r="X410" s="589">
        <f>W410/R410</f>
        <v>0.72442640861557672</v>
      </c>
      <c r="Y410" s="544"/>
      <c r="Z410" s="536">
        <f>F410+14</f>
        <v>43199</v>
      </c>
      <c r="AA410" s="544"/>
      <c r="AB410" s="393" t="s">
        <v>2209</v>
      </c>
      <c r="AC410" s="691"/>
      <c r="AD410" s="691"/>
      <c r="AE410" s="692"/>
      <c r="AF410" s="691"/>
      <c r="AG410" s="693"/>
      <c r="AJ410" s="553"/>
    </row>
    <row r="411" spans="1:36" s="218" customFormat="1" ht="14.25" customHeight="1">
      <c r="A411" s="586" t="s">
        <v>2331</v>
      </c>
      <c r="B411" s="545" t="s">
        <v>540</v>
      </c>
      <c r="C411" s="386" t="s">
        <v>2721</v>
      </c>
      <c r="D411" s="386">
        <v>43220</v>
      </c>
      <c r="E411" s="392">
        <v>43186</v>
      </c>
      <c r="F411" s="392">
        <v>43186</v>
      </c>
      <c r="G411" s="756"/>
      <c r="H411" s="757"/>
      <c r="I411" s="756"/>
      <c r="J411" s="576">
        <v>43242</v>
      </c>
      <c r="K411" s="386"/>
      <c r="L411" s="392" t="str">
        <f>TEXT(F411,"mmm-yy")</f>
        <v>Mar-18</v>
      </c>
      <c r="M411" s="392" t="str">
        <f>TEXT(J411,"mmm-yy")</f>
        <v>May-18</v>
      </c>
      <c r="N411" s="397" t="s">
        <v>2785</v>
      </c>
      <c r="O411" s="418" t="s">
        <v>702</v>
      </c>
      <c r="P411" s="538">
        <v>640.69999999999993</v>
      </c>
      <c r="Q411" s="700"/>
      <c r="R411" s="538">
        <f>SUM(P411:Q411)</f>
        <v>640.69999999999993</v>
      </c>
      <c r="S411" s="495">
        <f>R411*1.1</f>
        <v>704.77</v>
      </c>
      <c r="T411" s="539"/>
      <c r="U411" s="539">
        <f>3.5*44.14</f>
        <v>154.49</v>
      </c>
      <c r="V411" s="389">
        <f>SUM(T411:U411)</f>
        <v>154.49</v>
      </c>
      <c r="W411" s="388">
        <f>R411-V411</f>
        <v>486.20999999999992</v>
      </c>
      <c r="X411" s="589">
        <f>W411/R411</f>
        <v>0.75887310753862958</v>
      </c>
      <c r="Y411" s="544"/>
      <c r="Z411" s="536">
        <f>F411+14</f>
        <v>43200</v>
      </c>
      <c r="AA411" s="544"/>
      <c r="AB411" s="393" t="s">
        <v>2209</v>
      </c>
      <c r="AC411" s="691"/>
      <c r="AD411" s="691"/>
      <c r="AE411" s="692"/>
      <c r="AF411" s="691"/>
      <c r="AG411" s="693"/>
      <c r="AJ411" s="553"/>
    </row>
    <row r="412" spans="1:36" s="218" customFormat="1" ht="14.25" customHeight="1">
      <c r="A412" s="586" t="s">
        <v>2330</v>
      </c>
      <c r="B412" s="545" t="s">
        <v>540</v>
      </c>
      <c r="C412" s="386" t="s">
        <v>2722</v>
      </c>
      <c r="D412" s="386">
        <v>43220</v>
      </c>
      <c r="E412" s="392">
        <v>43187</v>
      </c>
      <c r="F412" s="392">
        <v>43187</v>
      </c>
      <c r="G412" s="756"/>
      <c r="H412" s="757"/>
      <c r="I412" s="756"/>
      <c r="J412" s="601">
        <v>43270</v>
      </c>
      <c r="K412" s="386"/>
      <c r="L412" s="392" t="str">
        <f>TEXT(F412,"mmm-yy")</f>
        <v>Mar-18</v>
      </c>
      <c r="M412" s="392" t="str">
        <f>TEXT(J412,"mmm-yy")</f>
        <v>Jun-18</v>
      </c>
      <c r="N412" s="397" t="s">
        <v>2688</v>
      </c>
      <c r="O412" s="418" t="s">
        <v>2346</v>
      </c>
      <c r="P412" s="538">
        <v>640.69999999999993</v>
      </c>
      <c r="Q412" s="700"/>
      <c r="R412" s="538">
        <f>SUM(P412:Q412)</f>
        <v>640.69999999999993</v>
      </c>
      <c r="S412" s="495">
        <f>R412*1.1</f>
        <v>704.77</v>
      </c>
      <c r="T412" s="539"/>
      <c r="U412" s="539">
        <f>3.5*50</f>
        <v>175</v>
      </c>
      <c r="V412" s="389">
        <f>SUM(T412:U412)</f>
        <v>175</v>
      </c>
      <c r="W412" s="388">
        <f>R412-V412</f>
        <v>465.69999999999993</v>
      </c>
      <c r="X412" s="589">
        <f>W412/R412</f>
        <v>0.72686124551272047</v>
      </c>
      <c r="Y412" s="544"/>
      <c r="Z412" s="536">
        <f>F412+14</f>
        <v>43201</v>
      </c>
      <c r="AA412" s="544"/>
      <c r="AB412" s="393" t="s">
        <v>2209</v>
      </c>
      <c r="AC412" s="691"/>
      <c r="AD412" s="691"/>
      <c r="AE412" s="692"/>
      <c r="AF412" s="691"/>
      <c r="AG412" s="693"/>
      <c r="AJ412" s="553"/>
    </row>
    <row r="413" spans="1:36" s="218" customFormat="1" ht="14.25" customHeight="1">
      <c r="A413" s="586" t="s">
        <v>2331</v>
      </c>
      <c r="B413" s="545" t="s">
        <v>540</v>
      </c>
      <c r="C413" s="386" t="s">
        <v>2723</v>
      </c>
      <c r="D413" s="386">
        <v>43220</v>
      </c>
      <c r="E413" s="392">
        <v>43186</v>
      </c>
      <c r="F413" s="392">
        <v>43186</v>
      </c>
      <c r="G413" s="756"/>
      <c r="H413" s="757"/>
      <c r="I413" s="756"/>
      <c r="J413" s="576">
        <v>43286</v>
      </c>
      <c r="K413" s="386"/>
      <c r="L413" s="392" t="str">
        <f>TEXT(F413,"mmm-yy")</f>
        <v>Mar-18</v>
      </c>
      <c r="M413" s="392" t="str">
        <f>TEXT(J413,"mmm-yy")</f>
        <v>Jul-18</v>
      </c>
      <c r="N413" s="397" t="s">
        <v>2689</v>
      </c>
      <c r="O413" s="418" t="s">
        <v>702</v>
      </c>
      <c r="P413" s="538">
        <v>256.27999999999997</v>
      </c>
      <c r="Q413" s="700"/>
      <c r="R413" s="538">
        <f>SUM(P413:Q413)</f>
        <v>256.27999999999997</v>
      </c>
      <c r="S413" s="495">
        <f>R413*1.1</f>
        <v>281.90800000000002</v>
      </c>
      <c r="T413" s="539"/>
      <c r="U413" s="839">
        <v>50</v>
      </c>
      <c r="V413" s="389">
        <f>SUM(T413:U413)</f>
        <v>50</v>
      </c>
      <c r="W413" s="388">
        <f>R413-V413</f>
        <v>206.27999999999997</v>
      </c>
      <c r="X413" s="589">
        <f>W413/R413</f>
        <v>0.80490088965194317</v>
      </c>
      <c r="Y413" s="544"/>
      <c r="Z413" s="536">
        <f>F413+14</f>
        <v>43200</v>
      </c>
      <c r="AA413" s="544"/>
      <c r="AB413" s="393" t="s">
        <v>2209</v>
      </c>
      <c r="AC413" s="691"/>
      <c r="AD413" s="691"/>
      <c r="AE413" s="692"/>
      <c r="AF413" s="691"/>
      <c r="AG413" s="693"/>
      <c r="AJ413" s="553"/>
    </row>
    <row r="414" spans="1:36" s="218" customFormat="1" ht="14.25" customHeight="1">
      <c r="A414" s="586" t="s">
        <v>714</v>
      </c>
      <c r="B414" s="545" t="s">
        <v>190</v>
      </c>
      <c r="C414" s="386" t="s">
        <v>3189</v>
      </c>
      <c r="D414" s="386">
        <v>43271</v>
      </c>
      <c r="E414" s="536">
        <v>43250</v>
      </c>
      <c r="F414" s="536">
        <v>43250</v>
      </c>
      <c r="G414" s="603">
        <v>43265</v>
      </c>
      <c r="H414" s="753">
        <v>43272</v>
      </c>
      <c r="I414" s="731">
        <f>F414+14</f>
        <v>43264</v>
      </c>
      <c r="J414" s="731">
        <v>43279</v>
      </c>
      <c r="K414" s="386"/>
      <c r="L414" s="392" t="str">
        <f>TEXT(F414,"mmm-yy")</f>
        <v>May-18</v>
      </c>
      <c r="M414" s="392" t="str">
        <f>TEXT(J414,"mmm-yy")</f>
        <v>Jun-18</v>
      </c>
      <c r="N414" s="397" t="s">
        <v>2694</v>
      </c>
      <c r="O414" s="418" t="s">
        <v>725</v>
      </c>
      <c r="P414" s="538">
        <v>685.25</v>
      </c>
      <c r="Q414" s="538">
        <v>2551.7600000000002</v>
      </c>
      <c r="R414" s="538">
        <f>SUM(P414:Q414)</f>
        <v>3237.01</v>
      </c>
      <c r="S414" s="495">
        <f>R414*1.1</f>
        <v>3560.7110000000007</v>
      </c>
      <c r="T414" s="539">
        <v>306.39999999999998</v>
      </c>
      <c r="U414" s="539"/>
      <c r="V414" s="389">
        <f>SUM(T414:U414)</f>
        <v>306.39999999999998</v>
      </c>
      <c r="W414" s="388">
        <f>R414-V414</f>
        <v>2930.61</v>
      </c>
      <c r="X414" s="589">
        <f>W414/R414</f>
        <v>0.90534474715864333</v>
      </c>
      <c r="Y414" s="544"/>
      <c r="Z414" s="536">
        <f>F414+14</f>
        <v>43264</v>
      </c>
      <c r="AA414" s="544"/>
      <c r="AB414" s="393" t="s">
        <v>201</v>
      </c>
      <c r="AC414" s="392" t="s">
        <v>752</v>
      </c>
      <c r="AD414" s="392">
        <v>43217</v>
      </c>
      <c r="AE414" s="550"/>
      <c r="AF414" s="392">
        <v>43292</v>
      </c>
      <c r="AG414" s="546">
        <f>AF414-AD414</f>
        <v>75</v>
      </c>
      <c r="AJ414" s="553"/>
    </row>
    <row r="415" spans="1:36" s="218" customFormat="1" ht="14.25" customHeight="1">
      <c r="A415" s="545" t="s">
        <v>715</v>
      </c>
      <c r="B415" s="545" t="s">
        <v>722</v>
      </c>
      <c r="C415" s="386"/>
      <c r="D415" s="386"/>
      <c r="E415" s="392"/>
      <c r="F415" s="392">
        <v>43311</v>
      </c>
      <c r="G415" s="601"/>
      <c r="H415" s="752"/>
      <c r="I415" s="601"/>
      <c r="J415" s="601"/>
      <c r="K415" s="386"/>
      <c r="L415" s="392" t="str">
        <f>TEXT(F415,"mmm-yy")</f>
        <v>Jul-18</v>
      </c>
      <c r="M415" s="392" t="str">
        <f>TEXT(J415,"mmm-yy")</f>
        <v>Jan-00</v>
      </c>
      <c r="N415" s="397" t="s">
        <v>3172</v>
      </c>
      <c r="O415" s="418" t="s">
        <v>1295</v>
      </c>
      <c r="P415" s="538">
        <v>1698</v>
      </c>
      <c r="Q415" s="538"/>
      <c r="R415" s="538">
        <f>SUM(P415:Q415)</f>
        <v>1698</v>
      </c>
      <c r="S415" s="495">
        <f>R415*1.1</f>
        <v>1867.8000000000002</v>
      </c>
      <c r="T415" s="539"/>
      <c r="U415" s="539"/>
      <c r="V415" s="389">
        <f>SUM(T415:U415)</f>
        <v>0</v>
      </c>
      <c r="W415" s="388">
        <f>R415-V415</f>
        <v>1698</v>
      </c>
      <c r="X415" s="589">
        <f>W415/R415</f>
        <v>1</v>
      </c>
      <c r="Y415" s="544"/>
      <c r="Z415" s="536">
        <f>F415+14</f>
        <v>43325</v>
      </c>
      <c r="AA415" s="544"/>
      <c r="AB415" s="393" t="s">
        <v>2696</v>
      </c>
      <c r="AC415" s="392">
        <v>43031</v>
      </c>
      <c r="AD415" s="392">
        <v>43146</v>
      </c>
      <c r="AE415" s="689">
        <f>AD415-AC415</f>
        <v>115</v>
      </c>
      <c r="AF415" s="392">
        <v>43182</v>
      </c>
      <c r="AG415" s="546">
        <f>AF415-AD415</f>
        <v>36</v>
      </c>
      <c r="AJ415" s="553"/>
    </row>
    <row r="416" spans="1:36" s="218" customFormat="1" ht="14.25" customHeight="1">
      <c r="A416" s="586" t="s">
        <v>714</v>
      </c>
      <c r="B416" s="545" t="s">
        <v>190</v>
      </c>
      <c r="C416" s="386"/>
      <c r="D416" s="386"/>
      <c r="E416" s="392"/>
      <c r="F416" s="392">
        <v>43342</v>
      </c>
      <c r="G416" s="601"/>
      <c r="H416" s="752"/>
      <c r="I416" s="601"/>
      <c r="J416" s="601"/>
      <c r="K416" s="386"/>
      <c r="L416" s="392" t="str">
        <f>TEXT(F416,"mmm-yy")</f>
        <v>Aug-18</v>
      </c>
      <c r="M416" s="392" t="str">
        <f>TEXT(J416,"mmm-yy")</f>
        <v>Jan-00</v>
      </c>
      <c r="N416" s="397" t="s">
        <v>2726</v>
      </c>
      <c r="O416" s="418" t="s">
        <v>2725</v>
      </c>
      <c r="P416" s="538">
        <v>2099.66</v>
      </c>
      <c r="Q416" s="538"/>
      <c r="R416" s="538">
        <f>SUM(P416:Q416)</f>
        <v>2099.66</v>
      </c>
      <c r="S416" s="495">
        <f>R416*1.1</f>
        <v>2309.6260000000002</v>
      </c>
      <c r="T416" s="539"/>
      <c r="U416" s="539"/>
      <c r="V416" s="389">
        <f>SUM(T416:U416)</f>
        <v>0</v>
      </c>
      <c r="W416" s="388">
        <f>R416-V416</f>
        <v>2099.66</v>
      </c>
      <c r="X416" s="589">
        <f>W416/R416</f>
        <v>1</v>
      </c>
      <c r="Y416" s="544"/>
      <c r="Z416" s="536">
        <f>F416+14</f>
        <v>43356</v>
      </c>
      <c r="AA416" s="544"/>
      <c r="AB416" s="393" t="s">
        <v>223</v>
      </c>
      <c r="AC416" s="392" t="s">
        <v>752</v>
      </c>
      <c r="AD416" s="392">
        <v>43220</v>
      </c>
      <c r="AE416" s="550"/>
      <c r="AF416" s="392">
        <v>43297</v>
      </c>
      <c r="AG416" s="546">
        <f>AF416-AD416</f>
        <v>77</v>
      </c>
      <c r="AJ416" s="553"/>
    </row>
    <row r="417" spans="1:36" s="218" customFormat="1" ht="14.25" customHeight="1">
      <c r="A417" s="586" t="s">
        <v>714</v>
      </c>
      <c r="B417" s="545" t="s">
        <v>190</v>
      </c>
      <c r="C417" s="386" t="s">
        <v>3194</v>
      </c>
      <c r="D417" s="386">
        <v>43280</v>
      </c>
      <c r="E417" s="392">
        <v>43252</v>
      </c>
      <c r="F417" s="536">
        <v>43255</v>
      </c>
      <c r="G417" s="603">
        <v>43257</v>
      </c>
      <c r="H417" s="753">
        <v>43269</v>
      </c>
      <c r="I417" s="603">
        <f>F417+14</f>
        <v>43269</v>
      </c>
      <c r="J417" s="603">
        <v>43277</v>
      </c>
      <c r="K417" s="386"/>
      <c r="L417" s="392" t="str">
        <f>TEXT(F417,"mmm-yy")</f>
        <v>Jun-18</v>
      </c>
      <c r="M417" s="392" t="str">
        <f>TEXT(J417,"mmm-yy")</f>
        <v>Jun-18</v>
      </c>
      <c r="N417" s="397" t="s">
        <v>2740</v>
      </c>
      <c r="O417" s="418" t="s">
        <v>2732</v>
      </c>
      <c r="P417" s="538">
        <v>1554.24</v>
      </c>
      <c r="Q417" s="538">
        <v>13339.46</v>
      </c>
      <c r="R417" s="538">
        <f>SUM(P417:Q417)</f>
        <v>14893.699999999999</v>
      </c>
      <c r="S417" s="495">
        <f>R417*1.1</f>
        <v>16383.07</v>
      </c>
      <c r="T417" s="539">
        <v>6425.2</v>
      </c>
      <c r="U417" s="539"/>
      <c r="V417" s="389">
        <f>SUM(T417:U417)</f>
        <v>6425.2</v>
      </c>
      <c r="W417" s="388">
        <f>R417-V417</f>
        <v>8468.5</v>
      </c>
      <c r="X417" s="589">
        <f>W417/R417</f>
        <v>0.56859611782162933</v>
      </c>
      <c r="Y417" s="544"/>
      <c r="Z417" s="536">
        <f>F417+14</f>
        <v>43269</v>
      </c>
      <c r="AA417" s="544"/>
      <c r="AB417" s="393" t="s">
        <v>201</v>
      </c>
      <c r="AC417" s="392" t="s">
        <v>752</v>
      </c>
      <c r="AD417" s="392">
        <v>43221</v>
      </c>
      <c r="AE417" s="550"/>
      <c r="AF417" s="392">
        <v>43280</v>
      </c>
      <c r="AG417" s="546">
        <f>AF417-AD417</f>
        <v>59</v>
      </c>
      <c r="AJ417" s="553"/>
    </row>
    <row r="418" spans="1:36" s="218" customFormat="1" ht="14.25" customHeight="1">
      <c r="A418" s="586" t="s">
        <v>714</v>
      </c>
      <c r="B418" s="545" t="s">
        <v>190</v>
      </c>
      <c r="C418" s="386" t="s">
        <v>3192</v>
      </c>
      <c r="D418" s="386">
        <v>43280</v>
      </c>
      <c r="E418" s="392">
        <v>43245</v>
      </c>
      <c r="F418" s="392">
        <v>43249</v>
      </c>
      <c r="G418" s="576">
        <v>43251</v>
      </c>
      <c r="H418" s="669">
        <v>43270</v>
      </c>
      <c r="I418" s="603">
        <v>43259</v>
      </c>
      <c r="J418" s="603">
        <f>I418+14</f>
        <v>43273</v>
      </c>
      <c r="K418" s="386"/>
      <c r="L418" s="392" t="str">
        <f>TEXT(F418,"mmm-yy")</f>
        <v>May-18</v>
      </c>
      <c r="M418" s="392" t="str">
        <f>TEXT(J418,"mmm-yy")</f>
        <v>Jun-18</v>
      </c>
      <c r="N418" s="397" t="s">
        <v>2733</v>
      </c>
      <c r="O418" s="418" t="s">
        <v>2393</v>
      </c>
      <c r="P418" s="538">
        <v>2743.96</v>
      </c>
      <c r="Q418" s="538">
        <v>6734.32</v>
      </c>
      <c r="R418" s="538">
        <f>SUM(P418:Q418)</f>
        <v>9478.2799999999988</v>
      </c>
      <c r="S418" s="495">
        <f>R418*1.1</f>
        <v>10426.108</v>
      </c>
      <c r="T418" s="539">
        <v>6152.49</v>
      </c>
      <c r="U418" s="539"/>
      <c r="V418" s="389">
        <f>SUM(T418:U418)</f>
        <v>6152.49</v>
      </c>
      <c r="W418" s="388">
        <f>R418-V418</f>
        <v>3325.7899999999991</v>
      </c>
      <c r="X418" s="589">
        <f>W418/R418</f>
        <v>0.35088539270838165</v>
      </c>
      <c r="Y418" s="544"/>
      <c r="Z418" s="536">
        <f>F418+14</f>
        <v>43263</v>
      </c>
      <c r="AA418" s="544"/>
      <c r="AB418" s="393" t="s">
        <v>201</v>
      </c>
      <c r="AC418" s="392" t="s">
        <v>752</v>
      </c>
      <c r="AD418" s="392">
        <v>43221</v>
      </c>
      <c r="AE418" s="550"/>
      <c r="AF418" s="392">
        <v>43259</v>
      </c>
      <c r="AG418" s="546">
        <f>AF418-AD418</f>
        <v>38</v>
      </c>
      <c r="AJ418" s="553"/>
    </row>
    <row r="419" spans="1:36" s="218" customFormat="1" ht="14.25" customHeight="1">
      <c r="A419" s="586" t="s">
        <v>714</v>
      </c>
      <c r="B419" s="545" t="s">
        <v>190</v>
      </c>
      <c r="C419" s="386"/>
      <c r="D419" s="386"/>
      <c r="E419" s="392"/>
      <c r="F419" s="392">
        <v>43311</v>
      </c>
      <c r="G419" s="601"/>
      <c r="H419" s="752"/>
      <c r="I419" s="601"/>
      <c r="J419" s="601"/>
      <c r="K419" s="386"/>
      <c r="L419" s="392" t="str">
        <f>TEXT(F419,"mmm-yy")</f>
        <v>Jul-18</v>
      </c>
      <c r="M419" s="392" t="str">
        <f>TEXT(J419,"mmm-yy")</f>
        <v>Jan-00</v>
      </c>
      <c r="N419" s="397" t="s">
        <v>2734</v>
      </c>
      <c r="O419" s="418" t="s">
        <v>458</v>
      </c>
      <c r="P419" s="538">
        <v>9295.6200000000008</v>
      </c>
      <c r="Q419" s="538"/>
      <c r="R419" s="538">
        <f>SUM(P419:Q419)</f>
        <v>9295.6200000000008</v>
      </c>
      <c r="S419" s="495">
        <f>R419*1.1</f>
        <v>10225.182000000003</v>
      </c>
      <c r="T419" s="539"/>
      <c r="U419" s="539"/>
      <c r="V419" s="389">
        <f>SUM(T419:U419)</f>
        <v>0</v>
      </c>
      <c r="W419" s="388">
        <f>R419-V419</f>
        <v>9295.6200000000008</v>
      </c>
      <c r="X419" s="589">
        <f>W419/R419</f>
        <v>1</v>
      </c>
      <c r="Y419" s="544"/>
      <c r="Z419" s="536">
        <f>F419+14</f>
        <v>43325</v>
      </c>
      <c r="AA419" s="544"/>
      <c r="AB419" s="393" t="s">
        <v>201</v>
      </c>
      <c r="AC419" s="392" t="s">
        <v>752</v>
      </c>
      <c r="AD419" s="392">
        <v>43221</v>
      </c>
      <c r="AE419" s="550"/>
      <c r="AF419" s="392">
        <v>43278</v>
      </c>
      <c r="AG419" s="546">
        <f>AF419-AD419</f>
        <v>57</v>
      </c>
      <c r="AJ419" s="553"/>
    </row>
    <row r="420" spans="1:36" s="218" customFormat="1" ht="14.25" customHeight="1">
      <c r="A420" s="545" t="s">
        <v>715</v>
      </c>
      <c r="B420" s="545" t="s">
        <v>722</v>
      </c>
      <c r="C420" s="386"/>
      <c r="D420" s="386"/>
      <c r="E420" s="392">
        <v>43286</v>
      </c>
      <c r="F420" s="392">
        <v>43286</v>
      </c>
      <c r="G420" s="601">
        <v>43290</v>
      </c>
      <c r="H420" s="752"/>
      <c r="I420" s="601">
        <f>F420+14</f>
        <v>43300</v>
      </c>
      <c r="J420" s="601">
        <f>I420+14</f>
        <v>43314</v>
      </c>
      <c r="K420" s="386"/>
      <c r="L420" s="392" t="str">
        <f>TEXT(F420,"mmm-yy")</f>
        <v>Jul-18</v>
      </c>
      <c r="M420" s="392" t="str">
        <f>TEXT(J420,"mmm-yy")</f>
        <v>Aug-18</v>
      </c>
      <c r="N420" s="397" t="s">
        <v>2739</v>
      </c>
      <c r="O420" s="418" t="s">
        <v>2735</v>
      </c>
      <c r="P420" s="538">
        <v>3573.39</v>
      </c>
      <c r="Q420" s="538">
        <v>1133.5999999999999</v>
      </c>
      <c r="R420" s="538">
        <f>SUM(P420:Q420)</f>
        <v>4706.99</v>
      </c>
      <c r="S420" s="495">
        <f>R420*1.1</f>
        <v>5177.6890000000003</v>
      </c>
      <c r="T420" s="539">
        <v>1960</v>
      </c>
      <c r="U420" s="539"/>
      <c r="V420" s="389">
        <f>SUM(T420:U420)</f>
        <v>1960</v>
      </c>
      <c r="W420" s="388">
        <f>R420-V420</f>
        <v>2746.99</v>
      </c>
      <c r="X420" s="589">
        <f>W420/R420</f>
        <v>0.58359801061825067</v>
      </c>
      <c r="Y420" s="544"/>
      <c r="Z420" s="536">
        <f>F420+14</f>
        <v>43300</v>
      </c>
      <c r="AA420" s="544"/>
      <c r="AB420" s="393" t="s">
        <v>220</v>
      </c>
      <c r="AC420" s="392" t="s">
        <v>752</v>
      </c>
      <c r="AD420" s="392">
        <v>43221</v>
      </c>
      <c r="AE420" s="550"/>
      <c r="AF420" s="392">
        <v>43273</v>
      </c>
      <c r="AG420" s="546">
        <f>AF420-AD420</f>
        <v>52</v>
      </c>
      <c r="AJ420" s="553"/>
    </row>
    <row r="421" spans="1:36" s="218" customFormat="1" ht="14.25" customHeight="1">
      <c r="A421" s="545" t="s">
        <v>715</v>
      </c>
      <c r="B421" s="545" t="s">
        <v>724</v>
      </c>
      <c r="C421" s="386"/>
      <c r="D421" s="386"/>
      <c r="E421" s="392">
        <v>43272</v>
      </c>
      <c r="F421" s="392">
        <v>43272</v>
      </c>
      <c r="G421" s="601">
        <v>43280</v>
      </c>
      <c r="H421" s="752"/>
      <c r="I421" s="603">
        <f>F421+14</f>
        <v>43286</v>
      </c>
      <c r="J421" s="601">
        <f>I421+14</f>
        <v>43300</v>
      </c>
      <c r="K421" s="386"/>
      <c r="L421" s="392" t="str">
        <f>TEXT(F421,"mmm-yy")</f>
        <v>Jun-18</v>
      </c>
      <c r="M421" s="392" t="str">
        <f>TEXT(J421,"mmm-yy")</f>
        <v>Jul-18</v>
      </c>
      <c r="N421" s="397" t="s">
        <v>2736</v>
      </c>
      <c r="O421" s="418" t="s">
        <v>2737</v>
      </c>
      <c r="P421" s="538">
        <v>7769.35</v>
      </c>
      <c r="Q421" s="610">
        <v>-120</v>
      </c>
      <c r="R421" s="538">
        <f>SUM(P421:Q421)</f>
        <v>7649.35</v>
      </c>
      <c r="S421" s="495">
        <f>R421*1.1</f>
        <v>8414.2850000000017</v>
      </c>
      <c r="T421" s="539">
        <v>3003.86</v>
      </c>
      <c r="U421" s="539"/>
      <c r="V421" s="389">
        <f>SUM(T421:U421)</f>
        <v>3003.86</v>
      </c>
      <c r="W421" s="388">
        <f>R421-V421</f>
        <v>4645.49</v>
      </c>
      <c r="X421" s="589">
        <f>W421/R421</f>
        <v>0.60730519586631537</v>
      </c>
      <c r="Y421" s="544"/>
      <c r="Z421" s="536">
        <f>F421+14</f>
        <v>43286</v>
      </c>
      <c r="AA421" s="544"/>
      <c r="AB421" s="393" t="s">
        <v>220</v>
      </c>
      <c r="AC421" s="392">
        <v>43217</v>
      </c>
      <c r="AD421" s="392">
        <v>43221</v>
      </c>
      <c r="AE421" s="689">
        <f>AD421-AC421</f>
        <v>4</v>
      </c>
      <c r="AF421" s="392">
        <v>43250</v>
      </c>
      <c r="AG421" s="546">
        <f>AF421-AD421</f>
        <v>29</v>
      </c>
      <c r="AJ421" s="553"/>
    </row>
    <row r="422" spans="1:36" s="218" customFormat="1" ht="14.25" customHeight="1">
      <c r="A422" s="545" t="s">
        <v>715</v>
      </c>
      <c r="B422" s="545" t="s">
        <v>179</v>
      </c>
      <c r="C422" s="386" t="s">
        <v>3303</v>
      </c>
      <c r="D422" s="386">
        <v>43287</v>
      </c>
      <c r="E422" s="392">
        <v>43266</v>
      </c>
      <c r="F422" s="392">
        <v>43266</v>
      </c>
      <c r="G422" s="603">
        <v>43266</v>
      </c>
      <c r="H422" s="753">
        <v>43278</v>
      </c>
      <c r="I422" s="603">
        <f>F422+14</f>
        <v>43280</v>
      </c>
      <c r="J422" s="603">
        <v>43286</v>
      </c>
      <c r="K422" s="386"/>
      <c r="L422" s="392" t="str">
        <f>TEXT(F422,"mmm-yy")</f>
        <v>Jun-18</v>
      </c>
      <c r="M422" s="392" t="str">
        <f>TEXT(J422,"mmm-yy")</f>
        <v>Jul-18</v>
      </c>
      <c r="N422" s="397" t="s">
        <v>2741</v>
      </c>
      <c r="O422" s="418" t="s">
        <v>2744</v>
      </c>
      <c r="P422" s="538">
        <v>5278.06</v>
      </c>
      <c r="Q422" s="538">
        <v>535.66</v>
      </c>
      <c r="R422" s="538">
        <f>SUM(P422:Q422)</f>
        <v>5813.72</v>
      </c>
      <c r="S422" s="495">
        <f>R422*1.1</f>
        <v>6395.0920000000006</v>
      </c>
      <c r="T422" s="539"/>
      <c r="U422" s="539"/>
      <c r="V422" s="389">
        <f>SUM(T422:U422)</f>
        <v>0</v>
      </c>
      <c r="W422" s="388">
        <f>R422-V422</f>
        <v>5813.72</v>
      </c>
      <c r="X422" s="589">
        <f>W422/R422</f>
        <v>1</v>
      </c>
      <c r="Y422" s="544"/>
      <c r="Z422" s="536"/>
      <c r="AA422" s="544"/>
      <c r="AB422" s="393" t="s">
        <v>220</v>
      </c>
      <c r="AC422" s="392">
        <v>43217</v>
      </c>
      <c r="AD422" s="392">
        <v>43222</v>
      </c>
      <c r="AE422" s="689">
        <f>AD422-AC422</f>
        <v>5</v>
      </c>
      <c r="AF422" s="392">
        <v>43250</v>
      </c>
      <c r="AG422" s="546">
        <f>AF422-AD422</f>
        <v>28</v>
      </c>
      <c r="AJ422" s="553"/>
    </row>
    <row r="423" spans="1:36" s="218" customFormat="1" ht="14.25" customHeight="1">
      <c r="A423" s="586" t="s">
        <v>714</v>
      </c>
      <c r="B423" s="545" t="s">
        <v>190</v>
      </c>
      <c r="C423" s="386"/>
      <c r="D423" s="386"/>
      <c r="E423" s="392"/>
      <c r="F423" s="392">
        <v>43342</v>
      </c>
      <c r="G423" s="601"/>
      <c r="H423" s="752"/>
      <c r="I423" s="601"/>
      <c r="J423" s="601"/>
      <c r="K423" s="386"/>
      <c r="L423" s="392" t="str">
        <f>TEXT(F423,"mmm-yy")</f>
        <v>Aug-18</v>
      </c>
      <c r="M423" s="392" t="str">
        <f>TEXT(J423,"mmm-yy")</f>
        <v>Jan-00</v>
      </c>
      <c r="N423" s="397" t="s">
        <v>2745</v>
      </c>
      <c r="O423" s="418" t="s">
        <v>2746</v>
      </c>
      <c r="P423" s="538">
        <v>1102.48</v>
      </c>
      <c r="Q423" s="538"/>
      <c r="R423" s="538">
        <f>SUM(P423:Q423)</f>
        <v>1102.48</v>
      </c>
      <c r="S423" s="495">
        <f>R423*1.1</f>
        <v>1212.7280000000001</v>
      </c>
      <c r="T423" s="539"/>
      <c r="U423" s="539"/>
      <c r="V423" s="389">
        <f>SUM(T423:U423)</f>
        <v>0</v>
      </c>
      <c r="W423" s="388">
        <f>R423-V423</f>
        <v>1102.48</v>
      </c>
      <c r="X423" s="589">
        <f>W423/R423</f>
        <v>1</v>
      </c>
      <c r="Y423" s="544"/>
      <c r="Z423" s="536"/>
      <c r="AA423" s="544"/>
      <c r="AB423" s="393" t="s">
        <v>201</v>
      </c>
      <c r="AC423" s="392" t="s">
        <v>752</v>
      </c>
      <c r="AD423" s="392">
        <v>43222</v>
      </c>
      <c r="AE423" s="550"/>
      <c r="AF423" s="392">
        <v>43257</v>
      </c>
      <c r="AG423" s="546">
        <f>AF423-AD423</f>
        <v>35</v>
      </c>
      <c r="AJ423" s="553"/>
    </row>
    <row r="424" spans="1:36" s="218" customFormat="1" ht="14.25" customHeight="1">
      <c r="A424" s="586" t="s">
        <v>714</v>
      </c>
      <c r="B424" s="545" t="s">
        <v>190</v>
      </c>
      <c r="C424" s="386"/>
      <c r="D424" s="386"/>
      <c r="E424" s="392"/>
      <c r="F424" s="392">
        <v>43311</v>
      </c>
      <c r="G424" s="601"/>
      <c r="H424" s="752"/>
      <c r="I424" s="601"/>
      <c r="J424" s="601"/>
      <c r="K424" s="386"/>
      <c r="L424" s="392" t="str">
        <f>TEXT(F424,"mmm-yy")</f>
        <v>Jul-18</v>
      </c>
      <c r="M424" s="392" t="str">
        <f>TEXT(J424,"mmm-yy")</f>
        <v>Jan-00</v>
      </c>
      <c r="N424" s="397" t="s">
        <v>2747</v>
      </c>
      <c r="O424" s="418" t="s">
        <v>725</v>
      </c>
      <c r="P424" s="538">
        <v>1763.74</v>
      </c>
      <c r="Q424" s="538"/>
      <c r="R424" s="538">
        <f>SUM(P424:Q424)</f>
        <v>1763.74</v>
      </c>
      <c r="S424" s="495">
        <f>R424*1.1</f>
        <v>1940.1140000000003</v>
      </c>
      <c r="T424" s="539"/>
      <c r="U424" s="539"/>
      <c r="V424" s="389">
        <f>SUM(T424:U424)</f>
        <v>0</v>
      </c>
      <c r="W424" s="388">
        <f>R424-V424</f>
        <v>1763.74</v>
      </c>
      <c r="X424" s="589">
        <f>W424/R424</f>
        <v>1</v>
      </c>
      <c r="Y424" s="544"/>
      <c r="Z424" s="536"/>
      <c r="AA424" s="544"/>
      <c r="AB424" s="393" t="s">
        <v>201</v>
      </c>
      <c r="AC424" s="392" t="s">
        <v>752</v>
      </c>
      <c r="AD424" s="392">
        <v>43222</v>
      </c>
      <c r="AE424" s="550"/>
      <c r="AF424" s="392">
        <v>43280</v>
      </c>
      <c r="AG424" s="546">
        <f>AF424-AD424</f>
        <v>58</v>
      </c>
      <c r="AJ424" s="553"/>
    </row>
    <row r="425" spans="1:36" s="218" customFormat="1" ht="14.25" customHeight="1">
      <c r="A425" s="545" t="s">
        <v>715</v>
      </c>
      <c r="B425" s="545" t="s">
        <v>179</v>
      </c>
      <c r="C425" s="386" t="s">
        <v>3099</v>
      </c>
      <c r="D425" s="386">
        <v>43269</v>
      </c>
      <c r="E425" s="392">
        <v>43223</v>
      </c>
      <c r="F425" s="392">
        <v>43250</v>
      </c>
      <c r="G425" s="756"/>
      <c r="H425" s="757"/>
      <c r="I425" s="667">
        <v>43265</v>
      </c>
      <c r="J425" s="603">
        <v>43270</v>
      </c>
      <c r="K425" s="386"/>
      <c r="L425" s="392" t="str">
        <f>TEXT(F425,"mmm-yy")</f>
        <v>May-18</v>
      </c>
      <c r="M425" s="392" t="str">
        <f>TEXT(J425,"mmm-yy")</f>
        <v>Jun-18</v>
      </c>
      <c r="N425" s="397" t="s">
        <v>2825</v>
      </c>
      <c r="O425" s="418" t="s">
        <v>2748</v>
      </c>
      <c r="P425" s="538">
        <v>3243.26</v>
      </c>
      <c r="Q425" s="776"/>
      <c r="R425" s="538">
        <f>SUM(P425:Q425)</f>
        <v>3243.26</v>
      </c>
      <c r="S425" s="495">
        <f>R425*1.1</f>
        <v>3567.5860000000007</v>
      </c>
      <c r="T425" s="539">
        <v>2358.27</v>
      </c>
      <c r="U425" s="539"/>
      <c r="V425" s="389">
        <f>SUM(T425:U425)</f>
        <v>2358.27</v>
      </c>
      <c r="W425" s="388">
        <f>R425-V425</f>
        <v>884.99000000000024</v>
      </c>
      <c r="X425" s="589">
        <f>W425/R425</f>
        <v>0.27287050683571473</v>
      </c>
      <c r="Y425" s="544"/>
      <c r="Z425" s="536"/>
      <c r="AA425" s="544"/>
      <c r="AB425" s="393" t="s">
        <v>1171</v>
      </c>
      <c r="AC425" s="392"/>
      <c r="AD425" s="392"/>
      <c r="AE425" s="550"/>
      <c r="AF425" s="392"/>
      <c r="AG425" s="546">
        <f>AF425-AD425</f>
        <v>0</v>
      </c>
      <c r="AJ425" s="553"/>
    </row>
    <row r="426" spans="1:36" s="218" customFormat="1" ht="14.25" customHeight="1">
      <c r="A426" s="545" t="s">
        <v>715</v>
      </c>
      <c r="B426" s="545" t="s">
        <v>724</v>
      </c>
      <c r="C426" s="386" t="s">
        <v>3340</v>
      </c>
      <c r="D426" s="386">
        <v>43287</v>
      </c>
      <c r="E426" s="392">
        <v>43257</v>
      </c>
      <c r="F426" s="392">
        <v>43266</v>
      </c>
      <c r="G426" s="603">
        <v>43269</v>
      </c>
      <c r="H426" s="753">
        <v>43271</v>
      </c>
      <c r="I426" s="603">
        <f>F426+14</f>
        <v>43280</v>
      </c>
      <c r="J426" s="603">
        <v>43291</v>
      </c>
      <c r="K426" s="386"/>
      <c r="L426" s="392" t="str">
        <f>TEXT(F426,"mmm-yy")</f>
        <v>Jun-18</v>
      </c>
      <c r="M426" s="392" t="str">
        <f>TEXT(J426,"mmm-yy")</f>
        <v>Jul-18</v>
      </c>
      <c r="N426" s="397" t="s">
        <v>2917</v>
      </c>
      <c r="O426" s="418" t="s">
        <v>2749</v>
      </c>
      <c r="P426" s="538">
        <v>8260.7999999999993</v>
      </c>
      <c r="Q426" s="538">
        <v>8719.58</v>
      </c>
      <c r="R426" s="538">
        <f>SUM(P426:Q426)</f>
        <v>16980.379999999997</v>
      </c>
      <c r="S426" s="495">
        <f>R426*1.1</f>
        <v>18678.417999999998</v>
      </c>
      <c r="T426" s="539"/>
      <c r="U426" s="539"/>
      <c r="V426" s="389">
        <f>SUM(T426:U426)</f>
        <v>0</v>
      </c>
      <c r="W426" s="388">
        <f>R426-V426</f>
        <v>16980.379999999997</v>
      </c>
      <c r="X426" s="589">
        <f>W426/R426</f>
        <v>1</v>
      </c>
      <c r="Y426" s="544"/>
      <c r="Z426" s="536"/>
      <c r="AA426" s="544"/>
      <c r="AB426" s="393" t="s">
        <v>1171</v>
      </c>
      <c r="AC426" s="392"/>
      <c r="AD426" s="392"/>
      <c r="AE426" s="550"/>
      <c r="AF426" s="392"/>
      <c r="AG426" s="546">
        <f>AF426-AD426</f>
        <v>0</v>
      </c>
      <c r="AJ426" s="553"/>
    </row>
    <row r="427" spans="1:36" s="218" customFormat="1" ht="14.25" customHeight="1">
      <c r="A427" s="586" t="s">
        <v>714</v>
      </c>
      <c r="B427" s="545" t="s">
        <v>190</v>
      </c>
      <c r="C427" s="386" t="s">
        <v>3016</v>
      </c>
      <c r="D427" s="386">
        <v>43257</v>
      </c>
      <c r="E427" s="392">
        <v>43238</v>
      </c>
      <c r="F427" s="392">
        <v>43238</v>
      </c>
      <c r="G427" s="756"/>
      <c r="H427" s="757"/>
      <c r="I427" s="603">
        <v>43251</v>
      </c>
      <c r="J427" s="603">
        <v>43256</v>
      </c>
      <c r="K427" s="386"/>
      <c r="L427" s="392" t="str">
        <f>TEXT(F427,"mmm-yy")</f>
        <v>May-18</v>
      </c>
      <c r="M427" s="392" t="str">
        <f>TEXT(J427,"mmm-yy")</f>
        <v>Jun-18</v>
      </c>
      <c r="N427" s="397" t="s">
        <v>2750</v>
      </c>
      <c r="O427" s="418" t="s">
        <v>1286</v>
      </c>
      <c r="P427" s="538">
        <v>2366</v>
      </c>
      <c r="Q427" s="776"/>
      <c r="R427" s="538">
        <f>SUM(P427:Q427)</f>
        <v>2366</v>
      </c>
      <c r="S427" s="495">
        <f>R427*1.1</f>
        <v>2602.6000000000004</v>
      </c>
      <c r="T427" s="539">
        <v>1129.72</v>
      </c>
      <c r="U427" s="539"/>
      <c r="V427" s="389">
        <f>SUM(T427:U427)</f>
        <v>1129.72</v>
      </c>
      <c r="W427" s="388">
        <f>R427-V427</f>
        <v>1236.28</v>
      </c>
      <c r="X427" s="589">
        <f>W427/R427</f>
        <v>0.52251901944209633</v>
      </c>
      <c r="Y427" s="544"/>
      <c r="Z427" s="536"/>
      <c r="AA427" s="544"/>
      <c r="AB427" s="393" t="s">
        <v>201</v>
      </c>
      <c r="AC427" s="392" t="s">
        <v>752</v>
      </c>
      <c r="AD427" s="392">
        <v>43223</v>
      </c>
      <c r="AE427" s="550"/>
      <c r="AF427" s="392">
        <v>43278</v>
      </c>
      <c r="AG427" s="546">
        <f>AF427-AD427</f>
        <v>55</v>
      </c>
      <c r="AJ427" s="553"/>
    </row>
    <row r="428" spans="1:36" s="218" customFormat="1" ht="14.25" customHeight="1">
      <c r="A428" s="586" t="s">
        <v>714</v>
      </c>
      <c r="B428" s="545" t="s">
        <v>190</v>
      </c>
      <c r="C428" s="386" t="s">
        <v>3191</v>
      </c>
      <c r="D428" s="386">
        <v>43280</v>
      </c>
      <c r="E428" s="392">
        <v>43234</v>
      </c>
      <c r="F428" s="392">
        <v>43235</v>
      </c>
      <c r="G428" s="603">
        <v>43250</v>
      </c>
      <c r="H428" s="753">
        <v>43259</v>
      </c>
      <c r="I428" s="603">
        <f>F428+14</f>
        <v>43249</v>
      </c>
      <c r="J428" s="576">
        <v>43273</v>
      </c>
      <c r="K428" s="386"/>
      <c r="L428" s="392" t="str">
        <f>TEXT(F428,"mmm-yy")</f>
        <v>May-18</v>
      </c>
      <c r="M428" s="392" t="str">
        <f>TEXT(J428,"mmm-yy")</f>
        <v>Jun-18</v>
      </c>
      <c r="N428" s="397" t="s">
        <v>2753</v>
      </c>
      <c r="O428" s="418" t="s">
        <v>2751</v>
      </c>
      <c r="P428" s="538">
        <v>285.60000000000002</v>
      </c>
      <c r="Q428" s="538">
        <v>294.53999999999996</v>
      </c>
      <c r="R428" s="538">
        <f>SUM(P428:Q428)</f>
        <v>580.14</v>
      </c>
      <c r="S428" s="495">
        <f>R428*1.1</f>
        <v>638.154</v>
      </c>
      <c r="T428" s="539"/>
      <c r="U428" s="539"/>
      <c r="V428" s="389">
        <f>SUM(T428:U428)</f>
        <v>0</v>
      </c>
      <c r="W428" s="388">
        <f>R428-V428</f>
        <v>580.14</v>
      </c>
      <c r="X428" s="589">
        <f>W428/R428</f>
        <v>1</v>
      </c>
      <c r="Y428" s="544"/>
      <c r="Z428" s="536"/>
      <c r="AA428" s="544"/>
      <c r="AB428" s="393" t="s">
        <v>727</v>
      </c>
      <c r="AC428" s="392" t="s">
        <v>752</v>
      </c>
      <c r="AD428" s="392">
        <v>43223</v>
      </c>
      <c r="AE428" s="550"/>
      <c r="AF428" s="392">
        <v>43250</v>
      </c>
      <c r="AG428" s="546">
        <f>AF428-AD428</f>
        <v>27</v>
      </c>
      <c r="AJ428" s="553"/>
    </row>
    <row r="429" spans="1:36" s="218" customFormat="1" ht="14.25" customHeight="1">
      <c r="A429" s="545" t="s">
        <v>715</v>
      </c>
      <c r="B429" s="545" t="s">
        <v>541</v>
      </c>
      <c r="C429" s="386"/>
      <c r="D429" s="386"/>
      <c r="E429" s="392"/>
      <c r="F429" s="392">
        <v>43311</v>
      </c>
      <c r="G429" s="601"/>
      <c r="H429" s="752"/>
      <c r="I429" s="601"/>
      <c r="J429" s="601"/>
      <c r="K429" s="386"/>
      <c r="L429" s="392" t="str">
        <f>TEXT(F429,"mmm-yy")</f>
        <v>Jul-18</v>
      </c>
      <c r="M429" s="392" t="str">
        <f>TEXT(J429,"mmm-yy")</f>
        <v>Jan-00</v>
      </c>
      <c r="N429" s="429" t="s">
        <v>2758</v>
      </c>
      <c r="O429" s="418" t="s">
        <v>2759</v>
      </c>
      <c r="P429" s="538">
        <v>10564.933999999999</v>
      </c>
      <c r="Q429" s="538"/>
      <c r="R429" s="538">
        <f>SUM(P429:Q429)</f>
        <v>10564.933999999999</v>
      </c>
      <c r="S429" s="495">
        <f>R429*1.1</f>
        <v>11621.4274</v>
      </c>
      <c r="T429" s="539">
        <v>7339.16</v>
      </c>
      <c r="U429" s="539"/>
      <c r="V429" s="389">
        <f>SUM(T429:U429)</f>
        <v>7339.16</v>
      </c>
      <c r="W429" s="388">
        <f>R429-V429</f>
        <v>3225.7739999999994</v>
      </c>
      <c r="X429" s="589">
        <f>W429/R429</f>
        <v>0.30532836267599966</v>
      </c>
      <c r="Y429" s="544"/>
      <c r="Z429" s="536"/>
      <c r="AA429" s="544"/>
      <c r="AB429" s="393" t="s">
        <v>210</v>
      </c>
      <c r="AC429" s="392">
        <v>43221</v>
      </c>
      <c r="AD429" s="392">
        <v>43227</v>
      </c>
      <c r="AE429" s="689">
        <f>AD429-AC429</f>
        <v>6</v>
      </c>
      <c r="AF429" s="392">
        <v>43262</v>
      </c>
      <c r="AG429" s="546">
        <f>AF429-AD429</f>
        <v>35</v>
      </c>
      <c r="AJ429" s="553"/>
    </row>
    <row r="430" spans="1:36" s="218" customFormat="1" ht="14.25" customHeight="1">
      <c r="A430" s="586" t="s">
        <v>714</v>
      </c>
      <c r="B430" s="545" t="s">
        <v>190</v>
      </c>
      <c r="C430" s="386"/>
      <c r="D430" s="386"/>
      <c r="E430" s="392"/>
      <c r="F430" s="392">
        <v>43311</v>
      </c>
      <c r="G430" s="601"/>
      <c r="H430" s="752"/>
      <c r="I430" s="601"/>
      <c r="J430" s="601"/>
      <c r="K430" s="386"/>
      <c r="L430" s="392" t="str">
        <f>TEXT(F430,"mmm-yy")</f>
        <v>Jul-18</v>
      </c>
      <c r="M430" s="392" t="str">
        <f>TEXT(J430,"mmm-yy")</f>
        <v>Jan-00</v>
      </c>
      <c r="N430" s="397" t="s">
        <v>2760</v>
      </c>
      <c r="O430" s="418" t="s">
        <v>2761</v>
      </c>
      <c r="P430" s="538">
        <v>2570.4</v>
      </c>
      <c r="Q430" s="538"/>
      <c r="R430" s="538">
        <f>SUM(P430:Q430)</f>
        <v>2570.4</v>
      </c>
      <c r="S430" s="495">
        <f>R430*1.1</f>
        <v>2827.4400000000005</v>
      </c>
      <c r="T430" s="539"/>
      <c r="U430" s="539"/>
      <c r="V430" s="389">
        <f>SUM(T430:U430)</f>
        <v>0</v>
      </c>
      <c r="W430" s="388">
        <f>R430-V430</f>
        <v>2570.4</v>
      </c>
      <c r="X430" s="589">
        <f>W430/R430</f>
        <v>1</v>
      </c>
      <c r="Y430" s="544"/>
      <c r="Z430" s="536"/>
      <c r="AA430" s="544"/>
      <c r="AB430" s="393" t="s">
        <v>727</v>
      </c>
      <c r="AC430" s="392" t="s">
        <v>752</v>
      </c>
      <c r="AD430" s="392">
        <v>43227</v>
      </c>
      <c r="AE430" s="550"/>
      <c r="AF430" s="392">
        <v>43277</v>
      </c>
      <c r="AG430" s="546">
        <f>AF430-AD430</f>
        <v>50</v>
      </c>
      <c r="AJ430" s="553"/>
    </row>
    <row r="431" spans="1:36" s="218" customFormat="1" ht="14.25" customHeight="1">
      <c r="A431" s="586" t="s">
        <v>714</v>
      </c>
      <c r="B431" s="545" t="s">
        <v>190</v>
      </c>
      <c r="C431" s="386"/>
      <c r="D431" s="386"/>
      <c r="E431" s="392">
        <v>43285</v>
      </c>
      <c r="F431" s="392">
        <v>43285</v>
      </c>
      <c r="G431" s="601">
        <v>43290</v>
      </c>
      <c r="H431" s="752"/>
      <c r="I431" s="601">
        <f>F431+14</f>
        <v>43299</v>
      </c>
      <c r="J431" s="601">
        <f>I431+14</f>
        <v>43313</v>
      </c>
      <c r="K431" s="386"/>
      <c r="L431" s="392" t="str">
        <f>TEXT(F431,"mmm-yy")</f>
        <v>Jul-18</v>
      </c>
      <c r="M431" s="392" t="str">
        <f>TEXT(J431,"mmm-yy")</f>
        <v>Aug-18</v>
      </c>
      <c r="N431" s="397" t="s">
        <v>2762</v>
      </c>
      <c r="O431" s="418" t="s">
        <v>2763</v>
      </c>
      <c r="P431" s="538">
        <v>611.63</v>
      </c>
      <c r="Q431" s="538">
        <v>530.88</v>
      </c>
      <c r="R431" s="538">
        <f>SUM(P431:Q431)</f>
        <v>1142.51</v>
      </c>
      <c r="S431" s="495">
        <f>R431*1.1</f>
        <v>1256.7610000000002</v>
      </c>
      <c r="T431" s="539"/>
      <c r="U431" s="539"/>
      <c r="V431" s="389">
        <f>SUM(T431:U431)</f>
        <v>0</v>
      </c>
      <c r="W431" s="388">
        <f>R431-V431</f>
        <v>1142.51</v>
      </c>
      <c r="X431" s="589">
        <f>W431/R431</f>
        <v>1</v>
      </c>
      <c r="Y431" s="544"/>
      <c r="Z431" s="536"/>
      <c r="AA431" s="544"/>
      <c r="AB431" s="393" t="s">
        <v>210</v>
      </c>
      <c r="AC431" s="392" t="s">
        <v>752</v>
      </c>
      <c r="AD431" s="392">
        <v>43227</v>
      </c>
      <c r="AE431" s="550"/>
      <c r="AF431" s="392">
        <v>43314</v>
      </c>
      <c r="AG431" s="546">
        <f>AF431-AD431</f>
        <v>87</v>
      </c>
      <c r="AJ431" s="553"/>
    </row>
    <row r="432" spans="1:36" s="218" customFormat="1" ht="14.25" customHeight="1">
      <c r="A432" s="586" t="s">
        <v>2765</v>
      </c>
      <c r="B432" s="545" t="s">
        <v>190</v>
      </c>
      <c r="C432" s="386"/>
      <c r="D432" s="386"/>
      <c r="E432" s="392"/>
      <c r="F432" s="392">
        <v>43311</v>
      </c>
      <c r="G432" s="601"/>
      <c r="H432" s="752"/>
      <c r="I432" s="601"/>
      <c r="J432" s="601"/>
      <c r="K432" s="386"/>
      <c r="L432" s="392" t="str">
        <f>TEXT(F432,"mmm-yy")</f>
        <v>Jul-18</v>
      </c>
      <c r="M432" s="392" t="str">
        <f>TEXT(J432,"mmm-yy")</f>
        <v>Jan-00</v>
      </c>
      <c r="N432" s="397" t="s">
        <v>3010</v>
      </c>
      <c r="O432" s="418" t="s">
        <v>2766</v>
      </c>
      <c r="P432" s="538">
        <f>63.76*353+6000-P433</f>
        <v>19955.095999999998</v>
      </c>
      <c r="Q432" s="538"/>
      <c r="R432" s="538">
        <f>SUM(P432:Q432)</f>
        <v>19955.095999999998</v>
      </c>
      <c r="S432" s="495">
        <f>R432*1.1</f>
        <v>21950.605599999999</v>
      </c>
      <c r="T432" s="539">
        <v>3000</v>
      </c>
      <c r="U432" s="539">
        <v>3861.3399999999997</v>
      </c>
      <c r="V432" s="389">
        <f>SUM(T432:U432)</f>
        <v>6861.34</v>
      </c>
      <c r="W432" s="388">
        <f>R432-V432</f>
        <v>13093.755999999998</v>
      </c>
      <c r="X432" s="589">
        <f>W432/R432</f>
        <v>0.6561610127057268</v>
      </c>
      <c r="Y432" s="544"/>
      <c r="Z432" s="536"/>
      <c r="AA432" s="544"/>
      <c r="AB432" s="393" t="s">
        <v>2768</v>
      </c>
      <c r="AC432" s="392" t="s">
        <v>752</v>
      </c>
      <c r="AD432" s="691"/>
      <c r="AE432" s="692"/>
      <c r="AF432" s="691"/>
      <c r="AG432" s="693"/>
      <c r="AJ432" s="553"/>
    </row>
    <row r="433" spans="1:36" s="218" customFormat="1" ht="14.25" customHeight="1">
      <c r="A433" s="586" t="s">
        <v>2765</v>
      </c>
      <c r="B433" s="545" t="s">
        <v>190</v>
      </c>
      <c r="C433" s="386" t="s">
        <v>3196</v>
      </c>
      <c r="D433" s="386">
        <v>43265</v>
      </c>
      <c r="E433" s="691"/>
      <c r="F433" s="392">
        <v>43311</v>
      </c>
      <c r="G433" s="756"/>
      <c r="H433" s="757"/>
      <c r="I433" s="756"/>
      <c r="J433" s="601">
        <v>43265</v>
      </c>
      <c r="K433" s="386"/>
      <c r="L433" s="392" t="str">
        <f>TEXT(F433,"mmm-yy")</f>
        <v>Jul-18</v>
      </c>
      <c r="M433" s="392" t="str">
        <f>TEXT(J433,"mmm-yy")</f>
        <v>Jun-18</v>
      </c>
      <c r="N433" s="833" t="s">
        <v>3206</v>
      </c>
      <c r="O433" s="418" t="s">
        <v>2766</v>
      </c>
      <c r="P433" s="834">
        <v>8552.1839999999993</v>
      </c>
      <c r="Q433" s="538"/>
      <c r="R433" s="538">
        <f>SUM(P433:Q433)</f>
        <v>8552.1839999999993</v>
      </c>
      <c r="S433" s="495">
        <f>R433*1.1</f>
        <v>9407.4024000000009</v>
      </c>
      <c r="T433" s="539"/>
      <c r="U433" s="539"/>
      <c r="V433" s="389">
        <f>SUM(T433:U433)</f>
        <v>0</v>
      </c>
      <c r="W433" s="388">
        <f>R433-V433</f>
        <v>8552.1839999999993</v>
      </c>
      <c r="X433" s="589">
        <f>W433/R433</f>
        <v>1</v>
      </c>
      <c r="Y433" s="544"/>
      <c r="Z433" s="536"/>
      <c r="AA433" s="544"/>
      <c r="AB433" s="393" t="s">
        <v>2768</v>
      </c>
      <c r="AC433" s="392" t="s">
        <v>752</v>
      </c>
      <c r="AD433" s="691"/>
      <c r="AE433" s="692"/>
      <c r="AF433" s="691"/>
      <c r="AG433" s="693"/>
      <c r="AJ433" s="553"/>
    </row>
    <row r="434" spans="1:36" s="218" customFormat="1" ht="14.25" customHeight="1">
      <c r="A434" s="586" t="s">
        <v>2765</v>
      </c>
      <c r="B434" s="545" t="s">
        <v>190</v>
      </c>
      <c r="C434" s="386"/>
      <c r="D434" s="386"/>
      <c r="E434" s="392"/>
      <c r="F434" s="392">
        <v>43311</v>
      </c>
      <c r="G434" s="601"/>
      <c r="H434" s="752"/>
      <c r="I434" s="601"/>
      <c r="J434" s="601"/>
      <c r="K434" s="386"/>
      <c r="L434" s="392" t="str">
        <f>TEXT(F434,"mmm-yy")</f>
        <v>Jul-18</v>
      </c>
      <c r="M434" s="392" t="str">
        <f>TEXT(J434,"mmm-yy")</f>
        <v>Jan-00</v>
      </c>
      <c r="N434" s="397" t="s">
        <v>3053</v>
      </c>
      <c r="O434" s="418" t="s">
        <v>2767</v>
      </c>
      <c r="P434" s="538">
        <f>190*63.76+6000-P435</f>
        <v>12680.080000000002</v>
      </c>
      <c r="Q434" s="538"/>
      <c r="R434" s="538">
        <f>SUM(P434:Q434)</f>
        <v>12680.080000000002</v>
      </c>
      <c r="S434" s="495">
        <f>R434*1.1</f>
        <v>13948.088000000003</v>
      </c>
      <c r="T434" s="539">
        <v>9760</v>
      </c>
      <c r="U434" s="539"/>
      <c r="V434" s="389">
        <f>SUM(T434:U434)</f>
        <v>9760</v>
      </c>
      <c r="W434" s="388">
        <f>R434-V434</f>
        <v>2920.0800000000017</v>
      </c>
      <c r="X434" s="589">
        <f>W434/R434</f>
        <v>0.23028876789420896</v>
      </c>
      <c r="Y434" s="544"/>
      <c r="Z434" s="536"/>
      <c r="AA434" s="544"/>
      <c r="AB434" s="393" t="s">
        <v>2768</v>
      </c>
      <c r="AC434" s="392" t="s">
        <v>752</v>
      </c>
      <c r="AD434" s="691"/>
      <c r="AE434" s="692"/>
      <c r="AF434" s="691"/>
      <c r="AG434" s="693"/>
      <c r="AJ434" s="553"/>
    </row>
    <row r="435" spans="1:36" s="218" customFormat="1" ht="14.25" customHeight="1">
      <c r="A435" s="586" t="s">
        <v>2765</v>
      </c>
      <c r="B435" s="545" t="s">
        <v>190</v>
      </c>
      <c r="C435" s="386" t="s">
        <v>3199</v>
      </c>
      <c r="D435" s="386">
        <v>43265</v>
      </c>
      <c r="E435" s="691"/>
      <c r="F435" s="392">
        <v>43311</v>
      </c>
      <c r="G435" s="756"/>
      <c r="H435" s="757"/>
      <c r="I435" s="756"/>
      <c r="J435" s="601">
        <v>43265</v>
      </c>
      <c r="K435" s="386"/>
      <c r="L435" s="392" t="str">
        <f>TEXT(F435,"mmm-yy")</f>
        <v>Jul-18</v>
      </c>
      <c r="M435" s="392" t="str">
        <f>TEXT(J435,"mmm-yy")</f>
        <v>Jun-18</v>
      </c>
      <c r="N435" s="833" t="s">
        <v>3205</v>
      </c>
      <c r="O435" s="418" t="s">
        <v>2767</v>
      </c>
      <c r="P435" s="834">
        <v>5434.3200000000006</v>
      </c>
      <c r="Q435" s="538"/>
      <c r="R435" s="538">
        <f>SUM(P435:Q435)</f>
        <v>5434.3200000000006</v>
      </c>
      <c r="S435" s="495">
        <f>R435*1.1</f>
        <v>5977.7520000000013</v>
      </c>
      <c r="T435" s="539">
        <v>9760</v>
      </c>
      <c r="U435" s="539"/>
      <c r="V435" s="389">
        <f>SUM(T435:U435)</f>
        <v>9760</v>
      </c>
      <c r="W435" s="388">
        <f>R435-V435</f>
        <v>-4325.6799999999994</v>
      </c>
      <c r="X435" s="589">
        <f>W435/R435</f>
        <v>-0.79599287491351245</v>
      </c>
      <c r="Y435" s="544"/>
      <c r="Z435" s="536"/>
      <c r="AA435" s="544"/>
      <c r="AB435" s="393" t="s">
        <v>2768</v>
      </c>
      <c r="AC435" s="392" t="s">
        <v>752</v>
      </c>
      <c r="AD435" s="691"/>
      <c r="AE435" s="692"/>
      <c r="AF435" s="691"/>
      <c r="AG435" s="693"/>
      <c r="AJ435" s="553"/>
    </row>
    <row r="436" spans="1:36" s="218" customFormat="1" ht="14.25" customHeight="1">
      <c r="A436" s="586" t="s">
        <v>2765</v>
      </c>
      <c r="B436" s="545" t="s">
        <v>190</v>
      </c>
      <c r="C436" s="386"/>
      <c r="D436" s="386"/>
      <c r="E436" s="392"/>
      <c r="F436" s="392">
        <v>43311</v>
      </c>
      <c r="G436" s="601"/>
      <c r="H436" s="752"/>
      <c r="I436" s="601"/>
      <c r="J436" s="601"/>
      <c r="K436" s="386"/>
      <c r="L436" s="392" t="str">
        <f>TEXT(F436,"mmm-yy")</f>
        <v>Jul-18</v>
      </c>
      <c r="M436" s="392" t="str">
        <f>TEXT(J436,"mmm-yy")</f>
        <v>Jan-00</v>
      </c>
      <c r="N436" s="397" t="s">
        <v>3045</v>
      </c>
      <c r="O436" s="418" t="s">
        <v>2766</v>
      </c>
      <c r="P436" s="538">
        <f>220*63.76+6000-P437</f>
        <v>14019.039999999997</v>
      </c>
      <c r="Q436" s="538"/>
      <c r="R436" s="538">
        <f>SUM(P436:Q436)</f>
        <v>14019.039999999997</v>
      </c>
      <c r="S436" s="495">
        <f>R436*1.1</f>
        <v>15420.943999999998</v>
      </c>
      <c r="T436" s="539">
        <v>11080</v>
      </c>
      <c r="U436" s="539"/>
      <c r="V436" s="389">
        <f>SUM(T436:U436)</f>
        <v>11080</v>
      </c>
      <c r="W436" s="388">
        <f>R436-V436</f>
        <v>2939.0399999999972</v>
      </c>
      <c r="X436" s="589">
        <f>W436/R436</f>
        <v>0.20964630959038549</v>
      </c>
      <c r="Y436" s="544"/>
      <c r="Z436" s="536"/>
      <c r="AA436" s="544"/>
      <c r="AB436" s="393" t="s">
        <v>2768</v>
      </c>
      <c r="AC436" s="392" t="s">
        <v>752</v>
      </c>
      <c r="AD436" s="691"/>
      <c r="AE436" s="692"/>
      <c r="AF436" s="691"/>
      <c r="AG436" s="693"/>
      <c r="AJ436" s="553"/>
    </row>
    <row r="437" spans="1:36" s="218" customFormat="1" ht="14.25" customHeight="1">
      <c r="A437" s="586" t="s">
        <v>2765</v>
      </c>
      <c r="B437" s="545" t="s">
        <v>190</v>
      </c>
      <c r="C437" s="386" t="s">
        <v>3198</v>
      </c>
      <c r="D437" s="386">
        <v>43265</v>
      </c>
      <c r="E437" s="691"/>
      <c r="F437" s="392">
        <v>43311</v>
      </c>
      <c r="G437" s="756"/>
      <c r="H437" s="757"/>
      <c r="I437" s="756"/>
      <c r="J437" s="601">
        <v>43265</v>
      </c>
      <c r="K437" s="386"/>
      <c r="L437" s="392" t="str">
        <f>TEXT(F437,"mmm-yy")</f>
        <v>Jul-18</v>
      </c>
      <c r="M437" s="392" t="str">
        <f>TEXT(J437,"mmm-yy")</f>
        <v>Jun-18</v>
      </c>
      <c r="N437" s="833" t="s">
        <v>3204</v>
      </c>
      <c r="O437" s="418" t="s">
        <v>2766</v>
      </c>
      <c r="P437" s="834">
        <v>6008.1599999999989</v>
      </c>
      <c r="Q437" s="538"/>
      <c r="R437" s="538">
        <f>SUM(P437:Q437)</f>
        <v>6008.1599999999989</v>
      </c>
      <c r="S437" s="495">
        <f>R437*1.1</f>
        <v>6608.9759999999997</v>
      </c>
      <c r="T437" s="539">
        <v>11080</v>
      </c>
      <c r="U437" s="539"/>
      <c r="V437" s="389">
        <f>SUM(T437:U437)</f>
        <v>11080</v>
      </c>
      <c r="W437" s="388">
        <f>R437-V437</f>
        <v>-5071.8400000000011</v>
      </c>
      <c r="X437" s="589">
        <f>W437/R437</f>
        <v>-0.84415861095576716</v>
      </c>
      <c r="Y437" s="544"/>
      <c r="Z437" s="536"/>
      <c r="AA437" s="544"/>
      <c r="AB437" s="393" t="s">
        <v>2768</v>
      </c>
      <c r="AC437" s="392" t="s">
        <v>752</v>
      </c>
      <c r="AD437" s="691"/>
      <c r="AE437" s="692"/>
      <c r="AF437" s="691"/>
      <c r="AG437" s="693"/>
      <c r="AJ437" s="553"/>
    </row>
    <row r="438" spans="1:36" s="218" customFormat="1" ht="14.25" customHeight="1">
      <c r="A438" s="586" t="s">
        <v>2765</v>
      </c>
      <c r="B438" s="545" t="s">
        <v>190</v>
      </c>
      <c r="C438" s="386"/>
      <c r="D438" s="386"/>
      <c r="E438" s="392"/>
      <c r="F438" s="392">
        <v>43311</v>
      </c>
      <c r="G438" s="601"/>
      <c r="H438" s="752"/>
      <c r="I438" s="601"/>
      <c r="J438" s="601"/>
      <c r="K438" s="386"/>
      <c r="L438" s="392" t="str">
        <f>TEXT(F438,"mmm-yy")</f>
        <v>Jul-18</v>
      </c>
      <c r="M438" s="392" t="str">
        <f>TEXT(J438,"mmm-yy")</f>
        <v>Jan-00</v>
      </c>
      <c r="N438" s="397" t="s">
        <v>3022</v>
      </c>
      <c r="O438" s="418" t="s">
        <v>2766</v>
      </c>
      <c r="P438" s="538">
        <f>316*63.76+6000-P439</f>
        <v>18303.712</v>
      </c>
      <c r="Q438" s="538"/>
      <c r="R438" s="538">
        <f>SUM(P438:Q438)</f>
        <v>18303.712</v>
      </c>
      <c r="S438" s="495">
        <f>R438*1.1</f>
        <v>20134.083200000001</v>
      </c>
      <c r="T438" s="539">
        <v>15304</v>
      </c>
      <c r="U438" s="539"/>
      <c r="V438" s="389">
        <f>SUM(T438:U438)</f>
        <v>15304</v>
      </c>
      <c r="W438" s="388">
        <f>R438-V438</f>
        <v>2999.7119999999995</v>
      </c>
      <c r="X438" s="589">
        <f>W438/R438</f>
        <v>0.16388544575002051</v>
      </c>
      <c r="Y438" s="544"/>
      <c r="Z438" s="536"/>
      <c r="AA438" s="544"/>
      <c r="AB438" s="393" t="s">
        <v>2768</v>
      </c>
      <c r="AC438" s="392" t="s">
        <v>752</v>
      </c>
      <c r="AD438" s="691"/>
      <c r="AE438" s="692"/>
      <c r="AF438" s="691"/>
      <c r="AG438" s="693"/>
      <c r="AJ438" s="553"/>
    </row>
    <row r="439" spans="1:36" s="218" customFormat="1" ht="14.25" customHeight="1">
      <c r="A439" s="586" t="s">
        <v>2765</v>
      </c>
      <c r="B439" s="545" t="s">
        <v>190</v>
      </c>
      <c r="C439" s="386" t="s">
        <v>3197</v>
      </c>
      <c r="D439" s="386">
        <v>43265</v>
      </c>
      <c r="E439" s="691"/>
      <c r="F439" s="392">
        <v>43311</v>
      </c>
      <c r="G439" s="756"/>
      <c r="H439" s="757"/>
      <c r="I439" s="756"/>
      <c r="J439" s="601">
        <v>43265</v>
      </c>
      <c r="K439" s="386"/>
      <c r="L439" s="392" t="str">
        <f>TEXT(F439,"mmm-yy")</f>
        <v>Jul-18</v>
      </c>
      <c r="M439" s="392" t="str">
        <f>TEXT(J439,"mmm-yy")</f>
        <v>Jun-18</v>
      </c>
      <c r="N439" s="833" t="s">
        <v>3203</v>
      </c>
      <c r="O439" s="418" t="s">
        <v>2766</v>
      </c>
      <c r="P439" s="834">
        <v>7844.4479999999994</v>
      </c>
      <c r="Q439" s="538"/>
      <c r="R439" s="538">
        <f>SUM(P439:Q439)</f>
        <v>7844.4479999999994</v>
      </c>
      <c r="S439" s="495">
        <f>R439*1.1</f>
        <v>8628.8927999999996</v>
      </c>
      <c r="T439" s="539">
        <v>15304</v>
      </c>
      <c r="U439" s="539"/>
      <c r="V439" s="389">
        <f>SUM(T439:U439)</f>
        <v>15304</v>
      </c>
      <c r="W439" s="388">
        <f>R439-V439</f>
        <v>-7459.5520000000006</v>
      </c>
      <c r="X439" s="589">
        <f>W439/R439</f>
        <v>-0.95093395991661889</v>
      </c>
      <c r="Y439" s="544"/>
      <c r="Z439" s="536"/>
      <c r="AA439" s="544"/>
      <c r="AB439" s="393" t="s">
        <v>2768</v>
      </c>
      <c r="AC439" s="392" t="s">
        <v>752</v>
      </c>
      <c r="AD439" s="691"/>
      <c r="AE439" s="692"/>
      <c r="AF439" s="691"/>
      <c r="AG439" s="693"/>
      <c r="AJ439" s="553"/>
    </row>
    <row r="440" spans="1:36" s="218" customFormat="1" ht="14" customHeight="1">
      <c r="A440" s="586" t="s">
        <v>2765</v>
      </c>
      <c r="B440" s="545" t="s">
        <v>190</v>
      </c>
      <c r="C440" s="386"/>
      <c r="D440" s="386"/>
      <c r="E440" s="392"/>
      <c r="F440" s="392">
        <v>43311</v>
      </c>
      <c r="G440" s="601"/>
      <c r="H440" s="752"/>
      <c r="I440" s="601"/>
      <c r="J440" s="601"/>
      <c r="K440" s="386"/>
      <c r="L440" s="392" t="str">
        <f>TEXT(F440,"mmm-yy")</f>
        <v>Jul-18</v>
      </c>
      <c r="M440" s="392" t="str">
        <f>TEXT(J440,"mmm-yy")</f>
        <v>Jan-00</v>
      </c>
      <c r="N440" s="397" t="s">
        <v>3009</v>
      </c>
      <c r="O440" s="418" t="s">
        <v>2766</v>
      </c>
      <c r="P440" s="538">
        <f>63.74*268+6000-P441</f>
        <v>16157.624</v>
      </c>
      <c r="Q440" s="538"/>
      <c r="R440" s="538">
        <f>SUM(P440:Q440)</f>
        <v>16157.624</v>
      </c>
      <c r="S440" s="495">
        <f>R440*1.1</f>
        <v>17773.386399999999</v>
      </c>
      <c r="T440" s="539">
        <v>12840</v>
      </c>
      <c r="U440" s="539"/>
      <c r="V440" s="389">
        <f>SUM(T440:U440)</f>
        <v>12840</v>
      </c>
      <c r="W440" s="388">
        <f>R440-V440</f>
        <v>3317.6239999999998</v>
      </c>
      <c r="X440" s="589">
        <f>W440/R440</f>
        <v>0.20532870426988523</v>
      </c>
      <c r="Y440" s="544"/>
      <c r="Z440" s="536"/>
      <c r="AA440" s="544"/>
      <c r="AB440" s="393" t="s">
        <v>2768</v>
      </c>
      <c r="AC440" s="392" t="s">
        <v>752</v>
      </c>
      <c r="AD440" s="691"/>
      <c r="AE440" s="692"/>
      <c r="AF440" s="691"/>
      <c r="AG440" s="693"/>
      <c r="AJ440" s="553"/>
    </row>
    <row r="441" spans="1:36" s="218" customFormat="1" ht="14" customHeight="1">
      <c r="A441" s="586" t="s">
        <v>2765</v>
      </c>
      <c r="B441" s="545" t="s">
        <v>190</v>
      </c>
      <c r="C441" s="386" t="s">
        <v>3195</v>
      </c>
      <c r="D441" s="386">
        <v>43265</v>
      </c>
      <c r="E441" s="691"/>
      <c r="F441" s="392">
        <v>43311</v>
      </c>
      <c r="G441" s="756"/>
      <c r="H441" s="757"/>
      <c r="I441" s="756"/>
      <c r="J441" s="601">
        <v>43265</v>
      </c>
      <c r="K441" s="386"/>
      <c r="L441" s="392" t="str">
        <f>TEXT(F441,"mmm-yy")</f>
        <v>Jul-18</v>
      </c>
      <c r="M441" s="392" t="str">
        <f>TEXT(J441,"mmm-yy")</f>
        <v>Jun-18</v>
      </c>
      <c r="N441" s="833" t="s">
        <v>3202</v>
      </c>
      <c r="O441" s="418" t="s">
        <v>2766</v>
      </c>
      <c r="P441" s="834">
        <v>6924.6959999999999</v>
      </c>
      <c r="Q441" s="538"/>
      <c r="R441" s="538">
        <f>SUM(P441:Q441)</f>
        <v>6924.6959999999999</v>
      </c>
      <c r="S441" s="495">
        <f>R441*1.1</f>
        <v>7617.1656000000003</v>
      </c>
      <c r="T441" s="539">
        <v>12840</v>
      </c>
      <c r="U441" s="539"/>
      <c r="V441" s="389">
        <f>SUM(T441:U441)</f>
        <v>12840</v>
      </c>
      <c r="W441" s="388">
        <f>R441-V441</f>
        <v>-5915.3040000000001</v>
      </c>
      <c r="X441" s="589">
        <f>W441/R441</f>
        <v>-0.85423302337026785</v>
      </c>
      <c r="Y441" s="544"/>
      <c r="Z441" s="536"/>
      <c r="AA441" s="544"/>
      <c r="AB441" s="393" t="s">
        <v>2768</v>
      </c>
      <c r="AC441" s="392" t="s">
        <v>752</v>
      </c>
      <c r="AD441" s="691"/>
      <c r="AE441" s="692"/>
      <c r="AF441" s="691"/>
      <c r="AG441" s="693"/>
      <c r="AJ441" s="553"/>
    </row>
    <row r="442" spans="1:36" s="218" customFormat="1" ht="14.25" customHeight="1">
      <c r="A442" s="586" t="s">
        <v>2765</v>
      </c>
      <c r="B442" s="545" t="s">
        <v>190</v>
      </c>
      <c r="C442" s="386"/>
      <c r="D442" s="386"/>
      <c r="E442" s="392"/>
      <c r="F442" s="392">
        <v>43311</v>
      </c>
      <c r="G442" s="601"/>
      <c r="H442" s="752"/>
      <c r="I442" s="601"/>
      <c r="J442" s="601"/>
      <c r="K442" s="386"/>
      <c r="L442" s="392" t="str">
        <f>TEXT(F442,"mmm-yy")</f>
        <v>Jul-18</v>
      </c>
      <c r="M442" s="392" t="str">
        <f>TEXT(J442,"mmm-yy")</f>
        <v>Jan-00</v>
      </c>
      <c r="N442" s="397" t="s">
        <v>3046</v>
      </c>
      <c r="O442" s="418" t="s">
        <v>2766</v>
      </c>
      <c r="P442" s="538">
        <f>63.74*749+6000-P443</f>
        <v>37618.881999999998</v>
      </c>
      <c r="Q442" s="538"/>
      <c r="R442" s="538">
        <f>SUM(P442:Q442)</f>
        <v>37618.881999999998</v>
      </c>
      <c r="S442" s="495">
        <f>R442*1.1</f>
        <v>41380.770199999999</v>
      </c>
      <c r="T442" s="539">
        <v>34356</v>
      </c>
      <c r="U442" s="539"/>
      <c r="V442" s="389">
        <f>SUM(T442:U442)</f>
        <v>34356</v>
      </c>
      <c r="W442" s="388">
        <f>R442-V442</f>
        <v>3262.8819999999978</v>
      </c>
      <c r="X442" s="589">
        <f>W442/R442</f>
        <v>8.6735219829233573E-2</v>
      </c>
      <c r="Y442" s="544"/>
      <c r="Z442" s="536"/>
      <c r="AA442" s="544"/>
      <c r="AB442" s="393" t="s">
        <v>2768</v>
      </c>
      <c r="AC442" s="392" t="s">
        <v>752</v>
      </c>
      <c r="AD442" s="691"/>
      <c r="AE442" s="692"/>
      <c r="AF442" s="691"/>
      <c r="AG442" s="693"/>
      <c r="AJ442" s="553"/>
    </row>
    <row r="443" spans="1:36" s="218" customFormat="1" ht="14.25" customHeight="1">
      <c r="A443" s="586" t="s">
        <v>2765</v>
      </c>
      <c r="B443" s="545" t="s">
        <v>190</v>
      </c>
      <c r="C443" s="386" t="s">
        <v>3200</v>
      </c>
      <c r="D443" s="386">
        <v>43265</v>
      </c>
      <c r="E443" s="691"/>
      <c r="F443" s="392">
        <v>43311</v>
      </c>
      <c r="G443" s="756"/>
      <c r="H443" s="757"/>
      <c r="I443" s="756"/>
      <c r="J443" s="601">
        <v>43265</v>
      </c>
      <c r="K443" s="386"/>
      <c r="L443" s="392" t="str">
        <f>TEXT(F443,"mmm-yy")</f>
        <v>Jul-18</v>
      </c>
      <c r="M443" s="392" t="str">
        <f>TEXT(J443,"mmm-yy")</f>
        <v>Jun-18</v>
      </c>
      <c r="N443" s="833" t="s">
        <v>3201</v>
      </c>
      <c r="O443" s="418" t="s">
        <v>2766</v>
      </c>
      <c r="P443" s="834">
        <v>16122.378000000001</v>
      </c>
      <c r="Q443" s="538"/>
      <c r="R443" s="538">
        <f>SUM(P443:Q443)</f>
        <v>16122.378000000001</v>
      </c>
      <c r="S443" s="495">
        <f>R443*1.1</f>
        <v>17734.615800000003</v>
      </c>
      <c r="T443" s="539">
        <v>34356</v>
      </c>
      <c r="U443" s="539"/>
      <c r="V443" s="389">
        <f>SUM(T443:U443)</f>
        <v>34356</v>
      </c>
      <c r="W443" s="388">
        <f>R443-V443</f>
        <v>-18233.621999999999</v>
      </c>
      <c r="X443" s="589">
        <f>W443/R443</f>
        <v>-1.1309511537317882</v>
      </c>
      <c r="Y443" s="544"/>
      <c r="Z443" s="536"/>
      <c r="AA443" s="544"/>
      <c r="AB443" s="393" t="s">
        <v>2768</v>
      </c>
      <c r="AC443" s="392" t="s">
        <v>752</v>
      </c>
      <c r="AD443" s="691"/>
      <c r="AE443" s="692"/>
      <c r="AF443" s="691"/>
      <c r="AG443" s="693"/>
      <c r="AJ443" s="553"/>
    </row>
    <row r="444" spans="1:36" s="218" customFormat="1" ht="14.25" customHeight="1">
      <c r="A444" s="586" t="s">
        <v>2765</v>
      </c>
      <c r="B444" s="545" t="s">
        <v>190</v>
      </c>
      <c r="C444" s="386"/>
      <c r="D444" s="386"/>
      <c r="E444" s="392"/>
      <c r="F444" s="392">
        <v>43311</v>
      </c>
      <c r="G444" s="601"/>
      <c r="H444" s="752"/>
      <c r="I444" s="601"/>
      <c r="J444" s="601"/>
      <c r="K444" s="386"/>
      <c r="L444" s="392" t="str">
        <f>TEXT(F444,"mmm-yy")</f>
        <v>Jul-18</v>
      </c>
      <c r="M444" s="392" t="str">
        <f>TEXT(J444,"mmm-yy")</f>
        <v>Jan-00</v>
      </c>
      <c r="N444" s="397" t="s">
        <v>2893</v>
      </c>
      <c r="O444" s="418" t="s">
        <v>2894</v>
      </c>
      <c r="P444" s="538">
        <f>74.47*106+6500+950</f>
        <v>15343.82</v>
      </c>
      <c r="Q444" s="538"/>
      <c r="R444" s="538">
        <f>SUM(P444:Q444)</f>
        <v>15343.82</v>
      </c>
      <c r="S444" s="495">
        <f>R444*1.1</f>
        <v>16878.202000000001</v>
      </c>
      <c r="T444" s="539">
        <v>9325.25</v>
      </c>
      <c r="U444" s="539"/>
      <c r="V444" s="389">
        <f>SUM(T444:U444)</f>
        <v>9325.25</v>
      </c>
      <c r="W444" s="388">
        <f>R444-V444</f>
        <v>6018.57</v>
      </c>
      <c r="X444" s="589">
        <f>W444/R444</f>
        <v>0.39224717182552976</v>
      </c>
      <c r="Y444" s="544"/>
      <c r="Z444" s="536"/>
      <c r="AA444" s="544"/>
      <c r="AB444" s="393" t="s">
        <v>2768</v>
      </c>
      <c r="AC444" s="392" t="s">
        <v>752</v>
      </c>
      <c r="AD444" s="691"/>
      <c r="AE444" s="692"/>
      <c r="AF444" s="691"/>
      <c r="AG444" s="693"/>
      <c r="AJ444" s="553"/>
    </row>
    <row r="445" spans="1:36" s="218" customFormat="1" ht="14.25" customHeight="1">
      <c r="A445" s="586" t="s">
        <v>2765</v>
      </c>
      <c r="B445" s="545" t="s">
        <v>190</v>
      </c>
      <c r="C445" s="386"/>
      <c r="D445" s="386"/>
      <c r="E445" s="392"/>
      <c r="F445" s="392">
        <v>43311</v>
      </c>
      <c r="G445" s="601"/>
      <c r="H445" s="752"/>
      <c r="I445" s="601"/>
      <c r="J445" s="601"/>
      <c r="K445" s="386"/>
      <c r="L445" s="392" t="str">
        <f>TEXT(F445,"mmm-yy")</f>
        <v>Jul-18</v>
      </c>
      <c r="M445" s="392" t="str">
        <f>TEXT(J445,"mmm-yy")</f>
        <v>Jan-00</v>
      </c>
      <c r="N445" s="397" t="s">
        <v>2895</v>
      </c>
      <c r="O445" s="418" t="s">
        <v>2896</v>
      </c>
      <c r="P445" s="538">
        <f>74*142+6500+950</f>
        <v>17958</v>
      </c>
      <c r="Q445" s="538"/>
      <c r="R445" s="538">
        <f>SUM(P445:Q445)</f>
        <v>17958</v>
      </c>
      <c r="S445" s="495">
        <f>R445*1.1</f>
        <v>19753.800000000003</v>
      </c>
      <c r="T445" s="539">
        <v>10256.5</v>
      </c>
      <c r="U445" s="539"/>
      <c r="V445" s="389">
        <f>SUM(T445:U445)</f>
        <v>10256.5</v>
      </c>
      <c r="W445" s="388">
        <f>R445-V445</f>
        <v>7701.5</v>
      </c>
      <c r="X445" s="589">
        <f>W445/R445</f>
        <v>0.42886178861788615</v>
      </c>
      <c r="Y445" s="544"/>
      <c r="Z445" s="536"/>
      <c r="AA445" s="544"/>
      <c r="AB445" s="393" t="s">
        <v>2768</v>
      </c>
      <c r="AC445" s="392" t="s">
        <v>752</v>
      </c>
      <c r="AD445" s="691"/>
      <c r="AE445" s="692"/>
      <c r="AF445" s="691"/>
      <c r="AG445" s="693"/>
      <c r="AJ445" s="553"/>
    </row>
    <row r="446" spans="1:36" s="218" customFormat="1" ht="14.25" customHeight="1">
      <c r="A446" s="586" t="s">
        <v>2765</v>
      </c>
      <c r="B446" s="545" t="s">
        <v>190</v>
      </c>
      <c r="C446" s="386"/>
      <c r="D446" s="386"/>
      <c r="E446" s="392"/>
      <c r="F446" s="392">
        <v>43311</v>
      </c>
      <c r="G446" s="601"/>
      <c r="H446" s="752"/>
      <c r="I446" s="601"/>
      <c r="J446" s="601"/>
      <c r="K446" s="386"/>
      <c r="L446" s="392" t="str">
        <f>TEXT(F446,"mmm-yy")</f>
        <v>Jul-18</v>
      </c>
      <c r="M446" s="392" t="str">
        <f>TEXT(J446,"mmm-yy")</f>
        <v>Jan-00</v>
      </c>
      <c r="N446" s="397" t="s">
        <v>2897</v>
      </c>
      <c r="O446" s="418" t="s">
        <v>2898</v>
      </c>
      <c r="P446" s="538">
        <f>74.47*62+6500+950</f>
        <v>12067.14</v>
      </c>
      <c r="Q446" s="538"/>
      <c r="R446" s="538">
        <f>SUM(P446:Q446)</f>
        <v>12067.14</v>
      </c>
      <c r="S446" s="495">
        <f>R446*1.1</f>
        <v>13273.854000000001</v>
      </c>
      <c r="T446" s="539">
        <v>5136.5</v>
      </c>
      <c r="U446" s="539"/>
      <c r="V446" s="389">
        <f>SUM(T446:U446)</f>
        <v>5136.5</v>
      </c>
      <c r="W446" s="388">
        <f>R446-V446</f>
        <v>6930.6399999999994</v>
      </c>
      <c r="X446" s="589">
        <f>W446/R446</f>
        <v>0.57433990158397097</v>
      </c>
      <c r="Y446" s="544"/>
      <c r="Z446" s="536"/>
      <c r="AA446" s="544"/>
      <c r="AB446" s="393" t="s">
        <v>2768</v>
      </c>
      <c r="AC446" s="392" t="s">
        <v>752</v>
      </c>
      <c r="AD446" s="691"/>
      <c r="AE446" s="692"/>
      <c r="AF446" s="691"/>
      <c r="AG446" s="693"/>
      <c r="AJ446" s="553"/>
    </row>
    <row r="447" spans="1:36" s="218" customFormat="1" ht="14.25" customHeight="1">
      <c r="A447" s="586" t="s">
        <v>2765</v>
      </c>
      <c r="B447" s="545" t="s">
        <v>190</v>
      </c>
      <c r="C447" s="386"/>
      <c r="D447" s="386"/>
      <c r="E447" s="392"/>
      <c r="F447" s="392">
        <v>43311</v>
      </c>
      <c r="G447" s="601"/>
      <c r="H447" s="752"/>
      <c r="I447" s="601"/>
      <c r="J447" s="601"/>
      <c r="K447" s="386"/>
      <c r="L447" s="392" t="str">
        <f>TEXT(F447,"mmm-yy")</f>
        <v>Jul-18</v>
      </c>
      <c r="M447" s="392" t="str">
        <f>TEXT(J447,"mmm-yy")</f>
        <v>Jan-00</v>
      </c>
      <c r="N447" s="397" t="s">
        <v>2899</v>
      </c>
      <c r="O447" s="418" t="s">
        <v>2900</v>
      </c>
      <c r="P447" s="538">
        <f>74.47*10+1000+950</f>
        <v>2694.7</v>
      </c>
      <c r="Q447" s="538"/>
      <c r="R447" s="538">
        <f>SUM(P447:Q447)</f>
        <v>2694.7</v>
      </c>
      <c r="S447" s="495">
        <f>R447*1.1</f>
        <v>2964.17</v>
      </c>
      <c r="T447" s="539">
        <v>1151</v>
      </c>
      <c r="U447" s="539"/>
      <c r="V447" s="389">
        <f>SUM(T447:U447)</f>
        <v>1151</v>
      </c>
      <c r="W447" s="388">
        <f>R447-V447</f>
        <v>1543.6999999999998</v>
      </c>
      <c r="X447" s="589">
        <f>W447/R447</f>
        <v>0.57286525401714472</v>
      </c>
      <c r="Y447" s="544"/>
      <c r="Z447" s="536"/>
      <c r="AA447" s="544"/>
      <c r="AB447" s="393" t="s">
        <v>2768</v>
      </c>
      <c r="AC447" s="392" t="s">
        <v>752</v>
      </c>
      <c r="AD447" s="691"/>
      <c r="AE447" s="692"/>
      <c r="AF447" s="691"/>
      <c r="AG447" s="693"/>
      <c r="AJ447" s="553"/>
    </row>
    <row r="448" spans="1:36" s="218" customFormat="1" ht="14.25" customHeight="1">
      <c r="A448" s="586" t="s">
        <v>2765</v>
      </c>
      <c r="B448" s="545" t="s">
        <v>190</v>
      </c>
      <c r="C448" s="386"/>
      <c r="D448" s="386"/>
      <c r="E448" s="392"/>
      <c r="F448" s="392">
        <v>43311</v>
      </c>
      <c r="G448" s="601"/>
      <c r="H448" s="752"/>
      <c r="I448" s="601"/>
      <c r="J448" s="601"/>
      <c r="K448" s="386"/>
      <c r="L448" s="392" t="str">
        <f>TEXT(F448,"mmm-yy")</f>
        <v>Jul-18</v>
      </c>
      <c r="M448" s="392" t="str">
        <f>TEXT(J448,"mmm-yy")</f>
        <v>Jan-00</v>
      </c>
      <c r="N448" s="397" t="s">
        <v>2901</v>
      </c>
      <c r="O448" s="418" t="s">
        <v>2818</v>
      </c>
      <c r="P448" s="538">
        <f>63.74*226+5500</f>
        <v>19905.239999999998</v>
      </c>
      <c r="Q448" s="538"/>
      <c r="R448" s="538">
        <f>SUM(P448:Q448)</f>
        <v>19905.239999999998</v>
      </c>
      <c r="S448" s="495">
        <f>R448*1.1</f>
        <v>21895.763999999999</v>
      </c>
      <c r="T448" s="539">
        <v>9452</v>
      </c>
      <c r="U448" s="539"/>
      <c r="V448" s="389">
        <f>SUM(T448:U448)</f>
        <v>9452</v>
      </c>
      <c r="W448" s="388">
        <f>R448-V448</f>
        <v>10453.239999999998</v>
      </c>
      <c r="X448" s="589">
        <f>W448/R448</f>
        <v>0.52515016146502125</v>
      </c>
      <c r="Y448" s="544"/>
      <c r="Z448" s="536"/>
      <c r="AA448" s="544"/>
      <c r="AB448" s="393" t="s">
        <v>2768</v>
      </c>
      <c r="AC448" s="392" t="s">
        <v>752</v>
      </c>
      <c r="AD448" s="691"/>
      <c r="AE448" s="692"/>
      <c r="AF448" s="691"/>
      <c r="AG448" s="693"/>
      <c r="AJ448" s="553"/>
    </row>
    <row r="449" spans="1:36" s="218" customFormat="1" ht="14.25" customHeight="1">
      <c r="A449" s="586" t="s">
        <v>2765</v>
      </c>
      <c r="B449" s="545" t="s">
        <v>190</v>
      </c>
      <c r="C449" s="386"/>
      <c r="D449" s="386"/>
      <c r="E449" s="392"/>
      <c r="F449" s="392">
        <v>43311</v>
      </c>
      <c r="G449" s="601"/>
      <c r="H449" s="752"/>
      <c r="I449" s="601"/>
      <c r="J449" s="601"/>
      <c r="K449" s="386"/>
      <c r="L449" s="392" t="str">
        <f>TEXT(F449,"mmm-yy")</f>
        <v>Jul-18</v>
      </c>
      <c r="M449" s="392" t="str">
        <f>TEXT(J449,"mmm-yy")</f>
        <v>Jan-00</v>
      </c>
      <c r="N449" s="397" t="s">
        <v>2902</v>
      </c>
      <c r="O449" s="418" t="s">
        <v>2903</v>
      </c>
      <c r="P449" s="538">
        <f>74.47*15+1000+950</f>
        <v>3067.05</v>
      </c>
      <c r="Q449" s="538"/>
      <c r="R449" s="538">
        <f>SUM(P449:Q449)</f>
        <v>3067.05</v>
      </c>
      <c r="S449" s="495">
        <f>R449*1.1</f>
        <v>3373.7550000000006</v>
      </c>
      <c r="T449" s="539">
        <v>1782.5</v>
      </c>
      <c r="U449" s="539"/>
      <c r="V449" s="389">
        <f>SUM(T449:U449)</f>
        <v>1782.5</v>
      </c>
      <c r="W449" s="388">
        <f>R449-V449</f>
        <v>1284.5500000000002</v>
      </c>
      <c r="X449" s="589">
        <f>W449/R449</f>
        <v>0.41882264716910389</v>
      </c>
      <c r="Y449" s="544"/>
      <c r="Z449" s="536"/>
      <c r="AA449" s="544"/>
      <c r="AB449" s="393" t="s">
        <v>2768</v>
      </c>
      <c r="AC449" s="392" t="s">
        <v>752</v>
      </c>
      <c r="AD449" s="691"/>
      <c r="AE449" s="692"/>
      <c r="AF449" s="691"/>
      <c r="AG449" s="693"/>
      <c r="AJ449" s="553"/>
    </row>
    <row r="450" spans="1:36" s="218" customFormat="1" ht="14.25" customHeight="1">
      <c r="A450" s="586" t="s">
        <v>2765</v>
      </c>
      <c r="B450" s="545" t="s">
        <v>190</v>
      </c>
      <c r="C450" s="386"/>
      <c r="D450" s="386"/>
      <c r="E450" s="392"/>
      <c r="F450" s="392">
        <v>43311</v>
      </c>
      <c r="G450" s="601"/>
      <c r="H450" s="752"/>
      <c r="I450" s="601"/>
      <c r="J450" s="601"/>
      <c r="K450" s="386"/>
      <c r="L450" s="392" t="str">
        <f>TEXT(F450,"mmm-yy")</f>
        <v>Jul-18</v>
      </c>
      <c r="M450" s="392" t="str">
        <f>TEXT(J450,"mmm-yy")</f>
        <v>Jan-00</v>
      </c>
      <c r="N450" s="397" t="s">
        <v>3146</v>
      </c>
      <c r="O450" s="418" t="s">
        <v>2905</v>
      </c>
      <c r="P450" s="538">
        <f>74.47*46+6000+950</f>
        <v>10375.619999999999</v>
      </c>
      <c r="Q450" s="538"/>
      <c r="R450" s="538">
        <f>SUM(P450:Q450)</f>
        <v>10375.619999999999</v>
      </c>
      <c r="S450" s="495">
        <f>R450*1.1</f>
        <v>11413.182000000001</v>
      </c>
      <c r="T450" s="539">
        <v>2088.5</v>
      </c>
      <c r="U450" s="539"/>
      <c r="V450" s="389">
        <f>SUM(T450:U450)</f>
        <v>2088.5</v>
      </c>
      <c r="W450" s="388">
        <f>R450-V450</f>
        <v>8287.119999999999</v>
      </c>
      <c r="X450" s="589">
        <f>W450/R450</f>
        <v>0.79871082402786531</v>
      </c>
      <c r="Y450" s="544"/>
      <c r="Z450" s="536"/>
      <c r="AA450" s="544"/>
      <c r="AB450" s="393" t="s">
        <v>2768</v>
      </c>
      <c r="AC450" s="392" t="s">
        <v>752</v>
      </c>
      <c r="AD450" s="691"/>
      <c r="AE450" s="692"/>
      <c r="AF450" s="691"/>
      <c r="AG450" s="693"/>
      <c r="AJ450" s="553"/>
    </row>
    <row r="451" spans="1:36" s="218" customFormat="1" ht="14.25" customHeight="1">
      <c r="A451" s="586" t="s">
        <v>2765</v>
      </c>
      <c r="B451" s="545" t="s">
        <v>190</v>
      </c>
      <c r="C451" s="386"/>
      <c r="D451" s="386"/>
      <c r="E451" s="392"/>
      <c r="F451" s="392">
        <v>43311</v>
      </c>
      <c r="G451" s="601"/>
      <c r="H451" s="752"/>
      <c r="I451" s="601"/>
      <c r="J451" s="601"/>
      <c r="K451" s="386"/>
      <c r="L451" s="392" t="str">
        <f>TEXT(F451,"mmm-yy")</f>
        <v>Jul-18</v>
      </c>
      <c r="M451" s="392" t="str">
        <f>TEXT(J451,"mmm-yy")</f>
        <v>Jan-00</v>
      </c>
      <c r="N451" s="397" t="s">
        <v>3147</v>
      </c>
      <c r="O451" s="418" t="s">
        <v>2907</v>
      </c>
      <c r="P451" s="538">
        <f>74.47*46+6000+950</f>
        <v>10375.619999999999</v>
      </c>
      <c r="Q451" s="538"/>
      <c r="R451" s="538">
        <f>SUM(P451:Q451)</f>
        <v>10375.619999999999</v>
      </c>
      <c r="S451" s="495">
        <f>R451*1.1</f>
        <v>11413.182000000001</v>
      </c>
      <c r="T451" s="539">
        <v>4926.5</v>
      </c>
      <c r="U451" s="539"/>
      <c r="V451" s="389">
        <f>SUM(T451:U451)</f>
        <v>4926.5</v>
      </c>
      <c r="W451" s="388">
        <f>R451-V451</f>
        <v>5449.119999999999</v>
      </c>
      <c r="X451" s="589">
        <f>W451/R451</f>
        <v>0.5251850009927117</v>
      </c>
      <c r="Y451" s="544"/>
      <c r="Z451" s="536"/>
      <c r="AA451" s="544"/>
      <c r="AB451" s="393" t="s">
        <v>2768</v>
      </c>
      <c r="AC451" s="392" t="s">
        <v>752</v>
      </c>
      <c r="AD451" s="691"/>
      <c r="AE451" s="692"/>
      <c r="AF451" s="691"/>
      <c r="AG451" s="693"/>
      <c r="AJ451" s="553"/>
    </row>
    <row r="452" spans="1:36" s="218" customFormat="1" ht="14.25" customHeight="1">
      <c r="A452" s="586" t="s">
        <v>2765</v>
      </c>
      <c r="B452" s="545" t="s">
        <v>190</v>
      </c>
      <c r="C452" s="386"/>
      <c r="D452" s="386"/>
      <c r="E452" s="392"/>
      <c r="F452" s="392">
        <v>43311</v>
      </c>
      <c r="G452" s="601"/>
      <c r="H452" s="752"/>
      <c r="I452" s="601"/>
      <c r="J452" s="601"/>
      <c r="K452" s="386"/>
      <c r="L452" s="392" t="str">
        <f>TEXT(F452,"mmm-yy")</f>
        <v>Jul-18</v>
      </c>
      <c r="M452" s="392" t="str">
        <f>TEXT(J452,"mmm-yy")</f>
        <v>Jan-00</v>
      </c>
      <c r="N452" s="397" t="s">
        <v>3148</v>
      </c>
      <c r="O452" s="418" t="s">
        <v>2909</v>
      </c>
      <c r="P452" s="538">
        <f>74*28+6000+950</f>
        <v>9022</v>
      </c>
      <c r="Q452" s="538"/>
      <c r="R452" s="538">
        <f>SUM(P452:Q452)</f>
        <v>9022</v>
      </c>
      <c r="S452" s="495">
        <f>R452*1.1</f>
        <v>9924.2000000000007</v>
      </c>
      <c r="T452" s="539">
        <v>2547.5</v>
      </c>
      <c r="U452" s="539"/>
      <c r="V452" s="389">
        <f>SUM(T452:U452)</f>
        <v>2547.5</v>
      </c>
      <c r="W452" s="388">
        <f>R452-V452</f>
        <v>6474.5</v>
      </c>
      <c r="X452" s="589">
        <f>W452/R452</f>
        <v>0.71763467080469967</v>
      </c>
      <c r="Y452" s="544"/>
      <c r="Z452" s="536"/>
      <c r="AA452" s="544"/>
      <c r="AB452" s="393" t="s">
        <v>2768</v>
      </c>
      <c r="AC452" s="392" t="s">
        <v>752</v>
      </c>
      <c r="AD452" s="691"/>
      <c r="AE452" s="692"/>
      <c r="AF452" s="691"/>
      <c r="AG452" s="693"/>
      <c r="AJ452" s="553"/>
    </row>
    <row r="453" spans="1:36" s="218" customFormat="1" ht="14.25" customHeight="1">
      <c r="A453" s="586" t="s">
        <v>2765</v>
      </c>
      <c r="B453" s="545" t="s">
        <v>190</v>
      </c>
      <c r="C453" s="386"/>
      <c r="D453" s="386"/>
      <c r="E453" s="392"/>
      <c r="F453" s="392">
        <v>43311</v>
      </c>
      <c r="G453" s="601"/>
      <c r="H453" s="752"/>
      <c r="I453" s="601"/>
      <c r="J453" s="601"/>
      <c r="K453" s="386"/>
      <c r="L453" s="392" t="str">
        <f>TEXT(F453,"mmm-yy")</f>
        <v>Jul-18</v>
      </c>
      <c r="M453" s="392" t="str">
        <f>TEXT(J453,"mmm-yy")</f>
        <v>Jan-00</v>
      </c>
      <c r="N453" s="397" t="s">
        <v>2910</v>
      </c>
      <c r="O453" s="418" t="s">
        <v>2766</v>
      </c>
      <c r="P453" s="538">
        <f>63.74*15+5500</f>
        <v>6456.1</v>
      </c>
      <c r="Q453" s="538"/>
      <c r="R453" s="538">
        <f>SUM(P453:Q453)</f>
        <v>6456.1</v>
      </c>
      <c r="S453" s="495">
        <f>R453*1.1</f>
        <v>7101.7100000000009</v>
      </c>
      <c r="T453" s="539"/>
      <c r="U453" s="539"/>
      <c r="V453" s="389">
        <f>SUM(T453:U453)</f>
        <v>0</v>
      </c>
      <c r="W453" s="388">
        <f>R453-V453</f>
        <v>6456.1</v>
      </c>
      <c r="X453" s="589">
        <f>W453/R453</f>
        <v>1</v>
      </c>
      <c r="Y453" s="544"/>
      <c r="Z453" s="536"/>
      <c r="AA453" s="544"/>
      <c r="AB453" s="393" t="s">
        <v>2768</v>
      </c>
      <c r="AC453" s="392" t="s">
        <v>752</v>
      </c>
      <c r="AD453" s="691"/>
      <c r="AE453" s="692"/>
      <c r="AF453" s="691"/>
      <c r="AG453" s="693"/>
      <c r="AJ453" s="553"/>
    </row>
    <row r="454" spans="1:36" s="218" customFormat="1" ht="14.25" customHeight="1">
      <c r="A454" s="586" t="s">
        <v>714</v>
      </c>
      <c r="B454" s="545" t="s">
        <v>723</v>
      </c>
      <c r="C454" s="386" t="s">
        <v>3338</v>
      </c>
      <c r="D454" s="386">
        <v>43287</v>
      </c>
      <c r="E454" s="392">
        <v>43258</v>
      </c>
      <c r="F454" s="392">
        <v>43258</v>
      </c>
      <c r="G454" s="576">
        <v>43259</v>
      </c>
      <c r="H454" s="669">
        <v>43283</v>
      </c>
      <c r="I454" s="603">
        <f>F454+14</f>
        <v>43272</v>
      </c>
      <c r="J454" s="576">
        <v>43291</v>
      </c>
      <c r="K454" s="386"/>
      <c r="L454" s="392" t="str">
        <f>TEXT(F454,"mmm-yy")</f>
        <v>Jun-18</v>
      </c>
      <c r="M454" s="392" t="str">
        <f>TEXT(J454,"mmm-yy")</f>
        <v>Jul-18</v>
      </c>
      <c r="N454" s="397" t="s">
        <v>2769</v>
      </c>
      <c r="O454" s="418" t="s">
        <v>225</v>
      </c>
      <c r="P454" s="538">
        <v>93.73</v>
      </c>
      <c r="Q454" s="538">
        <v>2506.9499999999998</v>
      </c>
      <c r="R454" s="538">
        <f>SUM(P454:Q454)</f>
        <v>2600.6799999999998</v>
      </c>
      <c r="S454" s="495">
        <f>R454*1.1</f>
        <v>2860.748</v>
      </c>
      <c r="T454" s="539"/>
      <c r="U454" s="539"/>
      <c r="V454" s="389">
        <f>SUM(T454:U454)</f>
        <v>0</v>
      </c>
      <c r="W454" s="388">
        <f>R454-V454</f>
        <v>2600.6799999999998</v>
      </c>
      <c r="X454" s="589">
        <f>W454/R454</f>
        <v>1</v>
      </c>
      <c r="Y454" s="544"/>
      <c r="Z454" s="536"/>
      <c r="AA454" s="544"/>
      <c r="AB454" s="393" t="s">
        <v>220</v>
      </c>
      <c r="AC454" s="392" t="s">
        <v>752</v>
      </c>
      <c r="AD454" s="392">
        <v>43228</v>
      </c>
      <c r="AE454" s="550"/>
      <c r="AF454" s="392">
        <v>43313</v>
      </c>
      <c r="AG454" s="546">
        <f>AF454-AD454</f>
        <v>85</v>
      </c>
      <c r="AJ454" s="553"/>
    </row>
    <row r="455" spans="1:36" s="218" customFormat="1" ht="14.25" customHeight="1">
      <c r="A455" s="586" t="s">
        <v>714</v>
      </c>
      <c r="B455" s="545" t="s">
        <v>190</v>
      </c>
      <c r="C455" s="386" t="s">
        <v>3070</v>
      </c>
      <c r="D455" s="386">
        <v>43242</v>
      </c>
      <c r="E455" s="392">
        <v>43243</v>
      </c>
      <c r="F455" s="392">
        <v>43243</v>
      </c>
      <c r="G455" s="603">
        <v>43251</v>
      </c>
      <c r="H455" s="753">
        <v>43256</v>
      </c>
      <c r="I455" s="603">
        <v>43256</v>
      </c>
      <c r="J455" s="603">
        <v>43263</v>
      </c>
      <c r="K455" s="386"/>
      <c r="L455" s="392" t="str">
        <f>TEXT(F455,"mmm-yy")</f>
        <v>May-18</v>
      </c>
      <c r="M455" s="392" t="str">
        <f>TEXT(J455,"mmm-yy")</f>
        <v>Jun-18</v>
      </c>
      <c r="N455" s="397" t="s">
        <v>2770</v>
      </c>
      <c r="O455" s="418" t="s">
        <v>240</v>
      </c>
      <c r="P455" s="538">
        <v>651.87</v>
      </c>
      <c r="Q455" s="538">
        <v>755.60000000000059</v>
      </c>
      <c r="R455" s="538">
        <f>SUM(P455:Q455)</f>
        <v>1407.4700000000007</v>
      </c>
      <c r="S455" s="495">
        <f>R455*1.1</f>
        <v>1548.217000000001</v>
      </c>
      <c r="T455" s="539">
        <v>384.84274999999991</v>
      </c>
      <c r="U455" s="539"/>
      <c r="V455" s="389">
        <f>SUM(T455:U455)</f>
        <v>384.84274999999991</v>
      </c>
      <c r="W455" s="388">
        <f>R455-V455</f>
        <v>1022.6272500000008</v>
      </c>
      <c r="X455" s="589">
        <f>W455/R455</f>
        <v>0.72657125906768905</v>
      </c>
      <c r="Y455" s="544"/>
      <c r="Z455" s="536"/>
      <c r="AA455" s="544"/>
      <c r="AB455" s="393" t="s">
        <v>201</v>
      </c>
      <c r="AC455" s="392" t="s">
        <v>752</v>
      </c>
      <c r="AD455" s="392">
        <v>43229</v>
      </c>
      <c r="AE455" s="550"/>
      <c r="AF455" s="392">
        <v>43294</v>
      </c>
      <c r="AG455" s="546">
        <f>AF455-AD455</f>
        <v>65</v>
      </c>
      <c r="AJ455" s="553"/>
    </row>
    <row r="456" spans="1:36" s="218" customFormat="1" ht="14.25" customHeight="1">
      <c r="A456" s="586" t="s">
        <v>714</v>
      </c>
      <c r="B456" s="545" t="s">
        <v>190</v>
      </c>
      <c r="C456" s="386"/>
      <c r="D456" s="386"/>
      <c r="E456" s="392"/>
      <c r="F456" s="392">
        <v>43342</v>
      </c>
      <c r="G456" s="601"/>
      <c r="H456" s="752"/>
      <c r="I456" s="601"/>
      <c r="J456" s="601"/>
      <c r="K456" s="386"/>
      <c r="L456" s="392" t="str">
        <f>TEXT(F456,"mmm-yy")</f>
        <v>Aug-18</v>
      </c>
      <c r="M456" s="392" t="str">
        <f>TEXT(J456,"mmm-yy")</f>
        <v>Jan-00</v>
      </c>
      <c r="N456" s="397" t="s">
        <v>2783</v>
      </c>
      <c r="O456" s="418" t="s">
        <v>2380</v>
      </c>
      <c r="P456" s="538">
        <v>1928.04</v>
      </c>
      <c r="Q456" s="538"/>
      <c r="R456" s="538">
        <f>SUM(P456:Q456)</f>
        <v>1928.04</v>
      </c>
      <c r="S456" s="495">
        <f>R456*1.1</f>
        <v>2120.8440000000001</v>
      </c>
      <c r="T456" s="539"/>
      <c r="U456" s="539"/>
      <c r="V456" s="389">
        <f>SUM(T456:U456)</f>
        <v>0</v>
      </c>
      <c r="W456" s="388">
        <f>R456-V456</f>
        <v>1928.04</v>
      </c>
      <c r="X456" s="589">
        <f>W456/R456</f>
        <v>1</v>
      </c>
      <c r="Y456" s="544"/>
      <c r="Z456" s="536"/>
      <c r="AA456" s="544"/>
      <c r="AB456" s="393" t="s">
        <v>201</v>
      </c>
      <c r="AC456" s="392" t="s">
        <v>752</v>
      </c>
      <c r="AD456" s="392">
        <v>43231</v>
      </c>
      <c r="AE456" s="550"/>
      <c r="AF456" s="392">
        <v>43306</v>
      </c>
      <c r="AG456" s="546">
        <f>AF456-AD456</f>
        <v>75</v>
      </c>
      <c r="AJ456" s="553"/>
    </row>
    <row r="457" spans="1:36" s="218" customFormat="1" ht="14.25" customHeight="1">
      <c r="A457" s="586" t="s">
        <v>714</v>
      </c>
      <c r="B457" s="545" t="s">
        <v>190</v>
      </c>
      <c r="C457" s="386"/>
      <c r="D457" s="386"/>
      <c r="E457" s="392"/>
      <c r="F457" s="392">
        <v>43311</v>
      </c>
      <c r="G457" s="601"/>
      <c r="H457" s="752"/>
      <c r="I457" s="601"/>
      <c r="J457" s="601"/>
      <c r="K457" s="386"/>
      <c r="L457" s="392" t="str">
        <f>TEXT(F457,"mmm-yy")</f>
        <v>Jul-18</v>
      </c>
      <c r="M457" s="392" t="str">
        <f>TEXT(J457,"mmm-yy")</f>
        <v>Jan-00</v>
      </c>
      <c r="N457" s="397" t="s">
        <v>2784</v>
      </c>
      <c r="O457" s="418" t="s">
        <v>978</v>
      </c>
      <c r="P457" s="538">
        <v>646.20000000000005</v>
      </c>
      <c r="Q457" s="538"/>
      <c r="R457" s="538">
        <f>SUM(P457:Q457)</f>
        <v>646.20000000000005</v>
      </c>
      <c r="S457" s="495">
        <f>R457*1.1</f>
        <v>710.82000000000016</v>
      </c>
      <c r="T457" s="539"/>
      <c r="U457" s="539"/>
      <c r="V457" s="389">
        <f>SUM(T457:U457)</f>
        <v>0</v>
      </c>
      <c r="W457" s="388">
        <f>R457-V457</f>
        <v>646.20000000000005</v>
      </c>
      <c r="X457" s="589">
        <f>W457/R457</f>
        <v>1</v>
      </c>
      <c r="Y457" s="544"/>
      <c r="Z457" s="536"/>
      <c r="AA457" s="544"/>
      <c r="AB457" s="393" t="s">
        <v>201</v>
      </c>
      <c r="AC457" s="392" t="s">
        <v>752</v>
      </c>
      <c r="AD457" s="392">
        <v>43231</v>
      </c>
      <c r="AE457" s="550"/>
      <c r="AF457" s="392">
        <v>43277</v>
      </c>
      <c r="AG457" s="546">
        <f>AF457-AD457</f>
        <v>46</v>
      </c>
      <c r="AJ457" s="553"/>
    </row>
    <row r="458" spans="1:36" s="218" customFormat="1" ht="14.25" customHeight="1">
      <c r="A458" s="586" t="s">
        <v>714</v>
      </c>
      <c r="B458" s="545" t="s">
        <v>190</v>
      </c>
      <c r="C458" s="386" t="s">
        <v>3072</v>
      </c>
      <c r="D458" s="386">
        <v>43265</v>
      </c>
      <c r="E458" s="392">
        <v>43244</v>
      </c>
      <c r="F458" s="392">
        <v>43245</v>
      </c>
      <c r="G458" s="603">
        <v>43244</v>
      </c>
      <c r="H458" s="753">
        <v>43250</v>
      </c>
      <c r="I458" s="603">
        <v>43256</v>
      </c>
      <c r="J458" s="603">
        <v>43263</v>
      </c>
      <c r="K458" s="386"/>
      <c r="L458" s="392" t="str">
        <f>TEXT(F458,"mmm-yy")</f>
        <v>May-18</v>
      </c>
      <c r="M458" s="392" t="str">
        <f>TEXT(J458,"mmm-yy")</f>
        <v>Jun-18</v>
      </c>
      <c r="N458" s="397" t="s">
        <v>2793</v>
      </c>
      <c r="O458" s="418" t="s">
        <v>385</v>
      </c>
      <c r="P458" s="538">
        <v>1073.74</v>
      </c>
      <c r="Q458" s="538">
        <v>14716.48</v>
      </c>
      <c r="R458" s="538">
        <f>SUM(P458:Q458)</f>
        <v>15790.22</v>
      </c>
      <c r="S458" s="495">
        <f>R458*1.1</f>
        <v>17369.242000000002</v>
      </c>
      <c r="T458" s="539">
        <v>11326.55</v>
      </c>
      <c r="U458" s="539"/>
      <c r="V458" s="389">
        <f>SUM(T458:U458)</f>
        <v>11326.55</v>
      </c>
      <c r="W458" s="388">
        <f>R458-V458</f>
        <v>4463.67</v>
      </c>
      <c r="X458" s="589">
        <f>W458/R458</f>
        <v>0.28268573838743222</v>
      </c>
      <c r="Y458" s="544"/>
      <c r="Z458" s="536"/>
      <c r="AA458" s="544"/>
      <c r="AB458" s="393" t="s">
        <v>201</v>
      </c>
      <c r="AC458" s="392" t="s">
        <v>752</v>
      </c>
      <c r="AD458" s="392">
        <v>43234</v>
      </c>
      <c r="AE458" s="550"/>
      <c r="AF458" s="392">
        <v>43313</v>
      </c>
      <c r="AG458" s="546">
        <f>AF458-AD458</f>
        <v>79</v>
      </c>
      <c r="AJ458" s="553"/>
    </row>
    <row r="459" spans="1:36" s="218" customFormat="1" ht="14.25" customHeight="1">
      <c r="A459" s="545" t="s">
        <v>715</v>
      </c>
      <c r="B459" s="545" t="s">
        <v>723</v>
      </c>
      <c r="C459" s="386"/>
      <c r="D459" s="386"/>
      <c r="E459" s="392"/>
      <c r="F459" s="392">
        <v>43311</v>
      </c>
      <c r="G459" s="601"/>
      <c r="H459" s="752"/>
      <c r="I459" s="601"/>
      <c r="J459" s="601"/>
      <c r="K459" s="386"/>
      <c r="L459" s="392" t="str">
        <f>TEXT(F459,"mmm-yy")</f>
        <v>Jul-18</v>
      </c>
      <c r="M459" s="392" t="str">
        <f>TEXT(J459,"mmm-yy")</f>
        <v>Jan-00</v>
      </c>
      <c r="N459" s="397" t="s">
        <v>2800</v>
      </c>
      <c r="O459" s="418" t="s">
        <v>2797</v>
      </c>
      <c r="P459" s="538">
        <v>7630.73</v>
      </c>
      <c r="Q459" s="538"/>
      <c r="R459" s="538">
        <f>SUM(P459:Q459)</f>
        <v>7630.73</v>
      </c>
      <c r="S459" s="495">
        <f>R459*1.1</f>
        <v>8393.8029999999999</v>
      </c>
      <c r="T459" s="539"/>
      <c r="U459" s="539"/>
      <c r="V459" s="389">
        <f>SUM(T459:U459)</f>
        <v>0</v>
      </c>
      <c r="W459" s="388">
        <f>R459-V459</f>
        <v>7630.73</v>
      </c>
      <c r="X459" s="589">
        <f>W459/R459</f>
        <v>1</v>
      </c>
      <c r="Y459" s="544"/>
      <c r="Z459" s="536"/>
      <c r="AA459" s="544"/>
      <c r="AB459" s="393" t="s">
        <v>220</v>
      </c>
      <c r="AC459" s="392" t="s">
        <v>752</v>
      </c>
      <c r="AD459" s="392">
        <v>43234</v>
      </c>
      <c r="AE459" s="550"/>
      <c r="AF459" s="392">
        <v>43266</v>
      </c>
      <c r="AG459" s="546">
        <f>AF459-AD459</f>
        <v>32</v>
      </c>
      <c r="AJ459" s="553"/>
    </row>
    <row r="460" spans="1:36" s="218" customFormat="1" ht="14.25" customHeight="1">
      <c r="A460" s="586" t="s">
        <v>714</v>
      </c>
      <c r="B460" s="545" t="s">
        <v>179</v>
      </c>
      <c r="C460" s="386"/>
      <c r="D460" s="386"/>
      <c r="E460" s="392"/>
      <c r="F460" s="392">
        <v>43311</v>
      </c>
      <c r="G460" s="601"/>
      <c r="H460" s="752"/>
      <c r="I460" s="601"/>
      <c r="J460" s="601"/>
      <c r="K460" s="386"/>
      <c r="L460" s="392" t="str">
        <f>TEXT(F460,"mmm-yy")</f>
        <v>Jul-18</v>
      </c>
      <c r="M460" s="392" t="str">
        <f>TEXT(J460,"mmm-yy")</f>
        <v>Jan-00</v>
      </c>
      <c r="N460" s="397" t="s">
        <v>2799</v>
      </c>
      <c r="O460" s="418" t="s">
        <v>2798</v>
      </c>
      <c r="P460" s="538">
        <v>1596.49</v>
      </c>
      <c r="Q460" s="538"/>
      <c r="R460" s="538">
        <f>SUM(P460:Q460)</f>
        <v>1596.49</v>
      </c>
      <c r="S460" s="495">
        <f>R460*1.1</f>
        <v>1756.1390000000001</v>
      </c>
      <c r="T460" s="539"/>
      <c r="U460" s="539"/>
      <c r="V460" s="389">
        <f>SUM(T460:U460)</f>
        <v>0</v>
      </c>
      <c r="W460" s="388">
        <f>R460-V460</f>
        <v>1596.49</v>
      </c>
      <c r="X460" s="589">
        <f>W460/R460</f>
        <v>1</v>
      </c>
      <c r="Y460" s="544"/>
      <c r="Z460" s="536"/>
      <c r="AA460" s="544"/>
      <c r="AB460" s="393" t="s">
        <v>201</v>
      </c>
      <c r="AC460" s="392" t="s">
        <v>752</v>
      </c>
      <c r="AD460" s="392">
        <v>43234</v>
      </c>
      <c r="AE460" s="550"/>
      <c r="AF460" s="392">
        <v>43246</v>
      </c>
      <c r="AG460" s="546">
        <f>AF460-AD460</f>
        <v>12</v>
      </c>
      <c r="AJ460" s="553"/>
    </row>
    <row r="461" spans="1:36" s="218" customFormat="1" ht="14.25" customHeight="1">
      <c r="A461" s="586" t="s">
        <v>714</v>
      </c>
      <c r="B461" s="545" t="s">
        <v>190</v>
      </c>
      <c r="C461" s="386" t="s">
        <v>3103</v>
      </c>
      <c r="D461" s="386">
        <v>43271</v>
      </c>
      <c r="E461" s="392">
        <v>43251</v>
      </c>
      <c r="F461" s="392">
        <v>43251</v>
      </c>
      <c r="G461" s="603">
        <v>43251</v>
      </c>
      <c r="H461" s="753">
        <v>43256</v>
      </c>
      <c r="I461" s="603">
        <f>F461+14</f>
        <v>43265</v>
      </c>
      <c r="J461" s="603">
        <v>43273</v>
      </c>
      <c r="K461" s="386"/>
      <c r="L461" s="392" t="str">
        <f>TEXT(F461,"mmm-yy")</f>
        <v>May-18</v>
      </c>
      <c r="M461" s="392" t="str">
        <f>TEXT(J461,"mmm-yy")</f>
        <v>Jun-18</v>
      </c>
      <c r="N461" s="397" t="s">
        <v>2817</v>
      </c>
      <c r="O461" s="418" t="s">
        <v>2818</v>
      </c>
      <c r="P461" s="538">
        <v>1556.8</v>
      </c>
      <c r="Q461" s="539">
        <v>1927.12</v>
      </c>
      <c r="R461" s="538">
        <f>SUM(P461:Q461)</f>
        <v>3483.92</v>
      </c>
      <c r="S461" s="495">
        <f>R461*1.1</f>
        <v>3832.3120000000004</v>
      </c>
      <c r="T461" s="539">
        <v>2361.42</v>
      </c>
      <c r="U461" s="539"/>
      <c r="V461" s="389">
        <f>SUM(T461:U461)</f>
        <v>2361.42</v>
      </c>
      <c r="W461" s="388">
        <f>R461-V461</f>
        <v>1122.5</v>
      </c>
      <c r="X461" s="589">
        <f>W461/R461</f>
        <v>0.32219453948425908</v>
      </c>
      <c r="Y461" s="544"/>
      <c r="Z461" s="536"/>
      <c r="AA461" s="544"/>
      <c r="AB461" s="393" t="s">
        <v>201</v>
      </c>
      <c r="AC461" s="392" t="s">
        <v>752</v>
      </c>
      <c r="AD461" s="392">
        <v>43237</v>
      </c>
      <c r="AE461" s="550"/>
      <c r="AF461" s="392">
        <v>43312</v>
      </c>
      <c r="AG461" s="546">
        <f>AF461-AD461</f>
        <v>75</v>
      </c>
      <c r="AJ461" s="553"/>
    </row>
    <row r="462" spans="1:36" s="218" customFormat="1" ht="14.25" customHeight="1">
      <c r="A462" s="545" t="s">
        <v>715</v>
      </c>
      <c r="B462" s="545" t="s">
        <v>764</v>
      </c>
      <c r="C462" s="386"/>
      <c r="D462" s="386"/>
      <c r="E462" s="392"/>
      <c r="F462" s="392">
        <v>43311</v>
      </c>
      <c r="G462" s="601"/>
      <c r="H462" s="752"/>
      <c r="I462" s="601"/>
      <c r="J462" s="601"/>
      <c r="K462" s="386"/>
      <c r="L462" s="392" t="str">
        <f>TEXT(F462,"mmm-yy")</f>
        <v>Jul-18</v>
      </c>
      <c r="M462" s="392" t="str">
        <f>TEXT(J462,"mmm-yy")</f>
        <v>Jan-00</v>
      </c>
      <c r="N462" s="397" t="s">
        <v>2821</v>
      </c>
      <c r="O462" s="418" t="s">
        <v>1190</v>
      </c>
      <c r="P462" s="538">
        <v>4404.1400000000003</v>
      </c>
      <c r="Q462" s="538"/>
      <c r="R462" s="538">
        <f>SUM(P462:Q462)</f>
        <v>4404.1400000000003</v>
      </c>
      <c r="S462" s="495">
        <f>R462*1.1</f>
        <v>4844.554000000001</v>
      </c>
      <c r="T462" s="539"/>
      <c r="U462" s="539"/>
      <c r="V462" s="389">
        <f>SUM(T462:U462)</f>
        <v>0</v>
      </c>
      <c r="W462" s="388">
        <f>R462-V462</f>
        <v>4404.1400000000003</v>
      </c>
      <c r="X462" s="589">
        <f>W462/R462</f>
        <v>1</v>
      </c>
      <c r="Y462" s="544"/>
      <c r="Z462" s="536"/>
      <c r="AA462" s="544"/>
      <c r="AB462" s="393" t="s">
        <v>1338</v>
      </c>
      <c r="AC462" s="392">
        <v>43235</v>
      </c>
      <c r="AD462" s="392">
        <v>43238</v>
      </c>
      <c r="AE462" s="689">
        <f>AD462-AC462</f>
        <v>3</v>
      </c>
      <c r="AF462" s="392">
        <v>43271</v>
      </c>
      <c r="AG462" s="546">
        <f>AF462-AD462</f>
        <v>33</v>
      </c>
      <c r="AJ462" s="553"/>
    </row>
    <row r="463" spans="1:36" s="218" customFormat="1" ht="14.25" customHeight="1">
      <c r="A463" s="586" t="s">
        <v>714</v>
      </c>
      <c r="B463" s="545" t="s">
        <v>190</v>
      </c>
      <c r="C463" s="386"/>
      <c r="D463" s="386"/>
      <c r="E463" s="392"/>
      <c r="F463" s="392">
        <v>43342</v>
      </c>
      <c r="G463" s="601"/>
      <c r="H463" s="752"/>
      <c r="I463" s="601"/>
      <c r="J463" s="601"/>
      <c r="K463" s="386"/>
      <c r="L463" s="392" t="str">
        <f>TEXT(F463,"mmm-yy")</f>
        <v>Aug-18</v>
      </c>
      <c r="M463" s="392" t="str">
        <f>TEXT(J463,"mmm-yy")</f>
        <v>Jan-00</v>
      </c>
      <c r="N463" s="798" t="s">
        <v>2826</v>
      </c>
      <c r="O463" s="418" t="s">
        <v>558</v>
      </c>
      <c r="P463" s="538">
        <v>3333.98</v>
      </c>
      <c r="Q463" s="538"/>
      <c r="R463" s="538">
        <f>SUM(P463:Q463)</f>
        <v>3333.98</v>
      </c>
      <c r="S463" s="495">
        <f>R463*1.1</f>
        <v>3667.3780000000002</v>
      </c>
      <c r="T463" s="539"/>
      <c r="U463" s="539"/>
      <c r="V463" s="389">
        <f>SUM(T463:U463)</f>
        <v>0</v>
      </c>
      <c r="W463" s="388">
        <f>R463-V463</f>
        <v>3333.98</v>
      </c>
      <c r="X463" s="589">
        <f>W463/R463</f>
        <v>1</v>
      </c>
      <c r="Y463" s="544"/>
      <c r="Z463" s="536"/>
      <c r="AA463" s="544"/>
      <c r="AB463" s="393" t="s">
        <v>201</v>
      </c>
      <c r="AC463" s="392" t="s">
        <v>752</v>
      </c>
      <c r="AD463" s="392">
        <v>43238</v>
      </c>
      <c r="AE463" s="550"/>
      <c r="AF463" s="392">
        <v>43313</v>
      </c>
      <c r="AG463" s="546">
        <f>AF463-AD463</f>
        <v>75</v>
      </c>
      <c r="AJ463" s="553"/>
    </row>
    <row r="464" spans="1:36" s="218" customFormat="1" ht="14.25" customHeight="1">
      <c r="A464" s="586" t="s">
        <v>714</v>
      </c>
      <c r="B464" s="545" t="s">
        <v>190</v>
      </c>
      <c r="C464" s="386" t="s">
        <v>3064</v>
      </c>
      <c r="D464" s="386">
        <v>43221</v>
      </c>
      <c r="E464" s="392">
        <v>43241</v>
      </c>
      <c r="F464" s="392">
        <v>43242</v>
      </c>
      <c r="G464" s="603">
        <v>43242</v>
      </c>
      <c r="H464" s="753">
        <v>43244</v>
      </c>
      <c r="I464" s="603">
        <v>43251</v>
      </c>
      <c r="J464" s="603">
        <v>43258</v>
      </c>
      <c r="K464" s="386"/>
      <c r="L464" s="392" t="str">
        <f>TEXT(F464,"mmm-yy")</f>
        <v>May-18</v>
      </c>
      <c r="M464" s="392" t="str">
        <f>TEXT(J464,"mmm-yy")</f>
        <v>Jun-18</v>
      </c>
      <c r="N464" s="397" t="s">
        <v>2824</v>
      </c>
      <c r="O464" s="418" t="s">
        <v>2763</v>
      </c>
      <c r="P464" s="538">
        <v>1635.31</v>
      </c>
      <c r="Q464" s="538">
        <v>845.60000000000559</v>
      </c>
      <c r="R464" s="538">
        <f>SUM(P464:Q464)</f>
        <v>2480.9100000000053</v>
      </c>
      <c r="S464" s="495">
        <f>R464*1.1</f>
        <v>2729.0010000000061</v>
      </c>
      <c r="T464" s="539">
        <v>976.93</v>
      </c>
      <c r="U464" s="539"/>
      <c r="V464" s="389">
        <f>SUM(T464:U464)</f>
        <v>976.93</v>
      </c>
      <c r="W464" s="388">
        <f>R464-V464</f>
        <v>1503.9800000000055</v>
      </c>
      <c r="X464" s="589">
        <f>W464/R464</f>
        <v>0.60622110435283916</v>
      </c>
      <c r="Y464" s="544"/>
      <c r="Z464" s="536"/>
      <c r="AA464" s="544"/>
      <c r="AB464" s="393" t="s">
        <v>2696</v>
      </c>
      <c r="AC464" s="392" t="s">
        <v>752</v>
      </c>
      <c r="AD464" s="392">
        <v>43228</v>
      </c>
      <c r="AE464" s="550"/>
      <c r="AF464" s="392">
        <v>43314</v>
      </c>
      <c r="AG464" s="546">
        <f>AF464-AD464</f>
        <v>86</v>
      </c>
      <c r="AJ464" s="553"/>
    </row>
    <row r="465" spans="1:36" s="218" customFormat="1" ht="14.25" customHeight="1">
      <c r="A465" s="586" t="s">
        <v>714</v>
      </c>
      <c r="B465" s="545" t="s">
        <v>190</v>
      </c>
      <c r="C465" s="386"/>
      <c r="D465" s="386"/>
      <c r="E465" s="392"/>
      <c r="F465" s="536">
        <v>43342</v>
      </c>
      <c r="G465" s="601"/>
      <c r="H465" s="752"/>
      <c r="I465" s="601"/>
      <c r="J465" s="601"/>
      <c r="K465" s="386"/>
      <c r="L465" s="392" t="str">
        <f>TEXT(F465,"mmm-yy")</f>
        <v>Aug-18</v>
      </c>
      <c r="M465" s="392" t="str">
        <f>TEXT(J465,"mmm-yy")</f>
        <v>Jan-00</v>
      </c>
      <c r="N465" s="798" t="s">
        <v>2827</v>
      </c>
      <c r="O465" s="418" t="s">
        <v>2828</v>
      </c>
      <c r="P465" s="538">
        <v>1998.69</v>
      </c>
      <c r="Q465" s="538"/>
      <c r="R465" s="538">
        <f>SUM(P465:Q465)</f>
        <v>1998.69</v>
      </c>
      <c r="S465" s="495">
        <f>R465*1.1</f>
        <v>2198.5590000000002</v>
      </c>
      <c r="T465" s="539"/>
      <c r="U465" s="539"/>
      <c r="V465" s="389">
        <f>SUM(T465:U465)</f>
        <v>0</v>
      </c>
      <c r="W465" s="388">
        <f>R465-V465</f>
        <v>1998.69</v>
      </c>
      <c r="X465" s="589">
        <f>W465/R465</f>
        <v>1</v>
      </c>
      <c r="Y465" s="544"/>
      <c r="Z465" s="536"/>
      <c r="AA465" s="544"/>
      <c r="AB465" s="393" t="s">
        <v>201</v>
      </c>
      <c r="AC465" s="392" t="s">
        <v>752</v>
      </c>
      <c r="AD465" s="392">
        <v>43241</v>
      </c>
      <c r="AE465" s="550"/>
      <c r="AF465" s="392">
        <v>43317</v>
      </c>
      <c r="AG465" s="546">
        <f>AF465-AD465</f>
        <v>76</v>
      </c>
      <c r="AJ465" s="553"/>
    </row>
    <row r="466" spans="1:36" s="218" customFormat="1" ht="14.25" customHeight="1">
      <c r="A466" s="586" t="s">
        <v>714</v>
      </c>
      <c r="B466" s="545" t="s">
        <v>190</v>
      </c>
      <c r="C466" s="386"/>
      <c r="D466" s="386"/>
      <c r="E466" s="392"/>
      <c r="F466" s="536">
        <v>43342</v>
      </c>
      <c r="G466" s="601"/>
      <c r="H466" s="752"/>
      <c r="I466" s="601"/>
      <c r="J466" s="601"/>
      <c r="K466" s="386"/>
      <c r="L466" s="392" t="str">
        <f>TEXT(F466,"mmm-yy")</f>
        <v>Aug-18</v>
      </c>
      <c r="M466" s="392" t="str">
        <f>TEXT(J466,"mmm-yy")</f>
        <v>Jan-00</v>
      </c>
      <c r="N466" s="397" t="s">
        <v>2830</v>
      </c>
      <c r="O466" s="418" t="s">
        <v>690</v>
      </c>
      <c r="P466" s="538">
        <v>1347.33</v>
      </c>
      <c r="Q466" s="538"/>
      <c r="R466" s="538">
        <f>SUM(P466:Q466)</f>
        <v>1347.33</v>
      </c>
      <c r="S466" s="495">
        <f>R466*1.1</f>
        <v>1482.0630000000001</v>
      </c>
      <c r="T466" s="539"/>
      <c r="U466" s="539"/>
      <c r="V466" s="389">
        <f>SUM(T466:U466)</f>
        <v>0</v>
      </c>
      <c r="W466" s="388">
        <f>R466-V466</f>
        <v>1347.33</v>
      </c>
      <c r="X466" s="589">
        <f>W466/R466</f>
        <v>1</v>
      </c>
      <c r="Y466" s="544"/>
      <c r="Z466" s="536"/>
      <c r="AA466" s="544"/>
      <c r="AB466" s="393" t="s">
        <v>201</v>
      </c>
      <c r="AC466" s="392" t="s">
        <v>752</v>
      </c>
      <c r="AD466" s="392">
        <v>43241</v>
      </c>
      <c r="AE466" s="550"/>
      <c r="AF466" s="392">
        <v>43318</v>
      </c>
      <c r="AG466" s="546">
        <f>AF466-AD466</f>
        <v>77</v>
      </c>
      <c r="AJ466" s="553"/>
    </row>
    <row r="467" spans="1:36" s="218" customFormat="1" ht="14.25" customHeight="1">
      <c r="A467" s="586" t="s">
        <v>714</v>
      </c>
      <c r="B467" s="545" t="s">
        <v>722</v>
      </c>
      <c r="C467" s="386"/>
      <c r="D467" s="386"/>
      <c r="E467" s="392"/>
      <c r="F467" s="536">
        <v>43342</v>
      </c>
      <c r="G467" s="601"/>
      <c r="H467" s="752"/>
      <c r="I467" s="601"/>
      <c r="J467" s="601"/>
      <c r="K467" s="386"/>
      <c r="L467" s="392" t="str">
        <f>TEXT(F467,"mmm-yy")</f>
        <v>Aug-18</v>
      </c>
      <c r="M467" s="392" t="str">
        <f>TEXT(J467,"mmm-yy")</f>
        <v>Jan-00</v>
      </c>
      <c r="N467" s="397" t="s">
        <v>2832</v>
      </c>
      <c r="O467" s="418" t="s">
        <v>208</v>
      </c>
      <c r="P467" s="538">
        <v>1592.08</v>
      </c>
      <c r="Q467" s="538"/>
      <c r="R467" s="538">
        <f>SUM(P467:Q467)</f>
        <v>1592.08</v>
      </c>
      <c r="S467" s="495">
        <f>R467*1.1</f>
        <v>1751.288</v>
      </c>
      <c r="T467" s="539"/>
      <c r="U467" s="539"/>
      <c r="V467" s="389">
        <f>SUM(T467:U467)</f>
        <v>0</v>
      </c>
      <c r="W467" s="388">
        <f>R467-V467</f>
        <v>1592.08</v>
      </c>
      <c r="X467" s="589">
        <f>W467/R467</f>
        <v>1</v>
      </c>
      <c r="Y467" s="544"/>
      <c r="Z467" s="536"/>
      <c r="AA467" s="544"/>
      <c r="AB467" s="393" t="s">
        <v>727</v>
      </c>
      <c r="AC467" s="392" t="s">
        <v>752</v>
      </c>
      <c r="AD467" s="392">
        <v>43242</v>
      </c>
      <c r="AE467" s="550"/>
      <c r="AF467" s="392">
        <v>43318</v>
      </c>
      <c r="AG467" s="546">
        <f>AF467-AD467</f>
        <v>76</v>
      </c>
      <c r="AJ467" s="553"/>
    </row>
    <row r="468" spans="1:36" s="218" customFormat="1" ht="14.25" customHeight="1">
      <c r="A468" s="586" t="s">
        <v>714</v>
      </c>
      <c r="B468" s="545" t="s">
        <v>190</v>
      </c>
      <c r="C468" s="386"/>
      <c r="D468" s="386"/>
      <c r="E468" s="392"/>
      <c r="F468" s="536">
        <v>43342</v>
      </c>
      <c r="G468" s="601"/>
      <c r="H468" s="752"/>
      <c r="I468" s="601"/>
      <c r="J468" s="601"/>
      <c r="K468" s="386"/>
      <c r="L468" s="392" t="str">
        <f>TEXT(F468,"mmm-yy")</f>
        <v>Aug-18</v>
      </c>
      <c r="M468" s="392" t="str">
        <f>TEXT(J468,"mmm-yy")</f>
        <v>Jan-00</v>
      </c>
      <c r="N468" s="445" t="s">
        <v>2849</v>
      </c>
      <c r="O468" s="418" t="s">
        <v>2850</v>
      </c>
      <c r="P468" s="538">
        <v>2655.28</v>
      </c>
      <c r="Q468" s="538"/>
      <c r="R468" s="538">
        <f>SUM(P468:Q468)</f>
        <v>2655.28</v>
      </c>
      <c r="S468" s="495">
        <f>R468*1.1</f>
        <v>2920.8080000000004</v>
      </c>
      <c r="T468" s="539"/>
      <c r="U468" s="539"/>
      <c r="V468" s="389">
        <f>SUM(T468:U468)</f>
        <v>0</v>
      </c>
      <c r="W468" s="388">
        <f>R468-V468</f>
        <v>2655.28</v>
      </c>
      <c r="X468" s="589">
        <f>W468/R468</f>
        <v>1</v>
      </c>
      <c r="Y468" s="544"/>
      <c r="Z468" s="536"/>
      <c r="AA468" s="544"/>
      <c r="AB468" s="393" t="s">
        <v>201</v>
      </c>
      <c r="AC468" s="392" t="s">
        <v>752</v>
      </c>
      <c r="AD468" s="392">
        <v>43242</v>
      </c>
      <c r="AE468" s="550"/>
      <c r="AF468" s="392">
        <v>43318</v>
      </c>
      <c r="AG468" s="546">
        <f>AF468-AD468</f>
        <v>76</v>
      </c>
      <c r="AJ468" s="553"/>
    </row>
    <row r="469" spans="1:36" s="218" customFormat="1" ht="14.25" customHeight="1">
      <c r="A469" s="586" t="s">
        <v>714</v>
      </c>
      <c r="B469" s="545" t="s">
        <v>190</v>
      </c>
      <c r="C469" s="386"/>
      <c r="D469" s="386"/>
      <c r="E469" s="392"/>
      <c r="F469" s="536">
        <v>43342</v>
      </c>
      <c r="G469" s="658"/>
      <c r="H469" s="658"/>
      <c r="I469" s="601"/>
      <c r="J469" s="601"/>
      <c r="K469" s="386"/>
      <c r="L469" s="392" t="str">
        <f>TEXT(F469,"mmm-yy")</f>
        <v>Aug-18</v>
      </c>
      <c r="M469" s="392" t="str">
        <f>TEXT(J469,"mmm-yy")</f>
        <v>Jan-00</v>
      </c>
      <c r="N469" s="445" t="s">
        <v>2851</v>
      </c>
      <c r="O469" s="418" t="s">
        <v>2852</v>
      </c>
      <c r="P469" s="538">
        <v>1343.18</v>
      </c>
      <c r="Q469" s="840"/>
      <c r="R469" s="538">
        <f>SUM(P469:Q469)</f>
        <v>1343.18</v>
      </c>
      <c r="S469" s="495">
        <f>R469*1.1</f>
        <v>1477.4980000000003</v>
      </c>
      <c r="T469" s="539">
        <v>3524.25</v>
      </c>
      <c r="U469" s="539"/>
      <c r="V469" s="389">
        <f>SUM(T469:U469)</f>
        <v>3524.25</v>
      </c>
      <c r="W469" s="388">
        <f>R469-V469</f>
        <v>-2181.0699999999997</v>
      </c>
      <c r="X469" s="775">
        <f>W469/R469</f>
        <v>-1.6238106582885388</v>
      </c>
      <c r="Y469" s="544"/>
      <c r="Z469" s="536"/>
      <c r="AA469" s="544"/>
      <c r="AB469" s="393" t="s">
        <v>201</v>
      </c>
      <c r="AC469" s="392" t="s">
        <v>752</v>
      </c>
      <c r="AD469" s="392">
        <v>43242</v>
      </c>
      <c r="AE469" s="550"/>
      <c r="AF469" s="392">
        <v>43313</v>
      </c>
      <c r="AG469" s="546">
        <f>AF469-AD469</f>
        <v>71</v>
      </c>
      <c r="AJ469" s="553"/>
    </row>
    <row r="470" spans="1:36" s="218" customFormat="1" ht="14.25" customHeight="1">
      <c r="A470" s="586" t="s">
        <v>714</v>
      </c>
      <c r="B470" s="545" t="s">
        <v>190</v>
      </c>
      <c r="C470" s="386"/>
      <c r="D470" s="386"/>
      <c r="E470" s="392">
        <v>43280</v>
      </c>
      <c r="F470" s="536">
        <v>43280</v>
      </c>
      <c r="G470" s="601">
        <v>43283</v>
      </c>
      <c r="H470" s="752"/>
      <c r="I470" s="603">
        <f>F470+14</f>
        <v>43294</v>
      </c>
      <c r="J470" s="601">
        <f>I470+14</f>
        <v>43308</v>
      </c>
      <c r="K470" s="386"/>
      <c r="L470" s="392" t="str">
        <f>TEXT(F470,"mmm-yy")</f>
        <v>Jun-18</v>
      </c>
      <c r="M470" s="392" t="str">
        <f>TEXT(J470,"mmm-yy")</f>
        <v>Jul-18</v>
      </c>
      <c r="N470" s="397" t="s">
        <v>2881</v>
      </c>
      <c r="O470" s="418" t="s">
        <v>2880</v>
      </c>
      <c r="P470" s="538">
        <v>1804.33</v>
      </c>
      <c r="Q470" s="538">
        <v>12670.33</v>
      </c>
      <c r="R470" s="538">
        <f>SUM(P470:Q470)</f>
        <v>14474.66</v>
      </c>
      <c r="S470" s="495">
        <f>R470*1.1</f>
        <v>15922.126000000002</v>
      </c>
      <c r="T470" s="539">
        <v>3866.63</v>
      </c>
      <c r="U470" s="539"/>
      <c r="V470" s="389">
        <f>SUM(T470:U470)</f>
        <v>3866.63</v>
      </c>
      <c r="W470" s="388">
        <f>R470-V470</f>
        <v>10608.029999999999</v>
      </c>
      <c r="X470" s="589">
        <f>W470/R470</f>
        <v>0.73286902766628015</v>
      </c>
      <c r="Y470" s="544"/>
      <c r="Z470" s="536"/>
      <c r="AA470" s="544"/>
      <c r="AB470" s="393" t="s">
        <v>201</v>
      </c>
      <c r="AC470" s="392" t="s">
        <v>752</v>
      </c>
      <c r="AD470" s="392">
        <v>43244</v>
      </c>
      <c r="AE470" s="550"/>
      <c r="AF470" s="392">
        <v>43250</v>
      </c>
      <c r="AG470" s="546">
        <f>AF470-AD470</f>
        <v>6</v>
      </c>
      <c r="AJ470" s="553"/>
    </row>
    <row r="471" spans="1:36" s="218" customFormat="1" ht="14.25" customHeight="1">
      <c r="A471" s="586" t="s">
        <v>714</v>
      </c>
      <c r="B471" s="545" t="s">
        <v>190</v>
      </c>
      <c r="C471" s="386"/>
      <c r="D471" s="386"/>
      <c r="E471" s="392"/>
      <c r="F471" s="536">
        <v>43311</v>
      </c>
      <c r="G471" s="601"/>
      <c r="H471" s="752"/>
      <c r="I471" s="601"/>
      <c r="J471" s="601"/>
      <c r="K471" s="386"/>
      <c r="L471" s="392" t="str">
        <f>TEXT(F471,"mmm-yy")</f>
        <v>Jul-18</v>
      </c>
      <c r="M471" s="392" t="str">
        <f>TEXT(J471,"mmm-yy")</f>
        <v>Jan-00</v>
      </c>
      <c r="N471" s="397" t="s">
        <v>2882</v>
      </c>
      <c r="O471" s="418" t="s">
        <v>1760</v>
      </c>
      <c r="P471" s="538">
        <v>1987.42</v>
      </c>
      <c r="Q471" s="538"/>
      <c r="R471" s="538">
        <f>SUM(P471:Q471)</f>
        <v>1987.42</v>
      </c>
      <c r="S471" s="495">
        <f>R471*1.1</f>
        <v>2186.1620000000003</v>
      </c>
      <c r="T471" s="539"/>
      <c r="U471" s="539"/>
      <c r="V471" s="389">
        <f>SUM(T471:U471)</f>
        <v>0</v>
      </c>
      <c r="W471" s="388">
        <f>R471-V471</f>
        <v>1987.42</v>
      </c>
      <c r="X471" s="589">
        <f>W471/R471</f>
        <v>1</v>
      </c>
      <c r="Y471" s="544"/>
      <c r="Z471" s="536"/>
      <c r="AA471" s="544"/>
      <c r="AB471" s="393" t="s">
        <v>201</v>
      </c>
      <c r="AC471" s="392" t="s">
        <v>752</v>
      </c>
      <c r="AD471" s="392">
        <v>43245</v>
      </c>
      <c r="AE471" s="550"/>
      <c r="AF471" s="392">
        <v>43266</v>
      </c>
      <c r="AG471" s="546">
        <f>AF471-AD471</f>
        <v>21</v>
      </c>
      <c r="AJ471" s="553"/>
    </row>
    <row r="472" spans="1:36" s="218" customFormat="1" ht="14.25" customHeight="1">
      <c r="A472" s="586" t="s">
        <v>714</v>
      </c>
      <c r="B472" s="545" t="s">
        <v>722</v>
      </c>
      <c r="C472" s="386"/>
      <c r="D472" s="386"/>
      <c r="E472" s="392">
        <v>43270</v>
      </c>
      <c r="F472" s="392">
        <v>43270</v>
      </c>
      <c r="G472" s="603">
        <v>43283</v>
      </c>
      <c r="H472" s="753">
        <v>43285</v>
      </c>
      <c r="I472" s="603">
        <f>F472+14</f>
        <v>43284</v>
      </c>
      <c r="J472" s="601">
        <f>I472+14</f>
        <v>43298</v>
      </c>
      <c r="K472" s="386"/>
      <c r="L472" s="392" t="str">
        <f>TEXT(F472,"mmm-yy")</f>
        <v>Jun-18</v>
      </c>
      <c r="M472" s="392" t="str">
        <f>TEXT(J472,"mmm-yy")</f>
        <v>Jul-18</v>
      </c>
      <c r="N472" s="397" t="s">
        <v>2914</v>
      </c>
      <c r="O472" s="418" t="s">
        <v>709</v>
      </c>
      <c r="P472" s="538">
        <v>11050.52</v>
      </c>
      <c r="Q472" s="538">
        <v>9243.7120000000159</v>
      </c>
      <c r="R472" s="538">
        <f>SUM(P472:Q472)</f>
        <v>20294.232000000018</v>
      </c>
      <c r="S472" s="495">
        <f>R472*1.1</f>
        <v>22323.655200000023</v>
      </c>
      <c r="T472" s="539">
        <v>5530.26</v>
      </c>
      <c r="U472" s="539">
        <v>3905.8592500000004</v>
      </c>
      <c r="V472" s="389">
        <f>SUM(T472:U472)</f>
        <v>9436.1192499999997</v>
      </c>
      <c r="W472" s="388">
        <f>R472-V472</f>
        <v>10858.112750000018</v>
      </c>
      <c r="X472" s="589">
        <f>W472/R472</f>
        <v>0.53503442505239951</v>
      </c>
      <c r="Y472" s="544"/>
      <c r="Z472" s="536"/>
      <c r="AA472" s="544"/>
      <c r="AB472" s="393" t="s">
        <v>210</v>
      </c>
      <c r="AC472" s="392" t="s">
        <v>752</v>
      </c>
      <c r="AD472" s="392">
        <v>43231</v>
      </c>
      <c r="AE472" s="550"/>
      <c r="AF472" s="392">
        <v>43243</v>
      </c>
      <c r="AG472" s="546">
        <f>AF472-AD472</f>
        <v>12</v>
      </c>
      <c r="AJ472" s="553"/>
    </row>
    <row r="473" spans="1:36" s="218" customFormat="1" ht="14.25" customHeight="1">
      <c r="A473" s="586" t="s">
        <v>714</v>
      </c>
      <c r="B473" s="545" t="s">
        <v>190</v>
      </c>
      <c r="C473" s="386"/>
      <c r="D473" s="386"/>
      <c r="E473" s="392"/>
      <c r="F473" s="536">
        <v>43342</v>
      </c>
      <c r="G473" s="601"/>
      <c r="H473" s="752"/>
      <c r="I473" s="601"/>
      <c r="J473" s="601"/>
      <c r="K473" s="386"/>
      <c r="L473" s="392" t="str">
        <f>TEXT(F473,"mmm-yy")</f>
        <v>Aug-18</v>
      </c>
      <c r="M473" s="392" t="str">
        <f>TEXT(J473,"mmm-yy")</f>
        <v>Jan-00</v>
      </c>
      <c r="N473" s="397" t="s">
        <v>2918</v>
      </c>
      <c r="O473" s="418" t="s">
        <v>2919</v>
      </c>
      <c r="P473" s="538">
        <v>5102.55</v>
      </c>
      <c r="Q473" s="538"/>
      <c r="R473" s="538">
        <f>SUM(P473:Q473)</f>
        <v>5102.55</v>
      </c>
      <c r="S473" s="495">
        <f>R473*1.1</f>
        <v>5612.8050000000003</v>
      </c>
      <c r="T473" s="539"/>
      <c r="U473" s="539"/>
      <c r="V473" s="389">
        <f>SUM(T473:U473)</f>
        <v>0</v>
      </c>
      <c r="W473" s="388">
        <f>R473-V473</f>
        <v>5102.55</v>
      </c>
      <c r="X473" s="589">
        <f>W473/R473</f>
        <v>1</v>
      </c>
      <c r="Y473" s="544"/>
      <c r="Z473" s="536"/>
      <c r="AA473" s="544"/>
      <c r="AB473" s="393" t="s">
        <v>201</v>
      </c>
      <c r="AC473" s="392" t="s">
        <v>752</v>
      </c>
      <c r="AD473" s="392">
        <v>43248</v>
      </c>
      <c r="AE473" s="550"/>
      <c r="AF473" s="392">
        <v>43317</v>
      </c>
      <c r="AG473" s="546">
        <f>AF473-AD473</f>
        <v>69</v>
      </c>
      <c r="AJ473" s="553"/>
    </row>
    <row r="474" spans="1:36" s="218" customFormat="1" ht="14.25" customHeight="1">
      <c r="A474" s="545" t="s">
        <v>715</v>
      </c>
      <c r="B474" s="545" t="s">
        <v>190</v>
      </c>
      <c r="C474" s="543" t="s">
        <v>3096</v>
      </c>
      <c r="D474" s="386">
        <v>43271</v>
      </c>
      <c r="E474" s="392">
        <v>43249</v>
      </c>
      <c r="F474" s="536">
        <v>43249</v>
      </c>
      <c r="G474" s="603">
        <v>43251</v>
      </c>
      <c r="H474" s="753">
        <v>43256</v>
      </c>
      <c r="I474" s="667">
        <v>43265</v>
      </c>
      <c r="J474" s="603">
        <f>I474+14</f>
        <v>43279</v>
      </c>
      <c r="K474" s="386"/>
      <c r="L474" s="392" t="str">
        <f>TEXT(F474,"mmm-yy")</f>
        <v>May-18</v>
      </c>
      <c r="M474" s="392" t="str">
        <f>TEXT(J474,"mmm-yy")</f>
        <v>Jun-18</v>
      </c>
      <c r="N474" s="397" t="s">
        <v>2920</v>
      </c>
      <c r="O474" s="418" t="s">
        <v>2540</v>
      </c>
      <c r="P474" s="538">
        <v>2549.4500000000003</v>
      </c>
      <c r="Q474" s="538">
        <v>1147.33</v>
      </c>
      <c r="R474" s="538">
        <f>SUM(P474:Q474)</f>
        <v>3696.78</v>
      </c>
      <c r="S474" s="495">
        <f>R474*1.1</f>
        <v>4066.4580000000005</v>
      </c>
      <c r="T474" s="539">
        <v>1826.69</v>
      </c>
      <c r="U474" s="539"/>
      <c r="V474" s="389">
        <f>SUM(T474:U474)</f>
        <v>1826.69</v>
      </c>
      <c r="W474" s="388">
        <f>R474-V474</f>
        <v>1870.0900000000001</v>
      </c>
      <c r="X474" s="589">
        <f>W474/R474</f>
        <v>0.50586997332813965</v>
      </c>
      <c r="Y474" s="544"/>
      <c r="Z474" s="536"/>
      <c r="AA474" s="544"/>
      <c r="AB474" s="393" t="s">
        <v>517</v>
      </c>
      <c r="AC474" s="392">
        <v>43242</v>
      </c>
      <c r="AD474" s="392">
        <v>43250</v>
      </c>
      <c r="AE474" s="550"/>
      <c r="AF474" s="392">
        <v>43311</v>
      </c>
      <c r="AG474" s="546">
        <f>AF474-AD474</f>
        <v>61</v>
      </c>
      <c r="AJ474" s="553"/>
    </row>
    <row r="475" spans="1:36" s="218" customFormat="1" ht="14.25" customHeight="1">
      <c r="A475" s="618" t="s">
        <v>714</v>
      </c>
      <c r="B475" s="618" t="s">
        <v>227</v>
      </c>
      <c r="C475" s="386"/>
      <c r="D475" s="386"/>
      <c r="E475" s="392"/>
      <c r="F475" s="536"/>
      <c r="G475" s="601"/>
      <c r="H475" s="752"/>
      <c r="I475" s="601"/>
      <c r="J475" s="601"/>
      <c r="K475" s="386"/>
      <c r="L475" s="392"/>
      <c r="M475" s="392"/>
      <c r="N475" s="532" t="s">
        <v>2921</v>
      </c>
      <c r="O475" s="522" t="s">
        <v>2922</v>
      </c>
      <c r="P475" s="538"/>
      <c r="Q475" s="538"/>
      <c r="R475" s="538"/>
      <c r="S475" s="495"/>
      <c r="T475" s="539"/>
      <c r="U475" s="539"/>
      <c r="V475" s="409"/>
      <c r="W475" s="408"/>
      <c r="X475" s="602"/>
      <c r="Y475" s="544"/>
      <c r="Z475" s="536"/>
      <c r="AA475" s="544"/>
      <c r="AB475" s="393"/>
      <c r="AC475" s="392"/>
      <c r="AD475" s="392"/>
      <c r="AE475" s="550"/>
      <c r="AF475" s="392"/>
      <c r="AG475" s="546"/>
      <c r="AJ475" s="553"/>
    </row>
    <row r="476" spans="1:36" s="379" customFormat="1" ht="14.25" customHeight="1">
      <c r="A476" s="586" t="s">
        <v>714</v>
      </c>
      <c r="B476" s="586" t="s">
        <v>190</v>
      </c>
      <c r="C476" s="541"/>
      <c r="D476" s="541"/>
      <c r="E476" s="536"/>
      <c r="F476" s="536">
        <v>43403</v>
      </c>
      <c r="G476" s="741"/>
      <c r="H476" s="742"/>
      <c r="I476" s="741"/>
      <c r="J476" s="741"/>
      <c r="K476" s="541"/>
      <c r="L476" s="392" t="str">
        <f>TEXT(F476,"mmm-yy")</f>
        <v>Oct-18</v>
      </c>
      <c r="M476" s="392" t="str">
        <f>TEXT(J476,"mmm-yy")</f>
        <v>Jan-00</v>
      </c>
      <c r="N476" s="445" t="s">
        <v>2940</v>
      </c>
      <c r="O476" s="551" t="s">
        <v>254</v>
      </c>
      <c r="P476" s="552">
        <v>6541.61</v>
      </c>
      <c r="Q476" s="552"/>
      <c r="R476" s="538">
        <f>SUM(P476:Q476)</f>
        <v>6541.61</v>
      </c>
      <c r="S476" s="495">
        <f>R476*1.1</f>
        <v>7195.7710000000006</v>
      </c>
      <c r="T476" s="539"/>
      <c r="U476" s="539"/>
      <c r="V476" s="389">
        <f>SUM(T476:U476)</f>
        <v>0</v>
      </c>
      <c r="W476" s="388">
        <f>R476-V476</f>
        <v>6541.61</v>
      </c>
      <c r="X476" s="589">
        <f>W476/R476</f>
        <v>1</v>
      </c>
      <c r="Y476" s="389"/>
      <c r="Z476" s="536"/>
      <c r="AA476" s="389"/>
      <c r="AB476" s="393" t="s">
        <v>201</v>
      </c>
      <c r="AC476" s="392" t="s">
        <v>752</v>
      </c>
      <c r="AD476" s="392">
        <v>43250</v>
      </c>
      <c r="AE476" s="689"/>
      <c r="AF476" s="536">
        <v>43356</v>
      </c>
      <c r="AG476" s="546">
        <f>AF476-AD476</f>
        <v>106</v>
      </c>
      <c r="AJ476" s="592"/>
    </row>
    <row r="477" spans="1:36" s="379" customFormat="1" ht="14.25" customHeight="1">
      <c r="A477" s="586" t="s">
        <v>714</v>
      </c>
      <c r="B477" s="586" t="s">
        <v>190</v>
      </c>
      <c r="C477" s="541"/>
      <c r="D477" s="541"/>
      <c r="E477" s="536"/>
      <c r="F477" s="536">
        <v>43373</v>
      </c>
      <c r="G477" s="741"/>
      <c r="H477" s="742"/>
      <c r="I477" s="741"/>
      <c r="J477" s="741"/>
      <c r="K477" s="541"/>
      <c r="L477" s="392" t="str">
        <f>TEXT(F477,"mmm-yy")</f>
        <v>Sep-18</v>
      </c>
      <c r="M477" s="392" t="str">
        <f>TEXT(J477,"mmm-yy")</f>
        <v>Jan-00</v>
      </c>
      <c r="N477" s="445" t="s">
        <v>2937</v>
      </c>
      <c r="O477" s="551" t="s">
        <v>2923</v>
      </c>
      <c r="P477" s="552">
        <v>1091.81</v>
      </c>
      <c r="Q477" s="552"/>
      <c r="R477" s="538">
        <f>SUM(P477:Q477)</f>
        <v>1091.81</v>
      </c>
      <c r="S477" s="495">
        <f>R477*1.1</f>
        <v>1200.991</v>
      </c>
      <c r="T477" s="539"/>
      <c r="U477" s="539"/>
      <c r="V477" s="389">
        <f>SUM(T477:U477)</f>
        <v>0</v>
      </c>
      <c r="W477" s="388">
        <f>R477-V477</f>
        <v>1091.81</v>
      </c>
      <c r="X477" s="589">
        <f>W477/R477</f>
        <v>1</v>
      </c>
      <c r="Y477" s="544"/>
      <c r="Z477" s="536"/>
      <c r="AA477" s="544"/>
      <c r="AB477" s="393" t="s">
        <v>201</v>
      </c>
      <c r="AC477" s="536" t="s">
        <v>752</v>
      </c>
      <c r="AD477" s="536">
        <v>43250</v>
      </c>
      <c r="AE477" s="689"/>
      <c r="AF477" s="536">
        <v>43330</v>
      </c>
      <c r="AG477" s="546">
        <f>AF477-AD477</f>
        <v>80</v>
      </c>
      <c r="AJ477" s="592"/>
    </row>
    <row r="478" spans="1:36" s="379" customFormat="1" ht="14.25" customHeight="1">
      <c r="A478" s="586" t="s">
        <v>714</v>
      </c>
      <c r="B478" s="586" t="s">
        <v>190</v>
      </c>
      <c r="C478" s="541"/>
      <c r="D478" s="541"/>
      <c r="E478" s="536"/>
      <c r="F478" s="536">
        <v>43403</v>
      </c>
      <c r="G478" s="741"/>
      <c r="H478" s="742"/>
      <c r="I478" s="741"/>
      <c r="J478" s="741"/>
      <c r="K478" s="541"/>
      <c r="L478" s="392" t="str">
        <f>TEXT(F478,"mmm-yy")</f>
        <v>Oct-18</v>
      </c>
      <c r="M478" s="392" t="str">
        <f>TEXT(J478,"mmm-yy")</f>
        <v>Jan-00</v>
      </c>
      <c r="N478" s="445" t="s">
        <v>3060</v>
      </c>
      <c r="O478" s="551" t="s">
        <v>1784</v>
      </c>
      <c r="P478" s="552">
        <v>2864.22</v>
      </c>
      <c r="Q478" s="552"/>
      <c r="R478" s="538">
        <f>SUM(P478:Q478)</f>
        <v>2864.22</v>
      </c>
      <c r="S478" s="495">
        <f>R478*1.1</f>
        <v>3150.6419999999998</v>
      </c>
      <c r="T478" s="539"/>
      <c r="U478" s="539"/>
      <c r="V478" s="389">
        <f>SUM(T478:U478)</f>
        <v>0</v>
      </c>
      <c r="W478" s="388">
        <f>R478-V478</f>
        <v>2864.22</v>
      </c>
      <c r="X478" s="589">
        <f>W478/R478</f>
        <v>1</v>
      </c>
      <c r="Y478" s="544"/>
      <c r="Z478" s="536"/>
      <c r="AA478" s="544"/>
      <c r="AB478" s="393" t="s">
        <v>201</v>
      </c>
      <c r="AC478" s="536" t="s">
        <v>752</v>
      </c>
      <c r="AD478" s="536">
        <v>43264</v>
      </c>
      <c r="AE478" s="689"/>
      <c r="AF478" s="536">
        <v>43371</v>
      </c>
      <c r="AG478" s="546">
        <f>AF478-AD478</f>
        <v>107</v>
      </c>
      <c r="AJ478" s="592"/>
    </row>
    <row r="479" spans="1:36" s="218" customFormat="1" ht="14.25" customHeight="1">
      <c r="A479" s="586" t="s">
        <v>714</v>
      </c>
      <c r="B479" s="545" t="s">
        <v>190</v>
      </c>
      <c r="C479" s="386"/>
      <c r="D479" s="386"/>
      <c r="E479" s="392"/>
      <c r="F479" s="536">
        <v>43342</v>
      </c>
      <c r="G479" s="601"/>
      <c r="H479" s="752"/>
      <c r="I479" s="601"/>
      <c r="J479" s="601"/>
      <c r="K479" s="386"/>
      <c r="L479" s="392" t="str">
        <f>TEXT(F479,"mmm-yy")</f>
        <v>Aug-18</v>
      </c>
      <c r="M479" s="392" t="str">
        <f>TEXT(J479,"mmm-yy")</f>
        <v>Jan-00</v>
      </c>
      <c r="N479" s="397" t="s">
        <v>2931</v>
      </c>
      <c r="O479" s="418" t="s">
        <v>2932</v>
      </c>
      <c r="P479" s="538">
        <v>4221.51</v>
      </c>
      <c r="Q479" s="538"/>
      <c r="R479" s="538">
        <f>SUM(P479:Q479)</f>
        <v>4221.51</v>
      </c>
      <c r="S479" s="495">
        <f>R479*1.1</f>
        <v>4643.661000000001</v>
      </c>
      <c r="T479" s="539"/>
      <c r="U479" s="539"/>
      <c r="V479" s="389">
        <f>SUM(T479:U479)</f>
        <v>0</v>
      </c>
      <c r="W479" s="388">
        <f>R479-V479</f>
        <v>4221.51</v>
      </c>
      <c r="X479" s="589">
        <f>W479/R479</f>
        <v>1</v>
      </c>
      <c r="Y479" s="544"/>
      <c r="Z479" s="536"/>
      <c r="AA479" s="544"/>
      <c r="AB479" s="393" t="s">
        <v>201</v>
      </c>
      <c r="AC479" s="392" t="s">
        <v>752</v>
      </c>
      <c r="AD479" s="392">
        <v>43249</v>
      </c>
      <c r="AE479" s="550"/>
      <c r="AF479" s="392">
        <v>43310</v>
      </c>
      <c r="AG479" s="546">
        <f>AF479-AD479</f>
        <v>61</v>
      </c>
      <c r="AJ479" s="553"/>
    </row>
    <row r="480" spans="1:36" s="218" customFormat="1" ht="14.25" customHeight="1">
      <c r="A480" s="545" t="s">
        <v>715</v>
      </c>
      <c r="B480" s="545" t="s">
        <v>724</v>
      </c>
      <c r="C480" s="386"/>
      <c r="D480" s="386"/>
      <c r="E480" s="392"/>
      <c r="F480" s="536">
        <v>43311</v>
      </c>
      <c r="G480" s="601"/>
      <c r="H480" s="752"/>
      <c r="I480" s="601"/>
      <c r="J480" s="601"/>
      <c r="K480" s="386"/>
      <c r="L480" s="392" t="str">
        <f>TEXT(F480,"mmm-yy")</f>
        <v>Jul-18</v>
      </c>
      <c r="M480" s="392" t="str">
        <f>TEXT(J480,"mmm-yy")</f>
        <v>Jan-00</v>
      </c>
      <c r="N480" s="354" t="s">
        <v>2938</v>
      </c>
      <c r="O480" s="418" t="s">
        <v>2933</v>
      </c>
      <c r="P480" s="538">
        <v>3000</v>
      </c>
      <c r="Q480" s="538"/>
      <c r="R480" s="538">
        <f>SUM(P480:Q480)</f>
        <v>3000</v>
      </c>
      <c r="S480" s="495">
        <f>R480*1.1</f>
        <v>3300.0000000000005</v>
      </c>
      <c r="T480" s="539"/>
      <c r="U480" s="539"/>
      <c r="V480" s="389">
        <f>SUM(T480:U480)</f>
        <v>0</v>
      </c>
      <c r="W480" s="388">
        <f>R480-V480</f>
        <v>3000</v>
      </c>
      <c r="X480" s="589">
        <f>W480/R480</f>
        <v>1</v>
      </c>
      <c r="Y480" s="544"/>
      <c r="Z480" s="536"/>
      <c r="AA480" s="544"/>
      <c r="AB480" s="393" t="s">
        <v>220</v>
      </c>
      <c r="AC480" s="392">
        <v>43241</v>
      </c>
      <c r="AD480" s="392">
        <v>43249</v>
      </c>
      <c r="AE480" s="689">
        <f>AD480-AC480</f>
        <v>8</v>
      </c>
      <c r="AF480" s="392">
        <v>43280</v>
      </c>
      <c r="AG480" s="546">
        <f>AF480-AD480</f>
        <v>31</v>
      </c>
      <c r="AJ480" s="553"/>
    </row>
    <row r="481" spans="1:36" s="218" customFormat="1" ht="14.25" customHeight="1">
      <c r="A481" s="586" t="s">
        <v>714</v>
      </c>
      <c r="B481" s="545" t="s">
        <v>190</v>
      </c>
      <c r="C481" s="386"/>
      <c r="D481" s="386"/>
      <c r="E481" s="392"/>
      <c r="F481" s="536">
        <v>43373</v>
      </c>
      <c r="G481" s="601"/>
      <c r="H481" s="752"/>
      <c r="I481" s="601"/>
      <c r="J481" s="601"/>
      <c r="K481" s="386"/>
      <c r="L481" s="392" t="str">
        <f>TEXT(F481,"mmm-yy")</f>
        <v>Sep-18</v>
      </c>
      <c r="M481" s="392" t="str">
        <f>TEXT(J481,"mmm-yy")</f>
        <v>Jan-00</v>
      </c>
      <c r="N481" s="397" t="s">
        <v>2963</v>
      </c>
      <c r="O481" s="418" t="s">
        <v>2939</v>
      </c>
      <c r="P481" s="538">
        <v>1411.72</v>
      </c>
      <c r="Q481" s="538"/>
      <c r="R481" s="538">
        <f>SUM(P481:Q481)</f>
        <v>1411.72</v>
      </c>
      <c r="S481" s="495">
        <f>R481*1.1</f>
        <v>1552.8920000000001</v>
      </c>
      <c r="T481" s="539"/>
      <c r="U481" s="539"/>
      <c r="V481" s="389">
        <f>SUM(T481:U481)</f>
        <v>0</v>
      </c>
      <c r="W481" s="388">
        <f>R481-V481</f>
        <v>1411.72</v>
      </c>
      <c r="X481" s="589">
        <f>W481/R481</f>
        <v>1</v>
      </c>
      <c r="Y481" s="544"/>
      <c r="Z481" s="536"/>
      <c r="AA481" s="544"/>
      <c r="AB481" s="393" t="s">
        <v>201</v>
      </c>
      <c r="AC481" s="392" t="s">
        <v>752</v>
      </c>
      <c r="AD481" s="392">
        <v>43250</v>
      </c>
      <c r="AE481" s="550"/>
      <c r="AF481" s="392">
        <v>43348</v>
      </c>
      <c r="AG481" s="546">
        <f>AF481-AD481</f>
        <v>98</v>
      </c>
      <c r="AJ481" s="553"/>
    </row>
    <row r="482" spans="1:36" s="218" customFormat="1" ht="14.25" customHeight="1">
      <c r="A482" s="586" t="s">
        <v>714</v>
      </c>
      <c r="B482" s="545" t="s">
        <v>723</v>
      </c>
      <c r="C482" s="386"/>
      <c r="D482" s="386"/>
      <c r="E482" s="392"/>
      <c r="F482" s="536">
        <v>43373</v>
      </c>
      <c r="G482" s="601"/>
      <c r="H482" s="752"/>
      <c r="I482" s="601"/>
      <c r="J482" s="601"/>
      <c r="K482" s="386"/>
      <c r="L482" s="392" t="str">
        <f>TEXT(F482,"mmm-yy")</f>
        <v>Sep-18</v>
      </c>
      <c r="M482" s="392" t="str">
        <f>TEXT(J482,"mmm-yy")</f>
        <v>Jan-00</v>
      </c>
      <c r="N482" s="397" t="s">
        <v>2941</v>
      </c>
      <c r="O482" s="418" t="s">
        <v>225</v>
      </c>
      <c r="P482" s="538">
        <v>4042.34</v>
      </c>
      <c r="Q482" s="538"/>
      <c r="R482" s="538">
        <f>SUM(P482:Q482)</f>
        <v>4042.34</v>
      </c>
      <c r="S482" s="495">
        <f>R482*1.1</f>
        <v>4446.5740000000005</v>
      </c>
      <c r="T482" s="539"/>
      <c r="U482" s="539"/>
      <c r="V482" s="389">
        <f>SUM(T482:U482)</f>
        <v>0</v>
      </c>
      <c r="W482" s="388">
        <f>R482-V482</f>
        <v>4042.34</v>
      </c>
      <c r="X482" s="589">
        <f>W482/R482</f>
        <v>1</v>
      </c>
      <c r="Y482" s="544"/>
      <c r="Z482" s="536"/>
      <c r="AA482" s="544"/>
      <c r="AB482" s="393" t="s">
        <v>201</v>
      </c>
      <c r="AC482" s="392" t="s">
        <v>752</v>
      </c>
      <c r="AD482" s="392">
        <v>43250</v>
      </c>
      <c r="AE482" s="550"/>
      <c r="AF482" s="392">
        <v>43335</v>
      </c>
      <c r="AG482" s="546">
        <f>AF482-AD482</f>
        <v>85</v>
      </c>
      <c r="AJ482" s="553"/>
    </row>
    <row r="483" spans="1:36" s="218" customFormat="1" ht="14.25" customHeight="1">
      <c r="A483" s="586" t="s">
        <v>714</v>
      </c>
      <c r="B483" s="545" t="s">
        <v>190</v>
      </c>
      <c r="C483" s="386"/>
      <c r="D483" s="386"/>
      <c r="E483" s="392"/>
      <c r="F483" s="536">
        <v>43373</v>
      </c>
      <c r="G483" s="601"/>
      <c r="H483" s="752"/>
      <c r="I483" s="601"/>
      <c r="J483" s="601"/>
      <c r="K483" s="386"/>
      <c r="L483" s="392" t="str">
        <f>TEXT(F483,"mmm-yy")</f>
        <v>Sep-18</v>
      </c>
      <c r="M483" s="392" t="str">
        <f>TEXT(J483,"mmm-yy")</f>
        <v>Jan-00</v>
      </c>
      <c r="N483" s="397" t="s">
        <v>2956</v>
      </c>
      <c r="O483" s="418" t="s">
        <v>2957</v>
      </c>
      <c r="P483" s="538">
        <v>2382.0700000000002</v>
      </c>
      <c r="Q483" s="538"/>
      <c r="R483" s="538">
        <f>SUM(P483:Q483)</f>
        <v>2382.0700000000002</v>
      </c>
      <c r="S483" s="495">
        <f>R483*1.1</f>
        <v>2620.2770000000005</v>
      </c>
      <c r="T483" s="539"/>
      <c r="U483" s="539"/>
      <c r="V483" s="389">
        <f>SUM(T483:U483)</f>
        <v>0</v>
      </c>
      <c r="W483" s="388">
        <f>R483-V483</f>
        <v>2382.0700000000002</v>
      </c>
      <c r="X483" s="589">
        <f>W483/R483</f>
        <v>1</v>
      </c>
      <c r="Y483" s="544"/>
      <c r="Z483" s="536"/>
      <c r="AA483" s="544"/>
      <c r="AB483" s="393" t="s">
        <v>201</v>
      </c>
      <c r="AC483" s="392" t="s">
        <v>752</v>
      </c>
      <c r="AD483" s="392">
        <v>43250</v>
      </c>
      <c r="AE483" s="550"/>
      <c r="AF483" s="392">
        <v>43341</v>
      </c>
      <c r="AG483" s="546">
        <f>AF483-AD483</f>
        <v>91</v>
      </c>
      <c r="AJ483" s="553"/>
    </row>
    <row r="484" spans="1:36" s="218" customFormat="1" ht="14.25" customHeight="1">
      <c r="A484" s="586" t="s">
        <v>714</v>
      </c>
      <c r="B484" s="545" t="s">
        <v>190</v>
      </c>
      <c r="C484" s="386"/>
      <c r="D484" s="386"/>
      <c r="E484" s="392"/>
      <c r="F484" s="536">
        <v>43373</v>
      </c>
      <c r="G484" s="601"/>
      <c r="H484" s="752"/>
      <c r="I484" s="601"/>
      <c r="J484" s="601"/>
      <c r="K484" s="386"/>
      <c r="L484" s="392" t="str">
        <f>TEXT(F484,"mmm-yy")</f>
        <v>Sep-18</v>
      </c>
      <c r="M484" s="392" t="str">
        <f>TEXT(J484,"mmm-yy")</f>
        <v>Jan-00</v>
      </c>
      <c r="N484" s="397" t="s">
        <v>2960</v>
      </c>
      <c r="O484" s="418" t="s">
        <v>2763</v>
      </c>
      <c r="P484" s="538">
        <v>3453.15</v>
      </c>
      <c r="Q484" s="538"/>
      <c r="R484" s="538">
        <f>SUM(P484:Q484)</f>
        <v>3453.15</v>
      </c>
      <c r="S484" s="495">
        <f>R484*1.1</f>
        <v>3798.4650000000006</v>
      </c>
      <c r="T484" s="539"/>
      <c r="U484" s="539"/>
      <c r="V484" s="389">
        <f>SUM(T484:U484)</f>
        <v>0</v>
      </c>
      <c r="W484" s="388">
        <f>R484-V484</f>
        <v>3453.15</v>
      </c>
      <c r="X484" s="589">
        <f>W484/R484</f>
        <v>1</v>
      </c>
      <c r="Y484" s="544"/>
      <c r="Z484" s="536"/>
      <c r="AA484" s="544"/>
      <c r="AB484" s="393" t="s">
        <v>201</v>
      </c>
      <c r="AC484" s="392" t="s">
        <v>752</v>
      </c>
      <c r="AD484" s="392">
        <v>43250</v>
      </c>
      <c r="AE484" s="550"/>
      <c r="AF484" s="392">
        <v>43335</v>
      </c>
      <c r="AG484" s="546">
        <f>AF484-AD484</f>
        <v>85</v>
      </c>
      <c r="AJ484" s="553"/>
    </row>
    <row r="485" spans="1:36" s="218" customFormat="1" ht="14.25" customHeight="1">
      <c r="A485" s="586" t="s">
        <v>714</v>
      </c>
      <c r="B485" s="545" t="s">
        <v>723</v>
      </c>
      <c r="C485" s="386"/>
      <c r="D485" s="386"/>
      <c r="E485" s="392"/>
      <c r="F485" s="536">
        <v>43373</v>
      </c>
      <c r="G485" s="601"/>
      <c r="H485" s="752"/>
      <c r="I485" s="601"/>
      <c r="J485" s="601"/>
      <c r="K485" s="386"/>
      <c r="L485" s="392" t="str">
        <f>TEXT(F485,"mmm-yy")</f>
        <v>Sep-18</v>
      </c>
      <c r="M485" s="392" t="str">
        <f>TEXT(J485,"mmm-yy")</f>
        <v>Jan-00</v>
      </c>
      <c r="N485" s="397" t="s">
        <v>2969</v>
      </c>
      <c r="O485" s="418" t="s">
        <v>225</v>
      </c>
      <c r="P485" s="538">
        <v>1056.4000000000001</v>
      </c>
      <c r="Q485" s="538"/>
      <c r="R485" s="538">
        <f>SUM(P485:Q485)</f>
        <v>1056.4000000000001</v>
      </c>
      <c r="S485" s="495">
        <f>R485*1.1</f>
        <v>1162.0400000000002</v>
      </c>
      <c r="T485" s="539"/>
      <c r="U485" s="539"/>
      <c r="V485" s="389">
        <f>SUM(T485:U485)</f>
        <v>0</v>
      </c>
      <c r="W485" s="388">
        <f>R485-V485</f>
        <v>1056.4000000000001</v>
      </c>
      <c r="X485" s="589">
        <f>W485/R485</f>
        <v>1</v>
      </c>
      <c r="Y485" s="544"/>
      <c r="Z485" s="536"/>
      <c r="AA485" s="544"/>
      <c r="AB485" s="393" t="s">
        <v>201</v>
      </c>
      <c r="AC485" s="392" t="s">
        <v>752</v>
      </c>
      <c r="AD485" s="392">
        <v>43251</v>
      </c>
      <c r="AE485" s="550"/>
      <c r="AF485" s="392">
        <v>43334</v>
      </c>
      <c r="AG485" s="546">
        <f>AF485-AD485</f>
        <v>83</v>
      </c>
      <c r="AJ485" s="553"/>
    </row>
    <row r="486" spans="1:36" s="218" customFormat="1" ht="14.25" customHeight="1">
      <c r="A486" s="586" t="s">
        <v>714</v>
      </c>
      <c r="B486" s="545" t="s">
        <v>190</v>
      </c>
      <c r="C486" s="386"/>
      <c r="D486" s="386"/>
      <c r="E486" s="392"/>
      <c r="F486" s="536">
        <v>43373</v>
      </c>
      <c r="G486" s="601"/>
      <c r="H486" s="752"/>
      <c r="I486" s="601"/>
      <c r="J486" s="601"/>
      <c r="K486" s="386"/>
      <c r="L486" s="392" t="str">
        <f>TEXT(F486,"mmm-yy")</f>
        <v>Sep-18</v>
      </c>
      <c r="M486" s="392" t="str">
        <f>TEXT(J486,"mmm-yy")</f>
        <v>Jan-00</v>
      </c>
      <c r="N486" s="397" t="s">
        <v>2971</v>
      </c>
      <c r="O486" s="418" t="s">
        <v>240</v>
      </c>
      <c r="P486" s="538">
        <v>923.71</v>
      </c>
      <c r="Q486" s="538"/>
      <c r="R486" s="538">
        <f>SUM(P486:Q486)</f>
        <v>923.71</v>
      </c>
      <c r="S486" s="495">
        <f>R486*1.1</f>
        <v>1016.0810000000001</v>
      </c>
      <c r="T486" s="539"/>
      <c r="U486" s="539"/>
      <c r="V486" s="389">
        <f>SUM(T486:U486)</f>
        <v>0</v>
      </c>
      <c r="W486" s="388">
        <f>R486-V486</f>
        <v>923.71</v>
      </c>
      <c r="X486" s="589">
        <f>W486/R486</f>
        <v>1</v>
      </c>
      <c r="Y486" s="544"/>
      <c r="Z486" s="536"/>
      <c r="AA486" s="544"/>
      <c r="AB486" s="393" t="s">
        <v>201</v>
      </c>
      <c r="AC486" s="392" t="s">
        <v>752</v>
      </c>
      <c r="AD486" s="392">
        <v>43252</v>
      </c>
      <c r="AE486" s="550"/>
      <c r="AF486" s="392">
        <v>43335</v>
      </c>
      <c r="AG486" s="546">
        <f>AF486-AD486</f>
        <v>83</v>
      </c>
      <c r="AJ486" s="553"/>
    </row>
    <row r="487" spans="1:36" s="218" customFormat="1" ht="14.25" customHeight="1">
      <c r="A487" s="586" t="s">
        <v>714</v>
      </c>
      <c r="B487" s="545" t="s">
        <v>723</v>
      </c>
      <c r="C487" s="386"/>
      <c r="D487" s="386"/>
      <c r="E487" s="392"/>
      <c r="F487" s="536">
        <v>43373</v>
      </c>
      <c r="G487" s="601"/>
      <c r="H487" s="752"/>
      <c r="I487" s="601"/>
      <c r="J487" s="601"/>
      <c r="K487" s="386"/>
      <c r="L487" s="392" t="str">
        <f>TEXT(F487,"mmm-yy")</f>
        <v>Sep-18</v>
      </c>
      <c r="M487" s="392" t="str">
        <f>TEXT(J487,"mmm-yy")</f>
        <v>Jan-00</v>
      </c>
      <c r="N487" s="397" t="s">
        <v>2973</v>
      </c>
      <c r="O487" s="418" t="s">
        <v>2974</v>
      </c>
      <c r="P487" s="538">
        <v>2924.92</v>
      </c>
      <c r="Q487" s="538"/>
      <c r="R487" s="538">
        <f>SUM(P487:Q487)</f>
        <v>2924.92</v>
      </c>
      <c r="S487" s="495">
        <f>R487*1.1</f>
        <v>3217.4120000000003</v>
      </c>
      <c r="T487" s="539"/>
      <c r="U487" s="539"/>
      <c r="V487" s="389">
        <f>SUM(T487:U487)</f>
        <v>0</v>
      </c>
      <c r="W487" s="388">
        <f>R487-V487</f>
        <v>2924.92</v>
      </c>
      <c r="X487" s="589">
        <f>W487/R487</f>
        <v>1</v>
      </c>
      <c r="Y487" s="544"/>
      <c r="Z487" s="536"/>
      <c r="AA487" s="544"/>
      <c r="AB487" s="393" t="s">
        <v>201</v>
      </c>
      <c r="AC487" s="392" t="s">
        <v>752</v>
      </c>
      <c r="AD487" s="392">
        <v>43252</v>
      </c>
      <c r="AE487" s="550"/>
      <c r="AF487" s="392">
        <v>43336</v>
      </c>
      <c r="AG487" s="546">
        <f>AF487-AD487</f>
        <v>84</v>
      </c>
      <c r="AJ487" s="553"/>
    </row>
    <row r="488" spans="1:36" s="218" customFormat="1" ht="14.25" customHeight="1">
      <c r="A488" s="586" t="s">
        <v>714</v>
      </c>
      <c r="B488" s="545" t="s">
        <v>190</v>
      </c>
      <c r="C488" s="386"/>
      <c r="D488" s="386"/>
      <c r="E488" s="392"/>
      <c r="F488" s="536">
        <v>43342</v>
      </c>
      <c r="G488" s="601"/>
      <c r="H488" s="752"/>
      <c r="I488" s="601"/>
      <c r="J488" s="601"/>
      <c r="K488" s="386"/>
      <c r="L488" s="392" t="str">
        <f>TEXT(F488,"mmm-yy")</f>
        <v>Aug-18</v>
      </c>
      <c r="M488" s="392" t="str">
        <f>TEXT(J488,"mmm-yy")</f>
        <v>Jan-00</v>
      </c>
      <c r="N488" s="397" t="s">
        <v>2979</v>
      </c>
      <c r="O488" s="418" t="s">
        <v>488</v>
      </c>
      <c r="P488" s="538">
        <v>856.8</v>
      </c>
      <c r="Q488" s="538"/>
      <c r="R488" s="538">
        <f>SUM(P488:Q488)</f>
        <v>856.8</v>
      </c>
      <c r="S488" s="495">
        <f>R488*1.1</f>
        <v>942.48</v>
      </c>
      <c r="T488" s="539"/>
      <c r="U488" s="539"/>
      <c r="V488" s="389">
        <f>SUM(T488:U488)</f>
        <v>0</v>
      </c>
      <c r="W488" s="388">
        <f>R488-V488</f>
        <v>856.8</v>
      </c>
      <c r="X488" s="589">
        <f>W488/R488</f>
        <v>1</v>
      </c>
      <c r="Y488" s="544"/>
      <c r="Z488" s="536"/>
      <c r="AA488" s="544"/>
      <c r="AB488" s="393" t="s">
        <v>727</v>
      </c>
      <c r="AC488" s="392" t="s">
        <v>752</v>
      </c>
      <c r="AD488" s="392">
        <v>43252</v>
      </c>
      <c r="AE488" s="550"/>
      <c r="AF488" s="392">
        <v>43320</v>
      </c>
      <c r="AG488" s="546">
        <f>AF488-AD488</f>
        <v>68</v>
      </c>
      <c r="AJ488" s="553"/>
    </row>
    <row r="489" spans="1:36" s="218" customFormat="1" ht="14.25" customHeight="1">
      <c r="A489" s="545" t="s">
        <v>715</v>
      </c>
      <c r="B489" s="545" t="s">
        <v>764</v>
      </c>
      <c r="C489" s="386"/>
      <c r="D489" s="386"/>
      <c r="E489" s="392">
        <v>43269</v>
      </c>
      <c r="F489" s="838">
        <v>43281</v>
      </c>
      <c r="G489" s="756"/>
      <c r="H489" s="757"/>
      <c r="I489" s="667">
        <v>43283</v>
      </c>
      <c r="J489" s="601"/>
      <c r="K489" s="386"/>
      <c r="L489" s="392" t="str">
        <f>TEXT(F489,"mmm-yy")</f>
        <v>Jun-18</v>
      </c>
      <c r="M489" s="392" t="str">
        <f>TEXT(J489,"mmm-yy")</f>
        <v>Jan-00</v>
      </c>
      <c r="N489" s="397" t="s">
        <v>2983</v>
      </c>
      <c r="O489" s="418" t="s">
        <v>2358</v>
      </c>
      <c r="P489" s="538">
        <v>4293.8739999999998</v>
      </c>
      <c r="Q489" s="776"/>
      <c r="R489" s="538">
        <f>SUM(P489:Q489)</f>
        <v>4293.8739999999998</v>
      </c>
      <c r="S489" s="495">
        <f>R489*1.1</f>
        <v>4723.2614000000003</v>
      </c>
      <c r="T489" s="539"/>
      <c r="U489" s="539"/>
      <c r="V489" s="389">
        <f>SUM(T489:U489)</f>
        <v>0</v>
      </c>
      <c r="W489" s="388">
        <f>R489-V489</f>
        <v>4293.8739999999998</v>
      </c>
      <c r="X489" s="589">
        <f>W489/R489</f>
        <v>1</v>
      </c>
      <c r="Y489" s="544"/>
      <c r="Z489" s="536"/>
      <c r="AA489" s="544"/>
      <c r="AB489" s="393" t="s">
        <v>517</v>
      </c>
      <c r="AC489" s="719"/>
      <c r="AD489" s="392"/>
      <c r="AE489" s="550"/>
      <c r="AF489" s="392"/>
      <c r="AG489" s="546">
        <f>AF489-AD489</f>
        <v>0</v>
      </c>
      <c r="AJ489" s="553"/>
    </row>
    <row r="490" spans="1:36" s="218" customFormat="1" ht="14.25" customHeight="1">
      <c r="A490" s="586" t="s">
        <v>714</v>
      </c>
      <c r="B490" s="545" t="s">
        <v>190</v>
      </c>
      <c r="C490" s="386"/>
      <c r="D490" s="386"/>
      <c r="E490" s="392"/>
      <c r="F490" s="536">
        <v>43311</v>
      </c>
      <c r="G490" s="658"/>
      <c r="H490" s="658"/>
      <c r="I490" s="601"/>
      <c r="J490" s="601"/>
      <c r="K490" s="386"/>
      <c r="L490" s="392" t="str">
        <f>TEXT(F490,"mmm-yy")</f>
        <v>Jul-18</v>
      </c>
      <c r="M490" s="392" t="str">
        <f>TEXT(J490,"mmm-yy")</f>
        <v>Jan-00</v>
      </c>
      <c r="N490" s="397" t="s">
        <v>2989</v>
      </c>
      <c r="O490" s="418" t="s">
        <v>2924</v>
      </c>
      <c r="P490" s="538">
        <v>1156.75</v>
      </c>
      <c r="Q490" s="840"/>
      <c r="R490" s="538">
        <f>SUM(P490:Q490)</f>
        <v>1156.75</v>
      </c>
      <c r="S490" s="495">
        <f>R490*1.1</f>
        <v>1272.4250000000002</v>
      </c>
      <c r="T490" s="539">
        <v>1502.68</v>
      </c>
      <c r="U490" s="539"/>
      <c r="V490" s="389">
        <f>SUM(T490:U490)</f>
        <v>1502.68</v>
      </c>
      <c r="W490" s="388">
        <f>R490-V490</f>
        <v>-345.93000000000006</v>
      </c>
      <c r="X490" s="775">
        <f>W490/R490</f>
        <v>-0.29905338232115847</v>
      </c>
      <c r="Y490" s="544"/>
      <c r="Z490" s="536"/>
      <c r="AA490" s="544"/>
      <c r="AB490" s="393" t="s">
        <v>201</v>
      </c>
      <c r="AC490" s="392" t="s">
        <v>752</v>
      </c>
      <c r="AD490" s="392">
        <v>43256</v>
      </c>
      <c r="AE490" s="550"/>
      <c r="AF490" s="392">
        <v>43279</v>
      </c>
      <c r="AG490" s="546">
        <f>AF490-AD490</f>
        <v>23</v>
      </c>
      <c r="AJ490" s="553"/>
    </row>
    <row r="491" spans="1:36" s="218" customFormat="1" ht="14.25" customHeight="1">
      <c r="A491" s="586" t="s">
        <v>714</v>
      </c>
      <c r="B491" s="545" t="s">
        <v>227</v>
      </c>
      <c r="C491" s="386"/>
      <c r="D491" s="386"/>
      <c r="E491" s="392"/>
      <c r="F491" s="536">
        <v>43373</v>
      </c>
      <c r="G491" s="601"/>
      <c r="H491" s="752"/>
      <c r="I491" s="601"/>
      <c r="J491" s="601"/>
      <c r="K491" s="386"/>
      <c r="L491" s="392" t="str">
        <f>TEXT(F491,"mmm-yy")</f>
        <v>Sep-18</v>
      </c>
      <c r="M491" s="392" t="str">
        <f>TEXT(J491,"mmm-yy")</f>
        <v>Jan-00</v>
      </c>
      <c r="N491" s="397" t="s">
        <v>2996</v>
      </c>
      <c r="O491" s="418" t="s">
        <v>2997</v>
      </c>
      <c r="P491" s="538">
        <v>926.02</v>
      </c>
      <c r="Q491" s="538"/>
      <c r="R491" s="538">
        <f>SUM(P491:Q491)</f>
        <v>926.02</v>
      </c>
      <c r="S491" s="495">
        <f>R491*1.1</f>
        <v>1018.6220000000001</v>
      </c>
      <c r="T491" s="539"/>
      <c r="U491" s="539"/>
      <c r="V491" s="389">
        <f>SUM(T491:U491)</f>
        <v>0</v>
      </c>
      <c r="W491" s="388">
        <f>R491-V491</f>
        <v>926.02</v>
      </c>
      <c r="X491" s="589">
        <f>W491/R491</f>
        <v>1</v>
      </c>
      <c r="Y491" s="544"/>
      <c r="Z491" s="536"/>
      <c r="AA491" s="544"/>
      <c r="AB491" s="393" t="s">
        <v>201</v>
      </c>
      <c r="AC491" s="392" t="s">
        <v>752</v>
      </c>
      <c r="AD491" s="392">
        <v>43256</v>
      </c>
      <c r="AE491" s="550"/>
      <c r="AF491" s="392">
        <v>43341</v>
      </c>
      <c r="AG491" s="546">
        <f>AF491-AD491</f>
        <v>85</v>
      </c>
      <c r="AJ491" s="553"/>
    </row>
    <row r="492" spans="1:36" s="218" customFormat="1" ht="14.25" customHeight="1">
      <c r="A492" s="545" t="s">
        <v>715</v>
      </c>
      <c r="B492" s="545" t="s">
        <v>541</v>
      </c>
      <c r="C492" s="386"/>
      <c r="D492" s="386"/>
      <c r="E492" s="392">
        <v>43284</v>
      </c>
      <c r="F492" s="536">
        <v>43311</v>
      </c>
      <c r="G492" s="601"/>
      <c r="H492" s="752"/>
      <c r="I492" s="601"/>
      <c r="J492" s="601"/>
      <c r="K492" s="386"/>
      <c r="L492" s="392" t="str">
        <f>TEXT(F492,"mmm-yy")</f>
        <v>Jul-18</v>
      </c>
      <c r="M492" s="392" t="str">
        <f>TEXT(J492,"mmm-yy")</f>
        <v>Jan-00</v>
      </c>
      <c r="N492" s="397" t="s">
        <v>2915</v>
      </c>
      <c r="O492" s="418" t="s">
        <v>2916</v>
      </c>
      <c r="P492" s="538">
        <v>20864.64</v>
      </c>
      <c r="Q492" s="538"/>
      <c r="R492" s="538">
        <f>SUM(P492:Q492)</f>
        <v>20864.64</v>
      </c>
      <c r="S492" s="495">
        <f>R492*1.1</f>
        <v>22951.104000000003</v>
      </c>
      <c r="T492" s="539">
        <v>5714.37</v>
      </c>
      <c r="U492" s="539"/>
      <c r="V492" s="389">
        <f>SUM(T492:U492)</f>
        <v>5714.37</v>
      </c>
      <c r="W492" s="388">
        <f>R492-V492</f>
        <v>15150.27</v>
      </c>
      <c r="X492" s="589">
        <f>W492/R492</f>
        <v>0.72612180224532996</v>
      </c>
      <c r="Y492" s="544"/>
      <c r="Z492" s="536"/>
      <c r="AA492" s="544"/>
      <c r="AB492" s="393" t="s">
        <v>517</v>
      </c>
      <c r="AC492" s="719"/>
      <c r="AD492" s="392"/>
      <c r="AE492" s="550"/>
      <c r="AF492" s="392"/>
      <c r="AG492" s="546"/>
      <c r="AJ492" s="553"/>
    </row>
    <row r="493" spans="1:36" s="218" customFormat="1" ht="14.25" customHeight="1">
      <c r="A493" s="586" t="s">
        <v>714</v>
      </c>
      <c r="B493" s="545" t="s">
        <v>190</v>
      </c>
      <c r="C493" s="386"/>
      <c r="D493" s="386"/>
      <c r="E493" s="392">
        <v>43286</v>
      </c>
      <c r="F493" s="536">
        <v>43286</v>
      </c>
      <c r="G493" s="601"/>
      <c r="H493" s="752"/>
      <c r="I493" s="601">
        <f>F493+14</f>
        <v>43300</v>
      </c>
      <c r="J493" s="601">
        <f>I493+114</f>
        <v>43414</v>
      </c>
      <c r="K493" s="386"/>
      <c r="L493" s="392" t="str">
        <f>TEXT(F493,"mmm-yy")</f>
        <v>Jul-18</v>
      </c>
      <c r="M493" s="392" t="str">
        <f>TEXT(J493,"mmm-yy")</f>
        <v>Nov-18</v>
      </c>
      <c r="N493" s="397" t="s">
        <v>3006</v>
      </c>
      <c r="O493" s="418" t="s">
        <v>3005</v>
      </c>
      <c r="P493" s="538">
        <v>19385.47</v>
      </c>
      <c r="Q493" s="538"/>
      <c r="R493" s="538">
        <f>SUM(P493:Q493)</f>
        <v>19385.47</v>
      </c>
      <c r="S493" s="495">
        <f>R493*1.1</f>
        <v>21324.017000000003</v>
      </c>
      <c r="T493" s="539">
        <v>7183.72</v>
      </c>
      <c r="U493" s="539"/>
      <c r="V493" s="389">
        <f>SUM(T493:U493)</f>
        <v>7183.72</v>
      </c>
      <c r="W493" s="388">
        <f>R493-V493</f>
        <v>12201.75</v>
      </c>
      <c r="X493" s="589">
        <f>W493/R493</f>
        <v>0.62942760737810322</v>
      </c>
      <c r="Y493" s="544"/>
      <c r="Z493" s="536"/>
      <c r="AA493" s="544"/>
      <c r="AB493" s="393" t="s">
        <v>201</v>
      </c>
      <c r="AC493" s="392" t="s">
        <v>752</v>
      </c>
      <c r="AD493" s="392">
        <v>43258</v>
      </c>
      <c r="AE493" s="550"/>
      <c r="AF493" s="392">
        <v>43341</v>
      </c>
      <c r="AG493" s="546">
        <f>AF493-AD493</f>
        <v>83</v>
      </c>
      <c r="AJ493" s="553"/>
    </row>
    <row r="494" spans="1:36" s="218" customFormat="1" ht="14.25" customHeight="1">
      <c r="A494" s="586" t="s">
        <v>714</v>
      </c>
      <c r="B494" s="545" t="s">
        <v>190</v>
      </c>
      <c r="C494" s="386"/>
      <c r="D494" s="386"/>
      <c r="E494" s="392">
        <v>43273</v>
      </c>
      <c r="F494" s="392">
        <v>43273</v>
      </c>
      <c r="G494" s="601">
        <v>43276</v>
      </c>
      <c r="H494" s="752"/>
      <c r="I494" s="601">
        <f>F494+14</f>
        <v>43287</v>
      </c>
      <c r="J494" s="601">
        <f>I494+14</f>
        <v>43301</v>
      </c>
      <c r="K494" s="386"/>
      <c r="L494" s="392" t="str">
        <f>TEXT(F494,"mmm-yy")</f>
        <v>Jun-18</v>
      </c>
      <c r="M494" s="392" t="str">
        <f>TEXT(J494,"mmm-yy")</f>
        <v>Jul-18</v>
      </c>
      <c r="N494" s="397" t="s">
        <v>3008</v>
      </c>
      <c r="O494" s="418" t="s">
        <v>978</v>
      </c>
      <c r="P494" s="538">
        <v>1064.32</v>
      </c>
      <c r="Q494" s="538">
        <v>5366.5890000000036</v>
      </c>
      <c r="R494" s="538">
        <f>SUM(P494:Q494)</f>
        <v>6430.9090000000033</v>
      </c>
      <c r="S494" s="495">
        <f>R494*1.1</f>
        <v>7073.9999000000043</v>
      </c>
      <c r="T494" s="539">
        <v>1932.82</v>
      </c>
      <c r="U494" s="539"/>
      <c r="V494" s="389">
        <f>SUM(T494:U494)</f>
        <v>1932.82</v>
      </c>
      <c r="W494" s="388">
        <f>R494-V494</f>
        <v>4498.0890000000036</v>
      </c>
      <c r="X494" s="589">
        <f>W494/R494</f>
        <v>0.69944839835239481</v>
      </c>
      <c r="Y494" s="544"/>
      <c r="Z494" s="536"/>
      <c r="AA494" s="544"/>
      <c r="AB494" s="393" t="s">
        <v>201</v>
      </c>
      <c r="AC494" s="392" t="s">
        <v>752</v>
      </c>
      <c r="AD494" s="392">
        <v>43257</v>
      </c>
      <c r="AE494" s="550"/>
      <c r="AF494" s="392">
        <v>43342</v>
      </c>
      <c r="AG494" s="546">
        <f>AF494-AD494</f>
        <v>85</v>
      </c>
      <c r="AJ494" s="553"/>
    </row>
    <row r="495" spans="1:36" s="218" customFormat="1" ht="14.25" customHeight="1">
      <c r="A495" s="586" t="s">
        <v>714</v>
      </c>
      <c r="B495" s="545" t="s">
        <v>190</v>
      </c>
      <c r="C495" s="386"/>
      <c r="D495" s="386"/>
      <c r="E495" s="392">
        <v>43269</v>
      </c>
      <c r="F495" s="392">
        <v>43270</v>
      </c>
      <c r="G495" s="601">
        <v>43278</v>
      </c>
      <c r="H495" s="752"/>
      <c r="I495" s="603">
        <f>F495+14</f>
        <v>43284</v>
      </c>
      <c r="J495" s="601">
        <f>I495+14</f>
        <v>43298</v>
      </c>
      <c r="K495" s="386"/>
      <c r="L495" s="392" t="str">
        <f>TEXT(F495,"mmm-yy")</f>
        <v>Jun-18</v>
      </c>
      <c r="M495" s="392" t="str">
        <f>TEXT(J495,"mmm-yy")</f>
        <v>Jul-18</v>
      </c>
      <c r="N495" s="397" t="s">
        <v>3025</v>
      </c>
      <c r="O495" s="418" t="s">
        <v>3023</v>
      </c>
      <c r="P495" s="538">
        <v>8779.84</v>
      </c>
      <c r="Q495" s="538">
        <v>16441.630000000008</v>
      </c>
      <c r="R495" s="538">
        <f>SUM(P495:Q495)</f>
        <v>25221.470000000008</v>
      </c>
      <c r="S495" s="495">
        <f>R495*1.1</f>
        <v>27743.617000000013</v>
      </c>
      <c r="T495" s="539">
        <v>17562.260000000002</v>
      </c>
      <c r="U495" s="539"/>
      <c r="V495" s="389">
        <f>SUM(T495:U495)</f>
        <v>17562.260000000002</v>
      </c>
      <c r="W495" s="388">
        <f>R495-V495</f>
        <v>7659.2100000000064</v>
      </c>
      <c r="X495" s="589">
        <f>W495/R495</f>
        <v>0.30367817577643191</v>
      </c>
      <c r="Y495" s="544"/>
      <c r="Z495" s="536"/>
      <c r="AA495" s="544"/>
      <c r="AB495" s="393" t="s">
        <v>201</v>
      </c>
      <c r="AC495" s="392" t="s">
        <v>752</v>
      </c>
      <c r="AD495" s="392">
        <v>43259</v>
      </c>
      <c r="AE495" s="550"/>
      <c r="AF495" s="392">
        <v>43342</v>
      </c>
      <c r="AG495" s="546">
        <f>AF495-AD495</f>
        <v>83</v>
      </c>
      <c r="AJ495" s="553"/>
    </row>
    <row r="496" spans="1:36" s="218" customFormat="1" ht="14.25" customHeight="1">
      <c r="A496" s="586" t="s">
        <v>714</v>
      </c>
      <c r="B496" s="545" t="s">
        <v>190</v>
      </c>
      <c r="C496" s="386"/>
      <c r="D496" s="386"/>
      <c r="E496" s="392"/>
      <c r="F496" s="536">
        <v>43373</v>
      </c>
      <c r="G496" s="601"/>
      <c r="H496" s="752"/>
      <c r="I496" s="601"/>
      <c r="J496" s="601"/>
      <c r="K496" s="386"/>
      <c r="L496" s="392" t="str">
        <f>TEXT(F496,"mmm-yy")</f>
        <v>Sep-18</v>
      </c>
      <c r="M496" s="392" t="str">
        <f>TEXT(J496,"mmm-yy")</f>
        <v>Jan-00</v>
      </c>
      <c r="N496" s="397" t="s">
        <v>3024</v>
      </c>
      <c r="O496" s="418" t="s">
        <v>2766</v>
      </c>
      <c r="P496" s="538">
        <v>5800.56</v>
      </c>
      <c r="Q496" s="538"/>
      <c r="R496" s="538">
        <f>SUM(P496:Q496)</f>
        <v>5800.56</v>
      </c>
      <c r="S496" s="495">
        <f>R496*1.1</f>
        <v>6380.6160000000009</v>
      </c>
      <c r="T496" s="539"/>
      <c r="U496" s="539"/>
      <c r="V496" s="389">
        <f>SUM(T496:U496)</f>
        <v>0</v>
      </c>
      <c r="W496" s="388">
        <f>R496-V496</f>
        <v>5800.56</v>
      </c>
      <c r="X496" s="589">
        <f>W496/R496</f>
        <v>1</v>
      </c>
      <c r="Y496" s="544"/>
      <c r="Z496" s="536"/>
      <c r="AA496" s="544"/>
      <c r="AB496" s="393" t="s">
        <v>201</v>
      </c>
      <c r="AC496" s="392" t="s">
        <v>752</v>
      </c>
      <c r="AD496" s="392">
        <v>43258</v>
      </c>
      <c r="AE496" s="550"/>
      <c r="AF496" s="392">
        <v>43343</v>
      </c>
      <c r="AG496" s="546">
        <f>AF496-AD496</f>
        <v>85</v>
      </c>
      <c r="AJ496" s="553"/>
    </row>
    <row r="497" spans="1:36" s="218" customFormat="1" ht="14.25" customHeight="1">
      <c r="A497" s="586" t="s">
        <v>714</v>
      </c>
      <c r="B497" s="545" t="s">
        <v>190</v>
      </c>
      <c r="C497" s="386"/>
      <c r="D497" s="386"/>
      <c r="E497" s="392"/>
      <c r="F497" s="536">
        <v>43373</v>
      </c>
      <c r="G497" s="601"/>
      <c r="H497" s="752"/>
      <c r="I497" s="601"/>
      <c r="J497" s="601"/>
      <c r="K497" s="386"/>
      <c r="L497" s="392" t="str">
        <f>TEXT(F497,"mmm-yy")</f>
        <v>Sep-18</v>
      </c>
      <c r="M497" s="392" t="str">
        <f>TEXT(J497,"mmm-yy")</f>
        <v>Jan-00</v>
      </c>
      <c r="N497" s="397" t="s">
        <v>3026</v>
      </c>
      <c r="O497" s="418" t="s">
        <v>3029</v>
      </c>
      <c r="P497" s="538">
        <v>781.39</v>
      </c>
      <c r="Q497" s="538"/>
      <c r="R497" s="538">
        <f>SUM(P497:Q497)</f>
        <v>781.39</v>
      </c>
      <c r="S497" s="495">
        <f>R497*1.1</f>
        <v>859.52900000000011</v>
      </c>
      <c r="T497" s="539"/>
      <c r="U497" s="539"/>
      <c r="V497" s="389">
        <f>SUM(T497:U497)</f>
        <v>0</v>
      </c>
      <c r="W497" s="388">
        <f>R497-V497</f>
        <v>781.39</v>
      </c>
      <c r="X497" s="589">
        <f>W497/R497</f>
        <v>1</v>
      </c>
      <c r="Y497" s="544"/>
      <c r="Z497" s="536"/>
      <c r="AA497" s="544"/>
      <c r="AB497" s="393" t="s">
        <v>201</v>
      </c>
      <c r="AC497" s="392" t="s">
        <v>752</v>
      </c>
      <c r="AD497" s="392">
        <v>43258</v>
      </c>
      <c r="AE497" s="550"/>
      <c r="AF497" s="392"/>
      <c r="AG497" s="546"/>
      <c r="AJ497" s="553"/>
    </row>
    <row r="498" spans="1:36" s="218" customFormat="1" ht="14.25" customHeight="1">
      <c r="A498" s="586" t="s">
        <v>714</v>
      </c>
      <c r="B498" s="545" t="s">
        <v>541</v>
      </c>
      <c r="C498" s="386"/>
      <c r="D498" s="386"/>
      <c r="E498" s="392"/>
      <c r="F498" s="536">
        <v>43373</v>
      </c>
      <c r="G498" s="601"/>
      <c r="H498" s="752"/>
      <c r="I498" s="601"/>
      <c r="J498" s="601"/>
      <c r="K498" s="386"/>
      <c r="L498" s="392" t="str">
        <f>TEXT(F498,"mmm-yy")</f>
        <v>Sep-18</v>
      </c>
      <c r="M498" s="392" t="str">
        <f>TEXT(J498,"mmm-yy")</f>
        <v>Jan-00</v>
      </c>
      <c r="N498" s="397" t="s">
        <v>3027</v>
      </c>
      <c r="O498" s="418" t="s">
        <v>3028</v>
      </c>
      <c r="P498" s="538">
        <v>6863.96</v>
      </c>
      <c r="Q498" s="538"/>
      <c r="R498" s="538">
        <f>SUM(P498:Q498)</f>
        <v>6863.96</v>
      </c>
      <c r="S498" s="495">
        <f>R498*1.1</f>
        <v>7550.3560000000007</v>
      </c>
      <c r="T498" s="539"/>
      <c r="U498" s="539"/>
      <c r="V498" s="389">
        <f>SUM(T498:U498)</f>
        <v>0</v>
      </c>
      <c r="W498" s="388">
        <f>R498-V498</f>
        <v>6863.96</v>
      </c>
      <c r="X498" s="589">
        <f>W498/R498</f>
        <v>1</v>
      </c>
      <c r="Y498" s="544"/>
      <c r="Z498" s="536"/>
      <c r="AA498" s="544"/>
      <c r="AB498" s="393" t="s">
        <v>201</v>
      </c>
      <c r="AC498" s="392" t="s">
        <v>752</v>
      </c>
      <c r="AD498" s="392">
        <v>43258</v>
      </c>
      <c r="AE498" s="550"/>
      <c r="AF498" s="392">
        <v>43342</v>
      </c>
      <c r="AG498" s="546">
        <f>AF498-AD498</f>
        <v>84</v>
      </c>
      <c r="AJ498" s="553"/>
    </row>
    <row r="499" spans="1:36" s="218" customFormat="1" ht="14.25" customHeight="1">
      <c r="A499" s="586" t="s">
        <v>714</v>
      </c>
      <c r="B499" s="545" t="s">
        <v>190</v>
      </c>
      <c r="C499" s="386"/>
      <c r="D499" s="386"/>
      <c r="E499" s="392"/>
      <c r="F499" s="536">
        <v>43373</v>
      </c>
      <c r="G499" s="601"/>
      <c r="H499" s="752"/>
      <c r="I499" s="601"/>
      <c r="J499" s="601"/>
      <c r="K499" s="386"/>
      <c r="L499" s="392" t="str">
        <f>TEXT(F499,"mmm-yy")</f>
        <v>Sep-18</v>
      </c>
      <c r="M499" s="392" t="str">
        <f>TEXT(J499,"mmm-yy")</f>
        <v>Jan-00</v>
      </c>
      <c r="N499" s="397" t="s">
        <v>3038</v>
      </c>
      <c r="O499" s="418" t="s">
        <v>3030</v>
      </c>
      <c r="P499" s="538">
        <v>1641.98</v>
      </c>
      <c r="Q499" s="538"/>
      <c r="R499" s="538">
        <f>SUM(P499:Q499)</f>
        <v>1641.98</v>
      </c>
      <c r="S499" s="495">
        <f>R499*1.1</f>
        <v>1806.1780000000001</v>
      </c>
      <c r="T499" s="539"/>
      <c r="U499" s="539"/>
      <c r="V499" s="389">
        <f>SUM(T499:U499)</f>
        <v>0</v>
      </c>
      <c r="W499" s="388">
        <f>R499-V499</f>
        <v>1641.98</v>
      </c>
      <c r="X499" s="589">
        <f>W499/R499</f>
        <v>1</v>
      </c>
      <c r="Y499" s="544"/>
      <c r="Z499" s="536"/>
      <c r="AA499" s="544"/>
      <c r="AB499" s="393" t="s">
        <v>201</v>
      </c>
      <c r="AC499" s="392" t="s">
        <v>752</v>
      </c>
      <c r="AD499" s="392">
        <v>43259</v>
      </c>
      <c r="AE499" s="550"/>
      <c r="AF499" s="392">
        <v>43343</v>
      </c>
      <c r="AG499" s="546">
        <f>AF499-AD499</f>
        <v>84</v>
      </c>
      <c r="AJ499" s="553"/>
    </row>
    <row r="500" spans="1:36" s="218" customFormat="1" ht="14.25" customHeight="1">
      <c r="A500" s="586" t="s">
        <v>714</v>
      </c>
      <c r="B500" s="545" t="s">
        <v>190</v>
      </c>
      <c r="C500" s="386"/>
      <c r="D500" s="386"/>
      <c r="E500" s="392">
        <v>43287</v>
      </c>
      <c r="F500" s="536">
        <v>43287</v>
      </c>
      <c r="G500" s="601">
        <v>43290</v>
      </c>
      <c r="H500" s="752"/>
      <c r="I500" s="601">
        <f>F500+14</f>
        <v>43301</v>
      </c>
      <c r="J500" s="601">
        <f>I500+14</f>
        <v>43315</v>
      </c>
      <c r="K500" s="386"/>
      <c r="L500" s="392" t="str">
        <f>TEXT(F500,"mmm-yy")</f>
        <v>Jul-18</v>
      </c>
      <c r="M500" s="392" t="str">
        <f>TEXT(J500,"mmm-yy")</f>
        <v>Aug-18</v>
      </c>
      <c r="N500" s="397" t="s">
        <v>3031</v>
      </c>
      <c r="O500" s="418" t="s">
        <v>810</v>
      </c>
      <c r="P500" s="538">
        <v>4388.9399999999996</v>
      </c>
      <c r="Q500" s="538">
        <v>14761.990000000002</v>
      </c>
      <c r="R500" s="538">
        <f>SUM(P500:Q500)</f>
        <v>19150.93</v>
      </c>
      <c r="S500" s="495">
        <f>R500*1.1</f>
        <v>21066.023000000001</v>
      </c>
      <c r="T500" s="539">
        <v>9921.16</v>
      </c>
      <c r="U500" s="539"/>
      <c r="V500" s="389">
        <f>SUM(T500:U500)</f>
        <v>9921.16</v>
      </c>
      <c r="W500" s="388">
        <f>R500-V500</f>
        <v>9229.77</v>
      </c>
      <c r="X500" s="775">
        <f>W500/R500</f>
        <v>0.48194891840761783</v>
      </c>
      <c r="Y500" s="544"/>
      <c r="Z500" s="536"/>
      <c r="AA500" s="544"/>
      <c r="AB500" s="393" t="s">
        <v>201</v>
      </c>
      <c r="AC500" s="392" t="s">
        <v>752</v>
      </c>
      <c r="AD500" s="392">
        <v>43259</v>
      </c>
      <c r="AE500" s="550"/>
      <c r="AF500" s="392">
        <v>43372</v>
      </c>
      <c r="AG500" s="546">
        <f>AF500-AD500</f>
        <v>113</v>
      </c>
      <c r="AJ500" s="553"/>
    </row>
    <row r="501" spans="1:36" s="218" customFormat="1" ht="14.25" customHeight="1">
      <c r="A501" s="586" t="s">
        <v>714</v>
      </c>
      <c r="B501" s="545" t="s">
        <v>190</v>
      </c>
      <c r="C501" s="386"/>
      <c r="D501" s="386"/>
      <c r="E501" s="392"/>
      <c r="F501" s="536">
        <v>43373</v>
      </c>
      <c r="G501" s="601"/>
      <c r="H501" s="752"/>
      <c r="I501" s="601"/>
      <c r="J501" s="601"/>
      <c r="K501" s="386"/>
      <c r="L501" s="392" t="str">
        <f>TEXT(F501,"mmm-yy")</f>
        <v>Sep-18</v>
      </c>
      <c r="M501" s="392" t="str">
        <f>TEXT(J501,"mmm-yy")</f>
        <v>Jan-00</v>
      </c>
      <c r="N501" s="397" t="s">
        <v>3033</v>
      </c>
      <c r="O501" s="418" t="s">
        <v>3034</v>
      </c>
      <c r="P501" s="538">
        <v>1263</v>
      </c>
      <c r="Q501" s="538"/>
      <c r="R501" s="538">
        <f>SUM(P501:Q501)</f>
        <v>1263</v>
      </c>
      <c r="S501" s="495">
        <f>R501*1.1</f>
        <v>1389.3000000000002</v>
      </c>
      <c r="T501" s="539"/>
      <c r="U501" s="539"/>
      <c r="V501" s="389">
        <f>SUM(T501:U501)</f>
        <v>0</v>
      </c>
      <c r="W501" s="388">
        <f>R501-V501</f>
        <v>1263</v>
      </c>
      <c r="X501" s="589">
        <f>W501/R501</f>
        <v>1</v>
      </c>
      <c r="Y501" s="544"/>
      <c r="Z501" s="536"/>
      <c r="AA501" s="544"/>
      <c r="AB501" s="393" t="s">
        <v>201</v>
      </c>
      <c r="AC501" s="392" t="s">
        <v>752</v>
      </c>
      <c r="AD501" s="392">
        <v>43262</v>
      </c>
      <c r="AE501" s="550"/>
      <c r="AF501" s="392">
        <v>43342</v>
      </c>
      <c r="AG501" s="546">
        <f>AF501-AD501</f>
        <v>80</v>
      </c>
      <c r="AJ501" s="553"/>
    </row>
    <row r="502" spans="1:36" s="218" customFormat="1" ht="14.25" customHeight="1">
      <c r="A502" s="586" t="s">
        <v>714</v>
      </c>
      <c r="B502" s="545" t="s">
        <v>190</v>
      </c>
      <c r="C502" s="386"/>
      <c r="D502" s="386"/>
      <c r="E502" s="392"/>
      <c r="F502" s="536">
        <v>43373</v>
      </c>
      <c r="G502" s="601"/>
      <c r="H502" s="752"/>
      <c r="I502" s="601"/>
      <c r="J502" s="601"/>
      <c r="K502" s="386"/>
      <c r="L502" s="392" t="str">
        <f>TEXT(F502,"mmm-yy")</f>
        <v>Sep-18</v>
      </c>
      <c r="M502" s="392" t="str">
        <f>TEXT(J502,"mmm-yy")</f>
        <v>Jan-00</v>
      </c>
      <c r="N502" s="397" t="s">
        <v>3036</v>
      </c>
      <c r="O502" s="418" t="s">
        <v>2537</v>
      </c>
      <c r="P502" s="538">
        <v>2570.5300000000002</v>
      </c>
      <c r="Q502" s="538"/>
      <c r="R502" s="538">
        <f>SUM(P502:Q502)</f>
        <v>2570.5300000000002</v>
      </c>
      <c r="S502" s="495">
        <f>R502*1.1</f>
        <v>2827.5830000000005</v>
      </c>
      <c r="T502" s="539"/>
      <c r="U502" s="539">
        <v>380.18274999999994</v>
      </c>
      <c r="V502" s="389">
        <f>SUM(T502:U502)</f>
        <v>380.18274999999994</v>
      </c>
      <c r="W502" s="388">
        <f>R502-V502</f>
        <v>2190.3472500000003</v>
      </c>
      <c r="X502" s="589">
        <f>W502/R502</f>
        <v>0.85209946975915474</v>
      </c>
      <c r="Y502" s="544"/>
      <c r="Z502" s="536"/>
      <c r="AA502" s="544"/>
      <c r="AB502" s="393" t="s">
        <v>201</v>
      </c>
      <c r="AC502" s="392" t="s">
        <v>752</v>
      </c>
      <c r="AD502" s="392">
        <v>43259</v>
      </c>
      <c r="AE502" s="550"/>
      <c r="AF502" s="392">
        <v>43341</v>
      </c>
      <c r="AG502" s="546">
        <f>AF502-AD502</f>
        <v>82</v>
      </c>
      <c r="AJ502" s="553"/>
    </row>
    <row r="503" spans="1:36" s="218" customFormat="1" ht="14.25" customHeight="1">
      <c r="A503" s="586" t="s">
        <v>714</v>
      </c>
      <c r="B503" s="545" t="s">
        <v>190</v>
      </c>
      <c r="C503" s="386"/>
      <c r="D503" s="386"/>
      <c r="E503" s="392">
        <v>43266</v>
      </c>
      <c r="F503" s="536">
        <v>43266</v>
      </c>
      <c r="G503" s="603">
        <v>43266</v>
      </c>
      <c r="H503" s="753">
        <v>43271</v>
      </c>
      <c r="I503" s="601">
        <f>F503+14</f>
        <v>43280</v>
      </c>
      <c r="J503" s="601">
        <f>I503+14</f>
        <v>43294</v>
      </c>
      <c r="K503" s="386"/>
      <c r="L503" s="392" t="str">
        <f>TEXT(F503,"mmm-yy")</f>
        <v>Jun-18</v>
      </c>
      <c r="M503" s="392" t="str">
        <f>TEXT(J503,"mmm-yy")</f>
        <v>Jul-18</v>
      </c>
      <c r="N503" s="397" t="s">
        <v>3037</v>
      </c>
      <c r="O503" s="418" t="s">
        <v>580</v>
      </c>
      <c r="P503" s="538">
        <v>2924.92</v>
      </c>
      <c r="Q503" s="610">
        <v>-2087.42</v>
      </c>
      <c r="R503" s="538">
        <f>SUM(P503:Q503)</f>
        <v>837.5</v>
      </c>
      <c r="S503" s="495">
        <f>R503*1.1</f>
        <v>921.25000000000011</v>
      </c>
      <c r="T503" s="539"/>
      <c r="U503" s="539"/>
      <c r="V503" s="389">
        <f>SUM(T503:U503)</f>
        <v>0</v>
      </c>
      <c r="W503" s="388">
        <f>R503-V503</f>
        <v>837.5</v>
      </c>
      <c r="X503" s="589">
        <f>W503/R503</f>
        <v>1</v>
      </c>
      <c r="Y503" s="544"/>
      <c r="Z503" s="536"/>
      <c r="AA503" s="544"/>
      <c r="AB503" s="393" t="s">
        <v>201</v>
      </c>
      <c r="AC503" s="392" t="s">
        <v>752</v>
      </c>
      <c r="AD503" s="392">
        <v>43259</v>
      </c>
      <c r="AE503" s="550"/>
      <c r="AF503" s="392">
        <v>43347</v>
      </c>
      <c r="AG503" s="546">
        <f>AF503-AD503</f>
        <v>88</v>
      </c>
      <c r="AJ503" s="553"/>
    </row>
    <row r="504" spans="1:36" s="218" customFormat="1" ht="14.25" customHeight="1">
      <c r="A504" s="586" t="s">
        <v>714</v>
      </c>
      <c r="B504" s="545" t="s">
        <v>190</v>
      </c>
      <c r="C504" s="386"/>
      <c r="D504" s="386"/>
      <c r="E504" s="392"/>
      <c r="F504" s="536">
        <v>43373</v>
      </c>
      <c r="G504" s="601"/>
      <c r="H504" s="752"/>
      <c r="I504" s="601"/>
      <c r="J504" s="601"/>
      <c r="K504" s="386"/>
      <c r="L504" s="392" t="str">
        <f>TEXT(F504,"mmm-yy")</f>
        <v>Sep-18</v>
      </c>
      <c r="M504" s="392" t="str">
        <f>TEXT(J504,"mmm-yy")</f>
        <v>Jan-00</v>
      </c>
      <c r="N504" s="397" t="s">
        <v>3039</v>
      </c>
      <c r="O504" s="418" t="s">
        <v>1760</v>
      </c>
      <c r="P504" s="538">
        <f>35777.96-P545</f>
        <v>24836.059999999998</v>
      </c>
      <c r="Q504" s="538"/>
      <c r="R504" s="538">
        <f>SUM(P504:Q504)</f>
        <v>24836.059999999998</v>
      </c>
      <c r="S504" s="495">
        <f>R504*1.1</f>
        <v>27319.666000000001</v>
      </c>
      <c r="T504" s="539"/>
      <c r="U504" s="539"/>
      <c r="V504" s="389">
        <f>SUM(T504:U504)</f>
        <v>0</v>
      </c>
      <c r="W504" s="388">
        <f>R504-V504</f>
        <v>24836.059999999998</v>
      </c>
      <c r="X504" s="589">
        <f>W504/R504</f>
        <v>1</v>
      </c>
      <c r="Y504" s="544"/>
      <c r="Z504" s="536"/>
      <c r="AA504" s="544"/>
      <c r="AB504" s="393" t="s">
        <v>220</v>
      </c>
      <c r="AC504" s="392" t="s">
        <v>752</v>
      </c>
      <c r="AD504" s="392">
        <v>43259</v>
      </c>
      <c r="AE504" s="550"/>
      <c r="AF504" s="392">
        <v>43343</v>
      </c>
      <c r="AG504" s="546">
        <f>AF504-AD504</f>
        <v>84</v>
      </c>
      <c r="AJ504" s="553"/>
    </row>
    <row r="505" spans="1:36" s="218" customFormat="1" ht="14.25" customHeight="1">
      <c r="A505" s="545" t="s">
        <v>715</v>
      </c>
      <c r="B505" s="545" t="s">
        <v>722</v>
      </c>
      <c r="C505" s="386"/>
      <c r="D505" s="386"/>
      <c r="E505" s="392"/>
      <c r="F505" s="536">
        <v>43311</v>
      </c>
      <c r="G505" s="601"/>
      <c r="H505" s="752"/>
      <c r="I505" s="601"/>
      <c r="J505" s="601"/>
      <c r="K505" s="386"/>
      <c r="L505" s="392" t="str">
        <f>TEXT(F505,"mmm-yy")</f>
        <v>Jul-18</v>
      </c>
      <c r="M505" s="392" t="str">
        <f>TEXT(J505,"mmm-yy")</f>
        <v>Jan-00</v>
      </c>
      <c r="N505" s="397" t="s">
        <v>3042</v>
      </c>
      <c r="O505" s="418" t="s">
        <v>2332</v>
      </c>
      <c r="P505" s="538">
        <v>7574.8</v>
      </c>
      <c r="Q505" s="538"/>
      <c r="R505" s="538">
        <f>SUM(P505:Q505)</f>
        <v>7574.8</v>
      </c>
      <c r="S505" s="495">
        <f>R505*1.1</f>
        <v>8332.2800000000007</v>
      </c>
      <c r="T505" s="539"/>
      <c r="U505" s="539"/>
      <c r="V505" s="389">
        <f>SUM(T505:U505)</f>
        <v>0</v>
      </c>
      <c r="W505" s="388">
        <f>R505-V505</f>
        <v>7574.8</v>
      </c>
      <c r="X505" s="589">
        <f>W505/R505</f>
        <v>1</v>
      </c>
      <c r="Y505" s="544"/>
      <c r="Z505" s="536"/>
      <c r="AA505" s="544"/>
      <c r="AB505" s="393" t="s">
        <v>210</v>
      </c>
      <c r="AC505" s="392">
        <v>43242</v>
      </c>
      <c r="AD505" s="392">
        <v>43245</v>
      </c>
      <c r="AE505" s="689">
        <f>AD505-AC505</f>
        <v>3</v>
      </c>
      <c r="AF505" s="392">
        <v>43279</v>
      </c>
      <c r="AG505" s="546">
        <f>AF505-AD505</f>
        <v>34</v>
      </c>
      <c r="AJ505" s="553"/>
    </row>
    <row r="506" spans="1:36" s="218" customFormat="1" ht="14.25" customHeight="1">
      <c r="A506" s="545" t="s">
        <v>715</v>
      </c>
      <c r="B506" s="545" t="s">
        <v>722</v>
      </c>
      <c r="C506" s="386"/>
      <c r="D506" s="386"/>
      <c r="E506" s="392">
        <v>43285</v>
      </c>
      <c r="F506" s="536">
        <v>43285</v>
      </c>
      <c r="G506" s="601">
        <v>43292</v>
      </c>
      <c r="H506" s="752"/>
      <c r="I506" s="601">
        <f>F506+14</f>
        <v>43299</v>
      </c>
      <c r="J506" s="601">
        <f>I506+14</f>
        <v>43313</v>
      </c>
      <c r="K506" s="386"/>
      <c r="L506" s="392" t="str">
        <f>TEXT(F506,"mmm-yy")</f>
        <v>Jul-18</v>
      </c>
      <c r="M506" s="392" t="str">
        <f>TEXT(J506,"mmm-yy")</f>
        <v>Aug-18</v>
      </c>
      <c r="N506" s="397" t="s">
        <v>3043</v>
      </c>
      <c r="O506" s="418" t="s">
        <v>3044</v>
      </c>
      <c r="P506" s="538">
        <v>9332.5300000000007</v>
      </c>
      <c r="Q506" s="538">
        <v>1389.8600000000001</v>
      </c>
      <c r="R506" s="538">
        <f>SUM(P506:Q506)</f>
        <v>10722.390000000001</v>
      </c>
      <c r="S506" s="495">
        <f>R506*1.1</f>
        <v>11794.629000000003</v>
      </c>
      <c r="T506" s="539"/>
      <c r="U506" s="539"/>
      <c r="V506" s="389">
        <f>SUM(T506:U506)</f>
        <v>0</v>
      </c>
      <c r="W506" s="388">
        <f>R506-V506</f>
        <v>10722.390000000001</v>
      </c>
      <c r="X506" s="589">
        <f>W506/R506</f>
        <v>1</v>
      </c>
      <c r="Y506" s="544"/>
      <c r="Z506" s="536"/>
      <c r="AA506" s="544"/>
      <c r="AB506" s="393" t="s">
        <v>201</v>
      </c>
      <c r="AC506" s="392">
        <v>43251</v>
      </c>
      <c r="AD506" s="392">
        <v>43263</v>
      </c>
      <c r="AE506" s="689">
        <f>AD506-AC506</f>
        <v>12</v>
      </c>
      <c r="AF506" s="392">
        <v>43285</v>
      </c>
      <c r="AG506" s="546">
        <f>AF506-AD506</f>
        <v>22</v>
      </c>
      <c r="AJ506" s="553"/>
    </row>
    <row r="507" spans="1:36" s="218" customFormat="1" ht="14.25" customHeight="1">
      <c r="A507" s="586" t="s">
        <v>714</v>
      </c>
      <c r="B507" s="545" t="s">
        <v>190</v>
      </c>
      <c r="C507" s="386"/>
      <c r="D507" s="386"/>
      <c r="E507" s="392"/>
      <c r="F507" s="536">
        <v>43373</v>
      </c>
      <c r="G507" s="601"/>
      <c r="H507" s="752"/>
      <c r="I507" s="601"/>
      <c r="J507" s="601"/>
      <c r="K507" s="386"/>
      <c r="L507" s="392" t="str">
        <f>TEXT(F507,"mmm-yy")</f>
        <v>Sep-18</v>
      </c>
      <c r="M507" s="392" t="str">
        <f>TEXT(J507,"mmm-yy")</f>
        <v>Jan-00</v>
      </c>
      <c r="N507" s="397" t="s">
        <v>3048</v>
      </c>
      <c r="O507" s="418" t="s">
        <v>2766</v>
      </c>
      <c r="P507" s="538">
        <v>299.36</v>
      </c>
      <c r="Q507" s="538"/>
      <c r="R507" s="538">
        <f>SUM(P507:Q507)</f>
        <v>299.36</v>
      </c>
      <c r="S507" s="495">
        <f>R507*1.1</f>
        <v>329.29600000000005</v>
      </c>
      <c r="T507" s="539"/>
      <c r="U507" s="539"/>
      <c r="V507" s="389">
        <f>SUM(T507:U507)</f>
        <v>0</v>
      </c>
      <c r="W507" s="388">
        <f>R507-V507</f>
        <v>299.36</v>
      </c>
      <c r="X507" s="589">
        <f>W507/R507</f>
        <v>1</v>
      </c>
      <c r="Y507" s="544"/>
      <c r="Z507" s="536"/>
      <c r="AA507" s="544"/>
      <c r="AB507" s="393" t="s">
        <v>201</v>
      </c>
      <c r="AC507" s="392" t="s">
        <v>752</v>
      </c>
      <c r="AD507" s="392">
        <v>43263</v>
      </c>
      <c r="AE507" s="550"/>
      <c r="AF507" s="392">
        <v>43343</v>
      </c>
      <c r="AG507" s="546">
        <f>AF507-AD507</f>
        <v>80</v>
      </c>
      <c r="AJ507" s="553"/>
    </row>
    <row r="508" spans="1:36" s="218" customFormat="1" ht="14.25" customHeight="1">
      <c r="A508" s="545" t="s">
        <v>715</v>
      </c>
      <c r="B508" s="545" t="s">
        <v>190</v>
      </c>
      <c r="C508" s="386"/>
      <c r="D508" s="386"/>
      <c r="E508" s="392">
        <v>43276</v>
      </c>
      <c r="F508" s="536">
        <v>43276</v>
      </c>
      <c r="G508" s="601">
        <v>43290</v>
      </c>
      <c r="H508" s="752"/>
      <c r="I508" s="603">
        <f>F508+14</f>
        <v>43290</v>
      </c>
      <c r="J508" s="601">
        <f>I508+14</f>
        <v>43304</v>
      </c>
      <c r="K508" s="386"/>
      <c r="L508" s="392" t="str">
        <f>TEXT(F508,"mmm-yy")</f>
        <v>Jun-18</v>
      </c>
      <c r="M508" s="392" t="str">
        <f>TEXT(J508,"mmm-yy")</f>
        <v>Jul-18</v>
      </c>
      <c r="N508" s="397" t="s">
        <v>3049</v>
      </c>
      <c r="O508" s="418" t="s">
        <v>458</v>
      </c>
      <c r="P508" s="538">
        <v>7140.73</v>
      </c>
      <c r="Q508" s="538">
        <v>3918.18</v>
      </c>
      <c r="R508" s="538">
        <f>SUM(P508:Q508)</f>
        <v>11058.91</v>
      </c>
      <c r="S508" s="495">
        <f>R508*1.1</f>
        <v>12164.801000000001</v>
      </c>
      <c r="T508" s="539"/>
      <c r="U508" s="539"/>
      <c r="V508" s="389">
        <f>SUM(T508:U508)</f>
        <v>0</v>
      </c>
      <c r="W508" s="388">
        <f>R508-V508</f>
        <v>11058.91</v>
      </c>
      <c r="X508" s="589">
        <f>W508/R508</f>
        <v>1</v>
      </c>
      <c r="Y508" s="544"/>
      <c r="Z508" s="536"/>
      <c r="AA508" s="544"/>
      <c r="AB508" s="393" t="s">
        <v>1338</v>
      </c>
      <c r="AC508" s="392">
        <v>43242</v>
      </c>
      <c r="AD508" s="392">
        <v>43263</v>
      </c>
      <c r="AE508" s="689">
        <f>AD508-AC508</f>
        <v>21</v>
      </c>
      <c r="AF508" s="392">
        <v>43277</v>
      </c>
      <c r="AG508" s="546">
        <f>AF508-AD508</f>
        <v>14</v>
      </c>
      <c r="AJ508" s="553"/>
    </row>
    <row r="509" spans="1:36" s="218" customFormat="1" ht="14.25" customHeight="1">
      <c r="A509" s="586" t="s">
        <v>714</v>
      </c>
      <c r="B509" s="545" t="s">
        <v>190</v>
      </c>
      <c r="C509" s="386"/>
      <c r="D509" s="386"/>
      <c r="E509" s="392">
        <v>43286</v>
      </c>
      <c r="F509" s="536">
        <v>43287</v>
      </c>
      <c r="G509" s="601">
        <v>43290</v>
      </c>
      <c r="H509" s="752"/>
      <c r="I509" s="601">
        <f>F509+14</f>
        <v>43301</v>
      </c>
      <c r="J509" s="601">
        <f>I509+14</f>
        <v>43315</v>
      </c>
      <c r="K509" s="386"/>
      <c r="L509" s="392" t="str">
        <f>TEXT(F509,"mmm-yy")</f>
        <v>Jul-18</v>
      </c>
      <c r="M509" s="392" t="str">
        <f>TEXT(J509,"mmm-yy")</f>
        <v>Aug-18</v>
      </c>
      <c r="N509" s="397" t="s">
        <v>3337</v>
      </c>
      <c r="O509" s="418" t="s">
        <v>488</v>
      </c>
      <c r="P509" s="538">
        <v>5802.97</v>
      </c>
      <c r="Q509" s="538">
        <v>5801.3047500000039</v>
      </c>
      <c r="R509" s="538">
        <f>SUM(P509:Q509)</f>
        <v>11604.274750000004</v>
      </c>
      <c r="S509" s="495">
        <f>R509*1.1</f>
        <v>12764.702225000006</v>
      </c>
      <c r="T509" s="539"/>
      <c r="U509" s="539"/>
      <c r="V509" s="389">
        <f>SUM(T509:U509)</f>
        <v>0</v>
      </c>
      <c r="W509" s="388">
        <f>R509-V509</f>
        <v>11604.274750000004</v>
      </c>
      <c r="X509" s="589">
        <f>W509/R509</f>
        <v>1</v>
      </c>
      <c r="Y509" s="544"/>
      <c r="Z509" s="536"/>
      <c r="AA509" s="544"/>
      <c r="AB509" s="393" t="s">
        <v>201</v>
      </c>
      <c r="AC509" s="392" t="s">
        <v>752</v>
      </c>
      <c r="AD509" s="392">
        <v>43263</v>
      </c>
      <c r="AE509" s="550"/>
      <c r="AF509" s="392">
        <v>43371</v>
      </c>
      <c r="AG509" s="546">
        <f>AF509-AD509</f>
        <v>108</v>
      </c>
      <c r="AJ509" s="553"/>
    </row>
    <row r="510" spans="1:36" s="218" customFormat="1" ht="14.25" customHeight="1">
      <c r="A510" s="586" t="s">
        <v>714</v>
      </c>
      <c r="B510" s="545" t="s">
        <v>190</v>
      </c>
      <c r="C510" s="386"/>
      <c r="D510" s="386"/>
      <c r="E510" s="392"/>
      <c r="F510" s="536">
        <v>43403</v>
      </c>
      <c r="G510" s="601"/>
      <c r="H510" s="752"/>
      <c r="I510" s="601"/>
      <c r="J510" s="601"/>
      <c r="K510" s="386"/>
      <c r="L510" s="392" t="str">
        <f>TEXT(F510,"mmm-yy")</f>
        <v>Oct-18</v>
      </c>
      <c r="M510" s="392" t="str">
        <f>TEXT(J510,"mmm-yy")</f>
        <v>Jan-00</v>
      </c>
      <c r="N510" s="397" t="s">
        <v>3051</v>
      </c>
      <c r="O510" s="418" t="s">
        <v>2924</v>
      </c>
      <c r="P510" s="538">
        <v>2424.06</v>
      </c>
      <c r="Q510" s="538"/>
      <c r="R510" s="538">
        <f>SUM(P510:Q510)</f>
        <v>2424.06</v>
      </c>
      <c r="S510" s="495">
        <f>R510*1.1</f>
        <v>2666.4660000000003</v>
      </c>
      <c r="T510" s="539"/>
      <c r="U510" s="539"/>
      <c r="V510" s="389">
        <f>SUM(T510:U510)</f>
        <v>0</v>
      </c>
      <c r="W510" s="388">
        <f>R510-V510</f>
        <v>2424.06</v>
      </c>
      <c r="X510" s="589">
        <f>W510/R510</f>
        <v>1</v>
      </c>
      <c r="Y510" s="544"/>
      <c r="Z510" s="536"/>
      <c r="AA510" s="544"/>
      <c r="AB510" s="393" t="s">
        <v>201</v>
      </c>
      <c r="AC510" s="392" t="s">
        <v>752</v>
      </c>
      <c r="AD510" s="392">
        <v>43263</v>
      </c>
      <c r="AE510" s="550"/>
      <c r="AF510" s="392">
        <v>43371</v>
      </c>
      <c r="AG510" s="546">
        <f>AF510-AD510</f>
        <v>108</v>
      </c>
      <c r="AJ510" s="553"/>
    </row>
    <row r="511" spans="1:36" s="218" customFormat="1" ht="14.25" customHeight="1">
      <c r="A511" s="545" t="s">
        <v>715</v>
      </c>
      <c r="B511" s="545" t="s">
        <v>722</v>
      </c>
      <c r="C511" s="386"/>
      <c r="D511" s="386"/>
      <c r="E511" s="392">
        <v>43292</v>
      </c>
      <c r="F511" s="536">
        <v>43292</v>
      </c>
      <c r="G511" s="601">
        <v>43292</v>
      </c>
      <c r="H511" s="752"/>
      <c r="I511" s="601">
        <f>F511+14</f>
        <v>43306</v>
      </c>
      <c r="J511" s="601">
        <f>I511+14</f>
        <v>43320</v>
      </c>
      <c r="K511" s="386"/>
      <c r="L511" s="392" t="str">
        <f>TEXT(F511,"mmm-yy")</f>
        <v>Jul-18</v>
      </c>
      <c r="M511" s="392" t="str">
        <f>TEXT(J511,"mmm-yy")</f>
        <v>Aug-18</v>
      </c>
      <c r="N511" s="397" t="s">
        <v>3052</v>
      </c>
      <c r="O511" s="418" t="s">
        <v>772</v>
      </c>
      <c r="P511" s="538">
        <v>7206.99</v>
      </c>
      <c r="Q511" s="538">
        <v>2158.71</v>
      </c>
      <c r="R511" s="538">
        <f>SUM(P511:Q511)</f>
        <v>9365.7000000000007</v>
      </c>
      <c r="S511" s="495">
        <f>R511*1.1</f>
        <v>10302.270000000002</v>
      </c>
      <c r="T511" s="539"/>
      <c r="U511" s="539"/>
      <c r="V511" s="389">
        <f>SUM(T511:U511)</f>
        <v>0</v>
      </c>
      <c r="W511" s="388">
        <f>R511-V511</f>
        <v>9365.7000000000007</v>
      </c>
      <c r="X511" s="589">
        <f>W511/R511</f>
        <v>1</v>
      </c>
      <c r="Y511" s="544"/>
      <c r="Z511" s="536"/>
      <c r="AA511" s="544"/>
      <c r="AB511" s="393" t="s">
        <v>220</v>
      </c>
      <c r="AC511" s="392">
        <v>43255</v>
      </c>
      <c r="AD511" s="392">
        <v>43263</v>
      </c>
      <c r="AE511" s="550"/>
      <c r="AF511" s="392">
        <v>43280</v>
      </c>
      <c r="AG511" s="546">
        <f>AF511-AD511</f>
        <v>17</v>
      </c>
      <c r="AJ511" s="553"/>
    </row>
    <row r="512" spans="1:36" s="218" customFormat="1" ht="14.25" customHeight="1">
      <c r="A512" s="586" t="s">
        <v>2765</v>
      </c>
      <c r="B512" s="545" t="s">
        <v>190</v>
      </c>
      <c r="C512" s="386"/>
      <c r="D512" s="386"/>
      <c r="E512" s="392"/>
      <c r="F512" s="536">
        <v>42977</v>
      </c>
      <c r="G512" s="601"/>
      <c r="H512" s="752"/>
      <c r="I512" s="601"/>
      <c r="J512" s="601"/>
      <c r="K512" s="386"/>
      <c r="L512" s="392" t="str">
        <f>TEXT(F512,"mmm-yy")</f>
        <v>Aug-17</v>
      </c>
      <c r="M512" s="392" t="str">
        <f>TEXT(J512,"mmm-yy")</f>
        <v>Jan-00</v>
      </c>
      <c r="N512" s="397" t="s">
        <v>3111</v>
      </c>
      <c r="O512" s="418" t="s">
        <v>3056</v>
      </c>
      <c r="P512" s="538">
        <f>171*63.76+6000</f>
        <v>16902.96</v>
      </c>
      <c r="Q512" s="538"/>
      <c r="R512" s="538">
        <f>SUM(P512:Q512)</f>
        <v>16902.96</v>
      </c>
      <c r="S512" s="495">
        <f>R512*1.1</f>
        <v>18593.256000000001</v>
      </c>
      <c r="T512" s="539">
        <v>8924</v>
      </c>
      <c r="U512" s="539"/>
      <c r="V512" s="389">
        <f>SUM(T512:U512)</f>
        <v>8924</v>
      </c>
      <c r="W512" s="388">
        <f>R512-V512</f>
        <v>7978.9599999999991</v>
      </c>
      <c r="X512" s="589">
        <f>W512/R512</f>
        <v>0.47204513292346428</v>
      </c>
      <c r="Y512" s="544"/>
      <c r="Z512" s="536"/>
      <c r="AA512" s="544"/>
      <c r="AB512" s="393" t="s">
        <v>2768</v>
      </c>
      <c r="AC512" s="392" t="s">
        <v>752</v>
      </c>
      <c r="AD512" s="691"/>
      <c r="AE512" s="692"/>
      <c r="AF512" s="691"/>
      <c r="AG512" s="693"/>
      <c r="AJ512" s="553"/>
    </row>
    <row r="513" spans="1:36" s="218" customFormat="1" ht="14.25" customHeight="1">
      <c r="A513" s="586" t="s">
        <v>2765</v>
      </c>
      <c r="B513" s="545" t="s">
        <v>190</v>
      </c>
      <c r="C513" s="386"/>
      <c r="D513" s="386"/>
      <c r="E513" s="392"/>
      <c r="F513" s="536">
        <v>42977</v>
      </c>
      <c r="G513" s="601"/>
      <c r="H513" s="752"/>
      <c r="I513" s="601"/>
      <c r="J513" s="601"/>
      <c r="K513" s="386"/>
      <c r="L513" s="392" t="str">
        <f>TEXT(F513,"mmm-yy")</f>
        <v>Aug-17</v>
      </c>
      <c r="M513" s="392" t="str">
        <f>TEXT(J513,"mmm-yy")</f>
        <v>Jan-00</v>
      </c>
      <c r="N513" s="397" t="s">
        <v>3112</v>
      </c>
      <c r="O513" s="418" t="s">
        <v>3056</v>
      </c>
      <c r="P513" s="538">
        <f>138*63.76</f>
        <v>8798.8799999999992</v>
      </c>
      <c r="Q513" s="538"/>
      <c r="R513" s="538">
        <f>SUM(P513:Q513)</f>
        <v>8798.8799999999992</v>
      </c>
      <c r="S513" s="495">
        <f>R513*1.1</f>
        <v>9678.768</v>
      </c>
      <c r="T513" s="539">
        <v>7472</v>
      </c>
      <c r="U513" s="539"/>
      <c r="V513" s="389">
        <f>SUM(T513:U513)</f>
        <v>7472</v>
      </c>
      <c r="W513" s="388">
        <f>R513-V513</f>
        <v>1326.8799999999992</v>
      </c>
      <c r="X513" s="589">
        <f>W513/R513</f>
        <v>0.15080101103776836</v>
      </c>
      <c r="Y513" s="544"/>
      <c r="Z513" s="536"/>
      <c r="AA513" s="544"/>
      <c r="AB513" s="393" t="s">
        <v>2768</v>
      </c>
      <c r="AC513" s="392" t="s">
        <v>752</v>
      </c>
      <c r="AD513" s="691"/>
      <c r="AE513" s="692"/>
      <c r="AF513" s="691"/>
      <c r="AG513" s="693"/>
      <c r="AJ513" s="553"/>
    </row>
    <row r="514" spans="1:36" s="218" customFormat="1" ht="14.25" customHeight="1">
      <c r="A514" s="586" t="s">
        <v>2765</v>
      </c>
      <c r="B514" s="545" t="s">
        <v>190</v>
      </c>
      <c r="C514" s="386"/>
      <c r="D514" s="386"/>
      <c r="E514" s="392"/>
      <c r="F514" s="536">
        <v>42977</v>
      </c>
      <c r="G514" s="601"/>
      <c r="H514" s="752"/>
      <c r="I514" s="601"/>
      <c r="J514" s="601"/>
      <c r="K514" s="386"/>
      <c r="L514" s="392" t="str">
        <f>TEXT(F514,"mmm-yy")</f>
        <v>Aug-17</v>
      </c>
      <c r="M514" s="392" t="str">
        <f>TEXT(J514,"mmm-yy")</f>
        <v>Jan-00</v>
      </c>
      <c r="N514" s="397" t="s">
        <v>3113</v>
      </c>
      <c r="O514" s="418" t="s">
        <v>2766</v>
      </c>
      <c r="P514" s="538">
        <f>430*63.76+6000</f>
        <v>33416.800000000003</v>
      </c>
      <c r="Q514" s="538"/>
      <c r="R514" s="538">
        <f>SUM(P514:Q514)</f>
        <v>33416.800000000003</v>
      </c>
      <c r="S514" s="495">
        <f>R514*1.1</f>
        <v>36758.480000000003</v>
      </c>
      <c r="T514" s="539">
        <v>20672</v>
      </c>
      <c r="U514" s="539"/>
      <c r="V514" s="389">
        <f>SUM(T514:U514)</f>
        <v>20672</v>
      </c>
      <c r="W514" s="388">
        <f>R514-V514</f>
        <v>12744.800000000003</v>
      </c>
      <c r="X514" s="589">
        <f>W514/R514</f>
        <v>0.38138900193914443</v>
      </c>
      <c r="Y514" s="544"/>
      <c r="Z514" s="536"/>
      <c r="AA514" s="544"/>
      <c r="AB514" s="393" t="s">
        <v>2768</v>
      </c>
      <c r="AC514" s="392" t="s">
        <v>752</v>
      </c>
      <c r="AD514" s="691"/>
      <c r="AE514" s="692"/>
      <c r="AF514" s="691"/>
      <c r="AG514" s="693"/>
      <c r="AJ514" s="553"/>
    </row>
    <row r="515" spans="1:36" s="218" customFormat="1" ht="14.25" customHeight="1">
      <c r="A515" s="586" t="s">
        <v>2765</v>
      </c>
      <c r="B515" s="545" t="s">
        <v>190</v>
      </c>
      <c r="C515" s="386"/>
      <c r="D515" s="386"/>
      <c r="E515" s="392"/>
      <c r="F515" s="536">
        <v>42977</v>
      </c>
      <c r="G515" s="601"/>
      <c r="H515" s="752"/>
      <c r="I515" s="601"/>
      <c r="J515" s="601"/>
      <c r="K515" s="386"/>
      <c r="L515" s="392" t="str">
        <f>TEXT(F515,"mmm-yy")</f>
        <v>Aug-17</v>
      </c>
      <c r="M515" s="392" t="str">
        <f>TEXT(J515,"mmm-yy")</f>
        <v>Jan-00</v>
      </c>
      <c r="N515" s="397" t="s">
        <v>3114</v>
      </c>
      <c r="O515" s="418" t="s">
        <v>3057</v>
      </c>
      <c r="P515" s="538">
        <f>15*63.76+1000</f>
        <v>1956.4</v>
      </c>
      <c r="Q515" s="538"/>
      <c r="R515" s="538">
        <f>SUM(P515:Q515)</f>
        <v>1956.4</v>
      </c>
      <c r="S515" s="495">
        <f>R515*1.1</f>
        <v>2152.0400000000004</v>
      </c>
      <c r="T515" s="539">
        <v>1467.5</v>
      </c>
      <c r="U515" s="539"/>
      <c r="V515" s="389">
        <f>SUM(T515:U515)</f>
        <v>1467.5</v>
      </c>
      <c r="W515" s="388">
        <f>R515-V515</f>
        <v>488.90000000000009</v>
      </c>
      <c r="X515" s="589">
        <f>W515/R515</f>
        <v>0.24989777141688821</v>
      </c>
      <c r="Y515" s="544"/>
      <c r="Z515" s="536"/>
      <c r="AA515" s="544"/>
      <c r="AB515" s="393" t="s">
        <v>2768</v>
      </c>
      <c r="AC515" s="392" t="s">
        <v>752</v>
      </c>
      <c r="AD515" s="691"/>
      <c r="AE515" s="692"/>
      <c r="AF515" s="691"/>
      <c r="AG515" s="693"/>
      <c r="AJ515" s="553"/>
    </row>
    <row r="516" spans="1:36" s="218" customFormat="1" ht="14.25" customHeight="1">
      <c r="A516" s="586" t="s">
        <v>2765</v>
      </c>
      <c r="B516" s="545" t="s">
        <v>190</v>
      </c>
      <c r="C516" s="386"/>
      <c r="D516" s="386"/>
      <c r="E516" s="392"/>
      <c r="F516" s="536">
        <v>42977</v>
      </c>
      <c r="G516" s="601"/>
      <c r="H516" s="752"/>
      <c r="I516" s="601"/>
      <c r="J516" s="601"/>
      <c r="K516" s="386"/>
      <c r="L516" s="392" t="str">
        <f t="shared" ref="L512:L516" si="17">TEXT(F516,"mmm-yy")</f>
        <v>Aug-17</v>
      </c>
      <c r="M516" s="392" t="str">
        <f t="shared" ref="M495:M523" si="18">TEXT(J516,"mmm-yy")</f>
        <v>Jan-00</v>
      </c>
      <c r="N516" s="397" t="s">
        <v>3115</v>
      </c>
      <c r="O516" s="418" t="s">
        <v>2767</v>
      </c>
      <c r="P516" s="538">
        <f>265*63.76+6000</f>
        <v>22896.399999999998</v>
      </c>
      <c r="Q516" s="538"/>
      <c r="R516" s="538">
        <f t="shared" ref="R512:R516" si="19">SUM(P516:Q516)</f>
        <v>22896.399999999998</v>
      </c>
      <c r="S516" s="495">
        <f t="shared" ref="S512:S516" si="20">R516*1.1</f>
        <v>25186.04</v>
      </c>
      <c r="T516" s="539">
        <v>13060</v>
      </c>
      <c r="U516" s="539"/>
      <c r="V516" s="389">
        <f t="shared" ref="V512:V516" si="21">SUM(T516:U516)</f>
        <v>13060</v>
      </c>
      <c r="W516" s="388">
        <f t="shared" ref="W512:W516" si="22">R516-V516</f>
        <v>9836.3999999999978</v>
      </c>
      <c r="X516" s="589">
        <f t="shared" ref="X512:X516" si="23">W516/R516</f>
        <v>0.42960465400674336</v>
      </c>
      <c r="Y516" s="544"/>
      <c r="Z516" s="536"/>
      <c r="AA516" s="544"/>
      <c r="AB516" s="393" t="s">
        <v>2768</v>
      </c>
      <c r="AC516" s="392" t="s">
        <v>752</v>
      </c>
      <c r="AD516" s="691"/>
      <c r="AE516" s="692"/>
      <c r="AF516" s="691"/>
      <c r="AG516" s="693"/>
      <c r="AJ516" s="553"/>
    </row>
    <row r="517" spans="1:36" s="218" customFormat="1" ht="14.25" customHeight="1">
      <c r="A517" s="586" t="s">
        <v>714</v>
      </c>
      <c r="B517" s="545" t="s">
        <v>190</v>
      </c>
      <c r="C517" s="386"/>
      <c r="D517" s="386"/>
      <c r="E517" s="392">
        <v>43280</v>
      </c>
      <c r="F517" s="536">
        <v>43280</v>
      </c>
      <c r="G517" s="756"/>
      <c r="H517" s="757"/>
      <c r="I517" s="603">
        <f>F517+14</f>
        <v>43294</v>
      </c>
      <c r="J517" s="601">
        <f>I517+14</f>
        <v>43308</v>
      </c>
      <c r="K517" s="386"/>
      <c r="L517" s="392" t="str">
        <f t="shared" ref="L517" si="24">TEXT(F517,"mmm-yy")</f>
        <v>Jun-18</v>
      </c>
      <c r="M517" s="392" t="str">
        <f t="shared" si="18"/>
        <v>Jul-18</v>
      </c>
      <c r="N517" s="397" t="s">
        <v>3061</v>
      </c>
      <c r="O517" s="418" t="s">
        <v>2393</v>
      </c>
      <c r="P517" s="538">
        <v>4296.8100000000004</v>
      </c>
      <c r="Q517" s="776"/>
      <c r="R517" s="538">
        <f t="shared" ref="R517" si="25">SUM(P517:Q517)</f>
        <v>4296.8100000000004</v>
      </c>
      <c r="S517" s="495">
        <f t="shared" ref="S517" si="26">R517*1.1</f>
        <v>4726.4910000000009</v>
      </c>
      <c r="T517" s="539"/>
      <c r="U517" s="539"/>
      <c r="V517" s="389">
        <f t="shared" ref="V517" si="27">SUM(T517:U517)</f>
        <v>0</v>
      </c>
      <c r="W517" s="388">
        <f t="shared" ref="W517" si="28">R517-V517</f>
        <v>4296.8100000000004</v>
      </c>
      <c r="X517" s="589">
        <f t="shared" ref="X517" si="29">W517/R517</f>
        <v>1</v>
      </c>
      <c r="Y517" s="544"/>
      <c r="Z517" s="536"/>
      <c r="AA517" s="544"/>
      <c r="AB517" s="393" t="s">
        <v>201</v>
      </c>
      <c r="AC517" s="392" t="s">
        <v>752</v>
      </c>
      <c r="AD517" s="392">
        <v>43264</v>
      </c>
      <c r="AE517" s="550"/>
      <c r="AF517" s="392">
        <v>43371</v>
      </c>
      <c r="AG517" s="546">
        <f t="shared" ref="AG517:AG525" si="30">AF517-AD517</f>
        <v>107</v>
      </c>
      <c r="AJ517" s="553"/>
    </row>
    <row r="518" spans="1:36" s="218" customFormat="1" ht="14.25" customHeight="1">
      <c r="A518" s="586" t="s">
        <v>714</v>
      </c>
      <c r="B518" s="545" t="s">
        <v>190</v>
      </c>
      <c r="C518" s="386"/>
      <c r="D518" s="386"/>
      <c r="E518" s="392"/>
      <c r="F518" s="536">
        <v>43403</v>
      </c>
      <c r="G518" s="601"/>
      <c r="H518" s="752"/>
      <c r="I518" s="601"/>
      <c r="J518" s="601"/>
      <c r="K518" s="386"/>
      <c r="L518" s="392" t="str">
        <f t="shared" ref="L518" si="31">TEXT(F518,"mmm-yy")</f>
        <v>Oct-18</v>
      </c>
      <c r="M518" s="392" t="str">
        <f t="shared" si="18"/>
        <v>Jan-00</v>
      </c>
      <c r="N518" s="397" t="s">
        <v>3062</v>
      </c>
      <c r="O518" s="418" t="s">
        <v>2767</v>
      </c>
      <c r="P518" s="538">
        <v>1832.88</v>
      </c>
      <c r="Q518" s="538"/>
      <c r="R518" s="538">
        <f t="shared" ref="R518" si="32">SUM(P518:Q518)</f>
        <v>1832.88</v>
      </c>
      <c r="S518" s="495">
        <f t="shared" ref="S518" si="33">R518*1.1</f>
        <v>2016.1680000000003</v>
      </c>
      <c r="T518" s="539"/>
      <c r="U518" s="539"/>
      <c r="V518" s="389">
        <f t="shared" ref="V518" si="34">SUM(T518:U518)</f>
        <v>0</v>
      </c>
      <c r="W518" s="388">
        <f t="shared" ref="W518" si="35">R518-V518</f>
        <v>1832.88</v>
      </c>
      <c r="X518" s="589">
        <f t="shared" ref="X518" si="36">W518/R518</f>
        <v>1</v>
      </c>
      <c r="Y518" s="544"/>
      <c r="Z518" s="536"/>
      <c r="AA518" s="544"/>
      <c r="AB518" s="393" t="s">
        <v>201</v>
      </c>
      <c r="AC518" s="392" t="s">
        <v>752</v>
      </c>
      <c r="AD518" s="392">
        <v>43265</v>
      </c>
      <c r="AE518" s="550"/>
      <c r="AF518" s="392">
        <v>43371</v>
      </c>
      <c r="AG518" s="546">
        <f t="shared" si="30"/>
        <v>106</v>
      </c>
      <c r="AJ518" s="553"/>
    </row>
    <row r="519" spans="1:36" s="218" customFormat="1" ht="14.25" customHeight="1">
      <c r="A519" s="545" t="s">
        <v>715</v>
      </c>
      <c r="B519" s="545" t="s">
        <v>724</v>
      </c>
      <c r="C519" s="386"/>
      <c r="D519" s="386"/>
      <c r="E519" s="392"/>
      <c r="F519" s="536">
        <v>43373</v>
      </c>
      <c r="G519" s="601"/>
      <c r="H519" s="752"/>
      <c r="I519" s="601"/>
      <c r="J519" s="601"/>
      <c r="K519" s="386"/>
      <c r="L519" s="392" t="str">
        <f t="shared" ref="L519:L523" si="37">TEXT(F519,"mmm-yy")</f>
        <v>Sep-18</v>
      </c>
      <c r="M519" s="392" t="str">
        <f t="shared" si="18"/>
        <v>Jan-00</v>
      </c>
      <c r="N519" s="397" t="s">
        <v>3073</v>
      </c>
      <c r="O519" s="418" t="s">
        <v>3074</v>
      </c>
      <c r="P519" s="538">
        <v>16470.774000000001</v>
      </c>
      <c r="Q519" s="538"/>
      <c r="R519" s="538">
        <f t="shared" ref="R519" si="38">SUM(P519:Q519)</f>
        <v>16470.774000000001</v>
      </c>
      <c r="S519" s="495">
        <f t="shared" ref="S519" si="39">R519*1.1</f>
        <v>18117.851400000003</v>
      </c>
      <c r="T519" s="539"/>
      <c r="U519" s="539"/>
      <c r="V519" s="389">
        <f t="shared" ref="V519" si="40">SUM(T519:U519)</f>
        <v>0</v>
      </c>
      <c r="W519" s="388">
        <f t="shared" ref="W519" si="41">R519-V519</f>
        <v>16470.774000000001</v>
      </c>
      <c r="X519" s="589">
        <f t="shared" ref="X519:X520" si="42">W519/R519</f>
        <v>1</v>
      </c>
      <c r="Y519" s="544"/>
      <c r="Z519" s="536"/>
      <c r="AA519" s="544"/>
      <c r="AB519" s="393" t="s">
        <v>220</v>
      </c>
      <c r="AC519" s="392">
        <v>43255</v>
      </c>
      <c r="AD519" s="392">
        <v>43270</v>
      </c>
      <c r="AE519" s="689">
        <f t="shared" ref="AE519:AE520" si="43">AD519-AC519</f>
        <v>15</v>
      </c>
      <c r="AF519" s="392">
        <v>43280</v>
      </c>
      <c r="AG519" s="546">
        <f t="shared" si="30"/>
        <v>10</v>
      </c>
      <c r="AJ519" s="553"/>
    </row>
    <row r="520" spans="1:36" s="218" customFormat="1" ht="14.25" customHeight="1">
      <c r="A520" s="586" t="s">
        <v>714</v>
      </c>
      <c r="B520" s="545" t="s">
        <v>190</v>
      </c>
      <c r="C520" s="386" t="s">
        <v>3300</v>
      </c>
      <c r="D520" s="386">
        <v>43287</v>
      </c>
      <c r="E520" s="392">
        <v>43269</v>
      </c>
      <c r="F520" s="536">
        <v>43269</v>
      </c>
      <c r="G520" s="759"/>
      <c r="H520" s="760"/>
      <c r="I520" s="603">
        <f>F520+14</f>
        <v>43283</v>
      </c>
      <c r="J520" s="603">
        <v>43286</v>
      </c>
      <c r="K520" s="386"/>
      <c r="L520" s="392" t="str">
        <f t="shared" si="37"/>
        <v>Jun-18</v>
      </c>
      <c r="M520" s="392" t="str">
        <f t="shared" si="18"/>
        <v>Jul-18</v>
      </c>
      <c r="N520" s="397" t="s">
        <v>3075</v>
      </c>
      <c r="O520" s="418" t="s">
        <v>1168</v>
      </c>
      <c r="P520" s="538">
        <v>1065</v>
      </c>
      <c r="Q520" s="776"/>
      <c r="R520" s="538">
        <f t="shared" ref="R520" si="44">SUM(P520:Q520)</f>
        <v>1065</v>
      </c>
      <c r="S520" s="495">
        <f t="shared" ref="S520" si="45">R520*1.1</f>
        <v>1171.5</v>
      </c>
      <c r="T520" s="539"/>
      <c r="U520" s="539"/>
      <c r="V520" s="389">
        <f t="shared" ref="V520" si="46">SUM(T520:U520)</f>
        <v>0</v>
      </c>
      <c r="W520" s="388">
        <f t="shared" ref="W520" si="47">R520-V520</f>
        <v>1065</v>
      </c>
      <c r="X520" s="589">
        <f t="shared" si="42"/>
        <v>1</v>
      </c>
      <c r="Y520" s="544"/>
      <c r="Z520" s="536"/>
      <c r="AA520" s="544"/>
      <c r="AB520" s="393" t="s">
        <v>727</v>
      </c>
      <c r="AC520" s="392">
        <v>43209</v>
      </c>
      <c r="AD520" s="392">
        <v>43265</v>
      </c>
      <c r="AE520" s="689">
        <f t="shared" si="43"/>
        <v>56</v>
      </c>
      <c r="AF520" s="392">
        <v>43280</v>
      </c>
      <c r="AG520" s="546">
        <f t="shared" si="30"/>
        <v>15</v>
      </c>
      <c r="AJ520" s="553"/>
    </row>
    <row r="521" spans="1:36" s="218" customFormat="1" ht="14.25" customHeight="1">
      <c r="A521" s="586" t="s">
        <v>714</v>
      </c>
      <c r="B521" s="545" t="s">
        <v>723</v>
      </c>
      <c r="C521" s="386"/>
      <c r="D521" s="386"/>
      <c r="E521" s="392"/>
      <c r="F521" s="536">
        <v>43363</v>
      </c>
      <c r="G521" s="601"/>
      <c r="H521" s="752"/>
      <c r="I521" s="601"/>
      <c r="J521" s="601"/>
      <c r="K521" s="386"/>
      <c r="L521" s="392" t="str">
        <f t="shared" si="37"/>
        <v>Sep-18</v>
      </c>
      <c r="M521" s="392" t="str">
        <f t="shared" si="18"/>
        <v>Jan-00</v>
      </c>
      <c r="N521" s="397" t="s">
        <v>3078</v>
      </c>
      <c r="O521" s="418" t="s">
        <v>1296</v>
      </c>
      <c r="P521" s="538">
        <v>1194.07</v>
      </c>
      <c r="Q521" s="538"/>
      <c r="R521" s="538">
        <f t="shared" ref="R521:R524" si="48">SUM(P521:Q521)</f>
        <v>1194.07</v>
      </c>
      <c r="S521" s="495">
        <f t="shared" ref="S521:S524" si="49">R521*1.1</f>
        <v>1313.4770000000001</v>
      </c>
      <c r="T521" s="539"/>
      <c r="U521" s="539"/>
      <c r="V521" s="389">
        <f t="shared" ref="V521" si="50">SUM(T521:U521)</f>
        <v>0</v>
      </c>
      <c r="W521" s="388">
        <f t="shared" ref="W521" si="51">R521-V521</f>
        <v>1194.07</v>
      </c>
      <c r="X521" s="589">
        <f t="shared" ref="X521" si="52">W521/R521</f>
        <v>1</v>
      </c>
      <c r="Y521" s="544"/>
      <c r="Z521" s="536"/>
      <c r="AA521" s="544"/>
      <c r="AB521" s="393" t="s">
        <v>201</v>
      </c>
      <c r="AC521" s="392" t="s">
        <v>752</v>
      </c>
      <c r="AD521" s="392">
        <v>43265</v>
      </c>
      <c r="AE521" s="550"/>
      <c r="AF521" s="392">
        <v>43363</v>
      </c>
      <c r="AG521" s="546">
        <f t="shared" si="30"/>
        <v>98</v>
      </c>
      <c r="AJ521" s="553"/>
    </row>
    <row r="522" spans="1:36" s="218" customFormat="1" ht="14.25" customHeight="1">
      <c r="A522" s="586" t="s">
        <v>714</v>
      </c>
      <c r="B522" s="545" t="s">
        <v>190</v>
      </c>
      <c r="C522" s="386"/>
      <c r="D522" s="386"/>
      <c r="E522" s="392"/>
      <c r="F522" s="536">
        <v>43342</v>
      </c>
      <c r="G522" s="601"/>
      <c r="H522" s="752"/>
      <c r="I522" s="601"/>
      <c r="J522" s="601"/>
      <c r="K522" s="386"/>
      <c r="L522" s="392" t="str">
        <f t="shared" si="37"/>
        <v>Aug-18</v>
      </c>
      <c r="M522" s="392" t="str">
        <f t="shared" si="18"/>
        <v>Jan-00</v>
      </c>
      <c r="N522" s="397" t="s">
        <v>3079</v>
      </c>
      <c r="O522" s="418" t="s">
        <v>3080</v>
      </c>
      <c r="P522" s="538">
        <v>3328.23</v>
      </c>
      <c r="Q522" s="538"/>
      <c r="R522" s="538">
        <f t="shared" si="48"/>
        <v>3328.23</v>
      </c>
      <c r="S522" s="495">
        <f t="shared" si="49"/>
        <v>3661.0530000000003</v>
      </c>
      <c r="T522" s="539"/>
      <c r="U522" s="539"/>
      <c r="V522" s="389">
        <f t="shared" ref="V522" si="53">SUM(T522:U522)</f>
        <v>0</v>
      </c>
      <c r="W522" s="388">
        <f t="shared" ref="W522" si="54">R522-V522</f>
        <v>3328.23</v>
      </c>
      <c r="X522" s="589">
        <f t="shared" ref="X522" si="55">W522/R522</f>
        <v>1</v>
      </c>
      <c r="Y522" s="544"/>
      <c r="Z522" s="536"/>
      <c r="AA522" s="544"/>
      <c r="AB522" s="393" t="s">
        <v>201</v>
      </c>
      <c r="AC522" s="392" t="s">
        <v>752</v>
      </c>
      <c r="AD522" s="392">
        <v>43266</v>
      </c>
      <c r="AE522" s="550"/>
      <c r="AF522" s="392">
        <v>43342</v>
      </c>
      <c r="AG522" s="546">
        <f t="shared" si="30"/>
        <v>76</v>
      </c>
      <c r="AJ522" s="553"/>
    </row>
    <row r="523" spans="1:36" s="218" customFormat="1" ht="14.25" customHeight="1">
      <c r="A523" s="586" t="s">
        <v>714</v>
      </c>
      <c r="B523" s="545" t="s">
        <v>764</v>
      </c>
      <c r="C523" s="386"/>
      <c r="D523" s="386"/>
      <c r="E523" s="392"/>
      <c r="F523" s="536">
        <v>43373</v>
      </c>
      <c r="G523" s="601"/>
      <c r="H523" s="752"/>
      <c r="I523" s="601"/>
      <c r="J523" s="601"/>
      <c r="K523" s="386"/>
      <c r="L523" s="392" t="str">
        <f t="shared" si="37"/>
        <v>Sep-18</v>
      </c>
      <c r="M523" s="392" t="str">
        <f t="shared" si="18"/>
        <v>Jan-00</v>
      </c>
      <c r="N523" s="397" t="s">
        <v>3082</v>
      </c>
      <c r="O523" s="418" t="s">
        <v>3083</v>
      </c>
      <c r="P523" s="538">
        <v>1458.46</v>
      </c>
      <c r="Q523" s="538"/>
      <c r="R523" s="538">
        <f t="shared" si="48"/>
        <v>1458.46</v>
      </c>
      <c r="S523" s="495">
        <f t="shared" si="49"/>
        <v>1604.3060000000003</v>
      </c>
      <c r="T523" s="539"/>
      <c r="U523" s="539"/>
      <c r="V523" s="389">
        <f t="shared" ref="V523" si="56">SUM(T523:U523)</f>
        <v>0</v>
      </c>
      <c r="W523" s="388">
        <f t="shared" ref="W523" si="57">R523-V523</f>
        <v>1458.46</v>
      </c>
      <c r="X523" s="589">
        <f t="shared" ref="X523" si="58">W523/R523</f>
        <v>1</v>
      </c>
      <c r="Y523" s="544"/>
      <c r="Z523" s="536"/>
      <c r="AA523" s="544"/>
      <c r="AB523" s="393" t="s">
        <v>201</v>
      </c>
      <c r="AC523" s="392" t="s">
        <v>752</v>
      </c>
      <c r="AD523" s="392">
        <v>43266</v>
      </c>
      <c r="AE523" s="550"/>
      <c r="AF523" s="392">
        <v>43340</v>
      </c>
      <c r="AG523" s="546">
        <f t="shared" si="30"/>
        <v>74</v>
      </c>
      <c r="AJ523" s="553"/>
    </row>
    <row r="524" spans="1:36" s="218" customFormat="1" ht="14.25" customHeight="1">
      <c r="A524" s="545" t="s">
        <v>715</v>
      </c>
      <c r="B524" s="545" t="s">
        <v>190</v>
      </c>
      <c r="C524" s="386"/>
      <c r="D524" s="386"/>
      <c r="E524" s="392">
        <v>43278</v>
      </c>
      <c r="F524" s="536">
        <v>43278</v>
      </c>
      <c r="G524" s="756"/>
      <c r="H524" s="757"/>
      <c r="I524" s="603">
        <f>F524+14</f>
        <v>43292</v>
      </c>
      <c r="J524" s="601">
        <f>I524+14</f>
        <v>43306</v>
      </c>
      <c r="K524" s="386"/>
      <c r="L524" s="392" t="str">
        <f t="shared" ref="L524:L525" si="59">TEXT(F524,"mmm-yy")</f>
        <v>Jun-18</v>
      </c>
      <c r="M524" s="392" t="str">
        <f t="shared" ref="M524:M543" si="60">TEXT(J524,"mmm-yy")</f>
        <v>Jul-18</v>
      </c>
      <c r="N524" s="397" t="s">
        <v>3084</v>
      </c>
      <c r="O524" s="418" t="s">
        <v>978</v>
      </c>
      <c r="P524" s="538">
        <v>4848.55</v>
      </c>
      <c r="Q524" s="538"/>
      <c r="R524" s="538">
        <f t="shared" si="48"/>
        <v>4848.55</v>
      </c>
      <c r="S524" s="495">
        <f t="shared" si="49"/>
        <v>5333.4050000000007</v>
      </c>
      <c r="T524" s="539"/>
      <c r="U524" s="539"/>
      <c r="V524" s="389">
        <f t="shared" ref="V524" si="61">SUM(T524:U524)</f>
        <v>0</v>
      </c>
      <c r="W524" s="388">
        <f t="shared" ref="W524" si="62">R524-V524</f>
        <v>4848.55</v>
      </c>
      <c r="X524" s="589">
        <f t="shared" ref="X524" si="63">W524/R524</f>
        <v>1</v>
      </c>
      <c r="Y524" s="544"/>
      <c r="Z524" s="536"/>
      <c r="AA524" s="544"/>
      <c r="AB524" s="393" t="s">
        <v>201</v>
      </c>
      <c r="AC524" s="392" t="s">
        <v>752</v>
      </c>
      <c r="AD524" s="392">
        <v>43266</v>
      </c>
      <c r="AE524" s="550"/>
      <c r="AF524" s="392">
        <v>43280</v>
      </c>
      <c r="AG524" s="546">
        <f t="shared" si="30"/>
        <v>14</v>
      </c>
      <c r="AJ524" s="553"/>
    </row>
    <row r="525" spans="1:36" s="218" customFormat="1" ht="14.25" customHeight="1">
      <c r="A525" s="586" t="s">
        <v>714</v>
      </c>
      <c r="B525" s="545" t="s">
        <v>723</v>
      </c>
      <c r="C525" s="386"/>
      <c r="D525" s="386"/>
      <c r="E525" s="392"/>
      <c r="F525" s="536">
        <v>43311</v>
      </c>
      <c r="G525" s="601"/>
      <c r="H525" s="752"/>
      <c r="I525" s="601"/>
      <c r="J525" s="601"/>
      <c r="K525" s="386"/>
      <c r="L525" s="392" t="str">
        <f t="shared" si="59"/>
        <v>Jul-18</v>
      </c>
      <c r="M525" s="392" t="str">
        <f t="shared" si="60"/>
        <v>Jan-00</v>
      </c>
      <c r="N525" s="397" t="s">
        <v>3085</v>
      </c>
      <c r="O525" s="418" t="s">
        <v>3086</v>
      </c>
      <c r="P525" s="538">
        <v>6779.46</v>
      </c>
      <c r="Q525" s="538"/>
      <c r="R525" s="538">
        <f t="shared" ref="R525:R526" si="64">SUM(P525:Q525)</f>
        <v>6779.46</v>
      </c>
      <c r="S525" s="495">
        <f t="shared" ref="S525:S526" si="65">R525*1.1</f>
        <v>7457.4060000000009</v>
      </c>
      <c r="T525" s="539"/>
      <c r="U525" s="539"/>
      <c r="V525" s="389">
        <f t="shared" ref="V525" si="66">SUM(T525:U525)</f>
        <v>0</v>
      </c>
      <c r="W525" s="388">
        <f t="shared" ref="W525" si="67">R525-V525</f>
        <v>6779.46</v>
      </c>
      <c r="X525" s="589">
        <f t="shared" ref="X525" si="68">W525/R525</f>
        <v>1</v>
      </c>
      <c r="Y525" s="544"/>
      <c r="Z525" s="536"/>
      <c r="AA525" s="544"/>
      <c r="AB525" s="393" t="s">
        <v>201</v>
      </c>
      <c r="AC525" s="392" t="s">
        <v>752</v>
      </c>
      <c r="AD525" s="392">
        <v>43266</v>
      </c>
      <c r="AE525" s="550"/>
      <c r="AF525" s="392">
        <v>43371</v>
      </c>
      <c r="AG525" s="546">
        <f t="shared" si="30"/>
        <v>105</v>
      </c>
      <c r="AJ525" s="553"/>
    </row>
    <row r="526" spans="1:36" s="218" customFormat="1" ht="14.25" customHeight="1">
      <c r="A526" s="586" t="s">
        <v>714</v>
      </c>
      <c r="B526" s="545" t="s">
        <v>190</v>
      </c>
      <c r="C526" s="386"/>
      <c r="D526" s="386"/>
      <c r="E526" s="392">
        <v>43285</v>
      </c>
      <c r="F526" s="536">
        <v>43285</v>
      </c>
      <c r="G526" s="601">
        <v>43290</v>
      </c>
      <c r="H526" s="752"/>
      <c r="I526" s="601">
        <f>F526+14</f>
        <v>43299</v>
      </c>
      <c r="J526" s="601">
        <f>I526+14</f>
        <v>43313</v>
      </c>
      <c r="K526" s="386"/>
      <c r="L526" s="392" t="str">
        <f t="shared" ref="L526:L527" si="69">TEXT(F526,"mmm-yy")</f>
        <v>Jul-18</v>
      </c>
      <c r="M526" s="392" t="str">
        <f t="shared" si="60"/>
        <v>Aug-18</v>
      </c>
      <c r="N526" s="397" t="s">
        <v>3087</v>
      </c>
      <c r="O526" s="418" t="s">
        <v>491</v>
      </c>
      <c r="P526" s="538">
        <v>3687.45</v>
      </c>
      <c r="Q526" s="538">
        <v>2280.35</v>
      </c>
      <c r="R526" s="538">
        <f t="shared" si="64"/>
        <v>5967.7999999999993</v>
      </c>
      <c r="S526" s="495">
        <f t="shared" si="65"/>
        <v>6564.58</v>
      </c>
      <c r="T526" s="539"/>
      <c r="U526" s="539"/>
      <c r="V526" s="389">
        <f t="shared" ref="V526" si="70">SUM(T526:U526)</f>
        <v>0</v>
      </c>
      <c r="W526" s="388">
        <f t="shared" ref="W526" si="71">R526-V526</f>
        <v>5967.7999999999993</v>
      </c>
      <c r="X526" s="589">
        <f t="shared" ref="X526" si="72">W526/R526</f>
        <v>1</v>
      </c>
      <c r="Y526" s="544"/>
      <c r="Z526" s="536"/>
      <c r="AA526" s="544"/>
      <c r="AB526" s="393" t="s">
        <v>201</v>
      </c>
      <c r="AC526" s="392" t="s">
        <v>752</v>
      </c>
      <c r="AD526" s="392">
        <v>43266</v>
      </c>
      <c r="AE526" s="550"/>
      <c r="AF526" s="392">
        <v>43371</v>
      </c>
      <c r="AG526" s="546">
        <f t="shared" ref="AG526:AG532" si="73">AF526-AD526</f>
        <v>105</v>
      </c>
      <c r="AJ526" s="553"/>
    </row>
    <row r="527" spans="1:36" s="218" customFormat="1" ht="14.25" customHeight="1">
      <c r="A527" s="545" t="s">
        <v>715</v>
      </c>
      <c r="B527" s="545" t="s">
        <v>190</v>
      </c>
      <c r="C527" s="386" t="s">
        <v>3301</v>
      </c>
      <c r="D527" s="386">
        <v>43287</v>
      </c>
      <c r="E527" s="392">
        <v>43269</v>
      </c>
      <c r="F527" s="392">
        <v>43269</v>
      </c>
      <c r="G527" s="614">
        <v>43269</v>
      </c>
      <c r="H527" s="753">
        <v>43271</v>
      </c>
      <c r="I527" s="603">
        <f>F527+14</f>
        <v>43283</v>
      </c>
      <c r="J527" s="603">
        <v>43286</v>
      </c>
      <c r="K527" s="386"/>
      <c r="L527" s="392" t="str">
        <f t="shared" si="69"/>
        <v>Jun-18</v>
      </c>
      <c r="M527" s="392" t="str">
        <f t="shared" si="60"/>
        <v>Jul-18</v>
      </c>
      <c r="N527" s="397" t="s">
        <v>3088</v>
      </c>
      <c r="O527" s="418" t="s">
        <v>458</v>
      </c>
      <c r="P527" s="538">
        <v>3239.95</v>
      </c>
      <c r="Q527" s="538">
        <v>3749.57</v>
      </c>
      <c r="R527" s="538">
        <f t="shared" ref="R527" si="74">SUM(P527:Q527)</f>
        <v>6989.52</v>
      </c>
      <c r="S527" s="495">
        <f t="shared" ref="S527" si="75">R527*1.1</f>
        <v>7688.4720000000007</v>
      </c>
      <c r="T527" s="539"/>
      <c r="U527" s="539">
        <v>1627.8534999999997</v>
      </c>
      <c r="V527" s="389">
        <f t="shared" ref="V527" si="76">SUM(T527:U527)</f>
        <v>1627.8534999999997</v>
      </c>
      <c r="W527" s="388">
        <f t="shared" ref="W527" si="77">R527-V527</f>
        <v>5361.6665000000012</v>
      </c>
      <c r="X527" s="589">
        <f t="shared" ref="X527" si="78">W527/R527</f>
        <v>0.7671008166512151</v>
      </c>
      <c r="Y527" s="544"/>
      <c r="Z527" s="536"/>
      <c r="AA527" s="544"/>
      <c r="AB527" s="393" t="s">
        <v>517</v>
      </c>
      <c r="AC527" s="392">
        <v>43256</v>
      </c>
      <c r="AD527" s="392">
        <v>43264</v>
      </c>
      <c r="AE527" s="550"/>
      <c r="AF527" s="392">
        <v>43283</v>
      </c>
      <c r="AG527" s="546">
        <f t="shared" si="73"/>
        <v>19</v>
      </c>
      <c r="AJ527" s="553"/>
    </row>
    <row r="528" spans="1:36" s="218" customFormat="1" ht="14.25" customHeight="1">
      <c r="A528" s="586" t="s">
        <v>714</v>
      </c>
      <c r="B528" s="545" t="s">
        <v>190</v>
      </c>
      <c r="C528" s="386"/>
      <c r="D528" s="386"/>
      <c r="E528" s="392"/>
      <c r="F528" s="536">
        <v>43403</v>
      </c>
      <c r="G528" s="601"/>
      <c r="H528" s="752"/>
      <c r="I528" s="601"/>
      <c r="J528" s="601"/>
      <c r="K528" s="386"/>
      <c r="L528" s="392" t="str">
        <f t="shared" ref="L528" si="79">TEXT(F528,"mmm-yy")</f>
        <v>Oct-18</v>
      </c>
      <c r="M528" s="392" t="str">
        <f t="shared" si="60"/>
        <v>Jan-00</v>
      </c>
      <c r="N528" s="397" t="s">
        <v>3089</v>
      </c>
      <c r="O528" s="418" t="s">
        <v>753</v>
      </c>
      <c r="P528" s="538">
        <v>1648</v>
      </c>
      <c r="Q528" s="538"/>
      <c r="R528" s="538">
        <f t="shared" ref="R528:R529" si="80">SUM(P528:Q528)</f>
        <v>1648</v>
      </c>
      <c r="S528" s="495">
        <f t="shared" ref="S528:S529" si="81">R528*1.1</f>
        <v>1812.8000000000002</v>
      </c>
      <c r="T528" s="539"/>
      <c r="U528" s="539"/>
      <c r="V528" s="389">
        <f t="shared" ref="V528" si="82">SUM(T528:U528)</f>
        <v>0</v>
      </c>
      <c r="W528" s="388">
        <f t="shared" ref="W528" si="83">R528-V528</f>
        <v>1648</v>
      </c>
      <c r="X528" s="589">
        <f t="shared" ref="X528" si="84">W528/R528</f>
        <v>1</v>
      </c>
      <c r="Y528" s="544"/>
      <c r="Z528" s="536"/>
      <c r="AA528" s="544"/>
      <c r="AB528" s="393" t="s">
        <v>201</v>
      </c>
      <c r="AC528" s="392" t="s">
        <v>752</v>
      </c>
      <c r="AD528" s="392">
        <v>43269</v>
      </c>
      <c r="AE528" s="550"/>
      <c r="AF528" s="392">
        <v>43371</v>
      </c>
      <c r="AG528" s="546">
        <f t="shared" si="73"/>
        <v>102</v>
      </c>
      <c r="AJ528" s="553"/>
    </row>
    <row r="529" spans="1:36" s="218" customFormat="1" ht="14.25" customHeight="1">
      <c r="A529" s="586" t="s">
        <v>714</v>
      </c>
      <c r="B529" s="545" t="s">
        <v>190</v>
      </c>
      <c r="C529" s="386"/>
      <c r="D529" s="386"/>
      <c r="E529" s="392"/>
      <c r="F529" s="536">
        <v>43373</v>
      </c>
      <c r="G529" s="601"/>
      <c r="H529" s="752"/>
      <c r="I529" s="601"/>
      <c r="J529" s="601"/>
      <c r="K529" s="386"/>
      <c r="L529" s="392" t="str">
        <f t="shared" ref="L529" si="85">TEXT(F529,"mmm-yy")</f>
        <v>Sep-18</v>
      </c>
      <c r="M529" s="392" t="str">
        <f t="shared" si="60"/>
        <v>Jan-00</v>
      </c>
      <c r="N529" s="397" t="s">
        <v>3090</v>
      </c>
      <c r="O529" s="418" t="s">
        <v>254</v>
      </c>
      <c r="P529" s="538">
        <v>958.19</v>
      </c>
      <c r="Q529" s="538"/>
      <c r="R529" s="538">
        <f t="shared" si="80"/>
        <v>958.19</v>
      </c>
      <c r="S529" s="495">
        <f t="shared" si="81"/>
        <v>1054.0090000000002</v>
      </c>
      <c r="T529" s="539"/>
      <c r="U529" s="539"/>
      <c r="V529" s="389">
        <f t="shared" ref="V529" si="86">SUM(T529:U529)</f>
        <v>0</v>
      </c>
      <c r="W529" s="388">
        <f t="shared" ref="W529" si="87">R529-V529</f>
        <v>958.19</v>
      </c>
      <c r="X529" s="589">
        <f t="shared" ref="X529" si="88">W529/R529</f>
        <v>1</v>
      </c>
      <c r="Y529" s="544"/>
      <c r="Z529" s="536"/>
      <c r="AA529" s="544"/>
      <c r="AB529" s="393" t="s">
        <v>201</v>
      </c>
      <c r="AC529" s="392" t="s">
        <v>752</v>
      </c>
      <c r="AD529" s="392">
        <v>43269</v>
      </c>
      <c r="AE529" s="550"/>
      <c r="AF529" s="392">
        <v>43340</v>
      </c>
      <c r="AG529" s="546">
        <f t="shared" si="73"/>
        <v>71</v>
      </c>
      <c r="AJ529" s="553"/>
    </row>
    <row r="530" spans="1:36" s="218" customFormat="1" ht="14.25" customHeight="1">
      <c r="A530" s="545" t="s">
        <v>715</v>
      </c>
      <c r="B530" s="545" t="s">
        <v>179</v>
      </c>
      <c r="C530" s="386"/>
      <c r="D530" s="386"/>
      <c r="E530" s="392"/>
      <c r="F530" s="536">
        <v>43311</v>
      </c>
      <c r="G530" s="601"/>
      <c r="H530" s="752"/>
      <c r="I530" s="601"/>
      <c r="J530" s="601"/>
      <c r="K530" s="386"/>
      <c r="L530" s="392" t="str">
        <f t="shared" ref="L530:L532" si="89">TEXT(F530,"mmm-yy")</f>
        <v>Jul-18</v>
      </c>
      <c r="M530" s="392" t="str">
        <f t="shared" si="60"/>
        <v>Jan-00</v>
      </c>
      <c r="N530" s="397" t="s">
        <v>3094</v>
      </c>
      <c r="O530" s="418" t="s">
        <v>771</v>
      </c>
      <c r="P530" s="538">
        <v>9674.98</v>
      </c>
      <c r="Q530" s="538"/>
      <c r="R530" s="538">
        <f t="shared" ref="R530:R531" si="90">SUM(P530:Q530)</f>
        <v>9674.98</v>
      </c>
      <c r="S530" s="495">
        <f t="shared" ref="S530:S531" si="91">R530*1.1</f>
        <v>10642.478000000001</v>
      </c>
      <c r="T530" s="539"/>
      <c r="U530" s="539"/>
      <c r="V530" s="389">
        <f t="shared" ref="V530:V531" si="92">SUM(T530:U530)</f>
        <v>0</v>
      </c>
      <c r="W530" s="388">
        <f t="shared" ref="W530:W531" si="93">R530-V530</f>
        <v>9674.98</v>
      </c>
      <c r="X530" s="589">
        <f t="shared" ref="X530:X531" si="94">W530/R530</f>
        <v>1</v>
      </c>
      <c r="Y530" s="544"/>
      <c r="Z530" s="536"/>
      <c r="AA530" s="544"/>
      <c r="AB530" s="393" t="s">
        <v>201</v>
      </c>
      <c r="AC530" s="392">
        <v>43269</v>
      </c>
      <c r="AD530" s="392">
        <v>43279</v>
      </c>
      <c r="AE530" s="689">
        <f t="shared" ref="AE530:AE532" si="95">AD530-AC530</f>
        <v>10</v>
      </c>
      <c r="AF530" s="392">
        <v>43286</v>
      </c>
      <c r="AG530" s="546">
        <f t="shared" si="73"/>
        <v>7</v>
      </c>
      <c r="AJ530" s="553"/>
    </row>
    <row r="531" spans="1:36" s="218" customFormat="1" ht="14.25" customHeight="1">
      <c r="A531" s="586" t="s">
        <v>714</v>
      </c>
      <c r="B531" s="545" t="s">
        <v>190</v>
      </c>
      <c r="C531" s="386"/>
      <c r="D531" s="386"/>
      <c r="E531" s="392"/>
      <c r="F531" s="536">
        <v>43403</v>
      </c>
      <c r="G531" s="601"/>
      <c r="H531" s="752"/>
      <c r="I531" s="601"/>
      <c r="J531" s="601"/>
      <c r="K531" s="386"/>
      <c r="L531" s="392" t="str">
        <f t="shared" si="89"/>
        <v>Oct-18</v>
      </c>
      <c r="M531" s="392" t="str">
        <f t="shared" si="60"/>
        <v>Jan-00</v>
      </c>
      <c r="N531" s="397" t="s">
        <v>3130</v>
      </c>
      <c r="O531" s="418" t="s">
        <v>3097</v>
      </c>
      <c r="P531" s="538">
        <v>7171.07</v>
      </c>
      <c r="Q531" s="538"/>
      <c r="R531" s="538">
        <f t="shared" si="90"/>
        <v>7171.07</v>
      </c>
      <c r="S531" s="495">
        <f t="shared" si="91"/>
        <v>7888.1770000000006</v>
      </c>
      <c r="T531" s="539"/>
      <c r="U531" s="539">
        <v>487.30525</v>
      </c>
      <c r="V531" s="389">
        <f t="shared" si="92"/>
        <v>487.30525</v>
      </c>
      <c r="W531" s="388">
        <f t="shared" si="93"/>
        <v>6683.7647499999994</v>
      </c>
      <c r="X531" s="589">
        <f t="shared" si="94"/>
        <v>0.93204567100864999</v>
      </c>
      <c r="Y531" s="544"/>
      <c r="Z531" s="536"/>
      <c r="AA531" s="544"/>
      <c r="AB531" s="393" t="s">
        <v>201</v>
      </c>
      <c r="AC531" s="392" t="s">
        <v>752</v>
      </c>
      <c r="AD531" s="392">
        <v>43271</v>
      </c>
      <c r="AE531" s="550"/>
      <c r="AF531" s="392">
        <v>43371</v>
      </c>
      <c r="AG531" s="546">
        <f t="shared" si="73"/>
        <v>100</v>
      </c>
      <c r="AJ531" s="553"/>
    </row>
    <row r="532" spans="1:36" s="218" customFormat="1" ht="14.25" customHeight="1">
      <c r="A532" s="545" t="s">
        <v>715</v>
      </c>
      <c r="B532" s="545" t="s">
        <v>764</v>
      </c>
      <c r="C532" s="386"/>
      <c r="D532" s="386"/>
      <c r="E532" s="392">
        <v>43272</v>
      </c>
      <c r="F532" s="536">
        <v>43272</v>
      </c>
      <c r="G532" s="756"/>
      <c r="H532" s="757"/>
      <c r="I532" s="603">
        <f>F532+14</f>
        <v>43286</v>
      </c>
      <c r="J532" s="601">
        <f>I532+14</f>
        <v>43300</v>
      </c>
      <c r="K532" s="386"/>
      <c r="L532" s="392" t="str">
        <f t="shared" si="89"/>
        <v>Jun-18</v>
      </c>
      <c r="M532" s="392" t="str">
        <f t="shared" si="60"/>
        <v>Jul-18</v>
      </c>
      <c r="N532" s="397" t="s">
        <v>3110</v>
      </c>
      <c r="O532" s="418" t="s">
        <v>2685</v>
      </c>
      <c r="P532" s="538">
        <v>2717.54</v>
      </c>
      <c r="Q532" s="538"/>
      <c r="R532" s="538">
        <f t="shared" ref="R532" si="96">SUM(P532:Q532)</f>
        <v>2717.54</v>
      </c>
      <c r="S532" s="495">
        <f t="shared" ref="S532" si="97">R532*1.1</f>
        <v>2989.2940000000003</v>
      </c>
      <c r="T532" s="539"/>
      <c r="U532" s="539"/>
      <c r="V532" s="389">
        <f t="shared" ref="V532" si="98">SUM(T532:U532)</f>
        <v>0</v>
      </c>
      <c r="W532" s="388">
        <f t="shared" ref="W532:W536" si="99">R532-V532</f>
        <v>2717.54</v>
      </c>
      <c r="X532" s="589">
        <f t="shared" ref="X532:X536" si="100">W532/R532</f>
        <v>1</v>
      </c>
      <c r="Y532" s="544"/>
      <c r="Z532" s="536"/>
      <c r="AA532" s="544"/>
      <c r="AB532" s="393" t="s">
        <v>1338</v>
      </c>
      <c r="AC532" s="392">
        <v>43237</v>
      </c>
      <c r="AD532" s="392">
        <v>43242</v>
      </c>
      <c r="AE532" s="689">
        <f t="shared" si="95"/>
        <v>5</v>
      </c>
      <c r="AF532" s="392">
        <v>43271</v>
      </c>
      <c r="AG532" s="546">
        <f t="shared" si="73"/>
        <v>29</v>
      </c>
      <c r="AJ532" s="553"/>
    </row>
    <row r="533" spans="1:36" s="218" customFormat="1" ht="14.25" customHeight="1">
      <c r="A533" s="586" t="s">
        <v>2765</v>
      </c>
      <c r="B533" s="545" t="s">
        <v>190</v>
      </c>
      <c r="C533" s="386"/>
      <c r="D533" s="386"/>
      <c r="E533" s="392"/>
      <c r="F533" s="536">
        <v>42977</v>
      </c>
      <c r="G533" s="601"/>
      <c r="H533" s="752"/>
      <c r="I533" s="601"/>
      <c r="J533" s="601"/>
      <c r="K533" s="386"/>
      <c r="L533" s="392" t="str">
        <f t="shared" ref="L533:L536" si="101">TEXT(F533,"mmm-yy")</f>
        <v>Aug-17</v>
      </c>
      <c r="M533" s="392" t="str">
        <f t="shared" si="60"/>
        <v>Jan-00</v>
      </c>
      <c r="N533" s="397" t="s">
        <v>3158</v>
      </c>
      <c r="O533" s="418" t="s">
        <v>3056</v>
      </c>
      <c r="P533" s="538">
        <f>329*63.76+6000</f>
        <v>26977.040000000001</v>
      </c>
      <c r="Q533" s="538"/>
      <c r="R533" s="538">
        <f t="shared" ref="R533:R536" si="102">SUM(P533:Q533)</f>
        <v>26977.040000000001</v>
      </c>
      <c r="S533" s="495">
        <f t="shared" ref="S533:S536" si="103">R533*1.1</f>
        <v>29674.744000000002</v>
      </c>
      <c r="T533" s="539">
        <v>15876</v>
      </c>
      <c r="U533" s="539"/>
      <c r="V533" s="389">
        <f t="shared" ref="V533:V536" si="104">SUM(T533:U533)</f>
        <v>15876</v>
      </c>
      <c r="W533" s="388">
        <f t="shared" si="99"/>
        <v>11101.04</v>
      </c>
      <c r="X533" s="589">
        <f t="shared" si="100"/>
        <v>0.4114995566600339</v>
      </c>
      <c r="Y533" s="544"/>
      <c r="Z533" s="536"/>
      <c r="AA533" s="544"/>
      <c r="AB533" s="393" t="s">
        <v>2768</v>
      </c>
      <c r="AC533" s="392" t="s">
        <v>752</v>
      </c>
      <c r="AD533" s="691"/>
      <c r="AE533" s="692"/>
      <c r="AF533" s="691"/>
      <c r="AG533" s="693"/>
      <c r="AJ533" s="553"/>
    </row>
    <row r="534" spans="1:36" s="218" customFormat="1" ht="14.25" customHeight="1">
      <c r="A534" s="586" t="s">
        <v>2765</v>
      </c>
      <c r="B534" s="545" t="s">
        <v>190</v>
      </c>
      <c r="C534" s="386"/>
      <c r="D534" s="386"/>
      <c r="E534" s="392"/>
      <c r="F534" s="536">
        <v>42977</v>
      </c>
      <c r="G534" s="601"/>
      <c r="H534" s="752"/>
      <c r="I534" s="601"/>
      <c r="J534" s="601"/>
      <c r="K534" s="386"/>
      <c r="L534" s="392" t="str">
        <f t="shared" si="101"/>
        <v>Aug-17</v>
      </c>
      <c r="M534" s="392" t="str">
        <f t="shared" si="60"/>
        <v>Jan-00</v>
      </c>
      <c r="N534" s="397" t="s">
        <v>3134</v>
      </c>
      <c r="O534" s="418" t="s">
        <v>3116</v>
      </c>
      <c r="P534" s="538">
        <f>74.47*54+950+6000</f>
        <v>10971.380000000001</v>
      </c>
      <c r="Q534" s="538"/>
      <c r="R534" s="538">
        <f t="shared" si="102"/>
        <v>10971.380000000001</v>
      </c>
      <c r="S534" s="495">
        <f t="shared" si="103"/>
        <v>12068.518000000002</v>
      </c>
      <c r="T534" s="539"/>
      <c r="U534" s="539"/>
      <c r="V534" s="389">
        <f t="shared" si="104"/>
        <v>0</v>
      </c>
      <c r="W534" s="388">
        <f t="shared" si="99"/>
        <v>10971.380000000001</v>
      </c>
      <c r="X534" s="589">
        <f t="shared" si="100"/>
        <v>1</v>
      </c>
      <c r="Y534" s="544"/>
      <c r="Z534" s="536"/>
      <c r="AA534" s="544"/>
      <c r="AB534" s="393" t="s">
        <v>2768</v>
      </c>
      <c r="AC534" s="392" t="s">
        <v>752</v>
      </c>
      <c r="AD534" s="691"/>
      <c r="AE534" s="692"/>
      <c r="AF534" s="691"/>
      <c r="AG534" s="693"/>
      <c r="AJ534" s="553"/>
    </row>
    <row r="535" spans="1:36" s="218" customFormat="1" ht="14.25" customHeight="1">
      <c r="A535" s="586" t="s">
        <v>2765</v>
      </c>
      <c r="B535" s="545" t="s">
        <v>190</v>
      </c>
      <c r="C535" s="386"/>
      <c r="D535" s="386"/>
      <c r="E535" s="392"/>
      <c r="F535" s="536">
        <v>42977</v>
      </c>
      <c r="G535" s="601"/>
      <c r="H535" s="752"/>
      <c r="I535" s="601"/>
      <c r="J535" s="601"/>
      <c r="K535" s="386"/>
      <c r="L535" s="392" t="str">
        <f t="shared" si="101"/>
        <v>Aug-17</v>
      </c>
      <c r="M535" s="392" t="str">
        <f t="shared" si="60"/>
        <v>Jan-00</v>
      </c>
      <c r="N535" s="397" t="s">
        <v>3135</v>
      </c>
      <c r="O535" s="418" t="s">
        <v>3117</v>
      </c>
      <c r="P535" s="538">
        <f>91*63.76+6000</f>
        <v>11802.16</v>
      </c>
      <c r="Q535" s="538"/>
      <c r="R535" s="538">
        <f t="shared" si="102"/>
        <v>11802.16</v>
      </c>
      <c r="S535" s="495">
        <f t="shared" si="103"/>
        <v>12982.376</v>
      </c>
      <c r="T535" s="539"/>
      <c r="U535" s="539"/>
      <c r="V535" s="389">
        <f t="shared" si="104"/>
        <v>0</v>
      </c>
      <c r="W535" s="388">
        <f t="shared" si="99"/>
        <v>11802.16</v>
      </c>
      <c r="X535" s="589">
        <f t="shared" si="100"/>
        <v>1</v>
      </c>
      <c r="Y535" s="544"/>
      <c r="Z535" s="536"/>
      <c r="AA535" s="544"/>
      <c r="AB535" s="393" t="s">
        <v>2768</v>
      </c>
      <c r="AC535" s="392" t="s">
        <v>752</v>
      </c>
      <c r="AD535" s="691"/>
      <c r="AE535" s="692"/>
      <c r="AF535" s="691"/>
      <c r="AG535" s="693"/>
      <c r="AJ535" s="553"/>
    </row>
    <row r="536" spans="1:36" s="218" customFormat="1" ht="14.25" customHeight="1">
      <c r="A536" s="586" t="s">
        <v>2765</v>
      </c>
      <c r="B536" s="545" t="s">
        <v>190</v>
      </c>
      <c r="C536" s="386"/>
      <c r="D536" s="386"/>
      <c r="E536" s="392"/>
      <c r="F536" s="536">
        <v>42977</v>
      </c>
      <c r="G536" s="601"/>
      <c r="H536" s="752"/>
      <c r="I536" s="601"/>
      <c r="J536" s="601"/>
      <c r="K536" s="386"/>
      <c r="L536" s="392" t="str">
        <f t="shared" si="101"/>
        <v>Aug-17</v>
      </c>
      <c r="M536" s="392" t="str">
        <f t="shared" si="60"/>
        <v>Jan-00</v>
      </c>
      <c r="N536" s="397" t="s">
        <v>3136</v>
      </c>
      <c r="O536" s="418" t="s">
        <v>3118</v>
      </c>
      <c r="P536" s="538">
        <f>15*63.76+6000</f>
        <v>6956.4</v>
      </c>
      <c r="Q536" s="538"/>
      <c r="R536" s="538">
        <f t="shared" si="102"/>
        <v>6956.4</v>
      </c>
      <c r="S536" s="495">
        <f t="shared" si="103"/>
        <v>7652.04</v>
      </c>
      <c r="T536" s="539"/>
      <c r="U536" s="539"/>
      <c r="V536" s="389">
        <f t="shared" si="104"/>
        <v>0</v>
      </c>
      <c r="W536" s="388">
        <f t="shared" si="99"/>
        <v>6956.4</v>
      </c>
      <c r="X536" s="589">
        <f t="shared" si="100"/>
        <v>1</v>
      </c>
      <c r="Y536" s="544"/>
      <c r="Z536" s="536"/>
      <c r="AA536" s="544"/>
      <c r="AB536" s="393" t="s">
        <v>2768</v>
      </c>
      <c r="AC536" s="392" t="s">
        <v>752</v>
      </c>
      <c r="AD536" s="691"/>
      <c r="AE536" s="692"/>
      <c r="AF536" s="691"/>
      <c r="AG536" s="693"/>
      <c r="AJ536" s="553"/>
    </row>
    <row r="537" spans="1:36" s="218" customFormat="1" ht="14.25" customHeight="1">
      <c r="A537" s="586" t="s">
        <v>714</v>
      </c>
      <c r="B537" s="545" t="s">
        <v>190</v>
      </c>
      <c r="C537" s="386"/>
      <c r="D537" s="386"/>
      <c r="E537" s="392"/>
      <c r="F537" s="536">
        <v>43403</v>
      </c>
      <c r="G537" s="601"/>
      <c r="H537" s="752"/>
      <c r="I537" s="601"/>
      <c r="J537" s="601"/>
      <c r="K537" s="386"/>
      <c r="L537" s="392" t="str">
        <f t="shared" ref="L537" si="105">TEXT(F537,"mmm-yy")</f>
        <v>Oct-18</v>
      </c>
      <c r="M537" s="392" t="str">
        <f t="shared" si="60"/>
        <v>Jan-00</v>
      </c>
      <c r="N537" s="397" t="s">
        <v>3120</v>
      </c>
      <c r="O537" s="418" t="s">
        <v>2939</v>
      </c>
      <c r="P537" s="418">
        <v>3323.69</v>
      </c>
      <c r="Q537" s="418"/>
      <c r="R537" s="538">
        <f t="shared" ref="R537" si="106">SUM(P537:Q537)</f>
        <v>3323.69</v>
      </c>
      <c r="S537" s="495">
        <f t="shared" ref="S537" si="107">R537*1.1</f>
        <v>3656.0590000000002</v>
      </c>
      <c r="T537" s="539"/>
      <c r="U537" s="539"/>
      <c r="V537" s="389">
        <f t="shared" ref="V537" si="108">SUM(T537:U537)</f>
        <v>0</v>
      </c>
      <c r="W537" s="388">
        <f t="shared" ref="W537" si="109">R537-V537</f>
        <v>3323.69</v>
      </c>
      <c r="X537" s="589">
        <f t="shared" ref="X537" si="110">W537/R537</f>
        <v>1</v>
      </c>
      <c r="Y537" s="418"/>
      <c r="Z537" s="418"/>
      <c r="AA537" s="418"/>
      <c r="AB537" s="393" t="s">
        <v>201</v>
      </c>
      <c r="AC537" s="392" t="s">
        <v>752</v>
      </c>
      <c r="AD537" s="392">
        <v>43273</v>
      </c>
      <c r="AE537" s="418"/>
      <c r="AF537" s="392">
        <v>43371</v>
      </c>
      <c r="AG537" s="546">
        <f t="shared" ref="AG537:AG546" si="111">AF537-AD537</f>
        <v>98</v>
      </c>
      <c r="AH537" s="589"/>
      <c r="AI537" s="393"/>
      <c r="AJ537" s="553"/>
    </row>
    <row r="538" spans="1:36" s="218" customFormat="1" ht="14.25" customHeight="1">
      <c r="A538" s="586" t="s">
        <v>714</v>
      </c>
      <c r="B538" s="545" t="s">
        <v>179</v>
      </c>
      <c r="C538" s="386"/>
      <c r="D538" s="386"/>
      <c r="E538" s="392"/>
      <c r="F538" s="536">
        <v>43403</v>
      </c>
      <c r="G538" s="601"/>
      <c r="H538" s="752"/>
      <c r="I538" s="601"/>
      <c r="J538" s="601"/>
      <c r="K538" s="386"/>
      <c r="L538" s="392" t="str">
        <f t="shared" ref="L538:L540" si="112">TEXT(F538,"mmm-yy")</f>
        <v>Oct-18</v>
      </c>
      <c r="M538" s="392" t="str">
        <f t="shared" si="60"/>
        <v>Jan-00</v>
      </c>
      <c r="N538" s="397" t="s">
        <v>3128</v>
      </c>
      <c r="O538" s="418" t="s">
        <v>736</v>
      </c>
      <c r="P538" s="538">
        <v>4185.8999999999996</v>
      </c>
      <c r="Q538" s="538"/>
      <c r="R538" s="538">
        <f t="shared" ref="R538" si="113">SUM(P538:Q538)</f>
        <v>4185.8999999999996</v>
      </c>
      <c r="S538" s="495">
        <f t="shared" ref="S538" si="114">R538*1.1</f>
        <v>4604.49</v>
      </c>
      <c r="T538" s="539"/>
      <c r="U538" s="539"/>
      <c r="V538" s="389">
        <f t="shared" ref="V538" si="115">SUM(T538:U538)</f>
        <v>0</v>
      </c>
      <c r="W538" s="388">
        <f t="shared" ref="W538" si="116">R538-V538</f>
        <v>4185.8999999999996</v>
      </c>
      <c r="X538" s="589">
        <f t="shared" ref="X538" si="117">W538/R538</f>
        <v>1</v>
      </c>
      <c r="Y538" s="418"/>
      <c r="Z538" s="418"/>
      <c r="AA538" s="418"/>
      <c r="AB538" s="393" t="s">
        <v>201</v>
      </c>
      <c r="AC538" s="392" t="s">
        <v>752</v>
      </c>
      <c r="AD538" s="392">
        <v>43276</v>
      </c>
      <c r="AE538" s="550"/>
      <c r="AF538" s="392">
        <v>43362</v>
      </c>
      <c r="AG538" s="546">
        <f t="shared" si="111"/>
        <v>86</v>
      </c>
      <c r="AJ538" s="553"/>
    </row>
    <row r="539" spans="1:36" s="218" customFormat="1" ht="14.25" customHeight="1">
      <c r="A539" s="586" t="s">
        <v>714</v>
      </c>
      <c r="B539" s="545" t="s">
        <v>190</v>
      </c>
      <c r="C539" s="386"/>
      <c r="D539" s="386"/>
      <c r="E539" s="392"/>
      <c r="F539" s="536">
        <v>43434</v>
      </c>
      <c r="G539" s="601"/>
      <c r="H539" s="752"/>
      <c r="I539" s="601"/>
      <c r="J539" s="601"/>
      <c r="K539" s="386"/>
      <c r="L539" s="392" t="str">
        <f t="shared" si="112"/>
        <v>Nov-18</v>
      </c>
      <c r="M539" s="392" t="str">
        <f t="shared" si="60"/>
        <v>Jan-00</v>
      </c>
      <c r="N539" s="397" t="s">
        <v>3129</v>
      </c>
      <c r="O539" s="418" t="s">
        <v>3097</v>
      </c>
      <c r="P539" s="538">
        <v>1592.08</v>
      </c>
      <c r="Q539" s="538"/>
      <c r="R539" s="538">
        <f t="shared" ref="R539" si="118">SUM(P539:Q539)</f>
        <v>1592.08</v>
      </c>
      <c r="S539" s="495">
        <f t="shared" ref="S539" si="119">R539*1.1</f>
        <v>1751.288</v>
      </c>
      <c r="T539" s="539"/>
      <c r="U539" s="539"/>
      <c r="V539" s="389">
        <f t="shared" ref="V539" si="120">SUM(T539:U539)</f>
        <v>0</v>
      </c>
      <c r="W539" s="388">
        <f t="shared" ref="W539" si="121">R539-V539</f>
        <v>1592.08</v>
      </c>
      <c r="X539" s="589">
        <f t="shared" ref="X539" si="122">W539/R539</f>
        <v>1</v>
      </c>
      <c r="Y539" s="418"/>
      <c r="Z539" s="418"/>
      <c r="AA539" s="418"/>
      <c r="AB539" s="393" t="s">
        <v>201</v>
      </c>
      <c r="AC539" s="392" t="s">
        <v>752</v>
      </c>
      <c r="AD539" s="392">
        <v>43276</v>
      </c>
      <c r="AE539" s="550"/>
      <c r="AF539" s="392">
        <v>43403</v>
      </c>
      <c r="AG539" s="546">
        <f t="shared" si="111"/>
        <v>127</v>
      </c>
      <c r="AJ539" s="553"/>
    </row>
    <row r="540" spans="1:36" s="218" customFormat="1" ht="14.25" customHeight="1">
      <c r="A540" s="545" t="s">
        <v>715</v>
      </c>
      <c r="B540" s="545" t="s">
        <v>179</v>
      </c>
      <c r="C540" s="386"/>
      <c r="D540" s="386"/>
      <c r="E540" s="392"/>
      <c r="F540" s="536">
        <v>43311</v>
      </c>
      <c r="G540" s="601"/>
      <c r="H540" s="752"/>
      <c r="I540" s="601"/>
      <c r="J540" s="601"/>
      <c r="K540" s="386"/>
      <c r="L540" s="392" t="str">
        <f t="shared" si="112"/>
        <v>Jul-18</v>
      </c>
      <c r="M540" s="392" t="str">
        <f t="shared" si="60"/>
        <v>Jan-00</v>
      </c>
      <c r="N540" s="397" t="s">
        <v>2975</v>
      </c>
      <c r="O540" s="418" t="s">
        <v>1756</v>
      </c>
      <c r="P540" s="538">
        <v>6603.41</v>
      </c>
      <c r="Q540" s="538"/>
      <c r="R540" s="538">
        <f t="shared" ref="R540" si="123">SUM(P540:Q540)</f>
        <v>6603.41</v>
      </c>
      <c r="S540" s="495">
        <f t="shared" ref="S540" si="124">R540*1.1</f>
        <v>7263.7510000000002</v>
      </c>
      <c r="T540" s="539"/>
      <c r="U540" s="539"/>
      <c r="V540" s="389">
        <f t="shared" ref="V540" si="125">SUM(T540:U540)</f>
        <v>0</v>
      </c>
      <c r="W540" s="388">
        <f t="shared" ref="W540" si="126">R540-V540</f>
        <v>6603.41</v>
      </c>
      <c r="X540" s="589">
        <f t="shared" ref="X540" si="127">W540/R540</f>
        <v>1</v>
      </c>
      <c r="Y540" s="544"/>
      <c r="Z540" s="536"/>
      <c r="AA540" s="544"/>
      <c r="AB540" s="393" t="s">
        <v>517</v>
      </c>
      <c r="AC540" s="392">
        <v>43255</v>
      </c>
      <c r="AD540" s="392">
        <v>43270</v>
      </c>
      <c r="AE540" s="689">
        <f t="shared" ref="AE540" si="128">AD540-AC540</f>
        <v>15</v>
      </c>
      <c r="AF540" s="392">
        <v>43280</v>
      </c>
      <c r="AG540" s="546">
        <f t="shared" si="111"/>
        <v>10</v>
      </c>
      <c r="AJ540" s="553"/>
    </row>
    <row r="541" spans="1:36" s="218" customFormat="1" ht="14.25" customHeight="1">
      <c r="A541" s="586" t="s">
        <v>714</v>
      </c>
      <c r="B541" s="545" t="s">
        <v>190</v>
      </c>
      <c r="C541" s="386"/>
      <c r="D541" s="386"/>
      <c r="E541" s="392">
        <v>43287</v>
      </c>
      <c r="F541" s="536">
        <v>43287</v>
      </c>
      <c r="G541" s="601"/>
      <c r="H541" s="752"/>
      <c r="I541" s="601">
        <f>F541+14</f>
        <v>43301</v>
      </c>
      <c r="J541" s="601">
        <f>I541+14</f>
        <v>43315</v>
      </c>
      <c r="K541" s="386"/>
      <c r="L541" s="392" t="str">
        <f t="shared" ref="L541" si="129">TEXT(F541,"mmm-yy")</f>
        <v>Jul-18</v>
      </c>
      <c r="M541" s="392" t="str">
        <f t="shared" si="60"/>
        <v>Aug-18</v>
      </c>
      <c r="N541" s="397" t="s">
        <v>3131</v>
      </c>
      <c r="O541" s="418" t="s">
        <v>1097</v>
      </c>
      <c r="P541" s="538">
        <v>1791.95</v>
      </c>
      <c r="Q541" s="538">
        <v>1609.79</v>
      </c>
      <c r="R541" s="538">
        <f t="shared" ref="R541" si="130">SUM(P541:Q541)</f>
        <v>3401.74</v>
      </c>
      <c r="S541" s="495">
        <f t="shared" ref="S541" si="131">R541*1.1</f>
        <v>3741.9140000000002</v>
      </c>
      <c r="T541" s="539"/>
      <c r="U541" s="539"/>
      <c r="V541" s="389">
        <f t="shared" ref="V541" si="132">SUM(T541:U541)</f>
        <v>0</v>
      </c>
      <c r="W541" s="388">
        <f t="shared" ref="W541" si="133">R541-V541</f>
        <v>3401.74</v>
      </c>
      <c r="X541" s="589">
        <f t="shared" ref="X541" si="134">W541/R541</f>
        <v>1</v>
      </c>
      <c r="Y541" s="544"/>
      <c r="Z541" s="536"/>
      <c r="AA541" s="544"/>
      <c r="AB541" s="393" t="s">
        <v>201</v>
      </c>
      <c r="AC541" s="392" t="s">
        <v>752</v>
      </c>
      <c r="AD541" s="392">
        <v>43277</v>
      </c>
      <c r="AE541" s="550"/>
      <c r="AF541" s="392">
        <v>43371</v>
      </c>
      <c r="AG541" s="546">
        <f t="shared" si="111"/>
        <v>94</v>
      </c>
      <c r="AJ541" s="553"/>
    </row>
    <row r="542" spans="1:36" s="218" customFormat="1" ht="14.25" customHeight="1">
      <c r="A542" s="545" t="s">
        <v>715</v>
      </c>
      <c r="B542" s="545" t="s">
        <v>722</v>
      </c>
      <c r="C542" s="386"/>
      <c r="D542" s="386"/>
      <c r="E542" s="392">
        <v>43284</v>
      </c>
      <c r="F542" s="536">
        <v>43286</v>
      </c>
      <c r="G542" s="756"/>
      <c r="H542" s="757"/>
      <c r="I542" s="601">
        <f>F542+14</f>
        <v>43300</v>
      </c>
      <c r="J542" s="601">
        <f>I542+14</f>
        <v>43314</v>
      </c>
      <c r="K542" s="386"/>
      <c r="L542" s="392" t="str">
        <f t="shared" ref="L542:L543" si="135">TEXT(F542,"mmm-yy")</f>
        <v>Jul-18</v>
      </c>
      <c r="M542" s="392" t="str">
        <f t="shared" si="60"/>
        <v>Aug-18</v>
      </c>
      <c r="N542" s="397" t="s">
        <v>3149</v>
      </c>
      <c r="O542" s="418" t="s">
        <v>772</v>
      </c>
      <c r="P542" s="538">
        <v>2852.73</v>
      </c>
      <c r="Q542" s="776"/>
      <c r="R542" s="538">
        <f t="shared" ref="R542" si="136">SUM(P542:Q542)</f>
        <v>2852.73</v>
      </c>
      <c r="S542" s="495">
        <f t="shared" ref="S542" si="137">R542*1.1</f>
        <v>3138.0030000000002</v>
      </c>
      <c r="T542" s="539"/>
      <c r="U542" s="539"/>
      <c r="V542" s="389">
        <f t="shared" ref="V542" si="138">SUM(T542:U542)</f>
        <v>0</v>
      </c>
      <c r="W542" s="388">
        <f t="shared" ref="W542" si="139">R542-V542</f>
        <v>2852.73</v>
      </c>
      <c r="X542" s="589">
        <f t="shared" ref="X542" si="140">W542/R542</f>
        <v>1</v>
      </c>
      <c r="Y542" s="544"/>
      <c r="Z542" s="536"/>
      <c r="AA542" s="544"/>
      <c r="AB542" s="393" t="s">
        <v>201</v>
      </c>
      <c r="AC542" s="392">
        <v>43277</v>
      </c>
      <c r="AD542" s="392">
        <v>43285</v>
      </c>
      <c r="AE542" s="689">
        <f t="shared" ref="AE542" si="141">AD542-AC542</f>
        <v>8</v>
      </c>
      <c r="AF542" s="392">
        <v>43355</v>
      </c>
      <c r="AG542" s="546">
        <f t="shared" si="111"/>
        <v>70</v>
      </c>
      <c r="AJ542" s="553"/>
    </row>
    <row r="543" spans="1:36" s="218" customFormat="1" ht="14.25" customHeight="1">
      <c r="A543" s="586" t="s">
        <v>714</v>
      </c>
      <c r="B543" s="545" t="s">
        <v>541</v>
      </c>
      <c r="C543" s="386"/>
      <c r="D543" s="386"/>
      <c r="E543" s="392"/>
      <c r="F543" s="536">
        <v>43403</v>
      </c>
      <c r="G543" s="601"/>
      <c r="H543" s="752"/>
      <c r="I543" s="601"/>
      <c r="J543" s="601"/>
      <c r="K543" s="386"/>
      <c r="L543" s="392" t="str">
        <f t="shared" si="135"/>
        <v>Oct-18</v>
      </c>
      <c r="M543" s="392" t="str">
        <f t="shared" si="60"/>
        <v>Jan-00</v>
      </c>
      <c r="N543" s="397" t="s">
        <v>3162</v>
      </c>
      <c r="O543" s="418" t="s">
        <v>2161</v>
      </c>
      <c r="P543" s="538">
        <v>8900.2199999999993</v>
      </c>
      <c r="Q543" s="538"/>
      <c r="R543" s="538">
        <f t="shared" ref="R543" si="142">SUM(P543:Q543)</f>
        <v>8900.2199999999993</v>
      </c>
      <c r="S543" s="495">
        <f t="shared" ref="S543" si="143">R543*1.1</f>
        <v>9790.2420000000002</v>
      </c>
      <c r="T543" s="539"/>
      <c r="U543" s="539"/>
      <c r="V543" s="389">
        <f t="shared" ref="V543" si="144">SUM(T543:U543)</f>
        <v>0</v>
      </c>
      <c r="W543" s="388">
        <f t="shared" ref="W543" si="145">R543-V543</f>
        <v>8900.2199999999993</v>
      </c>
      <c r="X543" s="589">
        <f t="shared" ref="X543" si="146">W543/R543</f>
        <v>1</v>
      </c>
      <c r="Y543" s="544"/>
      <c r="Z543" s="536"/>
      <c r="AA543" s="544"/>
      <c r="AB543" s="393" t="s">
        <v>201</v>
      </c>
      <c r="AC543" s="392" t="s">
        <v>752</v>
      </c>
      <c r="AD543" s="392">
        <v>43279</v>
      </c>
      <c r="AE543" s="550"/>
      <c r="AF543" s="392">
        <v>43371</v>
      </c>
      <c r="AG543" s="546">
        <f t="shared" si="111"/>
        <v>92</v>
      </c>
      <c r="AJ543" s="553"/>
    </row>
    <row r="544" spans="1:36" s="218" customFormat="1" ht="14.25" customHeight="1">
      <c r="A544" s="586" t="s">
        <v>714</v>
      </c>
      <c r="B544" s="545" t="s">
        <v>190</v>
      </c>
      <c r="C544" s="386"/>
      <c r="D544" s="386"/>
      <c r="E544" s="392">
        <v>43287</v>
      </c>
      <c r="F544" s="842">
        <v>43287</v>
      </c>
      <c r="G544" s="601">
        <v>43291</v>
      </c>
      <c r="H544" s="752"/>
      <c r="I544" s="601">
        <f>F544+14</f>
        <v>43301</v>
      </c>
      <c r="J544" s="601">
        <f>F544+14</f>
        <v>43301</v>
      </c>
      <c r="K544" s="386"/>
      <c r="L544" s="392" t="str">
        <f t="shared" ref="L544:L545" si="147">TEXT(F544,"mmm-yy")</f>
        <v>Jul-18</v>
      </c>
      <c r="M544" s="392" t="str">
        <f t="shared" ref="M544" si="148">TEXT(J544,"mmm-yy")</f>
        <v>Jul-18</v>
      </c>
      <c r="N544" s="397" t="s">
        <v>3183</v>
      </c>
      <c r="O544" s="418" t="s">
        <v>1097</v>
      </c>
      <c r="P544" s="538">
        <v>3154.72</v>
      </c>
      <c r="Q544" s="538">
        <v>4773.34</v>
      </c>
      <c r="R544" s="538">
        <f t="shared" ref="R544:R545" si="149">SUM(P544:Q544)</f>
        <v>7928.0599999999995</v>
      </c>
      <c r="S544" s="495">
        <f t="shared" ref="S544:S545" si="150">R544*1.1</f>
        <v>8720.866</v>
      </c>
      <c r="T544" s="539"/>
      <c r="U544" s="539"/>
      <c r="V544" s="389">
        <f t="shared" ref="V544" si="151">SUM(T544:U544)</f>
        <v>0</v>
      </c>
      <c r="W544" s="388">
        <f t="shared" ref="W544:W545" si="152">R544-V544</f>
        <v>7928.0599999999995</v>
      </c>
      <c r="X544" s="589">
        <f t="shared" ref="X544:X545" si="153">W544/R544</f>
        <v>1</v>
      </c>
      <c r="Y544" s="544"/>
      <c r="Z544" s="536"/>
      <c r="AA544" s="544"/>
      <c r="AB544" s="393" t="s">
        <v>201</v>
      </c>
      <c r="AC544" s="392" t="s">
        <v>752</v>
      </c>
      <c r="AD544" s="392">
        <v>43279</v>
      </c>
      <c r="AE544" s="550"/>
      <c r="AF544" s="392">
        <v>43371</v>
      </c>
      <c r="AG544" s="546">
        <f t="shared" si="111"/>
        <v>92</v>
      </c>
      <c r="AJ544" s="553"/>
    </row>
    <row r="545" spans="1:36" s="218" customFormat="1" ht="14.25" customHeight="1">
      <c r="A545" s="586" t="s">
        <v>714</v>
      </c>
      <c r="B545" s="545" t="s">
        <v>190</v>
      </c>
      <c r="C545" s="386" t="s">
        <v>3098</v>
      </c>
      <c r="D545" s="386">
        <v>43265</v>
      </c>
      <c r="E545" s="691"/>
      <c r="F545" s="536">
        <v>43342</v>
      </c>
      <c r="G545" s="756"/>
      <c r="H545" s="757"/>
      <c r="I545" s="756"/>
      <c r="J545" s="601">
        <v>43265</v>
      </c>
      <c r="K545" s="386"/>
      <c r="L545" s="392" t="str">
        <f t="shared" si="147"/>
        <v>Aug-18</v>
      </c>
      <c r="M545" s="392" t="str">
        <f>TEXT(J545,"mmm-yy")</f>
        <v>Jun-18</v>
      </c>
      <c r="N545" s="833" t="s">
        <v>3207</v>
      </c>
      <c r="O545" s="418" t="s">
        <v>1760</v>
      </c>
      <c r="P545" s="834">
        <v>10941.9</v>
      </c>
      <c r="Q545" s="538"/>
      <c r="R545" s="538">
        <f t="shared" si="149"/>
        <v>10941.9</v>
      </c>
      <c r="S545" s="495">
        <f t="shared" si="150"/>
        <v>12036.09</v>
      </c>
      <c r="T545" s="539"/>
      <c r="U545" s="539"/>
      <c r="V545" s="389">
        <f t="shared" ref="V545" si="154">SUM(T545:U545)</f>
        <v>0</v>
      </c>
      <c r="W545" s="388">
        <f t="shared" si="152"/>
        <v>10941.9</v>
      </c>
      <c r="X545" s="589">
        <f t="shared" si="153"/>
        <v>1</v>
      </c>
      <c r="Y545" s="544"/>
      <c r="Z545" s="536"/>
      <c r="AA545" s="544"/>
      <c r="AB545" s="393" t="s">
        <v>220</v>
      </c>
      <c r="AC545" s="392" t="s">
        <v>752</v>
      </c>
      <c r="AD545" s="392">
        <v>43259</v>
      </c>
      <c r="AE545" s="550"/>
      <c r="AF545" s="392">
        <v>43343</v>
      </c>
      <c r="AG545" s="546">
        <f t="shared" si="111"/>
        <v>84</v>
      </c>
      <c r="AJ545" s="553"/>
    </row>
    <row r="546" spans="1:36" s="218" customFormat="1" ht="14.25" customHeight="1">
      <c r="A546" s="586" t="s">
        <v>714</v>
      </c>
      <c r="B546" s="545" t="s">
        <v>190</v>
      </c>
      <c r="C546" s="386"/>
      <c r="D546" s="386"/>
      <c r="E546" s="392"/>
      <c r="F546" s="536">
        <v>43403</v>
      </c>
      <c r="G546" s="601"/>
      <c r="H546" s="752"/>
      <c r="I546" s="601"/>
      <c r="J546" s="601"/>
      <c r="K546" s="386"/>
      <c r="L546" s="392" t="str">
        <f t="shared" ref="L546:L548" si="155">TEXT(F546,"mmm-yy")</f>
        <v>Oct-18</v>
      </c>
      <c r="M546" s="392" t="str">
        <f t="shared" ref="M546:M548" si="156">TEXT(J546,"mmm-yy")</f>
        <v>Jan-00</v>
      </c>
      <c r="N546" s="397" t="s">
        <v>3232</v>
      </c>
      <c r="O546" s="418" t="s">
        <v>3233</v>
      </c>
      <c r="P546" s="538">
        <v>1998.95</v>
      </c>
      <c r="Q546" s="538"/>
      <c r="R546" s="538">
        <f t="shared" ref="R546:R548" si="157">SUM(P546:Q546)</f>
        <v>1998.95</v>
      </c>
      <c r="S546" s="495">
        <f t="shared" ref="S546:S548" si="158">R546*1.1</f>
        <v>2198.8450000000003</v>
      </c>
      <c r="T546" s="539"/>
      <c r="U546" s="539"/>
      <c r="V546" s="389">
        <f t="shared" ref="V546" si="159">SUM(T546:U546)</f>
        <v>0</v>
      </c>
      <c r="W546" s="388">
        <f t="shared" ref="W546" si="160">R546-V546</f>
        <v>1998.95</v>
      </c>
      <c r="X546" s="589">
        <f t="shared" ref="X546" si="161">W546/R546</f>
        <v>1</v>
      </c>
      <c r="Y546" s="544"/>
      <c r="Z546" s="536"/>
      <c r="AA546" s="544"/>
      <c r="AB546" s="393" t="s">
        <v>201</v>
      </c>
      <c r="AC546" s="392" t="s">
        <v>752</v>
      </c>
      <c r="AD546" s="392">
        <v>43280</v>
      </c>
      <c r="AE546" s="550"/>
      <c r="AF546" s="392">
        <v>43371</v>
      </c>
      <c r="AG546" s="546">
        <f t="shared" si="111"/>
        <v>91</v>
      </c>
      <c r="AJ546" s="553"/>
    </row>
    <row r="547" spans="1:36" s="218" customFormat="1" ht="14.25" customHeight="1">
      <c r="A547" s="586" t="s">
        <v>714</v>
      </c>
      <c r="B547" s="545" t="s">
        <v>190</v>
      </c>
      <c r="C547" s="386"/>
      <c r="D547" s="386"/>
      <c r="E547" s="392"/>
      <c r="F547" s="536">
        <v>43403</v>
      </c>
      <c r="G547" s="601"/>
      <c r="H547" s="752"/>
      <c r="I547" s="601"/>
      <c r="J547" s="601"/>
      <c r="K547" s="386"/>
      <c r="L547" s="392" t="str">
        <f t="shared" si="155"/>
        <v>Oct-18</v>
      </c>
      <c r="M547" s="392" t="str">
        <f t="shared" si="156"/>
        <v>Jan-00</v>
      </c>
      <c r="N547" s="397" t="s">
        <v>3234</v>
      </c>
      <c r="O547" s="418" t="s">
        <v>810</v>
      </c>
      <c r="P547" s="538">
        <v>6228.33</v>
      </c>
      <c r="Q547" s="538"/>
      <c r="R547" s="538">
        <f t="shared" si="157"/>
        <v>6228.33</v>
      </c>
      <c r="S547" s="495">
        <f t="shared" si="158"/>
        <v>6851.1630000000005</v>
      </c>
      <c r="T547" s="539"/>
      <c r="U547" s="539"/>
      <c r="V547" s="389">
        <f t="shared" ref="V547" si="162">SUM(T547:U547)</f>
        <v>0</v>
      </c>
      <c r="W547" s="388">
        <f t="shared" ref="W547" si="163">R547-V547</f>
        <v>6228.33</v>
      </c>
      <c r="X547" s="589">
        <f t="shared" ref="X547" si="164">W547/R547</f>
        <v>1</v>
      </c>
      <c r="Y547" s="544"/>
      <c r="Z547" s="536"/>
      <c r="AA547" s="544"/>
      <c r="AB547" s="393" t="s">
        <v>201</v>
      </c>
      <c r="AC547" s="392" t="s">
        <v>752</v>
      </c>
      <c r="AD547" s="392">
        <v>43280</v>
      </c>
      <c r="AE547" s="550"/>
      <c r="AF547" s="392">
        <v>43371</v>
      </c>
      <c r="AG547" s="546">
        <f t="shared" ref="AG547:AG548" si="165">AF547-AD547</f>
        <v>91</v>
      </c>
      <c r="AJ547" s="553"/>
    </row>
    <row r="548" spans="1:36" s="218" customFormat="1" ht="14.25" customHeight="1">
      <c r="A548" s="545" t="s">
        <v>715</v>
      </c>
      <c r="B548" s="545" t="s">
        <v>722</v>
      </c>
      <c r="C548" s="386"/>
      <c r="D548" s="386"/>
      <c r="E548" s="392">
        <v>43286</v>
      </c>
      <c r="F548" s="536">
        <v>43286</v>
      </c>
      <c r="G548" s="601">
        <v>43291</v>
      </c>
      <c r="H548" s="752"/>
      <c r="I548" s="601">
        <f>F548+14</f>
        <v>43300</v>
      </c>
      <c r="J548" s="601">
        <f>I548+14</f>
        <v>43314</v>
      </c>
      <c r="K548" s="386"/>
      <c r="L548" s="392" t="str">
        <f t="shared" si="155"/>
        <v>Jul-18</v>
      </c>
      <c r="M548" s="392" t="str">
        <f t="shared" si="156"/>
        <v>Aug-18</v>
      </c>
      <c r="N548" s="397" t="s">
        <v>3239</v>
      </c>
      <c r="O548" s="418" t="s">
        <v>3240</v>
      </c>
      <c r="P548" s="538">
        <v>9249</v>
      </c>
      <c r="Q548" s="538">
        <v>5339.41</v>
      </c>
      <c r="R548" s="538">
        <f t="shared" si="157"/>
        <v>14588.41</v>
      </c>
      <c r="S548" s="495">
        <f t="shared" si="158"/>
        <v>16047.251000000002</v>
      </c>
      <c r="T548" s="539"/>
      <c r="U548" s="539"/>
      <c r="V548" s="389">
        <f t="shared" ref="V548" si="166">SUM(T548:U548)</f>
        <v>0</v>
      </c>
      <c r="W548" s="388">
        <f t="shared" ref="W548:W564" si="167">R548-V548</f>
        <v>14588.41</v>
      </c>
      <c r="X548" s="589">
        <f t="shared" ref="X548:X564" si="168">W548/R548</f>
        <v>1</v>
      </c>
      <c r="Y548" s="544"/>
      <c r="Z548" s="536"/>
      <c r="AA548" s="544"/>
      <c r="AB548" s="393" t="s">
        <v>517</v>
      </c>
      <c r="AC548" s="392">
        <v>43251</v>
      </c>
      <c r="AD548" s="392">
        <v>43264</v>
      </c>
      <c r="AE548" s="689">
        <f t="shared" ref="AE548" si="169">AD548-AC548</f>
        <v>13</v>
      </c>
      <c r="AF548" s="392">
        <v>43280</v>
      </c>
      <c r="AG548" s="546">
        <f t="shared" si="165"/>
        <v>16</v>
      </c>
      <c r="AJ548" s="553"/>
    </row>
    <row r="549" spans="1:36" s="218" customFormat="1" ht="14.25" customHeight="1">
      <c r="A549" s="586" t="s">
        <v>2331</v>
      </c>
      <c r="B549" s="545" t="s">
        <v>540</v>
      </c>
      <c r="C549" s="386" t="s">
        <v>3263</v>
      </c>
      <c r="D549" s="386"/>
      <c r="E549" s="536">
        <v>43284</v>
      </c>
      <c r="F549" s="536">
        <v>43284</v>
      </c>
      <c r="G549" s="756"/>
      <c r="H549" s="757"/>
      <c r="I549" s="601">
        <f>F549+14</f>
        <v>43298</v>
      </c>
      <c r="J549" s="601">
        <f>I549+14</f>
        <v>43312</v>
      </c>
      <c r="K549" s="386"/>
      <c r="L549" s="392" t="str">
        <f t="shared" ref="L549:L564" si="170">TEXT(F549,"mmm-yy")</f>
        <v>Jul-18</v>
      </c>
      <c r="M549" s="392" t="str">
        <f t="shared" ref="M549:M564" si="171">TEXT(J549,"mmm-yy")</f>
        <v>Jul-18</v>
      </c>
      <c r="N549" s="397" t="s">
        <v>3229</v>
      </c>
      <c r="O549" s="418" t="s">
        <v>2643</v>
      </c>
      <c r="P549" s="538">
        <v>2434.66</v>
      </c>
      <c r="Q549" s="756"/>
      <c r="R549" s="538">
        <f t="shared" ref="R549:R567" si="172">SUM(P549:Q549)</f>
        <v>2434.66</v>
      </c>
      <c r="S549" s="495">
        <f t="shared" ref="S549:S567" si="173">R549*1.1</f>
        <v>2678.1260000000002</v>
      </c>
      <c r="T549" s="539"/>
      <c r="U549" s="539"/>
      <c r="V549" s="389">
        <f t="shared" ref="V549:V564" si="174">SUM(T549:U549)</f>
        <v>0</v>
      </c>
      <c r="W549" s="388">
        <f t="shared" si="167"/>
        <v>2434.66</v>
      </c>
      <c r="X549" s="589">
        <f t="shared" si="168"/>
        <v>1</v>
      </c>
      <c r="Y549" s="544"/>
      <c r="Z549" s="536">
        <f t="shared" ref="Z549:Z564" si="175">F549+14</f>
        <v>43298</v>
      </c>
      <c r="AA549" s="544"/>
      <c r="AB549" s="393" t="s">
        <v>2209</v>
      </c>
      <c r="AC549" s="691"/>
      <c r="AD549" s="691"/>
      <c r="AE549" s="692"/>
      <c r="AF549" s="691"/>
      <c r="AG549" s="693"/>
      <c r="AJ549" s="553"/>
    </row>
    <row r="550" spans="1:36" s="218" customFormat="1" ht="14.25" customHeight="1">
      <c r="A550" s="586" t="s">
        <v>2331</v>
      </c>
      <c r="B550" s="545" t="s">
        <v>540</v>
      </c>
      <c r="C550" s="386" t="s">
        <v>3249</v>
      </c>
      <c r="D550" s="386"/>
      <c r="E550" s="536">
        <v>43284</v>
      </c>
      <c r="F550" s="536">
        <v>43284</v>
      </c>
      <c r="G550" s="756"/>
      <c r="H550" s="757"/>
      <c r="I550" s="601">
        <f t="shared" ref="I550:I564" si="176">F550+14</f>
        <v>43298</v>
      </c>
      <c r="J550" s="601">
        <f t="shared" ref="J550:J565" si="177">I550+14</f>
        <v>43312</v>
      </c>
      <c r="K550" s="386"/>
      <c r="L550" s="392" t="str">
        <f t="shared" si="170"/>
        <v>Jul-18</v>
      </c>
      <c r="M550" s="392" t="str">
        <f t="shared" si="171"/>
        <v>Jul-18</v>
      </c>
      <c r="N550" s="397" t="s">
        <v>3296</v>
      </c>
      <c r="O550" s="418" t="s">
        <v>2410</v>
      </c>
      <c r="P550" s="538">
        <v>1537.6799999999998</v>
      </c>
      <c r="Q550" s="756"/>
      <c r="R550" s="538">
        <f t="shared" si="172"/>
        <v>1537.6799999999998</v>
      </c>
      <c r="S550" s="495">
        <f t="shared" si="173"/>
        <v>1691.4479999999999</v>
      </c>
      <c r="T550" s="539"/>
      <c r="U550" s="539"/>
      <c r="V550" s="389">
        <f t="shared" si="174"/>
        <v>0</v>
      </c>
      <c r="W550" s="388">
        <f t="shared" si="167"/>
        <v>1537.6799999999998</v>
      </c>
      <c r="X550" s="589">
        <f t="shared" si="168"/>
        <v>1</v>
      </c>
      <c r="Y550" s="544"/>
      <c r="Z550" s="536">
        <f t="shared" si="175"/>
        <v>43298</v>
      </c>
      <c r="AA550" s="544"/>
      <c r="AB550" s="393" t="s">
        <v>2209</v>
      </c>
      <c r="AC550" s="691"/>
      <c r="AD550" s="691"/>
      <c r="AE550" s="692"/>
      <c r="AF550" s="691"/>
      <c r="AG550" s="693"/>
      <c r="AJ550" s="553"/>
    </row>
    <row r="551" spans="1:36" s="218" customFormat="1" ht="14.25" customHeight="1">
      <c r="A551" s="586" t="s">
        <v>2330</v>
      </c>
      <c r="B551" s="545" t="s">
        <v>540</v>
      </c>
      <c r="C551" s="386" t="s">
        <v>3252</v>
      </c>
      <c r="D551" s="386"/>
      <c r="E551" s="536">
        <v>43284</v>
      </c>
      <c r="F551" s="536">
        <v>43284</v>
      </c>
      <c r="G551" s="756"/>
      <c r="H551" s="757"/>
      <c r="I551" s="601">
        <f t="shared" si="176"/>
        <v>43298</v>
      </c>
      <c r="J551" s="601">
        <f t="shared" si="177"/>
        <v>43312</v>
      </c>
      <c r="K551" s="386"/>
      <c r="L551" s="392" t="str">
        <f t="shared" si="170"/>
        <v>Jul-18</v>
      </c>
      <c r="M551" s="392" t="str">
        <f t="shared" si="171"/>
        <v>Jul-18</v>
      </c>
      <c r="N551" s="397" t="s">
        <v>3231</v>
      </c>
      <c r="O551" s="418" t="s">
        <v>2344</v>
      </c>
      <c r="P551" s="538">
        <v>1819.54</v>
      </c>
      <c r="Q551" s="756"/>
      <c r="R551" s="538">
        <f t="shared" si="172"/>
        <v>1819.54</v>
      </c>
      <c r="S551" s="495">
        <f t="shared" si="173"/>
        <v>2001.4940000000001</v>
      </c>
      <c r="T551" s="539"/>
      <c r="U551" s="539"/>
      <c r="V551" s="389">
        <f t="shared" si="174"/>
        <v>0</v>
      </c>
      <c r="W551" s="388">
        <f t="shared" si="167"/>
        <v>1819.54</v>
      </c>
      <c r="X551" s="589">
        <f t="shared" si="168"/>
        <v>1</v>
      </c>
      <c r="Y551" s="544"/>
      <c r="Z551" s="536">
        <f t="shared" si="175"/>
        <v>43298</v>
      </c>
      <c r="AA551" s="544"/>
      <c r="AB551" s="393" t="s">
        <v>2209</v>
      </c>
      <c r="AC551" s="691"/>
      <c r="AD551" s="691"/>
      <c r="AE551" s="692"/>
      <c r="AF551" s="691"/>
      <c r="AG551" s="693"/>
      <c r="AJ551" s="553"/>
    </row>
    <row r="552" spans="1:36" s="218" customFormat="1" ht="14.25" customHeight="1">
      <c r="A552" s="586" t="s">
        <v>2330</v>
      </c>
      <c r="B552" s="545" t="s">
        <v>540</v>
      </c>
      <c r="C552" s="386" t="s">
        <v>3256</v>
      </c>
      <c r="D552" s="386"/>
      <c r="E552" s="536">
        <v>43284</v>
      </c>
      <c r="F552" s="536">
        <v>43284</v>
      </c>
      <c r="G552" s="756"/>
      <c r="H552" s="757"/>
      <c r="I552" s="601">
        <f t="shared" si="176"/>
        <v>43298</v>
      </c>
      <c r="J552" s="601">
        <f t="shared" si="177"/>
        <v>43312</v>
      </c>
      <c r="K552" s="386"/>
      <c r="L552" s="392" t="str">
        <f t="shared" si="170"/>
        <v>Jul-18</v>
      </c>
      <c r="M552" s="392" t="str">
        <f t="shared" si="171"/>
        <v>Jul-18</v>
      </c>
      <c r="N552" s="397" t="s">
        <v>3268</v>
      </c>
      <c r="O552" s="418" t="s">
        <v>2645</v>
      </c>
      <c r="P552" s="538">
        <v>768.84</v>
      </c>
      <c r="Q552" s="756"/>
      <c r="R552" s="538">
        <f t="shared" si="172"/>
        <v>768.84</v>
      </c>
      <c r="S552" s="495">
        <f t="shared" si="173"/>
        <v>845.72400000000016</v>
      </c>
      <c r="T552" s="539"/>
      <c r="U552" s="539"/>
      <c r="V552" s="389">
        <f t="shared" si="174"/>
        <v>0</v>
      </c>
      <c r="W552" s="388">
        <f t="shared" si="167"/>
        <v>768.84</v>
      </c>
      <c r="X552" s="589">
        <f t="shared" si="168"/>
        <v>1</v>
      </c>
      <c r="Y552" s="544"/>
      <c r="Z552" s="536">
        <f t="shared" si="175"/>
        <v>43298</v>
      </c>
      <c r="AA552" s="544"/>
      <c r="AB552" s="393" t="s">
        <v>2209</v>
      </c>
      <c r="AC552" s="691"/>
      <c r="AD552" s="691"/>
      <c r="AE552" s="692"/>
      <c r="AF552" s="691"/>
      <c r="AG552" s="693"/>
      <c r="AJ552" s="553"/>
    </row>
    <row r="553" spans="1:36" s="218" customFormat="1" ht="14.25" customHeight="1">
      <c r="A553" s="586" t="s">
        <v>2330</v>
      </c>
      <c r="B553" s="545" t="s">
        <v>540</v>
      </c>
      <c r="C553" s="386" t="s">
        <v>3253</v>
      </c>
      <c r="D553" s="386"/>
      <c r="E553" s="536">
        <v>43284</v>
      </c>
      <c r="F553" s="536">
        <v>43284</v>
      </c>
      <c r="G553" s="756"/>
      <c r="H553" s="757"/>
      <c r="I553" s="601">
        <f t="shared" si="176"/>
        <v>43298</v>
      </c>
      <c r="J553" s="601">
        <f t="shared" si="177"/>
        <v>43312</v>
      </c>
      <c r="K553" s="386"/>
      <c r="L553" s="392" t="str">
        <f t="shared" si="170"/>
        <v>Jul-18</v>
      </c>
      <c r="M553" s="392" t="str">
        <f t="shared" si="171"/>
        <v>Jul-18</v>
      </c>
      <c r="N553" s="397" t="s">
        <v>3281</v>
      </c>
      <c r="O553" s="418" t="s">
        <v>3247</v>
      </c>
      <c r="P553" s="538">
        <v>961.05</v>
      </c>
      <c r="Q553" s="756"/>
      <c r="R553" s="538">
        <f t="shared" si="172"/>
        <v>961.05</v>
      </c>
      <c r="S553" s="495">
        <f t="shared" si="173"/>
        <v>1057.155</v>
      </c>
      <c r="T553" s="539"/>
      <c r="U553" s="539"/>
      <c r="V553" s="389">
        <f t="shared" si="174"/>
        <v>0</v>
      </c>
      <c r="W553" s="388">
        <f t="shared" si="167"/>
        <v>961.05</v>
      </c>
      <c r="X553" s="589">
        <f t="shared" si="168"/>
        <v>1</v>
      </c>
      <c r="Y553" s="544"/>
      <c r="Z553" s="536">
        <f t="shared" si="175"/>
        <v>43298</v>
      </c>
      <c r="AA553" s="544"/>
      <c r="AB553" s="393" t="s">
        <v>2209</v>
      </c>
      <c r="AC553" s="691"/>
      <c r="AD553" s="691"/>
      <c r="AE553" s="692"/>
      <c r="AF553" s="691"/>
      <c r="AG553" s="693"/>
      <c r="AJ553" s="553"/>
    </row>
    <row r="554" spans="1:36" s="218" customFormat="1" ht="14.25" customHeight="1">
      <c r="A554" s="586" t="s">
        <v>2330</v>
      </c>
      <c r="B554" s="545" t="s">
        <v>540</v>
      </c>
      <c r="C554" s="386" t="s">
        <v>3250</v>
      </c>
      <c r="D554" s="386"/>
      <c r="E554" s="536">
        <v>43284</v>
      </c>
      <c r="F554" s="536">
        <v>43284</v>
      </c>
      <c r="G554" s="756"/>
      <c r="H554" s="757"/>
      <c r="I554" s="601">
        <f t="shared" si="176"/>
        <v>43298</v>
      </c>
      <c r="J554" s="601">
        <f t="shared" si="177"/>
        <v>43312</v>
      </c>
      <c r="K554" s="386"/>
      <c r="L554" s="392" t="str">
        <f t="shared" si="170"/>
        <v>Jul-18</v>
      </c>
      <c r="M554" s="392" t="str">
        <f t="shared" si="171"/>
        <v>Jul-18</v>
      </c>
      <c r="N554" s="397" t="s">
        <v>3282</v>
      </c>
      <c r="O554" s="418" t="s">
        <v>2198</v>
      </c>
      <c r="P554" s="538">
        <v>962.81299999999999</v>
      </c>
      <c r="Q554" s="756"/>
      <c r="R554" s="538">
        <f t="shared" si="172"/>
        <v>962.81299999999999</v>
      </c>
      <c r="S554" s="495">
        <f t="shared" si="173"/>
        <v>1059.0943</v>
      </c>
      <c r="T554" s="539"/>
      <c r="U554" s="539"/>
      <c r="V554" s="389">
        <f t="shared" si="174"/>
        <v>0</v>
      </c>
      <c r="W554" s="388">
        <f t="shared" si="167"/>
        <v>962.81299999999999</v>
      </c>
      <c r="X554" s="589">
        <f t="shared" si="168"/>
        <v>1</v>
      </c>
      <c r="Y554" s="544"/>
      <c r="Z554" s="536">
        <f t="shared" si="175"/>
        <v>43298</v>
      </c>
      <c r="AA554" s="544"/>
      <c r="AB554" s="393" t="s">
        <v>2209</v>
      </c>
      <c r="AC554" s="691"/>
      <c r="AD554" s="691"/>
      <c r="AE554" s="692"/>
      <c r="AF554" s="691"/>
      <c r="AG554" s="693"/>
      <c r="AJ554" s="553"/>
    </row>
    <row r="555" spans="1:36" s="218" customFormat="1" ht="14.25" customHeight="1">
      <c r="A555" s="586" t="s">
        <v>2330</v>
      </c>
      <c r="B555" s="545" t="s">
        <v>540</v>
      </c>
      <c r="C555" s="386" t="s">
        <v>3257</v>
      </c>
      <c r="D555" s="386"/>
      <c r="E555" s="536">
        <v>43284</v>
      </c>
      <c r="F555" s="536">
        <v>43284</v>
      </c>
      <c r="G555" s="756"/>
      <c r="H555" s="757"/>
      <c r="I555" s="601">
        <f t="shared" si="176"/>
        <v>43298</v>
      </c>
      <c r="J555" s="601">
        <f t="shared" si="177"/>
        <v>43312</v>
      </c>
      <c r="K555" s="386"/>
      <c r="L555" s="392" t="str">
        <f t="shared" si="170"/>
        <v>Jul-18</v>
      </c>
      <c r="M555" s="392" t="str">
        <f t="shared" si="171"/>
        <v>Jul-18</v>
      </c>
      <c r="N555" s="397" t="s">
        <v>3275</v>
      </c>
      <c r="O555" s="418" t="s">
        <v>3247</v>
      </c>
      <c r="P555" s="538">
        <v>962.81299999999999</v>
      </c>
      <c r="Q555" s="756"/>
      <c r="R555" s="538">
        <f t="shared" si="172"/>
        <v>962.81299999999999</v>
      </c>
      <c r="S555" s="495">
        <f t="shared" si="173"/>
        <v>1059.0943</v>
      </c>
      <c r="T555" s="539"/>
      <c r="U555" s="539"/>
      <c r="V555" s="389">
        <f t="shared" si="174"/>
        <v>0</v>
      </c>
      <c r="W555" s="388">
        <f t="shared" si="167"/>
        <v>962.81299999999999</v>
      </c>
      <c r="X555" s="589">
        <f t="shared" si="168"/>
        <v>1</v>
      </c>
      <c r="Y555" s="544"/>
      <c r="Z555" s="536">
        <f t="shared" si="175"/>
        <v>43298</v>
      </c>
      <c r="AA555" s="544"/>
      <c r="AB555" s="393" t="s">
        <v>2209</v>
      </c>
      <c r="AC555" s="691"/>
      <c r="AD555" s="691"/>
      <c r="AE555" s="692"/>
      <c r="AF555" s="691"/>
      <c r="AG555" s="693"/>
      <c r="AJ555" s="553"/>
    </row>
    <row r="556" spans="1:36" s="218" customFormat="1" ht="14.25" customHeight="1">
      <c r="A556" s="586" t="s">
        <v>2330</v>
      </c>
      <c r="B556" s="545" t="s">
        <v>540</v>
      </c>
      <c r="C556" s="386" t="s">
        <v>3251</v>
      </c>
      <c r="D556" s="386"/>
      <c r="E556" s="536">
        <v>43284</v>
      </c>
      <c r="F556" s="536">
        <v>43284</v>
      </c>
      <c r="G556" s="756"/>
      <c r="H556" s="757"/>
      <c r="I556" s="601">
        <f t="shared" si="176"/>
        <v>43298</v>
      </c>
      <c r="J556" s="601">
        <f t="shared" si="177"/>
        <v>43312</v>
      </c>
      <c r="K556" s="386"/>
      <c r="L556" s="392" t="str">
        <f t="shared" si="170"/>
        <v>Jul-18</v>
      </c>
      <c r="M556" s="392" t="str">
        <f t="shared" si="171"/>
        <v>Jul-18</v>
      </c>
      <c r="N556" s="397" t="s">
        <v>3278</v>
      </c>
      <c r="O556" s="418" t="s">
        <v>765</v>
      </c>
      <c r="P556" s="538">
        <v>2947.22</v>
      </c>
      <c r="Q556" s="756"/>
      <c r="R556" s="538">
        <f t="shared" si="172"/>
        <v>2947.22</v>
      </c>
      <c r="S556" s="495">
        <f t="shared" si="173"/>
        <v>3241.942</v>
      </c>
      <c r="T556" s="539"/>
      <c r="U556" s="539"/>
      <c r="V556" s="389">
        <f t="shared" si="174"/>
        <v>0</v>
      </c>
      <c r="W556" s="388">
        <f t="shared" si="167"/>
        <v>2947.22</v>
      </c>
      <c r="X556" s="589">
        <f t="shared" si="168"/>
        <v>1</v>
      </c>
      <c r="Y556" s="544"/>
      <c r="Z556" s="536">
        <f t="shared" si="175"/>
        <v>43298</v>
      </c>
      <c r="AA556" s="544"/>
      <c r="AB556" s="393" t="s">
        <v>2209</v>
      </c>
      <c r="AC556" s="691"/>
      <c r="AD556" s="691"/>
      <c r="AE556" s="692"/>
      <c r="AF556" s="691"/>
      <c r="AG556" s="693"/>
      <c r="AJ556" s="553"/>
    </row>
    <row r="557" spans="1:36" s="218" customFormat="1" ht="14.25" customHeight="1">
      <c r="A557" s="586" t="s">
        <v>2330</v>
      </c>
      <c r="B557" s="545" t="s">
        <v>540</v>
      </c>
      <c r="C557" s="386" t="s">
        <v>3254</v>
      </c>
      <c r="D557" s="386"/>
      <c r="E557" s="536">
        <v>43284</v>
      </c>
      <c r="F557" s="536">
        <v>43284</v>
      </c>
      <c r="G557" s="756"/>
      <c r="H557" s="757"/>
      <c r="I557" s="601">
        <f t="shared" si="176"/>
        <v>43298</v>
      </c>
      <c r="J557" s="601">
        <f t="shared" si="177"/>
        <v>43312</v>
      </c>
      <c r="K557" s="386"/>
      <c r="L557" s="392" t="str">
        <f t="shared" si="170"/>
        <v>Jul-18</v>
      </c>
      <c r="M557" s="392" t="str">
        <f t="shared" si="171"/>
        <v>Jul-18</v>
      </c>
      <c r="N557" s="397" t="s">
        <v>3272</v>
      </c>
      <c r="O557" s="418" t="s">
        <v>2358</v>
      </c>
      <c r="P557" s="538">
        <v>3655.39</v>
      </c>
      <c r="Q557" s="756"/>
      <c r="R557" s="538">
        <f t="shared" si="172"/>
        <v>3655.39</v>
      </c>
      <c r="S557" s="495">
        <f t="shared" si="173"/>
        <v>4020.9290000000001</v>
      </c>
      <c r="T557" s="539"/>
      <c r="U557" s="539"/>
      <c r="V557" s="389">
        <f t="shared" si="174"/>
        <v>0</v>
      </c>
      <c r="W557" s="388">
        <f t="shared" si="167"/>
        <v>3655.39</v>
      </c>
      <c r="X557" s="589">
        <f t="shared" si="168"/>
        <v>1</v>
      </c>
      <c r="Y557" s="544"/>
      <c r="Z557" s="536">
        <f t="shared" si="175"/>
        <v>43298</v>
      </c>
      <c r="AA557" s="544"/>
      <c r="AB557" s="393" t="s">
        <v>2209</v>
      </c>
      <c r="AC557" s="691"/>
      <c r="AD557" s="691"/>
      <c r="AE557" s="692"/>
      <c r="AF557" s="691"/>
      <c r="AG557" s="693"/>
      <c r="AJ557" s="553"/>
    </row>
    <row r="558" spans="1:36" s="218" customFormat="1" ht="14.25" customHeight="1">
      <c r="A558" s="586" t="s">
        <v>2331</v>
      </c>
      <c r="B558" s="545" t="s">
        <v>540</v>
      </c>
      <c r="C558" s="386" t="s">
        <v>3262</v>
      </c>
      <c r="D558" s="386"/>
      <c r="E558" s="536">
        <v>43284</v>
      </c>
      <c r="F558" s="536">
        <v>43284</v>
      </c>
      <c r="G558" s="756"/>
      <c r="H558" s="757"/>
      <c r="I558" s="601">
        <f t="shared" si="176"/>
        <v>43298</v>
      </c>
      <c r="J558" s="601">
        <f t="shared" si="177"/>
        <v>43312</v>
      </c>
      <c r="K558" s="386"/>
      <c r="L558" s="392" t="str">
        <f t="shared" si="170"/>
        <v>Jul-18</v>
      </c>
      <c r="M558" s="392" t="str">
        <f t="shared" si="171"/>
        <v>Jul-18</v>
      </c>
      <c r="N558" s="397" t="s">
        <v>3287</v>
      </c>
      <c r="O558" s="418" t="s">
        <v>2410</v>
      </c>
      <c r="P558" s="538">
        <v>1422.33</v>
      </c>
      <c r="Q558" s="756"/>
      <c r="R558" s="538">
        <f t="shared" si="172"/>
        <v>1422.33</v>
      </c>
      <c r="S558" s="495">
        <f t="shared" si="173"/>
        <v>1564.5630000000001</v>
      </c>
      <c r="T558" s="539"/>
      <c r="U558" s="539"/>
      <c r="V558" s="389">
        <f t="shared" si="174"/>
        <v>0</v>
      </c>
      <c r="W558" s="388">
        <f t="shared" si="167"/>
        <v>1422.33</v>
      </c>
      <c r="X558" s="589">
        <f t="shared" si="168"/>
        <v>1</v>
      </c>
      <c r="Y558" s="544"/>
      <c r="Z558" s="536">
        <f t="shared" si="175"/>
        <v>43298</v>
      </c>
      <c r="AA558" s="544"/>
      <c r="AB558" s="393" t="s">
        <v>2209</v>
      </c>
      <c r="AC558" s="691"/>
      <c r="AD558" s="691"/>
      <c r="AE558" s="692"/>
      <c r="AF558" s="691"/>
      <c r="AG558" s="693"/>
      <c r="AJ558" s="553"/>
    </row>
    <row r="559" spans="1:36" s="218" customFormat="1" ht="14.25" customHeight="1">
      <c r="A559" s="586" t="s">
        <v>2330</v>
      </c>
      <c r="B559" s="545" t="s">
        <v>540</v>
      </c>
      <c r="C559" s="386" t="s">
        <v>3248</v>
      </c>
      <c r="D559" s="386">
        <v>43284</v>
      </c>
      <c r="E559" s="536">
        <v>43284</v>
      </c>
      <c r="F559" s="536">
        <v>43284</v>
      </c>
      <c r="G559" s="756"/>
      <c r="H559" s="757"/>
      <c r="I559" s="601">
        <f t="shared" si="176"/>
        <v>43298</v>
      </c>
      <c r="J559" s="601">
        <f t="shared" si="177"/>
        <v>43312</v>
      </c>
      <c r="K559" s="386"/>
      <c r="L559" s="392" t="str">
        <f t="shared" si="170"/>
        <v>Jul-18</v>
      </c>
      <c r="M559" s="392" t="str">
        <f t="shared" si="171"/>
        <v>Jul-18</v>
      </c>
      <c r="N559" s="397" t="s">
        <v>3269</v>
      </c>
      <c r="O559" s="418" t="s">
        <v>3246</v>
      </c>
      <c r="P559" s="538">
        <v>11144.61</v>
      </c>
      <c r="Q559" s="756"/>
      <c r="R559" s="538">
        <f t="shared" si="172"/>
        <v>11144.61</v>
      </c>
      <c r="S559" s="495">
        <f t="shared" si="173"/>
        <v>12259.071000000002</v>
      </c>
      <c r="T559" s="539"/>
      <c r="U559" s="539"/>
      <c r="V559" s="389">
        <f t="shared" si="174"/>
        <v>0</v>
      </c>
      <c r="W559" s="388">
        <f t="shared" si="167"/>
        <v>11144.61</v>
      </c>
      <c r="X559" s="589">
        <f t="shared" si="168"/>
        <v>1</v>
      </c>
      <c r="Y559" s="544"/>
      <c r="Z559" s="536">
        <f t="shared" si="175"/>
        <v>43298</v>
      </c>
      <c r="AA559" s="544"/>
      <c r="AB559" s="393" t="s">
        <v>2209</v>
      </c>
      <c r="AC559" s="691"/>
      <c r="AD559" s="691"/>
      <c r="AE559" s="692"/>
      <c r="AF559" s="691"/>
      <c r="AG559" s="693"/>
      <c r="AJ559" s="553"/>
    </row>
    <row r="560" spans="1:36" s="218" customFormat="1" ht="14.25" customHeight="1">
      <c r="A560" s="586" t="s">
        <v>2331</v>
      </c>
      <c r="B560" s="545" t="s">
        <v>540</v>
      </c>
      <c r="C560" s="386"/>
      <c r="D560" s="386"/>
      <c r="E560" s="536">
        <v>43284</v>
      </c>
      <c r="F560" s="536">
        <v>43284</v>
      </c>
      <c r="G560" s="756"/>
      <c r="H560" s="757"/>
      <c r="I560" s="601">
        <f t="shared" si="176"/>
        <v>43298</v>
      </c>
      <c r="J560" s="601">
        <f t="shared" si="177"/>
        <v>43312</v>
      </c>
      <c r="K560" s="386"/>
      <c r="L560" s="392" t="str">
        <f t="shared" si="170"/>
        <v>Jul-18</v>
      </c>
      <c r="M560" s="392" t="str">
        <f t="shared" si="171"/>
        <v>Jul-18</v>
      </c>
      <c r="N560" s="397" t="s">
        <v>3235</v>
      </c>
      <c r="O560" s="418" t="s">
        <v>2208</v>
      </c>
      <c r="P560" s="538">
        <v>3799.81</v>
      </c>
      <c r="Q560" s="756"/>
      <c r="R560" s="538">
        <f t="shared" si="172"/>
        <v>3799.81</v>
      </c>
      <c r="S560" s="495">
        <f t="shared" si="173"/>
        <v>4179.7910000000002</v>
      </c>
      <c r="T560" s="539"/>
      <c r="U560" s="539"/>
      <c r="V560" s="389">
        <f t="shared" si="174"/>
        <v>0</v>
      </c>
      <c r="W560" s="388">
        <f t="shared" si="167"/>
        <v>3799.81</v>
      </c>
      <c r="X560" s="589">
        <f t="shared" si="168"/>
        <v>1</v>
      </c>
      <c r="Y560" s="544"/>
      <c r="Z560" s="536">
        <f t="shared" si="175"/>
        <v>43298</v>
      </c>
      <c r="AA560" s="544"/>
      <c r="AB560" s="393" t="s">
        <v>2209</v>
      </c>
      <c r="AC560" s="691"/>
      <c r="AD560" s="691"/>
      <c r="AE560" s="692"/>
      <c r="AF560" s="691"/>
      <c r="AG560" s="693"/>
      <c r="AJ560" s="553"/>
    </row>
    <row r="561" spans="1:36" s="218" customFormat="1" ht="14.25" customHeight="1">
      <c r="A561" s="586" t="s">
        <v>2331</v>
      </c>
      <c r="B561" s="545" t="s">
        <v>540</v>
      </c>
      <c r="C561" s="386" t="s">
        <v>3261</v>
      </c>
      <c r="D561" s="386"/>
      <c r="E561" s="536">
        <v>43284</v>
      </c>
      <c r="F561" s="536">
        <v>43284</v>
      </c>
      <c r="G561" s="756"/>
      <c r="H561" s="757"/>
      <c r="I561" s="601">
        <f t="shared" si="176"/>
        <v>43298</v>
      </c>
      <c r="J561" s="601">
        <f t="shared" si="177"/>
        <v>43312</v>
      </c>
      <c r="K561" s="386"/>
      <c r="L561" s="392" t="str">
        <f t="shared" si="170"/>
        <v>Jul-18</v>
      </c>
      <c r="M561" s="392" t="str">
        <f t="shared" si="171"/>
        <v>Jul-18</v>
      </c>
      <c r="N561" s="397" t="s">
        <v>3294</v>
      </c>
      <c r="O561" s="418" t="s">
        <v>3245</v>
      </c>
      <c r="P561" s="538">
        <v>4389.9072857142855</v>
      </c>
      <c r="Q561" s="756"/>
      <c r="R561" s="538">
        <f t="shared" si="172"/>
        <v>4389.9072857142855</v>
      </c>
      <c r="S561" s="495">
        <f t="shared" si="173"/>
        <v>4828.8980142857145</v>
      </c>
      <c r="T561" s="539"/>
      <c r="U561" s="539"/>
      <c r="V561" s="389">
        <f t="shared" si="174"/>
        <v>0</v>
      </c>
      <c r="W561" s="388">
        <f t="shared" si="167"/>
        <v>4389.9072857142855</v>
      </c>
      <c r="X561" s="589">
        <f t="shared" si="168"/>
        <v>1</v>
      </c>
      <c r="Y561" s="544"/>
      <c r="Z561" s="536">
        <f t="shared" si="175"/>
        <v>43298</v>
      </c>
      <c r="AA561" s="544"/>
      <c r="AB561" s="393" t="s">
        <v>2209</v>
      </c>
      <c r="AC561" s="691"/>
      <c r="AD561" s="691"/>
      <c r="AE561" s="692"/>
      <c r="AF561" s="691"/>
      <c r="AG561" s="693"/>
      <c r="AJ561" s="553"/>
    </row>
    <row r="562" spans="1:36" s="218" customFormat="1" ht="14.25" customHeight="1">
      <c r="A562" s="586" t="s">
        <v>2331</v>
      </c>
      <c r="B562" s="545" t="s">
        <v>540</v>
      </c>
      <c r="C562" s="386" t="s">
        <v>3260</v>
      </c>
      <c r="D562" s="386"/>
      <c r="E562" s="536">
        <v>43284</v>
      </c>
      <c r="F562" s="536">
        <v>43284</v>
      </c>
      <c r="G562" s="756"/>
      <c r="H562" s="757"/>
      <c r="I562" s="601">
        <f t="shared" si="176"/>
        <v>43298</v>
      </c>
      <c r="J562" s="601">
        <f t="shared" si="177"/>
        <v>43312</v>
      </c>
      <c r="K562" s="386"/>
      <c r="L562" s="392" t="str">
        <f t="shared" si="170"/>
        <v>Jul-18</v>
      </c>
      <c r="M562" s="392" t="str">
        <f t="shared" si="171"/>
        <v>Jul-18</v>
      </c>
      <c r="N562" s="397" t="s">
        <v>3236</v>
      </c>
      <c r="O562" s="418" t="s">
        <v>2161</v>
      </c>
      <c r="P562" s="538">
        <v>1473.61</v>
      </c>
      <c r="Q562" s="756"/>
      <c r="R562" s="538">
        <f t="shared" si="172"/>
        <v>1473.61</v>
      </c>
      <c r="S562" s="495">
        <f t="shared" si="173"/>
        <v>1620.971</v>
      </c>
      <c r="T562" s="539"/>
      <c r="U562" s="539"/>
      <c r="V562" s="389">
        <f t="shared" si="174"/>
        <v>0</v>
      </c>
      <c r="W562" s="388">
        <f t="shared" si="167"/>
        <v>1473.61</v>
      </c>
      <c r="X562" s="589">
        <f t="shared" si="168"/>
        <v>1</v>
      </c>
      <c r="Y562" s="544"/>
      <c r="Z562" s="536">
        <f t="shared" si="175"/>
        <v>43298</v>
      </c>
      <c r="AA562" s="544"/>
      <c r="AB562" s="393" t="s">
        <v>2209</v>
      </c>
      <c r="AC562" s="691"/>
      <c r="AD562" s="691"/>
      <c r="AE562" s="692"/>
      <c r="AF562" s="691"/>
      <c r="AG562" s="693"/>
      <c r="AJ562" s="553"/>
    </row>
    <row r="563" spans="1:36" s="218" customFormat="1" ht="14.25" customHeight="1">
      <c r="A563" s="586" t="s">
        <v>2331</v>
      </c>
      <c r="B563" s="545" t="s">
        <v>540</v>
      </c>
      <c r="C563" s="386" t="s">
        <v>3255</v>
      </c>
      <c r="D563" s="386"/>
      <c r="E563" s="536">
        <v>43284</v>
      </c>
      <c r="F563" s="536">
        <v>43284</v>
      </c>
      <c r="G563" s="756"/>
      <c r="H563" s="757"/>
      <c r="I563" s="601">
        <f t="shared" si="176"/>
        <v>43298</v>
      </c>
      <c r="J563" s="601">
        <f t="shared" si="177"/>
        <v>43312</v>
      </c>
      <c r="K563" s="386"/>
      <c r="L563" s="392" t="str">
        <f t="shared" si="170"/>
        <v>Jul-18</v>
      </c>
      <c r="M563" s="392" t="str">
        <f t="shared" si="171"/>
        <v>Jul-18</v>
      </c>
      <c r="N563" s="397" t="s">
        <v>3266</v>
      </c>
      <c r="O563" s="418" t="s">
        <v>2208</v>
      </c>
      <c r="P563" s="538">
        <v>1409.54</v>
      </c>
      <c r="Q563" s="756"/>
      <c r="R563" s="538">
        <f t="shared" si="172"/>
        <v>1409.54</v>
      </c>
      <c r="S563" s="495">
        <f t="shared" si="173"/>
        <v>1550.4940000000001</v>
      </c>
      <c r="T563" s="539"/>
      <c r="U563" s="539"/>
      <c r="V563" s="389">
        <f t="shared" si="174"/>
        <v>0</v>
      </c>
      <c r="W563" s="388">
        <f t="shared" si="167"/>
        <v>1409.54</v>
      </c>
      <c r="X563" s="589">
        <f t="shared" si="168"/>
        <v>1</v>
      </c>
      <c r="Y563" s="544"/>
      <c r="Z563" s="536">
        <f t="shared" si="175"/>
        <v>43298</v>
      </c>
      <c r="AA563" s="544"/>
      <c r="AB563" s="393" t="s">
        <v>2209</v>
      </c>
      <c r="AC563" s="691"/>
      <c r="AD563" s="691"/>
      <c r="AE563" s="692"/>
      <c r="AF563" s="691"/>
      <c r="AG563" s="693"/>
      <c r="AJ563" s="553"/>
    </row>
    <row r="564" spans="1:36" s="218" customFormat="1" ht="14.25" customHeight="1">
      <c r="A564" s="586" t="s">
        <v>2330</v>
      </c>
      <c r="B564" s="545" t="s">
        <v>540</v>
      </c>
      <c r="C564" s="386" t="s">
        <v>3271</v>
      </c>
      <c r="D564" s="386"/>
      <c r="E564" s="536">
        <v>43284</v>
      </c>
      <c r="F564" s="536">
        <v>43284</v>
      </c>
      <c r="G564" s="756"/>
      <c r="H564" s="757"/>
      <c r="I564" s="601">
        <f t="shared" si="176"/>
        <v>43298</v>
      </c>
      <c r="J564" s="601">
        <f t="shared" si="177"/>
        <v>43312</v>
      </c>
      <c r="K564" s="386"/>
      <c r="L564" s="392" t="str">
        <f t="shared" si="170"/>
        <v>Jul-18</v>
      </c>
      <c r="M564" s="392" t="str">
        <f t="shared" si="171"/>
        <v>Jul-18</v>
      </c>
      <c r="N564" s="397" t="s">
        <v>3299</v>
      </c>
      <c r="O564" s="418" t="s">
        <v>3244</v>
      </c>
      <c r="P564" s="538">
        <v>1153.26</v>
      </c>
      <c r="Q564" s="756"/>
      <c r="R564" s="538">
        <f t="shared" si="172"/>
        <v>1153.26</v>
      </c>
      <c r="S564" s="495">
        <f t="shared" si="173"/>
        <v>1268.586</v>
      </c>
      <c r="T564" s="539"/>
      <c r="U564" s="539"/>
      <c r="V564" s="389">
        <f t="shared" si="174"/>
        <v>0</v>
      </c>
      <c r="W564" s="388">
        <f t="shared" si="167"/>
        <v>1153.26</v>
      </c>
      <c r="X564" s="589">
        <f t="shared" si="168"/>
        <v>1</v>
      </c>
      <c r="Y564" s="544"/>
      <c r="Z564" s="536">
        <f t="shared" si="175"/>
        <v>43298</v>
      </c>
      <c r="AA564" s="544"/>
      <c r="AB564" s="393" t="s">
        <v>2209</v>
      </c>
      <c r="AC564" s="691"/>
      <c r="AD564" s="691"/>
      <c r="AE564" s="692"/>
      <c r="AF564" s="691"/>
      <c r="AG564" s="693"/>
      <c r="AJ564" s="553"/>
    </row>
    <row r="565" spans="1:36" s="218" customFormat="1" ht="14.25" customHeight="1">
      <c r="A565" s="586" t="s">
        <v>2330</v>
      </c>
      <c r="B565" s="545" t="s">
        <v>540</v>
      </c>
      <c r="C565" s="386" t="s">
        <v>3259</v>
      </c>
      <c r="D565" s="386"/>
      <c r="E565" s="536">
        <v>43284</v>
      </c>
      <c r="F565" s="536">
        <v>43284</v>
      </c>
      <c r="G565" s="756"/>
      <c r="H565" s="757"/>
      <c r="I565" s="601">
        <f t="shared" ref="I565" si="178">F565+14</f>
        <v>43298</v>
      </c>
      <c r="J565" s="601">
        <f t="shared" si="177"/>
        <v>43312</v>
      </c>
      <c r="K565" s="386"/>
      <c r="L565" s="392" t="str">
        <f t="shared" ref="L565:L567" si="179">TEXT(F565,"mmm-yy")</f>
        <v>Jul-18</v>
      </c>
      <c r="M565" s="392" t="str">
        <f t="shared" ref="M565:M567" si="180">TEXT(J565,"mmm-yy")</f>
        <v>Jul-18</v>
      </c>
      <c r="N565" s="397" t="s">
        <v>3258</v>
      </c>
      <c r="O565" s="418" t="s">
        <v>2645</v>
      </c>
      <c r="P565" s="538">
        <v>512.55999999999995</v>
      </c>
      <c r="Q565" s="756"/>
      <c r="R565" s="538">
        <f t="shared" si="172"/>
        <v>512.55999999999995</v>
      </c>
      <c r="S565" s="495">
        <f t="shared" si="173"/>
        <v>563.81600000000003</v>
      </c>
      <c r="T565" s="539"/>
      <c r="U565" s="539"/>
      <c r="V565" s="389">
        <f t="shared" ref="V565" si="181">SUM(T565:U565)</f>
        <v>0</v>
      </c>
      <c r="W565" s="388">
        <f t="shared" ref="W565" si="182">R565-V565</f>
        <v>512.55999999999995</v>
      </c>
      <c r="X565" s="589">
        <f t="shared" ref="X565" si="183">W565/R565</f>
        <v>1</v>
      </c>
      <c r="Y565" s="544"/>
      <c r="Z565" s="536">
        <f t="shared" ref="Z565:Z566" si="184">F565+14</f>
        <v>43298</v>
      </c>
      <c r="AA565" s="544"/>
      <c r="AB565" s="393" t="s">
        <v>2209</v>
      </c>
      <c r="AC565" s="691"/>
      <c r="AD565" s="691"/>
      <c r="AE565" s="692"/>
      <c r="AF565" s="691"/>
      <c r="AG565" s="693"/>
      <c r="AJ565" s="553"/>
    </row>
    <row r="566" spans="1:36" s="218" customFormat="1" ht="14.25" customHeight="1">
      <c r="A566" s="586" t="s">
        <v>714</v>
      </c>
      <c r="B566" s="545" t="s">
        <v>190</v>
      </c>
      <c r="C566" s="386"/>
      <c r="D566" s="386"/>
      <c r="E566" s="392"/>
      <c r="F566" s="536">
        <v>43403</v>
      </c>
      <c r="G566" s="601"/>
      <c r="H566" s="752"/>
      <c r="I566" s="601"/>
      <c r="J566" s="601"/>
      <c r="K566" s="386"/>
      <c r="L566" s="392" t="str">
        <f t="shared" si="179"/>
        <v>Oct-18</v>
      </c>
      <c r="M566" s="392" t="str">
        <f t="shared" si="180"/>
        <v>Jan-00</v>
      </c>
      <c r="N566" s="397" t="s">
        <v>3273</v>
      </c>
      <c r="O566" s="418" t="s">
        <v>2766</v>
      </c>
      <c r="P566" s="538">
        <v>957.85</v>
      </c>
      <c r="Q566" s="538"/>
      <c r="R566" s="538">
        <f t="shared" si="172"/>
        <v>957.85</v>
      </c>
      <c r="S566" s="495">
        <f t="shared" si="173"/>
        <v>1053.6350000000002</v>
      </c>
      <c r="T566" s="539"/>
      <c r="U566" s="539"/>
      <c r="V566" s="389">
        <f t="shared" ref="V566" si="185">SUM(T566:U566)</f>
        <v>0</v>
      </c>
      <c r="W566" s="388">
        <f t="shared" ref="W566" si="186">R566-V566</f>
        <v>957.85</v>
      </c>
      <c r="X566" s="589">
        <f t="shared" ref="X566" si="187">W566/R566</f>
        <v>1</v>
      </c>
      <c r="Y566" s="544"/>
      <c r="Z566" s="536">
        <f t="shared" si="184"/>
        <v>43417</v>
      </c>
      <c r="AA566" s="544"/>
      <c r="AB566" s="393" t="s">
        <v>201</v>
      </c>
      <c r="AC566" s="392" t="s">
        <v>752</v>
      </c>
      <c r="AD566" s="392">
        <v>43286</v>
      </c>
      <c r="AE566" s="550"/>
      <c r="AF566" s="392">
        <v>43371</v>
      </c>
      <c r="AG566" s="546">
        <f t="shared" ref="AG566:AG572" si="188">AF566-AD566</f>
        <v>85</v>
      </c>
      <c r="AJ566" s="553"/>
    </row>
    <row r="567" spans="1:36" s="218" customFormat="1" ht="14.25" customHeight="1">
      <c r="A567" s="586" t="s">
        <v>714</v>
      </c>
      <c r="B567" s="545" t="s">
        <v>190</v>
      </c>
      <c r="C567" s="386"/>
      <c r="D567" s="386"/>
      <c r="E567" s="392"/>
      <c r="F567" s="536">
        <v>43373</v>
      </c>
      <c r="G567" s="601"/>
      <c r="H567" s="752"/>
      <c r="I567" s="601"/>
      <c r="J567" s="601"/>
      <c r="K567" s="386"/>
      <c r="L567" s="392" t="str">
        <f t="shared" si="179"/>
        <v>Sep-18</v>
      </c>
      <c r="M567" s="392" t="str">
        <f t="shared" si="180"/>
        <v>Jan-00</v>
      </c>
      <c r="N567" s="397" t="s">
        <v>3308</v>
      </c>
      <c r="O567" s="418" t="s">
        <v>3274</v>
      </c>
      <c r="P567" s="538">
        <v>2111.65</v>
      </c>
      <c r="Q567" s="538"/>
      <c r="R567" s="538">
        <f t="shared" si="172"/>
        <v>2111.65</v>
      </c>
      <c r="S567" s="495">
        <f t="shared" si="173"/>
        <v>2322.8150000000005</v>
      </c>
      <c r="T567" s="539"/>
      <c r="U567" s="539"/>
      <c r="V567" s="389">
        <f t="shared" ref="V567" si="189">SUM(T567:U567)</f>
        <v>0</v>
      </c>
      <c r="W567" s="388">
        <f t="shared" ref="W567" si="190">R567-V567</f>
        <v>2111.65</v>
      </c>
      <c r="X567" s="589">
        <f t="shared" ref="X567" si="191">W567/R567</f>
        <v>1</v>
      </c>
      <c r="Y567" s="544"/>
      <c r="Z567" s="536">
        <f t="shared" ref="Z567" si="192">F567+14</f>
        <v>43387</v>
      </c>
      <c r="AA567" s="544"/>
      <c r="AB567" s="393" t="s">
        <v>201</v>
      </c>
      <c r="AC567" s="392" t="s">
        <v>752</v>
      </c>
      <c r="AD567" s="392">
        <v>43286</v>
      </c>
      <c r="AE567" s="550"/>
      <c r="AF567" s="392">
        <v>43315</v>
      </c>
      <c r="AG567" s="546">
        <f t="shared" si="188"/>
        <v>29</v>
      </c>
      <c r="AJ567" s="553"/>
    </row>
    <row r="568" spans="1:36" s="218" customFormat="1" ht="14.25" customHeight="1">
      <c r="A568" s="586" t="s">
        <v>714</v>
      </c>
      <c r="B568" s="545" t="s">
        <v>722</v>
      </c>
      <c r="C568" s="386"/>
      <c r="D568" s="386"/>
      <c r="E568" s="392"/>
      <c r="F568" s="536">
        <v>43403</v>
      </c>
      <c r="G568" s="601"/>
      <c r="H568" s="752"/>
      <c r="I568" s="601"/>
      <c r="J568" s="601"/>
      <c r="K568" s="386"/>
      <c r="L568" s="392" t="str">
        <f t="shared" ref="L568:L572" si="193">TEXT(F568,"mmm-yy")</f>
        <v>Oct-18</v>
      </c>
      <c r="M568" s="392" t="str">
        <f t="shared" ref="M568:M572" si="194">TEXT(J568,"mmm-yy")</f>
        <v>Jan-00</v>
      </c>
      <c r="N568" s="397" t="s">
        <v>3289</v>
      </c>
      <c r="O568" s="418" t="s">
        <v>208</v>
      </c>
      <c r="P568" s="538">
        <v>1022.88</v>
      </c>
      <c r="Q568" s="538"/>
      <c r="R568" s="538">
        <f t="shared" ref="R568:R575" si="195">SUM(P568:Q568)</f>
        <v>1022.88</v>
      </c>
      <c r="S568" s="495">
        <f t="shared" ref="S568:S575" si="196">R568*1.1</f>
        <v>1125.1680000000001</v>
      </c>
      <c r="T568" s="539"/>
      <c r="U568" s="539"/>
      <c r="V568" s="389">
        <f t="shared" ref="V568:V569" si="197">SUM(T568:U568)</f>
        <v>0</v>
      </c>
      <c r="W568" s="388">
        <f t="shared" ref="W568:W569" si="198">R568-V568</f>
        <v>1022.88</v>
      </c>
      <c r="X568" s="589">
        <f t="shared" ref="X568:X569" si="199">W568/R568</f>
        <v>1</v>
      </c>
      <c r="Y568" s="544"/>
      <c r="Z568" s="536">
        <f t="shared" ref="Z568:Z569" si="200">F568+14</f>
        <v>43417</v>
      </c>
      <c r="AA568" s="544"/>
      <c r="AB568" s="393" t="s">
        <v>201</v>
      </c>
      <c r="AC568" s="392" t="s">
        <v>752</v>
      </c>
      <c r="AD568" s="392">
        <v>43286</v>
      </c>
      <c r="AE568" s="550"/>
      <c r="AF568" s="392">
        <v>43371</v>
      </c>
      <c r="AG568" s="546">
        <f t="shared" si="188"/>
        <v>85</v>
      </c>
      <c r="AJ568" s="553"/>
    </row>
    <row r="569" spans="1:36" s="218" customFormat="1" ht="14.25" customHeight="1">
      <c r="A569" s="586" t="s">
        <v>714</v>
      </c>
      <c r="B569" s="545" t="s">
        <v>190</v>
      </c>
      <c r="C569" s="386"/>
      <c r="D569" s="386"/>
      <c r="E569" s="392"/>
      <c r="F569" s="536">
        <v>43403</v>
      </c>
      <c r="G569" s="601"/>
      <c r="H569" s="752"/>
      <c r="I569" s="601"/>
      <c r="J569" s="601"/>
      <c r="K569" s="386"/>
      <c r="L569" s="392" t="str">
        <f t="shared" si="193"/>
        <v>Oct-18</v>
      </c>
      <c r="M569" s="392" t="str">
        <f t="shared" si="194"/>
        <v>Jan-00</v>
      </c>
      <c r="N569" s="397" t="s">
        <v>3290</v>
      </c>
      <c r="O569" s="418" t="s">
        <v>2766</v>
      </c>
      <c r="P569" s="538">
        <v>680.91</v>
      </c>
      <c r="Q569" s="538"/>
      <c r="R569" s="538">
        <f t="shared" si="195"/>
        <v>680.91</v>
      </c>
      <c r="S569" s="495">
        <f t="shared" si="196"/>
        <v>749.00099999999998</v>
      </c>
      <c r="T569" s="539"/>
      <c r="U569" s="539"/>
      <c r="V569" s="389">
        <f t="shared" si="197"/>
        <v>0</v>
      </c>
      <c r="W569" s="388">
        <f t="shared" si="198"/>
        <v>680.91</v>
      </c>
      <c r="X569" s="589">
        <f t="shared" si="199"/>
        <v>1</v>
      </c>
      <c r="Y569" s="544"/>
      <c r="Z569" s="536">
        <f t="shared" si="200"/>
        <v>43417</v>
      </c>
      <c r="AA569" s="544"/>
      <c r="AB569" s="393" t="s">
        <v>201</v>
      </c>
      <c r="AC569" s="392" t="s">
        <v>752</v>
      </c>
      <c r="AD569" s="392">
        <v>43286</v>
      </c>
      <c r="AE569" s="550"/>
      <c r="AF569" s="392">
        <v>43371</v>
      </c>
      <c r="AG569" s="546">
        <f t="shared" si="188"/>
        <v>85</v>
      </c>
      <c r="AJ569" s="553"/>
    </row>
    <row r="570" spans="1:36" s="218" customFormat="1" ht="14.25" customHeight="1">
      <c r="A570" s="586" t="s">
        <v>714</v>
      </c>
      <c r="B570" s="545" t="s">
        <v>190</v>
      </c>
      <c r="C570" s="386"/>
      <c r="D570" s="386"/>
      <c r="E570" s="392"/>
      <c r="F570" s="536">
        <v>43403</v>
      </c>
      <c r="G570" s="601"/>
      <c r="H570" s="752"/>
      <c r="I570" s="601"/>
      <c r="J570" s="601"/>
      <c r="K570" s="386"/>
      <c r="L570" s="392" t="str">
        <f t="shared" si="193"/>
        <v>Oct-18</v>
      </c>
      <c r="M570" s="392" t="str">
        <f t="shared" si="194"/>
        <v>Jan-00</v>
      </c>
      <c r="N570" s="397" t="s">
        <v>3291</v>
      </c>
      <c r="O570" s="418" t="s">
        <v>3305</v>
      </c>
      <c r="P570" s="538">
        <v>2123.65</v>
      </c>
      <c r="Q570" s="538"/>
      <c r="R570" s="538">
        <f t="shared" si="195"/>
        <v>2123.65</v>
      </c>
      <c r="S570" s="495">
        <f t="shared" si="196"/>
        <v>2336.0150000000003</v>
      </c>
      <c r="T570" s="539"/>
      <c r="U570" s="539"/>
      <c r="V570" s="389">
        <f t="shared" ref="V570:V571" si="201">SUM(T570:U570)</f>
        <v>0</v>
      </c>
      <c r="W570" s="388">
        <f t="shared" ref="W570:W571" si="202">R570-V570</f>
        <v>2123.65</v>
      </c>
      <c r="X570" s="589">
        <f t="shared" ref="X570:X571" si="203">W570/R570</f>
        <v>1</v>
      </c>
      <c r="Y570" s="544"/>
      <c r="Z570" s="536">
        <f t="shared" ref="Z570:Z571" si="204">F570+14</f>
        <v>43417</v>
      </c>
      <c r="AA570" s="544"/>
      <c r="AB570" s="393" t="s">
        <v>201</v>
      </c>
      <c r="AC570" s="392" t="s">
        <v>752</v>
      </c>
      <c r="AD570" s="392">
        <v>43286</v>
      </c>
      <c r="AE570" s="550"/>
      <c r="AF570" s="392">
        <v>43371</v>
      </c>
      <c r="AG570" s="546">
        <f t="shared" si="188"/>
        <v>85</v>
      </c>
      <c r="AJ570" s="553"/>
    </row>
    <row r="571" spans="1:36" s="218" customFormat="1" ht="14.25" customHeight="1">
      <c r="A571" s="586" t="s">
        <v>714</v>
      </c>
      <c r="B571" s="545" t="s">
        <v>190</v>
      </c>
      <c r="C571" s="386"/>
      <c r="D571" s="386"/>
      <c r="E571" s="392"/>
      <c r="F571" s="536">
        <v>43403</v>
      </c>
      <c r="G571" s="601"/>
      <c r="H571" s="752"/>
      <c r="I571" s="601"/>
      <c r="J571" s="601"/>
      <c r="K571" s="386"/>
      <c r="L571" s="392" t="str">
        <f t="shared" si="193"/>
        <v>Oct-18</v>
      </c>
      <c r="M571" s="392" t="str">
        <f t="shared" si="194"/>
        <v>Jan-00</v>
      </c>
      <c r="N571" s="397" t="s">
        <v>3292</v>
      </c>
      <c r="O571" s="418" t="s">
        <v>354</v>
      </c>
      <c r="P571" s="538">
        <v>1821.28</v>
      </c>
      <c r="Q571" s="538"/>
      <c r="R571" s="538">
        <f t="shared" si="195"/>
        <v>1821.28</v>
      </c>
      <c r="S571" s="495">
        <f t="shared" si="196"/>
        <v>2003.4080000000001</v>
      </c>
      <c r="T571" s="539"/>
      <c r="U571" s="539"/>
      <c r="V571" s="389">
        <f t="shared" si="201"/>
        <v>0</v>
      </c>
      <c r="W571" s="388">
        <f t="shared" si="202"/>
        <v>1821.28</v>
      </c>
      <c r="X571" s="589">
        <f t="shared" si="203"/>
        <v>1</v>
      </c>
      <c r="Y571" s="544"/>
      <c r="Z571" s="536">
        <f t="shared" si="204"/>
        <v>43417</v>
      </c>
      <c r="AA571" s="544"/>
      <c r="AB571" s="393" t="s">
        <v>201</v>
      </c>
      <c r="AC571" s="392" t="s">
        <v>752</v>
      </c>
      <c r="AD571" s="392">
        <v>43286</v>
      </c>
      <c r="AE571" s="550"/>
      <c r="AF571" s="392">
        <v>43371</v>
      </c>
      <c r="AG571" s="546">
        <f t="shared" si="188"/>
        <v>85</v>
      </c>
      <c r="AJ571" s="553"/>
    </row>
    <row r="572" spans="1:36" s="218" customFormat="1" ht="14.25" customHeight="1">
      <c r="A572" s="586" t="s">
        <v>714</v>
      </c>
      <c r="B572" s="545" t="s">
        <v>190</v>
      </c>
      <c r="C572" s="386"/>
      <c r="D572" s="386"/>
      <c r="E572" s="392"/>
      <c r="F572" s="536">
        <v>43403</v>
      </c>
      <c r="G572" s="601"/>
      <c r="H572" s="752"/>
      <c r="I572" s="601"/>
      <c r="J572" s="601"/>
      <c r="K572" s="386"/>
      <c r="L572" s="392" t="str">
        <f t="shared" si="193"/>
        <v>Oct-18</v>
      </c>
      <c r="M572" s="392" t="str">
        <f t="shared" si="194"/>
        <v>Jan-00</v>
      </c>
      <c r="N572" s="397" t="s">
        <v>3293</v>
      </c>
      <c r="O572" s="418" t="s">
        <v>3306</v>
      </c>
      <c r="P572" s="538">
        <v>1606.42</v>
      </c>
      <c r="Q572" s="538"/>
      <c r="R572" s="538">
        <f t="shared" si="195"/>
        <v>1606.42</v>
      </c>
      <c r="S572" s="495">
        <f t="shared" si="196"/>
        <v>1767.0620000000001</v>
      </c>
      <c r="T572" s="539"/>
      <c r="U572" s="539"/>
      <c r="V572" s="389">
        <f t="shared" ref="V572" si="205">SUM(T572:U572)</f>
        <v>0</v>
      </c>
      <c r="W572" s="388">
        <f t="shared" ref="W572" si="206">R572-V572</f>
        <v>1606.42</v>
      </c>
      <c r="X572" s="589">
        <f t="shared" ref="X572" si="207">W572/R572</f>
        <v>1</v>
      </c>
      <c r="Y572" s="544"/>
      <c r="Z572" s="536">
        <f t="shared" ref="Z572" si="208">F572+14</f>
        <v>43417</v>
      </c>
      <c r="AA572" s="544"/>
      <c r="AB572" s="393" t="s">
        <v>201</v>
      </c>
      <c r="AC572" s="392" t="s">
        <v>752</v>
      </c>
      <c r="AD572" s="392">
        <v>43286</v>
      </c>
      <c r="AE572" s="550"/>
      <c r="AF572" s="392">
        <v>43371</v>
      </c>
      <c r="AG572" s="546">
        <f t="shared" si="188"/>
        <v>85</v>
      </c>
      <c r="AJ572" s="553"/>
    </row>
    <row r="573" spans="1:36" s="218" customFormat="1" ht="14.25" customHeight="1">
      <c r="A573" s="586" t="s">
        <v>714</v>
      </c>
      <c r="B573" s="545" t="s">
        <v>190</v>
      </c>
      <c r="C573" s="386"/>
      <c r="D573" s="386"/>
      <c r="E573" s="392"/>
      <c r="F573" s="536">
        <v>43403</v>
      </c>
      <c r="G573" s="601"/>
      <c r="H573" s="752"/>
      <c r="I573" s="601"/>
      <c r="J573" s="601"/>
      <c r="K573" s="386"/>
      <c r="L573" s="392" t="str">
        <f t="shared" ref="L573:L576" si="209">TEXT(F573,"mmm-yy")</f>
        <v>Oct-18</v>
      </c>
      <c r="M573" s="392" t="str">
        <f t="shared" ref="M573:M576" si="210">TEXT(J573,"mmm-yy")</f>
        <v>Jan-00</v>
      </c>
      <c r="N573" s="397" t="s">
        <v>3307</v>
      </c>
      <c r="O573" s="418" t="s">
        <v>458</v>
      </c>
      <c r="P573" s="538">
        <v>1976.12</v>
      </c>
      <c r="Q573" s="538"/>
      <c r="R573" s="538">
        <f t="shared" si="195"/>
        <v>1976.12</v>
      </c>
      <c r="S573" s="495">
        <f t="shared" si="196"/>
        <v>2173.732</v>
      </c>
      <c r="T573" s="539"/>
      <c r="U573" s="539"/>
      <c r="V573" s="389">
        <f t="shared" ref="V573" si="211">SUM(T573:U573)</f>
        <v>0</v>
      </c>
      <c r="W573" s="388">
        <f t="shared" ref="W573" si="212">R573-V573</f>
        <v>1976.12</v>
      </c>
      <c r="X573" s="589">
        <f t="shared" ref="X573" si="213">W573/R573</f>
        <v>1</v>
      </c>
      <c r="Y573" s="544"/>
      <c r="Z573" s="536">
        <f>F573+14</f>
        <v>43417</v>
      </c>
      <c r="AA573" s="544"/>
      <c r="AB573" s="393" t="s">
        <v>201</v>
      </c>
      <c r="AC573" s="392" t="s">
        <v>752</v>
      </c>
      <c r="AD573" s="392">
        <v>43286</v>
      </c>
      <c r="AE573" s="550"/>
      <c r="AF573" s="392">
        <v>43371</v>
      </c>
      <c r="AG573" s="546">
        <f t="shared" ref="AG573:AG576" si="214">AF573-AD573</f>
        <v>85</v>
      </c>
      <c r="AJ573" s="553"/>
    </row>
    <row r="574" spans="1:36" s="218" customFormat="1" ht="14.25" customHeight="1">
      <c r="A574" s="586" t="s">
        <v>714</v>
      </c>
      <c r="B574" s="545" t="s">
        <v>190</v>
      </c>
      <c r="C574" s="386"/>
      <c r="D574" s="386"/>
      <c r="E574" s="392">
        <v>43291</v>
      </c>
      <c r="F574" s="536">
        <v>43291</v>
      </c>
      <c r="G574" s="601"/>
      <c r="H574" s="752"/>
      <c r="I574" s="601">
        <f>F574+14</f>
        <v>43305</v>
      </c>
      <c r="J574" s="601">
        <f>F574+14</f>
        <v>43305</v>
      </c>
      <c r="K574" s="386"/>
      <c r="L574" s="392" t="str">
        <f t="shared" si="209"/>
        <v>Jul-18</v>
      </c>
      <c r="M574" s="392" t="str">
        <f t="shared" si="210"/>
        <v>Jul-18</v>
      </c>
      <c r="N574" s="397" t="s">
        <v>3336</v>
      </c>
      <c r="O574" s="418" t="s">
        <v>488</v>
      </c>
      <c r="P574" s="538">
        <v>285.60000000000002</v>
      </c>
      <c r="Q574" s="538"/>
      <c r="R574" s="538">
        <f t="shared" si="195"/>
        <v>285.60000000000002</v>
      </c>
      <c r="S574" s="495">
        <f t="shared" si="196"/>
        <v>314.16000000000003</v>
      </c>
      <c r="T574" s="539"/>
      <c r="U574" s="539"/>
      <c r="V574" s="389">
        <f t="shared" ref="V574" si="215">SUM(T574:U574)</f>
        <v>0</v>
      </c>
      <c r="W574" s="388">
        <f t="shared" ref="W574" si="216">R574-V574</f>
        <v>285.60000000000002</v>
      </c>
      <c r="X574" s="589">
        <f t="shared" ref="X574" si="217">W574/R574</f>
        <v>1</v>
      </c>
      <c r="Y574" s="544"/>
      <c r="Z574" s="536">
        <f t="shared" ref="Z574" si="218">F574+14</f>
        <v>43305</v>
      </c>
      <c r="AA574" s="544"/>
      <c r="AB574" s="393" t="s">
        <v>201</v>
      </c>
      <c r="AC574" s="392" t="s">
        <v>752</v>
      </c>
      <c r="AD574" s="392">
        <v>43290</v>
      </c>
      <c r="AE574" s="550"/>
      <c r="AF574" s="392">
        <v>43299</v>
      </c>
      <c r="AG574" s="546">
        <f t="shared" si="214"/>
        <v>9</v>
      </c>
      <c r="AJ574" s="553"/>
    </row>
    <row r="575" spans="1:36" s="218" customFormat="1" ht="14.25" customHeight="1">
      <c r="A575" s="545" t="s">
        <v>715</v>
      </c>
      <c r="B575" s="545" t="s">
        <v>723</v>
      </c>
      <c r="C575" s="386"/>
      <c r="D575" s="386"/>
      <c r="E575" s="392"/>
      <c r="F575" s="536">
        <v>43403</v>
      </c>
      <c r="G575" s="601"/>
      <c r="H575" s="752"/>
      <c r="I575" s="601"/>
      <c r="J575" s="601"/>
      <c r="K575" s="386"/>
      <c r="L575" s="392" t="str">
        <f t="shared" si="209"/>
        <v>Oct-18</v>
      </c>
      <c r="M575" s="392" t="str">
        <f t="shared" si="210"/>
        <v>Jan-00</v>
      </c>
      <c r="N575" s="397" t="s">
        <v>3286</v>
      </c>
      <c r="O575" s="418" t="s">
        <v>1143</v>
      </c>
      <c r="P575" s="538">
        <v>7336.89</v>
      </c>
      <c r="Q575" s="538"/>
      <c r="R575" s="538">
        <f t="shared" si="195"/>
        <v>7336.89</v>
      </c>
      <c r="S575" s="495">
        <f t="shared" si="196"/>
        <v>8070.5790000000006</v>
      </c>
      <c r="T575" s="539"/>
      <c r="U575" s="539"/>
      <c r="V575" s="389">
        <f t="shared" ref="V575" si="219">SUM(T575:U575)</f>
        <v>0</v>
      </c>
      <c r="W575" s="388">
        <f t="shared" ref="W575" si="220">R575-V575</f>
        <v>7336.89</v>
      </c>
      <c r="X575" s="589">
        <f t="shared" ref="X575" si="221">W575/R575</f>
        <v>1</v>
      </c>
      <c r="Y575" s="544"/>
      <c r="Z575" s="536">
        <f t="shared" ref="Z575:Z576" si="222">F575+14</f>
        <v>43417</v>
      </c>
      <c r="AA575" s="544"/>
      <c r="AB575" s="393" t="s">
        <v>220</v>
      </c>
      <c r="AC575" s="392">
        <v>43287</v>
      </c>
      <c r="AD575" s="392">
        <v>43291</v>
      </c>
      <c r="AE575" s="689">
        <f t="shared" ref="AE575:AE576" si="223">AD575-AC575</f>
        <v>4</v>
      </c>
      <c r="AF575" s="392">
        <v>43370</v>
      </c>
      <c r="AG575" s="546">
        <f t="shared" si="214"/>
        <v>79</v>
      </c>
      <c r="AJ575" s="553"/>
    </row>
    <row r="576" spans="1:36" s="218" customFormat="1" ht="14.25" customHeight="1">
      <c r="A576" s="545" t="s">
        <v>715</v>
      </c>
      <c r="B576" s="545" t="s">
        <v>764</v>
      </c>
      <c r="C576" s="386"/>
      <c r="D576" s="386"/>
      <c r="E576" s="392"/>
      <c r="F576" s="536">
        <v>43373</v>
      </c>
      <c r="G576" s="601"/>
      <c r="H576" s="752"/>
      <c r="I576" s="601"/>
      <c r="J576" s="601"/>
      <c r="K576" s="386"/>
      <c r="L576" s="392" t="str">
        <f t="shared" si="209"/>
        <v>Sep-18</v>
      </c>
      <c r="M576" s="392" t="str">
        <f t="shared" si="210"/>
        <v>Jan-00</v>
      </c>
      <c r="N576" s="397" t="s">
        <v>2958</v>
      </c>
      <c r="O576" s="418" t="s">
        <v>1168</v>
      </c>
      <c r="P576" s="538">
        <v>3012.97</v>
      </c>
      <c r="Q576" s="538"/>
      <c r="R576" s="538">
        <f t="shared" ref="R576" si="224">SUM(P576:Q576)</f>
        <v>3012.97</v>
      </c>
      <c r="S576" s="495">
        <f t="shared" ref="S576" si="225">R576*1.1</f>
        <v>3314.2669999999998</v>
      </c>
      <c r="T576" s="539"/>
      <c r="U576" s="539"/>
      <c r="V576" s="389">
        <f t="shared" ref="V576" si="226">SUM(T576:U576)</f>
        <v>0</v>
      </c>
      <c r="W576" s="388">
        <f t="shared" ref="W576" si="227">R576-V576</f>
        <v>3012.97</v>
      </c>
      <c r="X576" s="589">
        <f t="shared" ref="X576" si="228">W576/R576</f>
        <v>1</v>
      </c>
      <c r="Y576" s="544"/>
      <c r="Z576" s="536">
        <f t="shared" si="222"/>
        <v>43387</v>
      </c>
      <c r="AA576" s="544"/>
      <c r="AB576" s="393" t="s">
        <v>220</v>
      </c>
      <c r="AC576" s="392">
        <v>43251</v>
      </c>
      <c r="AD576" s="392">
        <v>43292</v>
      </c>
      <c r="AE576" s="689">
        <f t="shared" si="223"/>
        <v>41</v>
      </c>
      <c r="AF576" s="392">
        <v>43349</v>
      </c>
      <c r="AG576" s="546">
        <f t="shared" si="214"/>
        <v>57</v>
      </c>
      <c r="AJ576" s="553"/>
    </row>
    <row r="577" spans="1:37" s="218" customFormat="1" ht="14.25" customHeight="1">
      <c r="A577" s="586"/>
      <c r="B577" s="545"/>
      <c r="C577" s="386"/>
      <c r="D577" s="386"/>
      <c r="E577" s="392"/>
      <c r="F577" s="536"/>
      <c r="G577" s="601"/>
      <c r="H577" s="752"/>
      <c r="I577" s="601"/>
      <c r="J577" s="601"/>
      <c r="K577" s="386"/>
      <c r="L577" s="392"/>
      <c r="M577" s="392"/>
      <c r="N577" s="397"/>
      <c r="O577" s="418"/>
      <c r="P577" s="538"/>
      <c r="Q577" s="538"/>
      <c r="R577" s="538"/>
      <c r="S577" s="495"/>
      <c r="T577" s="539"/>
      <c r="U577" s="539"/>
      <c r="V577" s="409"/>
      <c r="W577" s="408"/>
      <c r="X577" s="602"/>
      <c r="Y577" s="544"/>
      <c r="Z577" s="536"/>
      <c r="AA577" s="544"/>
      <c r="AB577" s="393"/>
      <c r="AC577" s="392"/>
      <c r="AD577" s="392"/>
      <c r="AE577" s="550"/>
      <c r="AF577" s="392"/>
      <c r="AG577" s="546"/>
      <c r="AJ577" s="553"/>
    </row>
    <row r="578" spans="1:37" s="218" customFormat="1" ht="14.25" customHeight="1">
      <c r="A578" s="545"/>
      <c r="B578" s="545"/>
      <c r="C578" s="386"/>
      <c r="D578" s="386"/>
      <c r="E578" s="392"/>
      <c r="F578" s="536"/>
      <c r="G578" s="601"/>
      <c r="H578" s="752"/>
      <c r="I578" s="601"/>
      <c r="J578" s="601"/>
      <c r="K578" s="386"/>
      <c r="L578" s="392"/>
      <c r="M578" s="392"/>
      <c r="N578" s="397"/>
      <c r="O578" s="418"/>
      <c r="P578" s="538"/>
      <c r="Q578" s="538"/>
      <c r="R578" s="538"/>
      <c r="S578" s="495"/>
      <c r="T578" s="539"/>
      <c r="U578" s="539"/>
      <c r="V578" s="409"/>
      <c r="W578" s="408"/>
      <c r="X578" s="602"/>
      <c r="Y578" s="544"/>
      <c r="Z578" s="536"/>
      <c r="AA578" s="544"/>
      <c r="AB578" s="393"/>
      <c r="AC578" s="392"/>
      <c r="AD578" s="392"/>
      <c r="AE578" s="550"/>
      <c r="AF578" s="392"/>
      <c r="AG578" s="546"/>
      <c r="AJ578" s="553"/>
    </row>
    <row r="579" spans="1:37" s="218" customFormat="1" ht="14.25" customHeight="1">
      <c r="A579" s="545"/>
      <c r="B579" s="545"/>
      <c r="C579" s="386"/>
      <c r="D579" s="386"/>
      <c r="E579" s="392"/>
      <c r="F579" s="536"/>
      <c r="G579" s="601"/>
      <c r="H579" s="752"/>
      <c r="I579" s="601"/>
      <c r="J579" s="601"/>
      <c r="K579" s="386"/>
      <c r="L579" s="392"/>
      <c r="M579" s="392"/>
      <c r="N579" s="397"/>
      <c r="O579" s="418"/>
      <c r="P579" s="538"/>
      <c r="Q579" s="538"/>
      <c r="R579" s="538"/>
      <c r="S579" s="495"/>
      <c r="T579" s="539"/>
      <c r="U579" s="539"/>
      <c r="V579" s="409"/>
      <c r="W579" s="408"/>
      <c r="X579" s="602"/>
      <c r="Y579" s="544"/>
      <c r="Z579" s="536"/>
      <c r="AA579" s="544"/>
      <c r="AB579" s="393"/>
      <c r="AC579" s="392"/>
      <c r="AD579" s="392"/>
      <c r="AE579" s="550"/>
      <c r="AF579" s="392"/>
      <c r="AG579" s="546"/>
      <c r="AJ579" s="553"/>
    </row>
    <row r="580" spans="1:37" s="218" customFormat="1" ht="14.25" customHeight="1">
      <c r="A580" s="545"/>
      <c r="B580" s="545"/>
      <c r="C580" s="386"/>
      <c r="D580" s="386"/>
      <c r="E580" s="392"/>
      <c r="F580" s="536"/>
      <c r="G580" s="601"/>
      <c r="H580" s="752"/>
      <c r="I580" s="601"/>
      <c r="J580" s="601"/>
      <c r="K580" s="386"/>
      <c r="L580" s="392"/>
      <c r="M580" s="392"/>
      <c r="N580" s="397"/>
      <c r="O580" s="418"/>
      <c r="P580" s="538"/>
      <c r="Q580" s="538"/>
      <c r="R580" s="538"/>
      <c r="S580" s="495"/>
      <c r="T580" s="539"/>
      <c r="U580" s="539"/>
      <c r="V580" s="409"/>
      <c r="W580" s="408"/>
      <c r="X580" s="602"/>
      <c r="Y580" s="544"/>
      <c r="Z580" s="536"/>
      <c r="AA580" s="544"/>
      <c r="AB580" s="393"/>
      <c r="AC580" s="392"/>
      <c r="AD580" s="392"/>
      <c r="AE580" s="550"/>
      <c r="AF580" s="392"/>
      <c r="AG580" s="546"/>
      <c r="AJ580" s="553"/>
    </row>
    <row r="581" spans="1:37" s="218" customFormat="1" ht="14.25" customHeight="1">
      <c r="A581" s="545"/>
      <c r="B581" s="545"/>
      <c r="C581" s="386"/>
      <c r="D581" s="386"/>
      <c r="E581" s="392"/>
      <c r="F581" s="536"/>
      <c r="G581" s="601"/>
      <c r="H581" s="752"/>
      <c r="I581" s="601"/>
      <c r="J581" s="601"/>
      <c r="K581" s="386"/>
      <c r="L581" s="392"/>
      <c r="M581" s="392"/>
      <c r="N581" s="397"/>
      <c r="O581" s="418"/>
      <c r="P581" s="538"/>
      <c r="Q581" s="538"/>
      <c r="R581" s="538"/>
      <c r="S581" s="495"/>
      <c r="T581" s="539"/>
      <c r="U581" s="539"/>
      <c r="V581" s="409"/>
      <c r="W581" s="408"/>
      <c r="X581" s="602"/>
      <c r="Y581" s="544"/>
      <c r="Z581" s="536"/>
      <c r="AA581" s="544"/>
      <c r="AB581" s="393"/>
      <c r="AC581" s="392"/>
      <c r="AD581" s="392"/>
      <c r="AE581" s="550"/>
      <c r="AF581" s="392"/>
      <c r="AG581" s="546"/>
      <c r="AJ581" s="553"/>
    </row>
    <row r="582" spans="1:37" s="218" customFormat="1" ht="14.25" customHeight="1">
      <c r="A582" s="545"/>
      <c r="B582" s="545"/>
      <c r="C582" s="386"/>
      <c r="D582" s="386"/>
      <c r="E582" s="392"/>
      <c r="F582" s="536"/>
      <c r="G582" s="601"/>
      <c r="H582" s="752"/>
      <c r="I582" s="601"/>
      <c r="J582" s="601"/>
      <c r="K582" s="386"/>
      <c r="L582" s="392"/>
      <c r="M582" s="392"/>
      <c r="N582" s="397"/>
      <c r="O582" s="418"/>
      <c r="P582" s="538"/>
      <c r="Q582" s="538"/>
      <c r="R582" s="538"/>
      <c r="S582" s="495"/>
      <c r="T582" s="539"/>
      <c r="U582" s="539"/>
      <c r="V582" s="409"/>
      <c r="W582" s="408"/>
      <c r="X582" s="602"/>
      <c r="Y582" s="544"/>
      <c r="Z582" s="536"/>
      <c r="AA582" s="544"/>
      <c r="AB582" s="393"/>
      <c r="AC582" s="392"/>
      <c r="AD582" s="392"/>
      <c r="AE582" s="550"/>
      <c r="AF582" s="392"/>
      <c r="AG582" s="546"/>
      <c r="AJ582" s="553"/>
    </row>
    <row r="583" spans="1:37" s="218" customFormat="1" ht="14.25" customHeight="1" thickBot="1">
      <c r="A583" s="545"/>
      <c r="B583" s="545"/>
      <c r="C583" s="386"/>
      <c r="D583" s="386"/>
      <c r="E583" s="392"/>
      <c r="F583" s="612"/>
      <c r="G583" s="762"/>
      <c r="H583" s="763"/>
      <c r="I583" s="601"/>
      <c r="J583" s="617"/>
      <c r="K583" s="397"/>
      <c r="L583" s="392"/>
      <c r="M583" s="392"/>
      <c r="N583" s="397"/>
      <c r="O583" s="418"/>
      <c r="P583" s="604">
        <f t="shared" ref="P583:U583" si="229">SUM(P2:P582)</f>
        <v>2769146.8506100001</v>
      </c>
      <c r="Q583" s="604">
        <f t="shared" si="229"/>
        <v>1425859.5521456583</v>
      </c>
      <c r="R583" s="604">
        <f t="shared" si="229"/>
        <v>4195294.4027556572</v>
      </c>
      <c r="S583" s="604">
        <f t="shared" si="229"/>
        <v>4614823.8430312267</v>
      </c>
      <c r="T583" s="604">
        <f t="shared" si="229"/>
        <v>1339260.7391136358</v>
      </c>
      <c r="U583" s="604">
        <f t="shared" si="229"/>
        <v>38780.697030000003</v>
      </c>
      <c r="V583" s="604">
        <f>SUM(V2:V464)</f>
        <v>1245603.8953936363</v>
      </c>
      <c r="W583" s="604">
        <f>SUM(W2:W464)</f>
        <v>2311436.4803263107</v>
      </c>
      <c r="X583" s="605">
        <f>AVERAGE(X2:X464)</f>
        <v>0.70801175624430845</v>
      </c>
      <c r="Y583" s="544"/>
      <c r="Z583" s="392"/>
      <c r="AA583" s="544"/>
      <c r="AB583" s="442"/>
      <c r="AC583" s="392"/>
      <c r="AD583" s="392"/>
      <c r="AE583" s="545"/>
      <c r="AF583" s="392"/>
      <c r="AG583" s="546"/>
      <c r="AJ583" s="553"/>
    </row>
    <row r="584" spans="1:37" s="218" customFormat="1" ht="14.7" thickTop="1">
      <c r="A584" s="374"/>
      <c r="B584" s="374"/>
      <c r="D584" s="374"/>
      <c r="E584" s="377"/>
      <c r="F584" s="557"/>
      <c r="G584" s="764"/>
      <c r="H584" s="765"/>
      <c r="I584" s="766"/>
      <c r="J584" s="767"/>
      <c r="N584" s="218" t="s">
        <v>16</v>
      </c>
      <c r="O584" s="547"/>
      <c r="P584" s="547"/>
      <c r="Q584" s="547"/>
      <c r="R584" s="547"/>
      <c r="S584" s="547"/>
      <c r="T584" s="377"/>
      <c r="V584" s="44"/>
      <c r="W584" s="377"/>
      <c r="X584" s="374"/>
      <c r="Z584" s="374"/>
      <c r="AB584" s="374"/>
      <c r="AC584" s="374"/>
      <c r="AD584" s="374"/>
      <c r="AE584" s="557"/>
      <c r="AF584" s="557"/>
      <c r="AJ584" s="553"/>
    </row>
    <row r="585" spans="1:37" s="218" customFormat="1">
      <c r="A585" s="374"/>
      <c r="B585" s="374"/>
      <c r="D585" s="374"/>
      <c r="E585" s="377"/>
      <c r="Z585" s="374"/>
      <c r="AB585" s="374"/>
      <c r="AC585" s="374"/>
      <c r="AD585" s="374"/>
      <c r="AE585" s="557"/>
      <c r="AF585" s="557"/>
      <c r="AJ585" s="553"/>
    </row>
    <row r="586" spans="1:37" s="218" customFormat="1">
      <c r="A586" s="374"/>
      <c r="B586" s="374"/>
      <c r="D586" s="374"/>
      <c r="E586" s="377"/>
      <c r="Z586" s="374"/>
      <c r="AB586" s="374"/>
      <c r="AC586" s="374"/>
      <c r="AD586" s="374"/>
      <c r="AE586" s="557"/>
      <c r="AF586" s="557"/>
      <c r="AJ586" s="553"/>
    </row>
    <row r="587" spans="1:37" s="218" customFormat="1">
      <c r="A587" s="374"/>
      <c r="B587" s="374"/>
      <c r="D587" s="374"/>
      <c r="E587" s="377"/>
      <c r="Y587" s="374"/>
      <c r="AA587" s="374"/>
      <c r="AC587" s="374"/>
      <c r="AD587" s="374"/>
      <c r="AE587" s="374"/>
      <c r="AF587" s="557"/>
      <c r="AG587" s="557"/>
      <c r="AK587" s="553"/>
    </row>
    <row r="588" spans="1:37" s="218" customFormat="1">
      <c r="A588" s="374"/>
      <c r="B588" s="374"/>
      <c r="D588" s="374"/>
      <c r="E588" s="374"/>
      <c r="Y588" s="374"/>
      <c r="AA588" s="374"/>
      <c r="AC588" s="374"/>
      <c r="AD588" s="374"/>
      <c r="AE588" s="374"/>
      <c r="AF588" s="557"/>
      <c r="AG588" s="557"/>
      <c r="AK588" s="553"/>
    </row>
    <row r="589" spans="1:37" s="218" customFormat="1">
      <c r="A589" s="374"/>
      <c r="B589" s="374"/>
      <c r="D589" s="555"/>
      <c r="E589" s="554"/>
      <c r="Y589" s="374"/>
      <c r="AA589" s="374"/>
      <c r="AC589" s="374"/>
      <c r="AD589" s="374"/>
      <c r="AE589" s="374"/>
      <c r="AF589" s="374"/>
      <c r="AG589" s="374"/>
      <c r="AK589" s="553"/>
    </row>
    <row r="590" spans="1:37" s="218" customFormat="1">
      <c r="A590" s="374"/>
      <c r="B590" s="374"/>
      <c r="D590" s="555"/>
      <c r="E590" s="554"/>
      <c r="Y590" s="374"/>
      <c r="AA590" s="374"/>
      <c r="AC590" s="374" t="s">
        <v>16</v>
      </c>
      <c r="AD590" s="374"/>
      <c r="AE590" s="374"/>
      <c r="AF590" s="374"/>
      <c r="AG590" s="374"/>
      <c r="AK590" s="553"/>
    </row>
    <row r="591" spans="1:37" s="218" customFormat="1">
      <c r="A591" s="374"/>
      <c r="B591" s="374"/>
      <c r="D591" s="374"/>
      <c r="E591" s="377"/>
      <c r="Y591" s="374"/>
      <c r="AA591" s="374"/>
      <c r="AC591" s="374"/>
      <c r="AD591" s="374"/>
      <c r="AE591" s="374"/>
      <c r="AF591" s="374"/>
      <c r="AG591" s="374"/>
      <c r="AK591" s="553"/>
    </row>
    <row r="592" spans="1:37" s="218" customFormat="1">
      <c r="A592" s="374"/>
      <c r="B592" s="374"/>
      <c r="D592" s="374"/>
      <c r="E592" s="377"/>
      <c r="Y592" s="374"/>
      <c r="AA592" s="374"/>
      <c r="AC592" s="374"/>
      <c r="AD592" s="374"/>
      <c r="AE592" s="374"/>
      <c r="AF592" s="557"/>
      <c r="AG592" s="557"/>
      <c r="AK592" s="553"/>
    </row>
    <row r="593" spans="1:37" s="218" customFormat="1">
      <c r="A593" s="374"/>
      <c r="B593" s="374"/>
      <c r="D593" s="374"/>
      <c r="E593" s="377"/>
      <c r="Y593" s="374"/>
      <c r="AA593" s="374"/>
      <c r="AC593" s="374"/>
      <c r="AD593" s="374"/>
      <c r="AE593" s="374"/>
      <c r="AF593" s="557"/>
      <c r="AG593" s="557"/>
      <c r="AK593" s="553"/>
    </row>
    <row r="594" spans="1:37" s="218" customFormat="1">
      <c r="A594" s="374"/>
      <c r="B594" s="374"/>
      <c r="D594" s="374"/>
      <c r="E594" s="377"/>
      <c r="Y594" s="374"/>
      <c r="AA594" s="374"/>
      <c r="AC594" s="374"/>
      <c r="AD594" s="374"/>
      <c r="AE594" s="374"/>
      <c r="AF594" s="557"/>
      <c r="AG594" s="557"/>
      <c r="AK594" s="553"/>
    </row>
    <row r="595" spans="1:37" s="218" customFormat="1">
      <c r="A595" s="374"/>
      <c r="B595" s="374"/>
      <c r="D595" s="374"/>
      <c r="E595" s="377"/>
      <c r="Y595" s="374"/>
      <c r="AA595" s="374"/>
      <c r="AC595" s="374"/>
      <c r="AD595" s="374"/>
      <c r="AE595" s="374"/>
      <c r="AF595" s="557"/>
      <c r="AG595" s="557"/>
      <c r="AK595" s="553"/>
    </row>
    <row r="596" spans="1:37" s="218" customFormat="1">
      <c r="A596" s="374"/>
      <c r="B596" s="374"/>
      <c r="D596" s="374"/>
      <c r="E596" s="377"/>
      <c r="Y596" s="374"/>
      <c r="AA596" s="374"/>
      <c r="AC596" s="374"/>
      <c r="AD596" s="374"/>
      <c r="AE596" s="374"/>
      <c r="AF596" s="557"/>
      <c r="AG596" s="557"/>
      <c r="AK596" s="553"/>
    </row>
    <row r="597" spans="1:37" s="218" customFormat="1">
      <c r="A597" s="374"/>
      <c r="B597" s="374"/>
      <c r="D597" s="374"/>
      <c r="E597" s="377"/>
      <c r="Y597" s="374"/>
      <c r="AA597" s="374"/>
      <c r="AC597" s="374"/>
      <c r="AD597" s="374"/>
      <c r="AE597" s="374"/>
      <c r="AF597" s="557"/>
      <c r="AG597" s="557"/>
      <c r="AK597" s="553"/>
    </row>
    <row r="598" spans="1:37" s="218" customFormat="1">
      <c r="A598" s="374"/>
      <c r="B598" s="374"/>
      <c r="D598" s="374"/>
      <c r="E598" s="377"/>
      <c r="Y598" s="374"/>
      <c r="AA598" s="374"/>
      <c r="AC598" s="374"/>
      <c r="AD598" s="374"/>
      <c r="AE598" s="374"/>
      <c r="AF598" s="557"/>
      <c r="AG598" s="557"/>
      <c r="AK598" s="553"/>
    </row>
    <row r="599" spans="1:37" s="218" customFormat="1">
      <c r="A599" s="374"/>
      <c r="B599" s="374"/>
      <c r="D599" s="374"/>
      <c r="E599" s="377"/>
      <c r="Y599" s="374"/>
      <c r="AA599" s="374"/>
      <c r="AC599" s="374"/>
      <c r="AD599" s="374"/>
      <c r="AE599" s="374"/>
      <c r="AF599" s="557"/>
      <c r="AG599" s="557"/>
      <c r="AK599" s="553"/>
    </row>
    <row r="600" spans="1:37" s="218" customFormat="1">
      <c r="A600" s="374"/>
      <c r="B600" s="374"/>
      <c r="D600" s="374"/>
      <c r="E600" s="377"/>
      <c r="Y600" s="374"/>
      <c r="AA600" s="374"/>
      <c r="AC600" s="374"/>
      <c r="AD600" s="374"/>
      <c r="AE600" s="374"/>
      <c r="AF600" s="557"/>
      <c r="AG600" s="557"/>
      <c r="AK600" s="553"/>
    </row>
    <row r="601" spans="1:37" s="218" customFormat="1">
      <c r="A601" s="374"/>
      <c r="B601" s="374"/>
      <c r="D601" s="374"/>
      <c r="E601" s="374"/>
      <c r="Y601" s="374"/>
      <c r="AA601" s="374"/>
      <c r="AC601" s="374"/>
      <c r="AD601" s="374"/>
      <c r="AE601" s="374"/>
      <c r="AF601" s="557"/>
      <c r="AG601" s="557"/>
      <c r="AK601" s="553"/>
    </row>
    <row r="602" spans="1:37" s="218" customFormat="1">
      <c r="A602" s="374"/>
      <c r="B602" s="374"/>
      <c r="D602" s="374"/>
      <c r="E602" s="374"/>
      <c r="Y602" s="374"/>
      <c r="AA602" s="374"/>
      <c r="AC602" s="374"/>
      <c r="AD602" s="374"/>
      <c r="AE602" s="374"/>
      <c r="AF602" s="374"/>
      <c r="AG602" s="374"/>
      <c r="AK602" s="553"/>
    </row>
    <row r="603" spans="1:37" s="218" customFormat="1">
      <c r="A603" s="374"/>
      <c r="B603" s="374"/>
      <c r="D603" s="555"/>
      <c r="E603" s="619"/>
      <c r="Y603" s="374"/>
      <c r="AA603" s="374"/>
      <c r="AC603" s="374"/>
      <c r="AD603" s="374"/>
      <c r="AE603" s="374"/>
      <c r="AF603" s="374"/>
      <c r="AG603" s="374"/>
      <c r="AK603" s="553"/>
    </row>
    <row r="604" spans="1:37" s="218" customFormat="1">
      <c r="A604" s="374"/>
      <c r="B604" s="374"/>
      <c r="D604" s="555"/>
      <c r="E604" s="619"/>
      <c r="Y604" s="374"/>
      <c r="AA604" s="374"/>
      <c r="AC604" s="374"/>
      <c r="AD604" s="374"/>
      <c r="AE604" s="374"/>
      <c r="AF604" s="374"/>
      <c r="AG604" s="374"/>
      <c r="AK604" s="553"/>
    </row>
    <row r="605" spans="1:37" s="218" customFormat="1">
      <c r="A605" s="374"/>
      <c r="B605" s="374"/>
      <c r="D605" s="374"/>
      <c r="E605" s="620"/>
      <c r="Y605" s="374"/>
      <c r="AA605" s="374"/>
      <c r="AC605" s="374"/>
      <c r="AD605" s="374"/>
      <c r="AE605" s="374"/>
      <c r="AF605" s="374"/>
      <c r="AG605" s="374"/>
      <c r="AK605" s="553"/>
    </row>
    <row r="606" spans="1:37" s="218" customFormat="1">
      <c r="A606" s="374"/>
      <c r="B606" s="374"/>
      <c r="D606" s="374"/>
      <c r="E606" s="620"/>
      <c r="Y606" s="374"/>
      <c r="AA606" s="374"/>
      <c r="AC606" s="374"/>
      <c r="AD606" s="374"/>
      <c r="AE606" s="374"/>
      <c r="AF606" s="374"/>
      <c r="AG606" s="374"/>
      <c r="AK606" s="553"/>
    </row>
    <row r="607" spans="1:37" s="218" customFormat="1">
      <c r="A607" s="374"/>
      <c r="B607" s="374"/>
      <c r="D607" s="374"/>
      <c r="E607" s="620"/>
      <c r="Y607" s="374"/>
      <c r="AA607" s="374"/>
      <c r="AC607" s="374"/>
      <c r="AD607" s="374"/>
      <c r="AE607" s="374"/>
      <c r="AF607" s="374"/>
      <c r="AG607" s="374"/>
      <c r="AK607" s="553"/>
    </row>
    <row r="608" spans="1:37" s="218" customFormat="1">
      <c r="A608" s="377"/>
      <c r="B608" s="377"/>
      <c r="C608" s="377"/>
      <c r="D608" s="374"/>
      <c r="E608" s="377"/>
      <c r="Y608" s="374"/>
      <c r="AA608" s="374"/>
      <c r="AC608" s="374"/>
      <c r="AD608" s="374"/>
      <c r="AE608" s="374"/>
      <c r="AF608" s="374"/>
      <c r="AG608" s="374"/>
      <c r="AK608" s="553"/>
    </row>
    <row r="609" spans="4:51" s="377" customFormat="1">
      <c r="D609" s="374"/>
      <c r="Y609" s="374"/>
      <c r="Z609" s="218"/>
      <c r="AA609" s="374"/>
      <c r="AB609" s="218"/>
      <c r="AC609" s="374"/>
      <c r="AD609" s="374"/>
      <c r="AE609" s="374"/>
      <c r="AF609" s="374"/>
      <c r="AG609" s="374"/>
      <c r="AH609" s="218"/>
      <c r="AI609" s="218"/>
      <c r="AJ609" s="218"/>
      <c r="AK609" s="553"/>
      <c r="AL609" s="218"/>
      <c r="AM609" s="218"/>
      <c r="AN609" s="218"/>
      <c r="AO609" s="218"/>
      <c r="AP609" s="218"/>
      <c r="AQ609" s="218"/>
      <c r="AR609" s="218"/>
      <c r="AS609" s="218"/>
      <c r="AT609" s="218"/>
      <c r="AU609" s="218"/>
      <c r="AV609" s="218"/>
      <c r="AW609" s="218"/>
      <c r="AX609" s="218"/>
      <c r="AY609" s="218"/>
    </row>
    <row r="610" spans="4:51" s="377" customFormat="1">
      <c r="D610" s="374"/>
      <c r="E610" s="374"/>
      <c r="Y610" s="374"/>
      <c r="Z610" s="218"/>
      <c r="AA610" s="374"/>
      <c r="AB610" s="218"/>
      <c r="AC610" s="374"/>
      <c r="AD610" s="374"/>
      <c r="AE610" s="374"/>
      <c r="AF610" s="374"/>
      <c r="AG610" s="374"/>
      <c r="AH610" s="218"/>
      <c r="AI610" s="218"/>
      <c r="AJ610" s="218"/>
      <c r="AK610" s="553"/>
      <c r="AL610" s="218"/>
      <c r="AM610" s="218"/>
      <c r="AN610" s="218"/>
      <c r="AO610" s="218"/>
      <c r="AP610" s="218"/>
      <c r="AQ610" s="218"/>
      <c r="AR610" s="218"/>
      <c r="AS610" s="218"/>
      <c r="AT610" s="218"/>
      <c r="AU610" s="218"/>
      <c r="AV610" s="218"/>
      <c r="AW610" s="218"/>
      <c r="AX610" s="218"/>
      <c r="AY610" s="218"/>
    </row>
    <row r="611" spans="4:51" s="377" customFormat="1">
      <c r="D611" s="555"/>
      <c r="Y611" s="374"/>
      <c r="Z611" s="218"/>
      <c r="AA611" s="374"/>
      <c r="AB611" s="218"/>
      <c r="AC611" s="374"/>
      <c r="AD611" s="374"/>
      <c r="AE611" s="374"/>
      <c r="AF611" s="374"/>
      <c r="AG611" s="374"/>
      <c r="AH611" s="218"/>
      <c r="AI611" s="218"/>
      <c r="AJ611" s="218"/>
      <c r="AK611" s="553"/>
      <c r="AL611" s="218"/>
      <c r="AM611" s="218"/>
      <c r="AN611" s="218"/>
      <c r="AO611" s="218"/>
      <c r="AP611" s="218"/>
      <c r="AQ611" s="218"/>
      <c r="AR611" s="218"/>
      <c r="AS611" s="218"/>
      <c r="AT611" s="218"/>
      <c r="AU611" s="218"/>
      <c r="AV611" s="218"/>
      <c r="AW611" s="218"/>
      <c r="AX611" s="218"/>
      <c r="AY611" s="218"/>
    </row>
    <row r="612" spans="4:51" s="377" customFormat="1">
      <c r="D612" s="555"/>
      <c r="E612" s="619"/>
      <c r="Y612" s="374"/>
      <c r="Z612" s="218"/>
      <c r="AA612" s="374"/>
      <c r="AB612" s="218"/>
      <c r="AC612" s="374"/>
      <c r="AD612" s="374"/>
      <c r="AE612" s="374"/>
      <c r="AF612" s="374"/>
      <c r="AG612" s="374"/>
      <c r="AH612" s="218"/>
      <c r="AI612" s="218"/>
      <c r="AJ612" s="218"/>
      <c r="AK612" s="553"/>
      <c r="AL612" s="218"/>
      <c r="AM612" s="218"/>
      <c r="AN612" s="218"/>
      <c r="AO612" s="218"/>
      <c r="AP612" s="218"/>
      <c r="AQ612" s="218"/>
      <c r="AR612" s="218"/>
      <c r="AS612" s="218"/>
      <c r="AT612" s="218"/>
      <c r="AU612" s="218"/>
      <c r="AV612" s="218"/>
      <c r="AW612" s="218"/>
      <c r="AX612" s="218"/>
      <c r="AY612" s="218"/>
    </row>
    <row r="613" spans="4:51" s="377" customFormat="1">
      <c r="D613" s="374"/>
      <c r="Y613" s="374"/>
      <c r="Z613" s="218"/>
      <c r="AA613" s="374"/>
      <c r="AB613" s="218"/>
      <c r="AC613" s="374"/>
      <c r="AD613" s="374"/>
      <c r="AE613" s="374"/>
      <c r="AF613" s="374"/>
      <c r="AG613" s="374"/>
      <c r="AH613" s="218"/>
      <c r="AI613" s="218"/>
      <c r="AJ613" s="218"/>
      <c r="AK613" s="553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</row>
    <row r="614" spans="4:51" s="377" customFormat="1">
      <c r="D614" s="374"/>
      <c r="Y614" s="374"/>
      <c r="Z614" s="218"/>
      <c r="AA614" s="374"/>
      <c r="AB614" s="218"/>
      <c r="AC614" s="374"/>
      <c r="AD614" s="374"/>
      <c r="AE614" s="374"/>
      <c r="AF614" s="374"/>
      <c r="AG614" s="374"/>
      <c r="AH614" s="218"/>
      <c r="AI614" s="218"/>
      <c r="AJ614" s="218"/>
      <c r="AK614" s="553"/>
      <c r="AL614" s="218"/>
      <c r="AM614" s="218"/>
      <c r="AN614" s="218"/>
      <c r="AO614" s="218"/>
      <c r="AP614" s="218"/>
      <c r="AQ614" s="218"/>
      <c r="AR614" s="218"/>
      <c r="AS614" s="218"/>
      <c r="AT614" s="218"/>
      <c r="AU614" s="218"/>
      <c r="AV614" s="218"/>
      <c r="AW614" s="218"/>
      <c r="AX614" s="218"/>
      <c r="AY614" s="218"/>
    </row>
    <row r="615" spans="4:51" s="377" customFormat="1">
      <c r="D615" s="374"/>
      <c r="Y615" s="218"/>
      <c r="Z615" s="374"/>
      <c r="AA615" s="218"/>
      <c r="AB615" s="374"/>
      <c r="AC615" s="374"/>
      <c r="AD615" s="374"/>
      <c r="AE615" s="374"/>
      <c r="AF615" s="374"/>
      <c r="AG615" s="218"/>
      <c r="AH615" s="218"/>
      <c r="AI615" s="218"/>
      <c r="AJ615" s="553"/>
      <c r="AK615" s="218"/>
      <c r="AL615" s="218"/>
      <c r="AM615" s="218"/>
      <c r="AN615" s="218"/>
      <c r="AO615" s="218"/>
      <c r="AP615" s="218"/>
      <c r="AQ615" s="218"/>
      <c r="AR615" s="218"/>
      <c r="AS615" s="218"/>
      <c r="AT615" s="218"/>
      <c r="AU615" s="218"/>
      <c r="AV615" s="218"/>
      <c r="AW615" s="218"/>
      <c r="AX615" s="218"/>
    </row>
    <row r="616" spans="4:51" s="377" customFormat="1">
      <c r="D616" s="374"/>
      <c r="Y616" s="218"/>
      <c r="Z616" s="374"/>
      <c r="AA616" s="218"/>
      <c r="AB616" s="374"/>
      <c r="AC616" s="374"/>
      <c r="AD616" s="374"/>
      <c r="AE616" s="374"/>
      <c r="AF616" s="374"/>
      <c r="AG616" s="218"/>
      <c r="AH616" s="218"/>
      <c r="AI616" s="218"/>
      <c r="AJ616" s="553"/>
      <c r="AK616" s="218"/>
      <c r="AL616" s="218"/>
      <c r="AM616" s="218"/>
      <c r="AN616" s="218"/>
      <c r="AO616" s="218"/>
      <c r="AP616" s="218"/>
      <c r="AQ616" s="218"/>
      <c r="AR616" s="218"/>
      <c r="AS616" s="218"/>
      <c r="AT616" s="218"/>
      <c r="AU616" s="218"/>
      <c r="AV616" s="218"/>
      <c r="AW616" s="218"/>
      <c r="AX616" s="218"/>
    </row>
    <row r="617" spans="4:51" s="377" customFormat="1">
      <c r="D617" s="374"/>
      <c r="Y617" s="218"/>
      <c r="Z617" s="374"/>
      <c r="AA617" s="218"/>
      <c r="AB617" s="374"/>
      <c r="AC617" s="374"/>
      <c r="AD617" s="374"/>
      <c r="AE617" s="374"/>
      <c r="AF617" s="374"/>
      <c r="AG617" s="218"/>
      <c r="AH617" s="218"/>
      <c r="AI617" s="218"/>
      <c r="AJ617" s="553"/>
      <c r="AK617" s="218"/>
      <c r="AL617" s="218"/>
      <c r="AM617" s="218"/>
      <c r="AN617" s="218"/>
      <c r="AO617" s="218"/>
      <c r="AP617" s="218"/>
      <c r="AQ617" s="218"/>
      <c r="AR617" s="218"/>
      <c r="AS617" s="218"/>
      <c r="AT617" s="218"/>
      <c r="AU617" s="218"/>
      <c r="AV617" s="218"/>
      <c r="AW617" s="218"/>
      <c r="AX617" s="218"/>
    </row>
    <row r="618" spans="4:51" s="377" customFormat="1">
      <c r="D618" s="374"/>
      <c r="Y618" s="218"/>
      <c r="Z618" s="374"/>
      <c r="AA618" s="218"/>
      <c r="AB618" s="374"/>
      <c r="AC618" s="374"/>
      <c r="AD618" s="374"/>
      <c r="AE618" s="374"/>
      <c r="AF618" s="374"/>
      <c r="AG618" s="218"/>
      <c r="AH618" s="218"/>
      <c r="AI618" s="218"/>
      <c r="AJ618" s="553"/>
      <c r="AK618" s="218"/>
      <c r="AL618" s="218"/>
      <c r="AM618" s="218"/>
      <c r="AN618" s="218"/>
      <c r="AO618" s="218"/>
      <c r="AP618" s="218"/>
      <c r="AQ618" s="218"/>
      <c r="AR618" s="218"/>
      <c r="AS618" s="218"/>
      <c r="AT618" s="218"/>
      <c r="AU618" s="218"/>
      <c r="AV618" s="218"/>
      <c r="AW618" s="218"/>
      <c r="AX618" s="218"/>
    </row>
    <row r="619" spans="4:51" s="377" customFormat="1">
      <c r="D619" s="374"/>
      <c r="Y619" s="218"/>
      <c r="Z619" s="374"/>
      <c r="AA619" s="218"/>
      <c r="AB619" s="374"/>
      <c r="AC619" s="374"/>
      <c r="AD619" s="374"/>
      <c r="AE619" s="374"/>
      <c r="AF619" s="374"/>
      <c r="AG619" s="218"/>
      <c r="AH619" s="218"/>
      <c r="AI619" s="218"/>
      <c r="AJ619" s="553"/>
    </row>
    <row r="620" spans="4:51" s="377" customFormat="1">
      <c r="D620" s="374"/>
      <c r="Y620" s="218"/>
      <c r="Z620" s="374"/>
      <c r="AA620" s="218"/>
      <c r="AB620" s="374"/>
      <c r="AC620" s="374"/>
      <c r="AD620" s="374"/>
      <c r="AE620" s="374"/>
      <c r="AF620" s="374"/>
      <c r="AG620" s="218"/>
      <c r="AH620" s="218"/>
      <c r="AI620" s="218"/>
      <c r="AJ620" s="553"/>
    </row>
    <row r="621" spans="4:51" s="377" customFormat="1" ht="14.35">
      <c r="D621" s="374"/>
      <c r="F621" s="557"/>
      <c r="G621" s="764"/>
      <c r="H621" s="765"/>
      <c r="I621" s="766"/>
      <c r="J621" s="767"/>
      <c r="K621" s="218"/>
      <c r="L621" s="218"/>
      <c r="M621" s="218"/>
      <c r="N621" s="228"/>
      <c r="O621" s="113"/>
      <c r="P621" s="547"/>
      <c r="Q621" s="547"/>
      <c r="R621" s="547"/>
      <c r="S621" s="547"/>
      <c r="U621" s="218"/>
      <c r="X621" s="374"/>
      <c r="Y621" s="218"/>
      <c r="Z621" s="374"/>
      <c r="AA621" s="218"/>
      <c r="AB621" s="374"/>
      <c r="AC621" s="374"/>
      <c r="AD621" s="374"/>
      <c r="AE621" s="374"/>
      <c r="AF621" s="374"/>
      <c r="AG621" s="218"/>
      <c r="AH621" s="218"/>
      <c r="AI621" s="218"/>
      <c r="AJ621" s="553"/>
    </row>
    <row r="622" spans="4:51" s="377" customFormat="1" ht="14.35">
      <c r="D622" s="556"/>
      <c r="F622" s="557"/>
      <c r="G622" s="764"/>
      <c r="H622" s="765"/>
      <c r="I622" s="766"/>
      <c r="J622" s="767"/>
      <c r="K622" s="218"/>
      <c r="L622" s="218"/>
      <c r="M622" s="218"/>
      <c r="N622" s="51"/>
      <c r="O622" s="113"/>
      <c r="P622" s="547"/>
      <c r="Q622" s="547"/>
      <c r="R622" s="547"/>
      <c r="S622" s="547"/>
      <c r="U622" s="218"/>
      <c r="X622" s="374"/>
      <c r="Y622" s="218"/>
      <c r="Z622" s="374"/>
      <c r="AA622" s="218"/>
      <c r="AB622" s="374"/>
      <c r="AC622" s="374"/>
      <c r="AD622" s="374"/>
      <c r="AE622" s="374"/>
      <c r="AF622" s="374"/>
      <c r="AG622" s="218"/>
      <c r="AH622" s="218"/>
      <c r="AI622" s="218"/>
      <c r="AJ622" s="553"/>
    </row>
    <row r="623" spans="4:51" s="377" customFormat="1" ht="14.35">
      <c r="D623" s="374"/>
      <c r="F623" s="557"/>
      <c r="G623" s="764"/>
      <c r="H623" s="765"/>
      <c r="I623" s="766"/>
      <c r="J623" s="767"/>
      <c r="K623" s="218"/>
      <c r="L623" s="218"/>
      <c r="M623" s="218"/>
      <c r="N623" s="228"/>
      <c r="O623" s="113"/>
      <c r="P623" s="547"/>
      <c r="Q623" s="547"/>
      <c r="R623" s="547"/>
      <c r="S623" s="547"/>
      <c r="U623" s="218"/>
      <c r="X623" s="374"/>
      <c r="Y623" s="218"/>
      <c r="Z623" s="374"/>
      <c r="AA623" s="218"/>
      <c r="AB623" s="374"/>
      <c r="AC623" s="374"/>
      <c r="AD623" s="374"/>
      <c r="AE623" s="374"/>
      <c r="AF623" s="374"/>
      <c r="AG623" s="218"/>
      <c r="AH623" s="218"/>
      <c r="AI623" s="218"/>
      <c r="AJ623" s="553"/>
    </row>
    <row r="624" spans="4:51" s="377" customFormat="1" ht="14.35">
      <c r="D624" s="374"/>
      <c r="F624" s="557"/>
      <c r="G624" s="764"/>
      <c r="H624" s="765"/>
      <c r="I624" s="766"/>
      <c r="J624" s="767"/>
      <c r="K624" s="218"/>
      <c r="L624" s="218"/>
      <c r="M624" s="218"/>
      <c r="N624" s="51"/>
      <c r="O624" s="113"/>
      <c r="P624" s="547"/>
      <c r="Q624" s="547"/>
      <c r="R624" s="547"/>
      <c r="S624" s="547"/>
      <c r="U624" s="218"/>
      <c r="X624" s="374"/>
      <c r="Y624" s="218"/>
      <c r="Z624" s="374"/>
      <c r="AA624" s="218"/>
      <c r="AB624" s="374"/>
      <c r="AC624" s="374"/>
      <c r="AD624" s="374"/>
      <c r="AE624" s="374"/>
      <c r="AF624" s="374"/>
      <c r="AG624" s="218"/>
      <c r="AH624" s="218"/>
      <c r="AI624" s="218"/>
      <c r="AJ624" s="553"/>
    </row>
    <row r="625" spans="4:36" s="377" customFormat="1" ht="14.35">
      <c r="D625" s="374"/>
      <c r="F625" s="557"/>
      <c r="G625" s="764"/>
      <c r="H625" s="765"/>
      <c r="I625" s="766"/>
      <c r="J625" s="767"/>
      <c r="K625" s="218"/>
      <c r="L625" s="218"/>
      <c r="M625" s="218"/>
      <c r="N625" s="228"/>
      <c r="O625" s="113"/>
      <c r="P625" s="547"/>
      <c r="Q625" s="547"/>
      <c r="R625" s="547"/>
      <c r="S625" s="547"/>
      <c r="U625" s="218"/>
      <c r="X625" s="374"/>
      <c r="Y625" s="218"/>
      <c r="Z625" s="374"/>
      <c r="AA625" s="218"/>
      <c r="AB625" s="374"/>
      <c r="AC625" s="374"/>
      <c r="AD625" s="374"/>
      <c r="AE625" s="374"/>
      <c r="AF625" s="374"/>
      <c r="AG625" s="218"/>
      <c r="AH625" s="218"/>
      <c r="AI625" s="218"/>
      <c r="AJ625" s="553"/>
    </row>
    <row r="626" spans="4:36" s="377" customFormat="1" ht="14.35">
      <c r="D626" s="374"/>
      <c r="F626" s="557"/>
      <c r="G626" s="764"/>
      <c r="H626" s="765"/>
      <c r="I626" s="766"/>
      <c r="J626" s="767"/>
      <c r="K626" s="218"/>
      <c r="L626" s="218"/>
      <c r="M626" s="218"/>
      <c r="N626" s="228"/>
      <c r="O626" s="113"/>
      <c r="P626" s="547"/>
      <c r="Q626" s="547"/>
      <c r="R626" s="547"/>
      <c r="S626" s="547"/>
      <c r="X626" s="374"/>
      <c r="Y626" s="218"/>
      <c r="Z626" s="374"/>
      <c r="AA626" s="218"/>
      <c r="AB626" s="374"/>
      <c r="AC626" s="374"/>
      <c r="AD626" s="374"/>
      <c r="AE626" s="374"/>
      <c r="AF626" s="374"/>
      <c r="AG626" s="218"/>
      <c r="AH626" s="218"/>
      <c r="AI626" s="218"/>
      <c r="AJ626" s="553"/>
    </row>
    <row r="627" spans="4:36" s="377" customFormat="1" ht="14.35">
      <c r="D627" s="374"/>
      <c r="E627" s="374"/>
      <c r="F627" s="374"/>
      <c r="G627" s="767"/>
      <c r="H627" s="768"/>
      <c r="I627" s="767"/>
      <c r="J627" s="767"/>
      <c r="K627" s="218"/>
      <c r="L627" s="218"/>
      <c r="M627" s="218"/>
      <c r="N627" s="51"/>
      <c r="O627" s="113"/>
      <c r="P627" s="547"/>
      <c r="Q627" s="547"/>
      <c r="R627" s="547"/>
      <c r="S627" s="547"/>
      <c r="X627" s="374"/>
      <c r="Y627" s="218"/>
      <c r="Z627" s="374"/>
      <c r="AA627" s="218"/>
      <c r="AB627" s="374"/>
      <c r="AC627" s="374"/>
      <c r="AD627" s="374"/>
      <c r="AE627" s="374"/>
      <c r="AF627" s="374"/>
      <c r="AG627" s="218"/>
      <c r="AH627" s="218"/>
      <c r="AI627" s="218"/>
      <c r="AJ627" s="553"/>
    </row>
    <row r="628" spans="4:36" s="377" customFormat="1" ht="14.35">
      <c r="D628" s="374"/>
      <c r="E628" s="374"/>
      <c r="F628" s="374"/>
      <c r="G628" s="767"/>
      <c r="H628" s="768"/>
      <c r="I628" s="767"/>
      <c r="J628" s="767"/>
      <c r="K628" s="218"/>
      <c r="L628" s="218"/>
      <c r="M628" s="218"/>
      <c r="N628" s="228"/>
      <c r="O628" s="113"/>
      <c r="P628" s="547"/>
      <c r="Q628" s="547"/>
      <c r="R628" s="547"/>
      <c r="S628" s="547"/>
      <c r="X628" s="374"/>
      <c r="Y628" s="218"/>
      <c r="Z628" s="374"/>
      <c r="AA628" s="218"/>
      <c r="AB628" s="374"/>
      <c r="AC628" s="374"/>
      <c r="AD628" s="374"/>
      <c r="AE628" s="374"/>
      <c r="AF628" s="374"/>
      <c r="AG628" s="218"/>
      <c r="AH628" s="218"/>
      <c r="AI628" s="218"/>
      <c r="AJ628" s="553"/>
    </row>
    <row r="629" spans="4:36" s="377" customFormat="1" ht="14.35">
      <c r="D629" s="374"/>
      <c r="F629" s="374"/>
      <c r="G629" s="767"/>
      <c r="H629" s="768"/>
      <c r="I629" s="767"/>
      <c r="J629" s="767"/>
      <c r="K629" s="218"/>
      <c r="L629" s="218"/>
      <c r="M629" s="218"/>
      <c r="N629" s="51"/>
      <c r="O629" s="113"/>
      <c r="P629" s="547"/>
      <c r="Q629" s="547"/>
      <c r="R629" s="547"/>
      <c r="S629" s="547"/>
      <c r="X629" s="374"/>
      <c r="Y629" s="218"/>
      <c r="Z629" s="374"/>
      <c r="AA629" s="218"/>
      <c r="AB629" s="374"/>
      <c r="AC629" s="374"/>
      <c r="AD629" s="374"/>
      <c r="AE629" s="374"/>
      <c r="AF629" s="374"/>
      <c r="AG629" s="218"/>
      <c r="AH629" s="218"/>
      <c r="AI629" s="218"/>
      <c r="AJ629" s="553"/>
    </row>
    <row r="630" spans="4:36" s="377" customFormat="1" ht="14.35">
      <c r="D630" s="374"/>
      <c r="E630" s="619"/>
      <c r="F630" s="374"/>
      <c r="G630" s="767"/>
      <c r="H630" s="768"/>
      <c r="I630" s="767"/>
      <c r="J630" s="767"/>
      <c r="K630" s="218"/>
      <c r="L630" s="218"/>
      <c r="M630" s="218"/>
      <c r="N630" s="228"/>
      <c r="O630" s="113"/>
      <c r="P630" s="547"/>
      <c r="Q630" s="547"/>
      <c r="R630" s="547"/>
      <c r="S630" s="547"/>
      <c r="X630" s="374"/>
      <c r="Y630" s="218"/>
      <c r="Z630" s="374"/>
      <c r="AA630" s="218"/>
      <c r="AB630" s="374"/>
      <c r="AC630" s="374"/>
      <c r="AD630" s="374"/>
      <c r="AE630" s="374"/>
      <c r="AF630" s="374"/>
      <c r="AG630" s="218"/>
      <c r="AH630" s="218"/>
      <c r="AI630" s="218"/>
      <c r="AJ630" s="553"/>
    </row>
    <row r="631" spans="4:36" s="377" customFormat="1" ht="14.35">
      <c r="D631" s="374"/>
      <c r="E631" s="619"/>
      <c r="F631" s="557"/>
      <c r="G631" s="764"/>
      <c r="H631" s="765"/>
      <c r="I631" s="766"/>
      <c r="J631" s="767"/>
      <c r="K631" s="218"/>
      <c r="L631" s="218"/>
      <c r="M631" s="218"/>
      <c r="N631" s="51"/>
      <c r="O631" s="113"/>
      <c r="P631" s="547"/>
      <c r="Q631" s="547"/>
      <c r="R631" s="547"/>
      <c r="S631" s="547"/>
      <c r="X631" s="374"/>
      <c r="Y631" s="218"/>
      <c r="Z631" s="374"/>
      <c r="AA631" s="218"/>
      <c r="AB631" s="374"/>
      <c r="AC631" s="374"/>
      <c r="AD631" s="374"/>
      <c r="AE631" s="374"/>
      <c r="AF631" s="374"/>
      <c r="AG631" s="218"/>
      <c r="AH631" s="218"/>
      <c r="AI631" s="218"/>
      <c r="AJ631" s="553"/>
    </row>
    <row r="632" spans="4:36" s="377" customFormat="1" ht="14.35">
      <c r="D632" s="374"/>
      <c r="E632" s="619"/>
      <c r="F632" s="557"/>
      <c r="G632" s="764"/>
      <c r="H632" s="765"/>
      <c r="I632" s="766"/>
      <c r="J632" s="767"/>
      <c r="K632" s="218"/>
      <c r="L632" s="218"/>
      <c r="M632" s="218"/>
      <c r="N632" s="228"/>
      <c r="O632" s="113"/>
      <c r="P632" s="547"/>
      <c r="Q632" s="547"/>
      <c r="R632" s="547"/>
      <c r="S632" s="547"/>
      <c r="X632" s="374"/>
      <c r="Y632" s="218"/>
      <c r="Z632" s="374"/>
      <c r="AA632" s="218"/>
      <c r="AB632" s="374"/>
      <c r="AC632" s="374"/>
      <c r="AD632" s="374"/>
      <c r="AE632" s="374"/>
      <c r="AF632" s="374"/>
      <c r="AG632" s="218"/>
      <c r="AH632" s="218"/>
      <c r="AI632" s="218"/>
      <c r="AJ632" s="553"/>
    </row>
    <row r="633" spans="4:36" s="377" customFormat="1" ht="14.35">
      <c r="D633" s="374"/>
      <c r="E633" s="619"/>
      <c r="F633" s="557"/>
      <c r="G633" s="764"/>
      <c r="H633" s="765"/>
      <c r="I633" s="766"/>
      <c r="J633" s="767"/>
      <c r="K633" s="218"/>
      <c r="L633" s="218"/>
      <c r="M633" s="218"/>
      <c r="N633" s="51"/>
      <c r="O633" s="113"/>
      <c r="P633" s="547"/>
      <c r="Q633" s="547"/>
      <c r="R633" s="547"/>
      <c r="S633" s="547"/>
      <c r="X633" s="374"/>
      <c r="Y633" s="218"/>
      <c r="Z633" s="374"/>
      <c r="AA633" s="218"/>
      <c r="AB633" s="374"/>
      <c r="AC633" s="374"/>
      <c r="AD633" s="374"/>
      <c r="AE633" s="374"/>
      <c r="AF633" s="374"/>
      <c r="AG633" s="218"/>
      <c r="AH633" s="218"/>
      <c r="AI633" s="218"/>
      <c r="AJ633" s="553"/>
    </row>
    <row r="634" spans="4:36" s="377" customFormat="1" ht="14.35">
      <c r="D634" s="374"/>
      <c r="E634" s="619"/>
      <c r="F634" s="557"/>
      <c r="G634" s="764"/>
      <c r="H634" s="765"/>
      <c r="I634" s="766"/>
      <c r="J634" s="767"/>
      <c r="K634" s="218"/>
      <c r="L634" s="218"/>
      <c r="M634" s="218"/>
      <c r="N634" s="228"/>
      <c r="O634" s="113"/>
      <c r="P634" s="547"/>
      <c r="Q634" s="547"/>
      <c r="R634" s="547"/>
      <c r="S634" s="547"/>
      <c r="X634" s="374"/>
      <c r="Y634" s="218"/>
      <c r="Z634" s="374"/>
      <c r="AA634" s="218"/>
      <c r="AB634" s="374"/>
      <c r="AC634" s="374"/>
      <c r="AD634" s="374"/>
      <c r="AE634" s="374"/>
      <c r="AF634" s="374"/>
      <c r="AG634" s="218"/>
      <c r="AH634" s="218"/>
      <c r="AI634" s="218"/>
      <c r="AJ634" s="553"/>
    </row>
    <row r="635" spans="4:36" s="377" customFormat="1" ht="14.35">
      <c r="D635" s="374"/>
      <c r="E635" s="374"/>
      <c r="F635" s="374"/>
      <c r="G635" s="767"/>
      <c r="H635" s="768"/>
      <c r="I635" s="767"/>
      <c r="J635" s="767"/>
      <c r="K635" s="218"/>
      <c r="L635" s="218"/>
      <c r="M635" s="218"/>
      <c r="N635" s="51"/>
      <c r="O635" s="113"/>
      <c r="P635" s="547"/>
      <c r="Q635" s="547"/>
      <c r="R635" s="547"/>
      <c r="S635" s="547"/>
      <c r="X635" s="374"/>
      <c r="Y635" s="218"/>
      <c r="Z635" s="374"/>
      <c r="AA635" s="218"/>
      <c r="AB635" s="374"/>
      <c r="AC635" s="374"/>
      <c r="AD635" s="374"/>
      <c r="AE635" s="374"/>
      <c r="AF635" s="374"/>
      <c r="AG635" s="218"/>
      <c r="AH635" s="218"/>
      <c r="AI635" s="218"/>
      <c r="AJ635" s="553"/>
    </row>
    <row r="636" spans="4:36" s="377" customFormat="1" ht="14.35">
      <c r="D636" s="374"/>
      <c r="E636" s="374"/>
      <c r="F636" s="374"/>
      <c r="G636" s="767"/>
      <c r="H636" s="768"/>
      <c r="I636" s="767"/>
      <c r="J636" s="767"/>
      <c r="K636" s="218"/>
      <c r="L636" s="218"/>
      <c r="M636" s="218"/>
      <c r="N636" s="228"/>
      <c r="O636" s="113"/>
      <c r="P636" s="547"/>
      <c r="Q636" s="547"/>
      <c r="R636" s="547"/>
      <c r="S636" s="547"/>
      <c r="X636" s="374"/>
      <c r="Y636" s="218"/>
      <c r="Z636" s="374"/>
      <c r="AA636" s="218"/>
      <c r="AB636" s="374"/>
      <c r="AC636" s="374"/>
      <c r="AD636" s="374"/>
      <c r="AE636" s="374"/>
      <c r="AF636" s="374"/>
      <c r="AG636" s="218"/>
      <c r="AH636" s="218"/>
      <c r="AI636" s="218"/>
      <c r="AJ636" s="553"/>
    </row>
    <row r="637" spans="4:36" s="377" customFormat="1" ht="14.35">
      <c r="D637" s="374"/>
      <c r="E637" s="621"/>
      <c r="F637" s="374"/>
      <c r="G637" s="767"/>
      <c r="H637" s="768"/>
      <c r="I637" s="767"/>
      <c r="J637" s="767"/>
      <c r="K637" s="218"/>
      <c r="L637" s="218"/>
      <c r="M637" s="218"/>
      <c r="N637" s="228"/>
      <c r="O637" s="113"/>
      <c r="P637" s="547"/>
      <c r="Q637" s="547"/>
      <c r="R637" s="547"/>
      <c r="S637" s="547"/>
      <c r="X637" s="374"/>
      <c r="Y637" s="218"/>
      <c r="Z637" s="374"/>
      <c r="AA637" s="218"/>
      <c r="AB637" s="374"/>
      <c r="AC637" s="374"/>
      <c r="AD637" s="374"/>
      <c r="AE637" s="374"/>
      <c r="AF637" s="374"/>
      <c r="AG637" s="218"/>
      <c r="AH637" s="218"/>
      <c r="AI637" s="218"/>
      <c r="AJ637" s="553"/>
    </row>
    <row r="638" spans="4:36" s="377" customFormat="1" ht="14.35">
      <c r="D638" s="374"/>
      <c r="E638" s="619"/>
      <c r="F638" s="374"/>
      <c r="G638" s="767"/>
      <c r="H638" s="768"/>
      <c r="I638" s="767"/>
      <c r="J638" s="767"/>
      <c r="K638" s="218"/>
      <c r="L638" s="218"/>
      <c r="M638" s="218"/>
      <c r="N638" s="51"/>
      <c r="O638" s="113"/>
      <c r="P638" s="547"/>
      <c r="Q638" s="547"/>
      <c r="R638" s="547"/>
      <c r="S638" s="547"/>
      <c r="X638" s="374"/>
      <c r="Y638" s="218"/>
      <c r="Z638" s="374"/>
      <c r="AA638" s="218"/>
      <c r="AB638" s="374"/>
      <c r="AC638" s="374"/>
      <c r="AD638" s="374"/>
      <c r="AE638" s="374"/>
      <c r="AF638" s="374"/>
      <c r="AG638" s="218"/>
      <c r="AH638" s="218"/>
      <c r="AI638" s="218"/>
      <c r="AJ638" s="553"/>
    </row>
    <row r="639" spans="4:36" s="377" customFormat="1" ht="14.35">
      <c r="D639" s="559"/>
      <c r="E639" s="621"/>
      <c r="F639" s="557"/>
      <c r="G639" s="764"/>
      <c r="H639" s="765"/>
      <c r="I639" s="766"/>
      <c r="J639" s="767"/>
      <c r="K639" s="218"/>
      <c r="L639" s="218"/>
      <c r="M639" s="218"/>
      <c r="N639" s="228"/>
      <c r="O639" s="113"/>
      <c r="P639" s="547"/>
      <c r="Q639" s="547"/>
      <c r="R639" s="547"/>
      <c r="S639" s="547"/>
      <c r="X639" s="374"/>
      <c r="Y639" s="218"/>
      <c r="Z639" s="374"/>
      <c r="AA639" s="218"/>
      <c r="AB639" s="374"/>
      <c r="AC639" s="374"/>
      <c r="AD639" s="374"/>
      <c r="AE639" s="374"/>
      <c r="AF639" s="374"/>
      <c r="AG639" s="218"/>
      <c r="AH639" s="218"/>
      <c r="AI639" s="218"/>
      <c r="AJ639" s="553"/>
    </row>
    <row r="640" spans="4:36" s="377" customFormat="1" ht="14.35">
      <c r="D640" s="559"/>
      <c r="E640" s="621"/>
      <c r="F640" s="557"/>
      <c r="G640" s="764"/>
      <c r="H640" s="765"/>
      <c r="I640" s="766"/>
      <c r="J640" s="767"/>
      <c r="K640" s="218"/>
      <c r="L640" s="218"/>
      <c r="M640" s="218"/>
      <c r="N640" s="51"/>
      <c r="O640" s="113"/>
      <c r="P640" s="547"/>
      <c r="Q640" s="547"/>
      <c r="R640" s="547"/>
      <c r="S640" s="547"/>
      <c r="X640" s="374"/>
      <c r="Y640" s="218"/>
      <c r="Z640" s="374"/>
      <c r="AA640" s="218"/>
      <c r="AB640" s="374"/>
      <c r="AC640" s="374"/>
      <c r="AD640" s="374"/>
      <c r="AE640" s="374"/>
      <c r="AF640" s="374"/>
      <c r="AG640" s="218"/>
      <c r="AH640" s="218"/>
      <c r="AI640" s="218"/>
      <c r="AJ640" s="553"/>
    </row>
    <row r="641" spans="4:36" s="377" customFormat="1" ht="14.35">
      <c r="D641" s="374"/>
      <c r="E641" s="374"/>
      <c r="F641" s="374"/>
      <c r="G641" s="767"/>
      <c r="H641" s="768"/>
      <c r="I641" s="767"/>
      <c r="J641" s="767"/>
      <c r="K641" s="218"/>
      <c r="L641" s="218"/>
      <c r="M641" s="218"/>
      <c r="N641" s="228"/>
      <c r="O641" s="113"/>
      <c r="P641" s="547"/>
      <c r="Q641" s="547"/>
      <c r="R641" s="547"/>
      <c r="S641" s="547"/>
      <c r="X641" s="374"/>
      <c r="Y641" s="218"/>
      <c r="Z641" s="374"/>
      <c r="AA641" s="218"/>
      <c r="AB641" s="374"/>
      <c r="AC641" s="374"/>
      <c r="AD641" s="374"/>
      <c r="AE641" s="374"/>
      <c r="AF641" s="374"/>
      <c r="AG641" s="218"/>
      <c r="AH641" s="218"/>
      <c r="AI641" s="218"/>
      <c r="AJ641" s="553"/>
    </row>
    <row r="642" spans="4:36" s="377" customFormat="1" ht="14.35">
      <c r="D642" s="374"/>
      <c r="E642" s="621"/>
      <c r="F642" s="374"/>
      <c r="G642" s="767"/>
      <c r="H642" s="768"/>
      <c r="I642" s="767"/>
      <c r="J642" s="767"/>
      <c r="K642" s="218"/>
      <c r="L642" s="218"/>
      <c r="M642" s="218"/>
      <c r="N642" s="51"/>
      <c r="O642" s="113"/>
      <c r="P642" s="547"/>
      <c r="Q642" s="547"/>
      <c r="R642" s="547"/>
      <c r="S642" s="547"/>
      <c r="X642" s="374"/>
      <c r="Y642" s="218"/>
      <c r="Z642" s="374"/>
      <c r="AA642" s="218"/>
      <c r="AB642" s="374"/>
      <c r="AC642" s="374"/>
      <c r="AD642" s="374"/>
      <c r="AE642" s="374"/>
      <c r="AF642" s="374"/>
      <c r="AG642" s="218"/>
      <c r="AH642" s="218"/>
      <c r="AI642" s="218"/>
      <c r="AJ642" s="553"/>
    </row>
    <row r="643" spans="4:36" s="377" customFormat="1" ht="14.35">
      <c r="D643" s="374"/>
      <c r="E643" s="621"/>
      <c r="F643" s="374"/>
      <c r="G643" s="767"/>
      <c r="H643" s="768"/>
      <c r="I643" s="767"/>
      <c r="J643" s="767"/>
      <c r="K643" s="218"/>
      <c r="L643" s="218"/>
      <c r="M643" s="218"/>
      <c r="N643" s="228"/>
      <c r="O643" s="113"/>
      <c r="P643" s="547"/>
      <c r="Q643" s="547"/>
      <c r="R643" s="547"/>
      <c r="S643" s="547"/>
      <c r="X643" s="374"/>
      <c r="Y643" s="218"/>
      <c r="Z643" s="374"/>
      <c r="AA643" s="218"/>
      <c r="AB643" s="374"/>
      <c r="AC643" s="374"/>
      <c r="AD643" s="374"/>
      <c r="AE643" s="374"/>
      <c r="AF643" s="374"/>
      <c r="AG643" s="218"/>
      <c r="AH643" s="218"/>
      <c r="AI643" s="218"/>
      <c r="AJ643" s="553"/>
    </row>
    <row r="644" spans="4:36" s="377" customFormat="1" ht="14.35">
      <c r="D644" s="559"/>
      <c r="E644" s="621"/>
      <c r="F644" s="557"/>
      <c r="G644" s="764"/>
      <c r="H644" s="765"/>
      <c r="I644" s="766"/>
      <c r="J644" s="767"/>
      <c r="K644" s="218"/>
      <c r="L644" s="218"/>
      <c r="M644" s="218"/>
      <c r="N644" s="228"/>
      <c r="O644" s="113"/>
      <c r="P644" s="547"/>
      <c r="Q644" s="547"/>
      <c r="R644" s="547"/>
      <c r="S644" s="547"/>
      <c r="X644" s="374"/>
      <c r="Y644" s="218"/>
      <c r="Z644" s="374"/>
      <c r="AA644" s="218"/>
      <c r="AB644" s="374"/>
      <c r="AC644" s="374"/>
      <c r="AD644" s="374"/>
      <c r="AE644" s="374"/>
      <c r="AF644" s="374"/>
      <c r="AG644" s="218"/>
      <c r="AH644" s="218"/>
      <c r="AI644" s="218"/>
      <c r="AJ644" s="553"/>
    </row>
    <row r="645" spans="4:36" s="377" customFormat="1" ht="14.35">
      <c r="D645" s="559"/>
      <c r="E645" s="621"/>
      <c r="F645" s="557"/>
      <c r="G645" s="764"/>
      <c r="H645" s="765"/>
      <c r="I645" s="766"/>
      <c r="J645" s="767"/>
      <c r="K645" s="218"/>
      <c r="L645" s="218"/>
      <c r="M645" s="218"/>
      <c r="N645" s="228"/>
      <c r="O645" s="113"/>
      <c r="P645" s="547"/>
      <c r="Q645" s="547"/>
      <c r="R645" s="547"/>
      <c r="S645" s="547"/>
      <c r="X645" s="374"/>
      <c r="Y645" s="218"/>
      <c r="Z645" s="374"/>
      <c r="AA645" s="218"/>
      <c r="AB645" s="374"/>
      <c r="AC645" s="374"/>
      <c r="AD645" s="374"/>
      <c r="AE645" s="374"/>
      <c r="AF645" s="374"/>
      <c r="AG645" s="218"/>
      <c r="AH645" s="218"/>
      <c r="AI645" s="218"/>
      <c r="AJ645" s="553"/>
    </row>
    <row r="646" spans="4:36" s="377" customFormat="1" ht="14.35">
      <c r="D646" s="559"/>
      <c r="E646" s="621"/>
      <c r="F646" s="557"/>
      <c r="G646" s="764"/>
      <c r="H646" s="765"/>
      <c r="I646" s="766"/>
      <c r="J646" s="767"/>
      <c r="K646" s="218"/>
      <c r="L646" s="218"/>
      <c r="M646" s="218"/>
      <c r="N646" s="51"/>
      <c r="O646" s="113"/>
      <c r="P646" s="547"/>
      <c r="Q646" s="547"/>
      <c r="R646" s="547"/>
      <c r="S646" s="547"/>
      <c r="U646" s="44"/>
      <c r="X646" s="374"/>
      <c r="Y646" s="218"/>
      <c r="Z646" s="374"/>
      <c r="AA646" s="218"/>
      <c r="AB646" s="374"/>
      <c r="AC646" s="374"/>
      <c r="AD646" s="374"/>
      <c r="AE646" s="374"/>
      <c r="AF646" s="374"/>
      <c r="AG646" s="218"/>
      <c r="AH646" s="218"/>
      <c r="AI646" s="218"/>
      <c r="AJ646" s="553"/>
    </row>
    <row r="647" spans="4:36" s="377" customFormat="1" ht="14.35">
      <c r="D647" s="559"/>
      <c r="E647" s="621"/>
      <c r="F647" s="557"/>
      <c r="G647" s="764"/>
      <c r="H647" s="765"/>
      <c r="I647" s="766"/>
      <c r="J647" s="767"/>
      <c r="K647" s="218"/>
      <c r="L647" s="218"/>
      <c r="M647" s="218"/>
      <c r="N647" s="228"/>
      <c r="O647" s="113"/>
      <c r="P647" s="547"/>
      <c r="Q647" s="547"/>
      <c r="R647" s="547"/>
      <c r="S647" s="547"/>
      <c r="U647" s="44"/>
      <c r="X647" s="374"/>
      <c r="Y647" s="218"/>
      <c r="Z647" s="374"/>
      <c r="AA647" s="218"/>
      <c r="AB647" s="374"/>
      <c r="AC647" s="374"/>
      <c r="AD647" s="374"/>
      <c r="AE647" s="374"/>
      <c r="AF647" s="374"/>
      <c r="AG647" s="218"/>
      <c r="AH647" s="218"/>
      <c r="AI647" s="218"/>
      <c r="AJ647" s="553"/>
    </row>
    <row r="648" spans="4:36" s="377" customFormat="1" ht="14.35">
      <c r="D648" s="559"/>
      <c r="E648" s="621"/>
      <c r="F648" s="557"/>
      <c r="G648" s="764"/>
      <c r="H648" s="765"/>
      <c r="I648" s="766"/>
      <c r="J648" s="767"/>
      <c r="K648" s="218"/>
      <c r="L648" s="218"/>
      <c r="M648" s="218"/>
      <c r="N648" s="228"/>
      <c r="O648" s="113"/>
      <c r="P648" s="547"/>
      <c r="Q648" s="547"/>
      <c r="R648" s="547"/>
      <c r="S648" s="547"/>
      <c r="U648" s="44"/>
      <c r="X648" s="374"/>
      <c r="Y648" s="218"/>
      <c r="Z648" s="374"/>
      <c r="AA648" s="218"/>
      <c r="AB648" s="374"/>
      <c r="AC648" s="374"/>
      <c r="AD648" s="374"/>
      <c r="AE648" s="374"/>
      <c r="AF648" s="374"/>
      <c r="AG648" s="218"/>
      <c r="AH648" s="218"/>
      <c r="AI648" s="218"/>
      <c r="AJ648" s="553"/>
    </row>
    <row r="649" spans="4:36" s="377" customFormat="1" ht="14.35">
      <c r="D649" s="559"/>
      <c r="E649" s="621"/>
      <c r="F649" s="557"/>
      <c r="G649" s="764"/>
      <c r="H649" s="765"/>
      <c r="I649" s="766"/>
      <c r="J649" s="767"/>
      <c r="K649" s="218"/>
      <c r="L649" s="218"/>
      <c r="M649" s="218"/>
      <c r="N649" s="51"/>
      <c r="O649" s="113"/>
      <c r="P649" s="547"/>
      <c r="Q649" s="547"/>
      <c r="R649" s="547"/>
      <c r="S649" s="547"/>
      <c r="U649" s="44"/>
      <c r="X649" s="374"/>
      <c r="Y649" s="218"/>
      <c r="Z649" s="374"/>
      <c r="AA649" s="218"/>
      <c r="AB649" s="374"/>
      <c r="AC649" s="374"/>
      <c r="AD649" s="374"/>
      <c r="AE649" s="374"/>
      <c r="AF649" s="374"/>
      <c r="AG649" s="218"/>
      <c r="AH649" s="218"/>
      <c r="AI649" s="218"/>
      <c r="AJ649" s="553"/>
    </row>
    <row r="650" spans="4:36" s="377" customFormat="1" ht="14.35">
      <c r="D650" s="374"/>
      <c r="E650" s="374"/>
      <c r="F650" s="374"/>
      <c r="G650" s="767"/>
      <c r="H650" s="768"/>
      <c r="I650" s="767"/>
      <c r="J650" s="767"/>
      <c r="K650" s="218"/>
      <c r="L650" s="218"/>
      <c r="M650" s="218"/>
      <c r="N650" s="228"/>
      <c r="O650" s="113"/>
      <c r="P650" s="547"/>
      <c r="Q650" s="547"/>
      <c r="R650" s="547"/>
      <c r="S650" s="547"/>
      <c r="U650" s="44"/>
      <c r="X650" s="374"/>
      <c r="Y650" s="218"/>
      <c r="Z650" s="374"/>
      <c r="AA650" s="218"/>
      <c r="AB650" s="374"/>
      <c r="AC650" s="374"/>
      <c r="AD650" s="374"/>
      <c r="AE650" s="374"/>
      <c r="AF650" s="374"/>
      <c r="AG650" s="218"/>
      <c r="AH650" s="218"/>
      <c r="AI650" s="218"/>
      <c r="AJ650" s="553"/>
    </row>
    <row r="651" spans="4:36" s="377" customFormat="1" ht="14.35">
      <c r="D651" s="374"/>
      <c r="E651" s="374"/>
      <c r="F651" s="374"/>
      <c r="G651" s="767"/>
      <c r="H651" s="768"/>
      <c r="I651" s="767"/>
      <c r="J651" s="767"/>
      <c r="K651" s="218"/>
      <c r="L651" s="218"/>
      <c r="M651" s="218"/>
      <c r="N651" s="228"/>
      <c r="O651" s="113"/>
      <c r="P651" s="547"/>
      <c r="Q651" s="547"/>
      <c r="R651" s="547"/>
      <c r="S651" s="547"/>
      <c r="U651" s="44"/>
      <c r="X651" s="374"/>
      <c r="Y651" s="218"/>
      <c r="Z651" s="374"/>
      <c r="AA651" s="218"/>
      <c r="AB651" s="374"/>
      <c r="AC651" s="374"/>
      <c r="AD651" s="374"/>
      <c r="AE651" s="374"/>
      <c r="AF651" s="374"/>
      <c r="AG651" s="218"/>
      <c r="AH651" s="218"/>
      <c r="AI651" s="218"/>
      <c r="AJ651" s="553"/>
    </row>
    <row r="652" spans="4:36" s="377" customFormat="1" ht="14.35">
      <c r="D652" s="374"/>
      <c r="E652" s="374"/>
      <c r="F652" s="374"/>
      <c r="G652" s="767"/>
      <c r="H652" s="768"/>
      <c r="I652" s="767"/>
      <c r="J652" s="767"/>
      <c r="K652" s="218"/>
      <c r="L652" s="218"/>
      <c r="M652" s="218"/>
      <c r="N652" s="51"/>
      <c r="O652" s="113"/>
      <c r="P652" s="547"/>
      <c r="Q652" s="547"/>
      <c r="R652" s="547"/>
      <c r="S652" s="547"/>
      <c r="U652" s="44"/>
      <c r="X652" s="374"/>
      <c r="Y652" s="218"/>
      <c r="Z652" s="374"/>
      <c r="AA652" s="218"/>
      <c r="AB652" s="374"/>
      <c r="AC652" s="374"/>
      <c r="AD652" s="374"/>
      <c r="AE652" s="374"/>
      <c r="AF652" s="374"/>
      <c r="AG652" s="218"/>
      <c r="AH652" s="218"/>
      <c r="AI652" s="218"/>
      <c r="AJ652" s="553"/>
    </row>
    <row r="653" spans="4:36" s="377" customFormat="1" ht="14.35">
      <c r="D653" s="374"/>
      <c r="E653" s="374"/>
      <c r="F653" s="374"/>
      <c r="G653" s="767"/>
      <c r="H653" s="768"/>
      <c r="I653" s="767"/>
      <c r="J653" s="767"/>
      <c r="K653" s="218"/>
      <c r="L653" s="218"/>
      <c r="M653" s="218"/>
      <c r="N653" s="228"/>
      <c r="O653" s="113"/>
      <c r="P653" s="547"/>
      <c r="Q653" s="547"/>
      <c r="R653" s="547"/>
      <c r="S653" s="547"/>
      <c r="U653" s="44"/>
      <c r="X653" s="374"/>
      <c r="Y653" s="218"/>
      <c r="Z653" s="374"/>
      <c r="AA653" s="218"/>
      <c r="AB653" s="374"/>
      <c r="AC653" s="374"/>
      <c r="AD653" s="374"/>
      <c r="AE653" s="374"/>
      <c r="AF653" s="374"/>
      <c r="AG653" s="218"/>
      <c r="AH653" s="218"/>
      <c r="AI653" s="218"/>
      <c r="AJ653" s="553"/>
    </row>
    <row r="654" spans="4:36" s="377" customFormat="1" ht="14.35">
      <c r="D654" s="374"/>
      <c r="E654" s="374"/>
      <c r="F654" s="374"/>
      <c r="G654" s="767"/>
      <c r="H654" s="768"/>
      <c r="I654" s="767"/>
      <c r="J654" s="767"/>
      <c r="K654" s="218"/>
      <c r="L654" s="218"/>
      <c r="M654" s="218"/>
      <c r="N654" s="51"/>
      <c r="O654" s="113"/>
      <c r="P654" s="547"/>
      <c r="Q654" s="547"/>
      <c r="R654" s="547"/>
      <c r="S654" s="547"/>
      <c r="U654" s="44"/>
      <c r="X654" s="374"/>
      <c r="Y654" s="218"/>
      <c r="Z654" s="374"/>
      <c r="AA654" s="218"/>
      <c r="AB654" s="374"/>
      <c r="AC654" s="374"/>
      <c r="AD654" s="374"/>
      <c r="AE654" s="374"/>
      <c r="AF654" s="374"/>
      <c r="AG654" s="218"/>
      <c r="AH654" s="218"/>
      <c r="AI654" s="218"/>
      <c r="AJ654" s="553"/>
    </row>
    <row r="655" spans="4:36" s="377" customFormat="1" ht="14.35">
      <c r="D655" s="374"/>
      <c r="E655" s="374"/>
      <c r="F655" s="374"/>
      <c r="G655" s="767"/>
      <c r="H655" s="768"/>
      <c r="I655" s="767"/>
      <c r="J655" s="767"/>
      <c r="K655" s="218"/>
      <c r="L655" s="218"/>
      <c r="M655" s="218"/>
      <c r="N655" s="228"/>
      <c r="O655" s="113"/>
      <c r="P655" s="547"/>
      <c r="Q655" s="547"/>
      <c r="R655" s="547"/>
      <c r="S655" s="547"/>
      <c r="U655" s="44"/>
      <c r="X655" s="374"/>
      <c r="Y655" s="218"/>
      <c r="Z655" s="374"/>
      <c r="AA655" s="218"/>
      <c r="AB655" s="374"/>
      <c r="AC655" s="374"/>
      <c r="AD655" s="374"/>
      <c r="AE655" s="374"/>
      <c r="AF655" s="374"/>
      <c r="AG655" s="218"/>
      <c r="AH655" s="218"/>
      <c r="AI655" s="218"/>
      <c r="AJ655" s="553"/>
    </row>
    <row r="656" spans="4:36" s="377" customFormat="1" ht="14.35">
      <c r="D656" s="374"/>
      <c r="E656" s="374"/>
      <c r="F656" s="374"/>
      <c r="G656" s="767"/>
      <c r="H656" s="768"/>
      <c r="I656" s="767"/>
      <c r="J656" s="767"/>
      <c r="K656" s="218"/>
      <c r="L656" s="218"/>
      <c r="M656" s="218"/>
      <c r="N656" s="51"/>
      <c r="O656" s="113"/>
      <c r="P656" s="547"/>
      <c r="Q656" s="547"/>
      <c r="R656" s="547"/>
      <c r="S656" s="547"/>
      <c r="U656" s="44"/>
      <c r="X656" s="374"/>
      <c r="Y656" s="218"/>
      <c r="Z656" s="374"/>
      <c r="AA656" s="218"/>
      <c r="AB656" s="374"/>
      <c r="AC656" s="374"/>
      <c r="AD656" s="374"/>
      <c r="AE656" s="374"/>
      <c r="AF656" s="374"/>
      <c r="AG656" s="218"/>
      <c r="AH656" s="218"/>
      <c r="AI656" s="218"/>
      <c r="AJ656" s="553"/>
    </row>
    <row r="657" spans="4:36" s="377" customFormat="1" ht="14.35">
      <c r="D657" s="374"/>
      <c r="E657" s="374"/>
      <c r="F657" s="374"/>
      <c r="G657" s="767"/>
      <c r="H657" s="768"/>
      <c r="I657" s="767"/>
      <c r="J657" s="767"/>
      <c r="K657" s="218"/>
      <c r="L657" s="218"/>
      <c r="M657" s="218"/>
      <c r="N657" s="228"/>
      <c r="O657" s="113"/>
      <c r="P657" s="547"/>
      <c r="Q657" s="547"/>
      <c r="R657" s="547"/>
      <c r="S657" s="547"/>
      <c r="U657" s="44"/>
      <c r="X657" s="374"/>
      <c r="Y657" s="218"/>
      <c r="Z657" s="374"/>
      <c r="AA657" s="218"/>
      <c r="AB657" s="374"/>
      <c r="AC657" s="374"/>
      <c r="AD657" s="374"/>
      <c r="AE657" s="374"/>
      <c r="AF657" s="374"/>
      <c r="AG657" s="218"/>
      <c r="AH657" s="218"/>
      <c r="AI657" s="218"/>
      <c r="AJ657" s="553"/>
    </row>
    <row r="658" spans="4:36" s="377" customFormat="1" ht="14.35">
      <c r="D658" s="374"/>
      <c r="E658" s="374"/>
      <c r="F658" s="374"/>
      <c r="G658" s="767"/>
      <c r="H658" s="768"/>
      <c r="I658" s="767"/>
      <c r="J658" s="767"/>
      <c r="K658" s="218"/>
      <c r="L658" s="218"/>
      <c r="M658" s="218"/>
      <c r="N658" s="51"/>
      <c r="O658" s="113"/>
      <c r="P658" s="547"/>
      <c r="Q658" s="547"/>
      <c r="R658" s="547"/>
      <c r="S658" s="547"/>
      <c r="U658" s="44"/>
      <c r="X658" s="374"/>
      <c r="Y658" s="218"/>
      <c r="Z658" s="374"/>
      <c r="AA658" s="218"/>
      <c r="AB658" s="374"/>
      <c r="AC658" s="374"/>
      <c r="AD658" s="374"/>
      <c r="AE658" s="374"/>
      <c r="AF658" s="374"/>
      <c r="AG658" s="218"/>
      <c r="AH658" s="218"/>
      <c r="AI658" s="218"/>
      <c r="AJ658" s="553"/>
    </row>
    <row r="659" spans="4:36" s="377" customFormat="1" ht="14.35">
      <c r="D659" s="374"/>
      <c r="E659" s="374"/>
      <c r="F659" s="374"/>
      <c r="G659" s="767"/>
      <c r="H659" s="768"/>
      <c r="I659" s="767"/>
      <c r="J659" s="767"/>
      <c r="K659" s="218"/>
      <c r="L659" s="218"/>
      <c r="M659" s="218"/>
      <c r="N659" s="228"/>
      <c r="O659" s="113"/>
      <c r="P659" s="547"/>
      <c r="Q659" s="547"/>
      <c r="R659" s="547"/>
      <c r="S659" s="547"/>
      <c r="U659" s="44"/>
      <c r="X659" s="374"/>
      <c r="Y659" s="218"/>
      <c r="Z659" s="374"/>
      <c r="AA659" s="218"/>
      <c r="AB659" s="374"/>
      <c r="AC659" s="374"/>
      <c r="AD659" s="374"/>
      <c r="AE659" s="374"/>
      <c r="AF659" s="374"/>
      <c r="AG659" s="218"/>
      <c r="AH659" s="218"/>
      <c r="AI659" s="218"/>
      <c r="AJ659" s="553"/>
    </row>
    <row r="660" spans="4:36" s="377" customFormat="1" ht="14.35">
      <c r="D660" s="374"/>
      <c r="E660" s="374"/>
      <c r="F660" s="374"/>
      <c r="G660" s="767"/>
      <c r="H660" s="768"/>
      <c r="I660" s="767"/>
      <c r="J660" s="767"/>
      <c r="K660" s="218"/>
      <c r="L660" s="218"/>
      <c r="M660" s="218"/>
      <c r="N660" s="51"/>
      <c r="O660" s="113"/>
      <c r="P660" s="547"/>
      <c r="Q660" s="547"/>
      <c r="R660" s="547"/>
      <c r="S660" s="547"/>
      <c r="U660" s="44"/>
      <c r="X660" s="374"/>
      <c r="Y660" s="218"/>
      <c r="Z660" s="374"/>
      <c r="AA660" s="218"/>
      <c r="AB660" s="374"/>
      <c r="AC660" s="374"/>
      <c r="AD660" s="374"/>
      <c r="AE660" s="374"/>
      <c r="AF660" s="374"/>
      <c r="AG660" s="218"/>
      <c r="AH660" s="218"/>
      <c r="AI660" s="218"/>
      <c r="AJ660" s="553"/>
    </row>
    <row r="661" spans="4:36" s="377" customFormat="1" ht="14.35">
      <c r="D661" s="374"/>
      <c r="E661" s="374"/>
      <c r="F661" s="374"/>
      <c r="G661" s="767"/>
      <c r="H661" s="768"/>
      <c r="I661" s="767"/>
      <c r="J661" s="767"/>
      <c r="K661" s="218"/>
      <c r="L661" s="218"/>
      <c r="M661" s="218"/>
      <c r="N661" s="44"/>
      <c r="O661" s="44"/>
      <c r="P661" s="547"/>
      <c r="Q661" s="547"/>
      <c r="R661" s="547"/>
      <c r="S661" s="547"/>
      <c r="U661" s="44"/>
      <c r="X661" s="374"/>
      <c r="Y661" s="218"/>
      <c r="Z661" s="374"/>
      <c r="AA661" s="218"/>
      <c r="AB661" s="374"/>
      <c r="AC661" s="374"/>
      <c r="AD661" s="374"/>
      <c r="AE661" s="374"/>
      <c r="AF661" s="374"/>
      <c r="AG661" s="218"/>
      <c r="AH661" s="218"/>
      <c r="AI661" s="218"/>
      <c r="AJ661" s="553"/>
    </row>
    <row r="662" spans="4:36" s="377" customFormat="1" ht="14.35">
      <c r="D662" s="374"/>
      <c r="E662" s="374"/>
      <c r="F662" s="374"/>
      <c r="G662" s="767"/>
      <c r="H662" s="768"/>
      <c r="I662" s="767"/>
      <c r="J662" s="767"/>
      <c r="K662" s="218"/>
      <c r="L662" s="218"/>
      <c r="M662" s="218"/>
      <c r="N662" s="44"/>
      <c r="O662" s="44"/>
      <c r="P662" s="547"/>
      <c r="Q662" s="547"/>
      <c r="R662" s="547"/>
      <c r="S662" s="547"/>
      <c r="U662" s="44"/>
      <c r="X662" s="374"/>
      <c r="Y662" s="218"/>
      <c r="Z662" s="374"/>
      <c r="AA662" s="218"/>
      <c r="AB662" s="374"/>
      <c r="AC662" s="374"/>
      <c r="AD662" s="374"/>
      <c r="AE662" s="374"/>
      <c r="AF662" s="374"/>
      <c r="AG662" s="218"/>
      <c r="AH662" s="218"/>
      <c r="AI662" s="218"/>
      <c r="AJ662" s="553"/>
    </row>
    <row r="663" spans="4:36" s="377" customFormat="1" ht="14.35">
      <c r="D663" s="374"/>
      <c r="E663" s="374"/>
      <c r="F663" s="374"/>
      <c r="G663" s="767"/>
      <c r="H663" s="768"/>
      <c r="I663" s="767"/>
      <c r="J663" s="767"/>
      <c r="K663" s="218"/>
      <c r="L663" s="218"/>
      <c r="M663" s="218"/>
      <c r="N663" s="44"/>
      <c r="O663" s="44"/>
      <c r="P663" s="547"/>
      <c r="Q663" s="547"/>
      <c r="R663" s="547"/>
      <c r="S663" s="547"/>
      <c r="U663" s="44"/>
      <c r="X663" s="374"/>
      <c r="Y663" s="218"/>
      <c r="Z663" s="374"/>
      <c r="AA663" s="218"/>
      <c r="AB663" s="374"/>
      <c r="AC663" s="374"/>
      <c r="AD663" s="374"/>
      <c r="AE663" s="374"/>
      <c r="AF663" s="374"/>
      <c r="AG663" s="218"/>
      <c r="AH663" s="218"/>
      <c r="AI663" s="218"/>
      <c r="AJ663" s="553"/>
    </row>
    <row r="664" spans="4:36" s="377" customFormat="1" ht="14.35">
      <c r="D664" s="374"/>
      <c r="E664" s="374"/>
      <c r="F664" s="374"/>
      <c r="G664" s="767"/>
      <c r="H664" s="768"/>
      <c r="I664" s="767"/>
      <c r="J664" s="767"/>
      <c r="K664" s="218"/>
      <c r="L664" s="218"/>
      <c r="M664" s="218"/>
      <c r="N664" s="44"/>
      <c r="O664" s="44"/>
      <c r="P664" s="547"/>
      <c r="Q664" s="547"/>
      <c r="R664" s="547"/>
      <c r="S664" s="547"/>
      <c r="U664" s="44"/>
      <c r="X664" s="374"/>
      <c r="Y664" s="218"/>
      <c r="Z664" s="374"/>
      <c r="AA664" s="218"/>
      <c r="AB664" s="374"/>
      <c r="AC664" s="374"/>
      <c r="AD664" s="374"/>
      <c r="AE664" s="374"/>
      <c r="AF664" s="374"/>
      <c r="AG664" s="218"/>
      <c r="AH664" s="218"/>
      <c r="AI664" s="218"/>
      <c r="AJ664" s="553"/>
    </row>
    <row r="665" spans="4:36" s="377" customFormat="1" ht="14.35">
      <c r="D665" s="374"/>
      <c r="E665" s="374"/>
      <c r="F665" s="374"/>
      <c r="G665" s="767"/>
      <c r="H665" s="768"/>
      <c r="I665" s="767"/>
      <c r="J665" s="767"/>
      <c r="K665" s="218"/>
      <c r="L665" s="218"/>
      <c r="M665" s="218"/>
      <c r="N665" s="44"/>
      <c r="O665" s="44"/>
      <c r="P665" s="547"/>
      <c r="Q665" s="547"/>
      <c r="R665" s="547"/>
      <c r="S665" s="547"/>
      <c r="U665" s="44"/>
      <c r="X665" s="374"/>
      <c r="Y665" s="218"/>
      <c r="Z665" s="374"/>
      <c r="AA665" s="218"/>
      <c r="AB665" s="374"/>
      <c r="AC665" s="374"/>
      <c r="AD665" s="374"/>
      <c r="AE665" s="374"/>
      <c r="AF665" s="374"/>
      <c r="AG665" s="218"/>
      <c r="AH665" s="218"/>
      <c r="AI665" s="218"/>
      <c r="AJ665" s="553"/>
    </row>
    <row r="666" spans="4:36" s="377" customFormat="1" ht="14.35">
      <c r="D666" s="374"/>
      <c r="E666" s="374"/>
      <c r="F666" s="374"/>
      <c r="G666" s="767"/>
      <c r="H666" s="768"/>
      <c r="I666" s="767"/>
      <c r="J666" s="767"/>
      <c r="K666" s="218"/>
      <c r="L666" s="218"/>
      <c r="M666" s="218"/>
      <c r="N666" s="218"/>
      <c r="O666" s="547"/>
      <c r="P666" s="547"/>
      <c r="Q666" s="547"/>
      <c r="R666" s="547"/>
      <c r="S666" s="547"/>
      <c r="U666" s="44"/>
      <c r="X666" s="374"/>
      <c r="Y666" s="218"/>
      <c r="Z666" s="374"/>
      <c r="AA666" s="218"/>
      <c r="AB666" s="374"/>
      <c r="AC666" s="374"/>
      <c r="AD666" s="374"/>
      <c r="AE666" s="374"/>
      <c r="AF666" s="374"/>
      <c r="AG666" s="218"/>
      <c r="AH666" s="218"/>
      <c r="AI666" s="218"/>
      <c r="AJ666" s="553"/>
    </row>
    <row r="667" spans="4:36" s="377" customFormat="1" ht="14.35">
      <c r="D667" s="374"/>
      <c r="E667" s="374"/>
      <c r="F667" s="374"/>
      <c r="G667" s="767"/>
      <c r="H667" s="768"/>
      <c r="I667" s="767"/>
      <c r="J667" s="767"/>
      <c r="K667" s="218"/>
      <c r="L667" s="218"/>
      <c r="M667" s="218"/>
      <c r="N667" s="218"/>
      <c r="O667" s="547"/>
      <c r="P667" s="547"/>
      <c r="Q667" s="547"/>
      <c r="R667" s="547"/>
      <c r="S667" s="547"/>
      <c r="U667" s="44"/>
      <c r="X667" s="374"/>
      <c r="Y667" s="218"/>
      <c r="Z667" s="374"/>
      <c r="AA667" s="218"/>
      <c r="AB667" s="374"/>
      <c r="AC667" s="374"/>
      <c r="AD667" s="374"/>
      <c r="AE667" s="374"/>
      <c r="AF667" s="374"/>
      <c r="AG667" s="218"/>
      <c r="AH667" s="218"/>
      <c r="AI667" s="218"/>
      <c r="AJ667" s="553"/>
    </row>
    <row r="668" spans="4:36" s="377" customFormat="1" ht="14.35">
      <c r="D668" s="374"/>
      <c r="E668" s="374"/>
      <c r="F668" s="374"/>
      <c r="G668" s="767"/>
      <c r="H668" s="768"/>
      <c r="I668" s="767"/>
      <c r="J668" s="767"/>
      <c r="K668" s="218"/>
      <c r="L668" s="218"/>
      <c r="M668" s="218"/>
      <c r="N668" s="218"/>
      <c r="O668" s="547"/>
      <c r="P668" s="547"/>
      <c r="Q668" s="547"/>
      <c r="R668" s="547"/>
      <c r="S668" s="547"/>
      <c r="U668" s="44"/>
      <c r="X668" s="374"/>
      <c r="Y668" s="218"/>
      <c r="Z668" s="374"/>
      <c r="AA668" s="218"/>
      <c r="AB668" s="374"/>
      <c r="AC668" s="374"/>
      <c r="AD668" s="374"/>
      <c r="AE668" s="374"/>
      <c r="AF668" s="374"/>
      <c r="AG668" s="218"/>
      <c r="AH668" s="218"/>
      <c r="AI668" s="218"/>
      <c r="AJ668" s="553"/>
    </row>
    <row r="669" spans="4:36" s="377" customFormat="1" ht="14.35">
      <c r="D669" s="374"/>
      <c r="E669" s="374"/>
      <c r="F669" s="374"/>
      <c r="G669" s="767"/>
      <c r="H669" s="768"/>
      <c r="I669" s="767"/>
      <c r="J669" s="767"/>
      <c r="K669" s="218"/>
      <c r="L669" s="218"/>
      <c r="M669" s="218"/>
      <c r="N669" s="218"/>
      <c r="O669" s="547"/>
      <c r="P669" s="547"/>
      <c r="Q669" s="547"/>
      <c r="R669" s="547"/>
      <c r="S669" s="547"/>
      <c r="U669" s="44"/>
      <c r="X669" s="374"/>
      <c r="Y669" s="218"/>
      <c r="Z669" s="374"/>
      <c r="AA669" s="218"/>
      <c r="AB669" s="374"/>
      <c r="AC669" s="374"/>
      <c r="AD669" s="374"/>
      <c r="AE669" s="374"/>
      <c r="AF669" s="374"/>
      <c r="AG669" s="218"/>
      <c r="AH669" s="218"/>
      <c r="AI669" s="218"/>
      <c r="AJ669" s="553"/>
    </row>
    <row r="670" spans="4:36" s="377" customFormat="1" ht="14.35">
      <c r="D670" s="374"/>
      <c r="E670" s="374"/>
      <c r="F670" s="374"/>
      <c r="G670" s="767"/>
      <c r="H670" s="768"/>
      <c r="I670" s="767"/>
      <c r="J670" s="767"/>
      <c r="K670" s="218"/>
      <c r="L670" s="218"/>
      <c r="M670" s="218"/>
      <c r="N670" s="218"/>
      <c r="O670" s="547"/>
      <c r="P670" s="547"/>
      <c r="Q670" s="547"/>
      <c r="R670" s="547"/>
      <c r="S670" s="547"/>
      <c r="U670" s="44"/>
      <c r="X670" s="374"/>
      <c r="Y670" s="218"/>
      <c r="Z670" s="374"/>
      <c r="AA670" s="218"/>
      <c r="AB670" s="374"/>
      <c r="AC670" s="374"/>
      <c r="AD670" s="374"/>
      <c r="AE670" s="374"/>
      <c r="AF670" s="374"/>
      <c r="AG670" s="218"/>
      <c r="AH670" s="218"/>
      <c r="AI670" s="218"/>
      <c r="AJ670" s="553"/>
    </row>
    <row r="671" spans="4:36" s="377" customFormat="1" ht="14.35">
      <c r="D671" s="374"/>
      <c r="E671" s="374"/>
      <c r="F671" s="374"/>
      <c r="G671" s="767"/>
      <c r="H671" s="768"/>
      <c r="I671" s="767"/>
      <c r="J671" s="767"/>
      <c r="K671" s="218"/>
      <c r="L671" s="218"/>
      <c r="M671" s="218"/>
      <c r="N671" s="218"/>
      <c r="O671" s="547"/>
      <c r="P671" s="547"/>
      <c r="Q671" s="547"/>
      <c r="R671" s="547"/>
      <c r="S671" s="547"/>
      <c r="U671" s="44"/>
      <c r="X671" s="374"/>
      <c r="Y671" s="218"/>
      <c r="Z671" s="374"/>
      <c r="AA671" s="218"/>
      <c r="AB671" s="374"/>
      <c r="AC671" s="374"/>
      <c r="AD671" s="374"/>
      <c r="AE671" s="374"/>
      <c r="AF671" s="374"/>
      <c r="AG671" s="218"/>
      <c r="AH671" s="218"/>
      <c r="AI671" s="218"/>
      <c r="AJ671" s="553"/>
    </row>
    <row r="672" spans="4:36" s="377" customFormat="1" ht="14.35">
      <c r="D672" s="374"/>
      <c r="E672" s="374"/>
      <c r="F672" s="374"/>
      <c r="G672" s="767"/>
      <c r="H672" s="768"/>
      <c r="I672" s="767"/>
      <c r="J672" s="767"/>
      <c r="K672" s="218"/>
      <c r="L672" s="218"/>
      <c r="M672" s="218"/>
      <c r="N672" s="218"/>
      <c r="O672" s="547"/>
      <c r="P672" s="547"/>
      <c r="Q672" s="547"/>
      <c r="R672" s="547"/>
      <c r="S672" s="547"/>
      <c r="U672" s="44"/>
      <c r="X672" s="374"/>
      <c r="Y672" s="218"/>
      <c r="Z672" s="374"/>
      <c r="AA672" s="218"/>
      <c r="AB672" s="374"/>
      <c r="AC672" s="374"/>
      <c r="AD672" s="374"/>
      <c r="AE672" s="374"/>
      <c r="AF672" s="374"/>
      <c r="AG672" s="218"/>
      <c r="AH672" s="218"/>
      <c r="AI672" s="218"/>
      <c r="AJ672" s="553"/>
    </row>
    <row r="673" spans="4:36" s="377" customFormat="1" ht="14.35">
      <c r="D673" s="374"/>
      <c r="E673" s="374"/>
      <c r="F673" s="374"/>
      <c r="G673" s="767"/>
      <c r="H673" s="768"/>
      <c r="I673" s="767"/>
      <c r="J673" s="767"/>
      <c r="K673" s="218"/>
      <c r="L673" s="218"/>
      <c r="M673" s="218"/>
      <c r="N673" s="218"/>
      <c r="O673" s="547"/>
      <c r="P673" s="547"/>
      <c r="Q673" s="547"/>
      <c r="R673" s="547"/>
      <c r="S673" s="547"/>
      <c r="U673" s="44"/>
      <c r="X673" s="374"/>
      <c r="Y673" s="218"/>
      <c r="Z673" s="374"/>
      <c r="AA673" s="218"/>
      <c r="AB673" s="374"/>
      <c r="AC673" s="374"/>
      <c r="AD673" s="374"/>
      <c r="AE673" s="374"/>
      <c r="AF673" s="374"/>
      <c r="AG673" s="218"/>
      <c r="AH673" s="218"/>
      <c r="AI673" s="218"/>
      <c r="AJ673" s="553"/>
    </row>
    <row r="674" spans="4:36" s="377" customFormat="1" ht="14.35">
      <c r="D674" s="374"/>
      <c r="E674" s="374"/>
      <c r="F674" s="374"/>
      <c r="G674" s="767"/>
      <c r="H674" s="768"/>
      <c r="I674" s="767"/>
      <c r="J674" s="767"/>
      <c r="K674" s="218"/>
      <c r="L674" s="218"/>
      <c r="M674" s="218"/>
      <c r="N674" s="218"/>
      <c r="O674" s="547"/>
      <c r="P674" s="547"/>
      <c r="Q674" s="547"/>
      <c r="R674" s="547"/>
      <c r="S674" s="547"/>
      <c r="U674" s="44"/>
      <c r="X674" s="374"/>
      <c r="Y674" s="218"/>
      <c r="Z674" s="374"/>
      <c r="AA674" s="218"/>
      <c r="AB674" s="374"/>
      <c r="AC674" s="374"/>
      <c r="AD674" s="374"/>
      <c r="AE674" s="374"/>
      <c r="AF674" s="374"/>
      <c r="AG674" s="218"/>
      <c r="AH674" s="218"/>
      <c r="AI674" s="218"/>
      <c r="AJ674" s="553"/>
    </row>
    <row r="675" spans="4:36" s="377" customFormat="1" ht="14.35">
      <c r="D675" s="374"/>
      <c r="E675" s="374"/>
      <c r="F675" s="374"/>
      <c r="G675" s="767"/>
      <c r="H675" s="768"/>
      <c r="I675" s="767"/>
      <c r="J675" s="767"/>
      <c r="K675" s="218"/>
      <c r="L675" s="218"/>
      <c r="M675" s="218"/>
      <c r="N675" s="218"/>
      <c r="O675" s="547"/>
      <c r="P675" s="547"/>
      <c r="Q675" s="547"/>
      <c r="R675" s="547"/>
      <c r="S675" s="547"/>
      <c r="U675" s="44"/>
      <c r="X675" s="374"/>
      <c r="Y675" s="218"/>
      <c r="Z675" s="374"/>
      <c r="AA675" s="218"/>
      <c r="AB675" s="374"/>
      <c r="AC675" s="374"/>
      <c r="AD675" s="374"/>
      <c r="AE675" s="374"/>
      <c r="AF675" s="374"/>
      <c r="AG675" s="218"/>
      <c r="AH675" s="218"/>
      <c r="AI675" s="218"/>
      <c r="AJ675" s="553"/>
    </row>
    <row r="676" spans="4:36" s="377" customFormat="1" ht="14.35">
      <c r="D676" s="374"/>
      <c r="E676" s="374"/>
      <c r="F676" s="374"/>
      <c r="G676" s="767"/>
      <c r="H676" s="768"/>
      <c r="I676" s="767"/>
      <c r="J676" s="767"/>
      <c r="K676" s="218"/>
      <c r="L676" s="218"/>
      <c r="M676" s="218"/>
      <c r="N676" s="218"/>
      <c r="O676" s="547"/>
      <c r="P676" s="547"/>
      <c r="Q676" s="547"/>
      <c r="R676" s="547"/>
      <c r="S676" s="547"/>
      <c r="U676" s="44"/>
      <c r="X676" s="374"/>
      <c r="Y676" s="218"/>
      <c r="Z676" s="374"/>
      <c r="AA676" s="218"/>
      <c r="AB676" s="374"/>
      <c r="AC676" s="374"/>
      <c r="AD676" s="374"/>
      <c r="AE676" s="374"/>
      <c r="AF676" s="374"/>
      <c r="AG676" s="218"/>
      <c r="AH676" s="218"/>
      <c r="AI676" s="218"/>
      <c r="AJ676" s="553"/>
    </row>
    <row r="677" spans="4:36" s="377" customFormat="1" ht="14.35">
      <c r="D677" s="374"/>
      <c r="E677" s="374"/>
      <c r="F677" s="374"/>
      <c r="G677" s="767"/>
      <c r="H677" s="768"/>
      <c r="I677" s="767"/>
      <c r="J677" s="767"/>
      <c r="K677" s="218"/>
      <c r="L677" s="218"/>
      <c r="M677" s="218"/>
      <c r="N677" s="218"/>
      <c r="O677" s="547"/>
      <c r="P677" s="547"/>
      <c r="Q677" s="547"/>
      <c r="R677" s="547"/>
      <c r="S677" s="547"/>
      <c r="U677" s="44"/>
      <c r="X677" s="374"/>
      <c r="Y677" s="218"/>
      <c r="Z677" s="374"/>
      <c r="AA677" s="218"/>
      <c r="AB677" s="374"/>
      <c r="AC677" s="374"/>
      <c r="AD677" s="374"/>
      <c r="AE677" s="374"/>
      <c r="AF677" s="374"/>
      <c r="AG677" s="218"/>
      <c r="AH677" s="218"/>
      <c r="AI677" s="218"/>
      <c r="AJ677" s="553"/>
    </row>
    <row r="678" spans="4:36" s="377" customFormat="1" ht="14.35">
      <c r="D678" s="374"/>
      <c r="E678" s="374"/>
      <c r="F678" s="374"/>
      <c r="G678" s="767"/>
      <c r="H678" s="768"/>
      <c r="I678" s="767"/>
      <c r="J678" s="767"/>
      <c r="K678" s="218"/>
      <c r="L678" s="218"/>
      <c r="M678" s="218"/>
      <c r="N678" s="218"/>
      <c r="O678" s="547"/>
      <c r="P678" s="547"/>
      <c r="Q678" s="547"/>
      <c r="R678" s="547"/>
      <c r="S678" s="547"/>
      <c r="U678" s="44"/>
      <c r="X678" s="374"/>
      <c r="Y678" s="218"/>
      <c r="Z678" s="374"/>
      <c r="AA678" s="218"/>
      <c r="AB678" s="374"/>
      <c r="AC678" s="374"/>
      <c r="AD678" s="374"/>
      <c r="AE678" s="374"/>
      <c r="AF678" s="374"/>
      <c r="AG678" s="218"/>
      <c r="AH678" s="218"/>
      <c r="AI678" s="218"/>
      <c r="AJ678" s="553"/>
    </row>
    <row r="679" spans="4:36" s="377" customFormat="1" ht="14.35">
      <c r="D679" s="374"/>
      <c r="E679" s="374"/>
      <c r="F679" s="374"/>
      <c r="G679" s="767"/>
      <c r="H679" s="768"/>
      <c r="I679" s="767"/>
      <c r="J679" s="767"/>
      <c r="K679" s="218"/>
      <c r="L679" s="218"/>
      <c r="M679" s="218"/>
      <c r="N679" s="218"/>
      <c r="O679" s="547"/>
      <c r="P679" s="547"/>
      <c r="Q679" s="547"/>
      <c r="R679" s="547"/>
      <c r="S679" s="547"/>
      <c r="U679" s="44"/>
      <c r="X679" s="374"/>
      <c r="Y679" s="218"/>
      <c r="Z679" s="374"/>
      <c r="AA679" s="218"/>
      <c r="AB679" s="374"/>
      <c r="AC679" s="374"/>
      <c r="AD679" s="374"/>
      <c r="AE679" s="374"/>
      <c r="AF679" s="374"/>
      <c r="AG679" s="218"/>
      <c r="AH679" s="218"/>
      <c r="AI679" s="218"/>
      <c r="AJ679" s="553"/>
    </row>
    <row r="680" spans="4:36" s="377" customFormat="1" ht="14.35">
      <c r="D680" s="374"/>
      <c r="E680" s="374"/>
      <c r="F680" s="374"/>
      <c r="G680" s="767"/>
      <c r="H680" s="768"/>
      <c r="I680" s="767"/>
      <c r="J680" s="767"/>
      <c r="K680" s="218"/>
      <c r="L680" s="218"/>
      <c r="M680" s="218"/>
      <c r="N680" s="218"/>
      <c r="O680" s="547"/>
      <c r="P680" s="547"/>
      <c r="Q680" s="547"/>
      <c r="R680" s="547"/>
      <c r="S680" s="547"/>
      <c r="U680" s="44"/>
      <c r="X680" s="374"/>
      <c r="Y680" s="218"/>
      <c r="Z680" s="374"/>
      <c r="AA680" s="218"/>
      <c r="AB680" s="374"/>
      <c r="AC680" s="374"/>
      <c r="AD680" s="374"/>
      <c r="AE680" s="374"/>
      <c r="AF680" s="374"/>
      <c r="AG680" s="218"/>
      <c r="AH680" s="218"/>
      <c r="AI680" s="218"/>
      <c r="AJ680" s="553"/>
    </row>
    <row r="681" spans="4:36" s="377" customFormat="1" ht="14.35">
      <c r="D681" s="374"/>
      <c r="E681" s="374"/>
      <c r="F681" s="374"/>
      <c r="G681" s="767"/>
      <c r="H681" s="768"/>
      <c r="I681" s="767"/>
      <c r="J681" s="767"/>
      <c r="K681" s="218"/>
      <c r="L681" s="218"/>
      <c r="M681" s="218"/>
      <c r="N681" s="218"/>
      <c r="O681" s="547"/>
      <c r="P681" s="547"/>
      <c r="Q681" s="547"/>
      <c r="R681" s="547"/>
      <c r="S681" s="547"/>
      <c r="U681" s="44"/>
      <c r="X681" s="374"/>
      <c r="Y681" s="218"/>
      <c r="Z681" s="374"/>
      <c r="AA681" s="218"/>
      <c r="AB681" s="374"/>
      <c r="AC681" s="374"/>
      <c r="AD681" s="374"/>
      <c r="AE681" s="374"/>
      <c r="AF681" s="374"/>
      <c r="AG681" s="218"/>
      <c r="AH681" s="218"/>
      <c r="AI681" s="218"/>
      <c r="AJ681" s="553"/>
    </row>
    <row r="682" spans="4:36" s="377" customFormat="1" ht="14.35">
      <c r="D682" s="374"/>
      <c r="E682" s="374"/>
      <c r="F682" s="374"/>
      <c r="G682" s="767"/>
      <c r="H682" s="768"/>
      <c r="I682" s="767"/>
      <c r="J682" s="767"/>
      <c r="K682" s="218"/>
      <c r="L682" s="218"/>
      <c r="M682" s="218"/>
      <c r="N682" s="218"/>
      <c r="O682" s="547"/>
      <c r="P682" s="547"/>
      <c r="Q682" s="547"/>
      <c r="R682" s="547"/>
      <c r="S682" s="547"/>
      <c r="U682" s="44"/>
      <c r="X682" s="374"/>
      <c r="Y682" s="218"/>
      <c r="Z682" s="374"/>
      <c r="AA682" s="218"/>
      <c r="AB682" s="374"/>
      <c r="AC682" s="374"/>
      <c r="AD682" s="374"/>
      <c r="AE682" s="374"/>
      <c r="AF682" s="374"/>
      <c r="AG682" s="218"/>
      <c r="AH682" s="218"/>
      <c r="AI682" s="218"/>
      <c r="AJ682" s="553"/>
    </row>
    <row r="683" spans="4:36" s="377" customFormat="1" ht="14.35">
      <c r="D683" s="374"/>
      <c r="E683" s="374"/>
      <c r="F683" s="374"/>
      <c r="G683" s="767"/>
      <c r="H683" s="768"/>
      <c r="I683" s="767"/>
      <c r="J683" s="767"/>
      <c r="K683" s="218"/>
      <c r="L683" s="218"/>
      <c r="M683" s="218"/>
      <c r="N683" s="218"/>
      <c r="O683" s="547"/>
      <c r="P683" s="547"/>
      <c r="Q683" s="547"/>
      <c r="R683" s="547"/>
      <c r="S683" s="547"/>
      <c r="U683" s="44"/>
      <c r="X683" s="374"/>
      <c r="Y683" s="218"/>
      <c r="Z683" s="374"/>
      <c r="AA683" s="218"/>
      <c r="AB683" s="374"/>
      <c r="AC683" s="374"/>
      <c r="AD683" s="374"/>
      <c r="AE683" s="374"/>
      <c r="AF683" s="374"/>
      <c r="AG683" s="218"/>
      <c r="AH683" s="218"/>
      <c r="AI683" s="218"/>
      <c r="AJ683" s="553"/>
    </row>
    <row r="684" spans="4:36" s="377" customFormat="1" ht="14.35">
      <c r="D684" s="374"/>
      <c r="E684" s="374"/>
      <c r="F684" s="374"/>
      <c r="G684" s="767"/>
      <c r="H684" s="768"/>
      <c r="I684" s="767"/>
      <c r="J684" s="767"/>
      <c r="K684" s="218"/>
      <c r="L684" s="218"/>
      <c r="M684" s="218"/>
      <c r="N684" s="218"/>
      <c r="O684" s="547"/>
      <c r="P684" s="547"/>
      <c r="Q684" s="547"/>
      <c r="R684" s="547"/>
      <c r="S684" s="547"/>
      <c r="U684" s="44"/>
      <c r="X684" s="374"/>
      <c r="Y684" s="218"/>
      <c r="Z684" s="374"/>
      <c r="AA684" s="218"/>
      <c r="AB684" s="374"/>
      <c r="AC684" s="374"/>
      <c r="AD684" s="374"/>
      <c r="AE684" s="374"/>
      <c r="AF684" s="374"/>
      <c r="AG684" s="218"/>
      <c r="AH684" s="218"/>
      <c r="AI684" s="218"/>
      <c r="AJ684" s="553"/>
    </row>
    <row r="685" spans="4:36" s="377" customFormat="1" ht="14.35">
      <c r="D685" s="374"/>
      <c r="E685" s="374"/>
      <c r="F685" s="374"/>
      <c r="G685" s="767"/>
      <c r="H685" s="768"/>
      <c r="I685" s="767"/>
      <c r="J685" s="767"/>
      <c r="K685" s="218"/>
      <c r="L685" s="218"/>
      <c r="M685" s="218"/>
      <c r="N685" s="218"/>
      <c r="O685" s="547"/>
      <c r="P685" s="547"/>
      <c r="Q685" s="547"/>
      <c r="R685" s="547"/>
      <c r="S685" s="547"/>
      <c r="U685" s="44"/>
      <c r="X685" s="374"/>
      <c r="Y685" s="218"/>
      <c r="Z685" s="374"/>
      <c r="AA685" s="218"/>
      <c r="AB685" s="374"/>
      <c r="AC685" s="374"/>
      <c r="AD685" s="374"/>
      <c r="AE685" s="374"/>
      <c r="AF685" s="374"/>
      <c r="AG685" s="218"/>
      <c r="AH685" s="218"/>
      <c r="AI685" s="218"/>
      <c r="AJ685" s="553"/>
    </row>
    <row r="686" spans="4:36" s="377" customFormat="1" ht="14.35">
      <c r="D686" s="374"/>
      <c r="E686" s="374"/>
      <c r="F686" s="374"/>
      <c r="G686" s="767"/>
      <c r="H686" s="768"/>
      <c r="I686" s="767"/>
      <c r="J686" s="767"/>
      <c r="K686" s="218"/>
      <c r="L686" s="218"/>
      <c r="M686" s="218"/>
      <c r="N686" s="218"/>
      <c r="O686" s="547"/>
      <c r="P686" s="547"/>
      <c r="Q686" s="547"/>
      <c r="R686" s="547"/>
      <c r="S686" s="547"/>
      <c r="U686" s="44"/>
      <c r="X686" s="374"/>
      <c r="Y686" s="218"/>
      <c r="Z686" s="374"/>
      <c r="AA686" s="218"/>
      <c r="AB686" s="374"/>
      <c r="AC686" s="374"/>
      <c r="AD686" s="374"/>
      <c r="AE686" s="374"/>
      <c r="AF686" s="374"/>
      <c r="AG686" s="218"/>
      <c r="AH686" s="218"/>
      <c r="AI686" s="218"/>
      <c r="AJ686" s="553"/>
    </row>
    <row r="687" spans="4:36" s="377" customFormat="1" ht="14.35">
      <c r="D687" s="374"/>
      <c r="E687" s="374"/>
      <c r="F687" s="374"/>
      <c r="G687" s="767"/>
      <c r="H687" s="768"/>
      <c r="I687" s="767"/>
      <c r="J687" s="767"/>
      <c r="K687" s="218"/>
      <c r="L687" s="218"/>
      <c r="M687" s="218"/>
      <c r="N687" s="218"/>
      <c r="O687" s="547"/>
      <c r="P687" s="547"/>
      <c r="Q687" s="547"/>
      <c r="R687" s="547"/>
      <c r="S687" s="547"/>
      <c r="U687" s="44"/>
      <c r="X687" s="374"/>
      <c r="Y687" s="218"/>
      <c r="Z687" s="374"/>
      <c r="AA687" s="218"/>
      <c r="AB687" s="374"/>
      <c r="AC687" s="374"/>
      <c r="AD687" s="374"/>
      <c r="AE687" s="374"/>
      <c r="AF687" s="374"/>
      <c r="AG687" s="218"/>
      <c r="AH687" s="218"/>
      <c r="AI687" s="218"/>
      <c r="AJ687" s="553"/>
    </row>
    <row r="688" spans="4:36" s="377" customFormat="1" ht="14.35">
      <c r="D688" s="374"/>
      <c r="E688" s="374"/>
      <c r="F688" s="374"/>
      <c r="G688" s="767"/>
      <c r="H688" s="768"/>
      <c r="I688" s="767"/>
      <c r="J688" s="767"/>
      <c r="K688" s="218"/>
      <c r="L688" s="218"/>
      <c r="M688" s="218"/>
      <c r="N688" s="218"/>
      <c r="O688" s="547"/>
      <c r="P688" s="547"/>
      <c r="Q688" s="547"/>
      <c r="R688" s="547"/>
      <c r="S688" s="547"/>
      <c r="U688" s="44"/>
      <c r="X688" s="374"/>
      <c r="Y688" s="218"/>
      <c r="Z688" s="374"/>
      <c r="AA688" s="218"/>
      <c r="AB688" s="374"/>
      <c r="AC688" s="374"/>
      <c r="AD688" s="374"/>
      <c r="AE688" s="374"/>
      <c r="AF688" s="374"/>
      <c r="AG688" s="218"/>
      <c r="AH688" s="218"/>
      <c r="AI688" s="218"/>
      <c r="AJ688" s="553"/>
    </row>
    <row r="689" spans="1:50" s="377" customFormat="1" ht="14.35">
      <c r="D689" s="374"/>
      <c r="E689" s="374"/>
      <c r="F689" s="374"/>
      <c r="G689" s="767"/>
      <c r="H689" s="768"/>
      <c r="I689" s="767"/>
      <c r="J689" s="767"/>
      <c r="K689" s="218"/>
      <c r="L689" s="218"/>
      <c r="M689" s="218"/>
      <c r="N689" s="218"/>
      <c r="O689" s="547"/>
      <c r="P689" s="547"/>
      <c r="Q689" s="547"/>
      <c r="R689" s="547"/>
      <c r="S689" s="547"/>
      <c r="U689" s="44"/>
      <c r="X689" s="374"/>
      <c r="Y689" s="218"/>
      <c r="Z689" s="374"/>
      <c r="AA689" s="218"/>
      <c r="AB689" s="374"/>
      <c r="AC689" s="374"/>
      <c r="AD689" s="374"/>
      <c r="AE689" s="374"/>
      <c r="AF689" s="374"/>
      <c r="AG689" s="218"/>
      <c r="AH689" s="218"/>
      <c r="AI689" s="218"/>
      <c r="AJ689" s="553"/>
    </row>
    <row r="690" spans="1:50" s="377" customFormat="1" ht="14.35">
      <c r="D690" s="374"/>
      <c r="E690" s="374"/>
      <c r="F690" s="374"/>
      <c r="G690" s="767"/>
      <c r="H690" s="768"/>
      <c r="I690" s="767"/>
      <c r="J690" s="767"/>
      <c r="K690" s="218"/>
      <c r="L690" s="218"/>
      <c r="M690" s="218"/>
      <c r="N690" s="218"/>
      <c r="O690" s="547"/>
      <c r="P690" s="547"/>
      <c r="Q690" s="547"/>
      <c r="R690" s="547"/>
      <c r="S690" s="547"/>
      <c r="U690" s="44"/>
      <c r="X690" s="374"/>
      <c r="Y690" s="218"/>
      <c r="Z690" s="374"/>
      <c r="AA690" s="218"/>
      <c r="AB690" s="374"/>
      <c r="AC690" s="374"/>
      <c r="AD690" s="374"/>
      <c r="AE690" s="374"/>
      <c r="AF690" s="374"/>
      <c r="AG690" s="218"/>
      <c r="AH690" s="218"/>
      <c r="AI690" s="218"/>
      <c r="AJ690" s="553"/>
    </row>
    <row r="691" spans="1:50" s="377" customFormat="1" ht="14.35">
      <c r="D691" s="374"/>
      <c r="E691" s="374"/>
      <c r="F691" s="374"/>
      <c r="G691" s="767"/>
      <c r="H691" s="768"/>
      <c r="I691" s="767"/>
      <c r="J691" s="767"/>
      <c r="K691" s="218"/>
      <c r="L691" s="218"/>
      <c r="M691" s="218"/>
      <c r="N691" s="218"/>
      <c r="O691" s="547"/>
      <c r="P691" s="547"/>
      <c r="Q691" s="547"/>
      <c r="R691" s="547"/>
      <c r="S691" s="547"/>
      <c r="U691" s="44"/>
      <c r="X691" s="374"/>
      <c r="Y691" s="218"/>
      <c r="Z691" s="374"/>
      <c r="AA691" s="218"/>
      <c r="AB691" s="374"/>
      <c r="AC691" s="374"/>
      <c r="AD691" s="374"/>
      <c r="AE691" s="374"/>
      <c r="AF691" s="374"/>
      <c r="AG691" s="218"/>
      <c r="AH691" s="218"/>
      <c r="AI691" s="218"/>
      <c r="AJ691" s="553"/>
    </row>
    <row r="692" spans="1:50" s="377" customFormat="1" ht="14.35">
      <c r="A692" s="369"/>
      <c r="B692" s="369"/>
      <c r="C692" s="354"/>
      <c r="D692" s="369"/>
      <c r="E692" s="369"/>
      <c r="F692" s="369"/>
      <c r="G692" s="457"/>
      <c r="H692" s="769"/>
      <c r="I692" s="457"/>
      <c r="J692" s="457"/>
      <c r="K692" s="354"/>
      <c r="L692" s="354"/>
      <c r="M692" s="354"/>
      <c r="N692" s="354"/>
      <c r="O692" s="373"/>
      <c r="P692" s="373"/>
      <c r="Q692" s="373"/>
      <c r="R692" s="373"/>
      <c r="S692" s="373"/>
      <c r="T692" s="356"/>
      <c r="U692" s="704"/>
      <c r="V692" s="356"/>
      <c r="W692" s="356"/>
      <c r="X692" s="369"/>
      <c r="Y692" s="354"/>
      <c r="Z692" s="369"/>
      <c r="AA692" s="354"/>
      <c r="AB692" s="369"/>
      <c r="AC692" s="369"/>
      <c r="AD692" s="369"/>
      <c r="AE692" s="369"/>
      <c r="AF692" s="369"/>
      <c r="AG692" s="354"/>
      <c r="AH692" s="218"/>
      <c r="AI692" s="218"/>
      <c r="AJ692" s="553"/>
    </row>
    <row r="693" spans="1:50" ht="14.35">
      <c r="U693" s="704"/>
      <c r="AK693" s="377"/>
      <c r="AL693" s="377"/>
      <c r="AM693" s="377"/>
      <c r="AN693" s="377"/>
      <c r="AO693" s="377"/>
      <c r="AP693" s="377"/>
      <c r="AQ693" s="377"/>
      <c r="AR693" s="377"/>
      <c r="AS693" s="377"/>
      <c r="AT693" s="377"/>
      <c r="AU693" s="377"/>
      <c r="AV693" s="377"/>
      <c r="AW693" s="377"/>
      <c r="AX693" s="377"/>
    </row>
    <row r="694" spans="1:50" ht="14.35">
      <c r="U694" s="704"/>
      <c r="AK694" s="377"/>
      <c r="AL694" s="377"/>
      <c r="AM694" s="377"/>
      <c r="AN694" s="377"/>
      <c r="AO694" s="377"/>
      <c r="AP694" s="377"/>
      <c r="AQ694" s="377"/>
      <c r="AR694" s="377"/>
      <c r="AS694" s="377"/>
      <c r="AT694" s="377"/>
      <c r="AU694" s="377"/>
      <c r="AV694" s="377"/>
      <c r="AW694" s="377"/>
      <c r="AX694" s="377"/>
    </row>
    <row r="695" spans="1:50" ht="14.35">
      <c r="U695" s="704"/>
      <c r="AK695" s="377"/>
      <c r="AL695" s="377"/>
      <c r="AM695" s="377"/>
      <c r="AN695" s="377"/>
      <c r="AO695" s="377"/>
      <c r="AP695" s="377"/>
      <c r="AQ695" s="377"/>
      <c r="AR695" s="377"/>
      <c r="AS695" s="377"/>
      <c r="AT695" s="377"/>
      <c r="AU695" s="377"/>
      <c r="AV695" s="377"/>
      <c r="AW695" s="377"/>
      <c r="AX695" s="377"/>
    </row>
    <row r="696" spans="1:50" ht="14.35">
      <c r="U696" s="704"/>
      <c r="AK696" s="377"/>
      <c r="AL696" s="377"/>
      <c r="AM696" s="377"/>
      <c r="AN696" s="377"/>
      <c r="AO696" s="377"/>
      <c r="AP696" s="377"/>
      <c r="AQ696" s="377"/>
      <c r="AR696" s="377"/>
      <c r="AS696" s="377"/>
      <c r="AT696" s="377"/>
      <c r="AU696" s="377"/>
      <c r="AV696" s="377"/>
      <c r="AW696" s="377"/>
      <c r="AX696" s="377"/>
    </row>
    <row r="697" spans="1:50" ht="14.35">
      <c r="U697" s="704"/>
      <c r="AK697" s="377"/>
      <c r="AL697" s="377"/>
      <c r="AM697" s="377"/>
      <c r="AN697" s="377"/>
      <c r="AO697" s="377"/>
      <c r="AP697" s="377"/>
      <c r="AQ697" s="377"/>
      <c r="AR697" s="377"/>
      <c r="AS697" s="377"/>
      <c r="AT697" s="377"/>
      <c r="AU697" s="377"/>
      <c r="AV697" s="377"/>
      <c r="AW697" s="377"/>
      <c r="AX697" s="377"/>
    </row>
    <row r="698" spans="1:50" ht="14.35">
      <c r="U698" s="704"/>
      <c r="AK698" s="377"/>
      <c r="AL698" s="377"/>
      <c r="AM698" s="377"/>
      <c r="AN698" s="377"/>
      <c r="AO698" s="377"/>
      <c r="AP698" s="377"/>
      <c r="AQ698" s="377"/>
      <c r="AR698" s="377"/>
      <c r="AS698" s="377"/>
      <c r="AT698" s="377"/>
      <c r="AU698" s="377"/>
      <c r="AV698" s="377"/>
      <c r="AW698" s="377"/>
      <c r="AX698" s="377"/>
    </row>
    <row r="699" spans="1:50" ht="14.35">
      <c r="U699" s="704"/>
      <c r="AK699" s="377"/>
      <c r="AL699" s="377"/>
      <c r="AM699" s="377"/>
      <c r="AN699" s="377"/>
      <c r="AO699" s="377"/>
      <c r="AP699" s="377"/>
      <c r="AQ699" s="377"/>
      <c r="AR699" s="377"/>
      <c r="AS699" s="377"/>
      <c r="AT699" s="377"/>
      <c r="AU699" s="377"/>
      <c r="AV699" s="377"/>
      <c r="AW699" s="377"/>
      <c r="AX699" s="377"/>
    </row>
    <row r="700" spans="1:50" ht="14.35">
      <c r="U700" s="704"/>
      <c r="AK700" s="377"/>
      <c r="AL700" s="377"/>
      <c r="AM700" s="377"/>
      <c r="AN700" s="377"/>
      <c r="AO700" s="377"/>
      <c r="AP700" s="377"/>
      <c r="AQ700" s="377"/>
      <c r="AR700" s="377"/>
      <c r="AS700" s="377"/>
      <c r="AT700" s="377"/>
      <c r="AU700" s="377"/>
      <c r="AV700" s="377"/>
      <c r="AW700" s="377"/>
      <c r="AX700" s="377"/>
    </row>
    <row r="701" spans="1:50" ht="14.35">
      <c r="U701" s="704"/>
      <c r="AK701" s="377"/>
      <c r="AL701" s="377"/>
      <c r="AM701" s="377"/>
      <c r="AN701" s="377"/>
      <c r="AO701" s="377"/>
      <c r="AP701" s="377"/>
      <c r="AQ701" s="377"/>
      <c r="AR701" s="377"/>
      <c r="AS701" s="377"/>
      <c r="AT701" s="377"/>
      <c r="AU701" s="377"/>
      <c r="AV701" s="377"/>
      <c r="AW701" s="377"/>
      <c r="AX701" s="377"/>
    </row>
    <row r="702" spans="1:50" ht="14.35">
      <c r="U702" s="704"/>
      <c r="AK702" s="377"/>
      <c r="AL702" s="377"/>
      <c r="AM702" s="377"/>
      <c r="AN702" s="377"/>
      <c r="AO702" s="377"/>
      <c r="AP702" s="377"/>
      <c r="AQ702" s="377"/>
      <c r="AR702" s="377"/>
      <c r="AS702" s="377"/>
      <c r="AT702" s="377"/>
      <c r="AU702" s="377"/>
      <c r="AV702" s="377"/>
      <c r="AW702" s="377"/>
      <c r="AX702" s="377"/>
    </row>
    <row r="703" spans="1:50" ht="14.35">
      <c r="U703" s="704"/>
    </row>
    <row r="704" spans="1:50" ht="14.35">
      <c r="U704" s="704"/>
    </row>
    <row r="705" spans="21:21" ht="14.35">
      <c r="U705" s="704"/>
    </row>
    <row r="759" spans="11:11">
      <c r="K759" s="354">
        <f>SUBTOTAL(9,K58:'NBN_MWI &amp; Pipe Data'!K758)</f>
        <v>0</v>
      </c>
    </row>
  </sheetData>
  <autoFilter ref="A1:AT583">
    <sortState ref="A46:AT515">
      <sortCondition ref="A1:A367"/>
    </sortState>
  </autoFilter>
  <dataConsolidate/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37"/>
  <sheetViews>
    <sheetView zoomScale="80" zoomScaleNormal="80" workbookViewId="0">
      <selection activeCell="J33" sqref="J33"/>
    </sheetView>
  </sheetViews>
  <sheetFormatPr defaultRowHeight="14.35"/>
  <cols>
    <col min="8" max="8" width="12.1171875" customWidth="1"/>
    <col min="10" max="10" width="51.46875" bestFit="1" customWidth="1"/>
    <col min="11" max="13" width="10.3515625" customWidth="1"/>
    <col min="14" max="14" width="13.234375" customWidth="1"/>
    <col min="15" max="15" width="12.5859375" customWidth="1"/>
    <col min="16" max="19" width="10.3515625" customWidth="1"/>
    <col min="20" max="20" width="16.5859375" customWidth="1"/>
  </cols>
  <sheetData>
    <row r="2" spans="2:20">
      <c r="B2" s="557"/>
      <c r="C2" s="764"/>
      <c r="D2" s="765"/>
      <c r="E2" s="766"/>
      <c r="F2" s="767"/>
      <c r="G2" s="218"/>
      <c r="H2" s="218"/>
      <c r="I2" s="218"/>
      <c r="J2" s="218"/>
      <c r="K2" s="547"/>
      <c r="L2" s="547"/>
      <c r="M2" s="547"/>
      <c r="N2" s="547"/>
      <c r="O2" s="547"/>
      <c r="P2" s="377"/>
      <c r="Q2" s="218"/>
      <c r="R2" s="44"/>
      <c r="S2" s="377"/>
      <c r="T2" s="374"/>
    </row>
    <row r="3" spans="2:20" ht="14.7" thickBot="1">
      <c r="B3" s="557"/>
      <c r="C3" s="764"/>
      <c r="D3" s="765"/>
      <c r="E3" s="766"/>
      <c r="F3" s="767"/>
      <c r="G3" s="218"/>
      <c r="H3" s="377"/>
      <c r="I3" s="377"/>
      <c r="J3" s="218"/>
      <c r="K3" s="547"/>
      <c r="L3" s="547"/>
      <c r="M3" s="547"/>
      <c r="N3" s="547"/>
      <c r="O3" s="547"/>
      <c r="P3" s="377"/>
      <c r="Q3" s="218"/>
      <c r="R3" s="44"/>
      <c r="S3" s="377"/>
      <c r="T3" s="374"/>
    </row>
    <row r="4" spans="2:20" ht="56.35" thickBot="1">
      <c r="B4" s="557"/>
      <c r="C4" s="764"/>
      <c r="D4" s="765"/>
      <c r="E4" s="766"/>
      <c r="F4" s="767"/>
      <c r="G4" s="218"/>
      <c r="H4" s="832" t="s">
        <v>3160</v>
      </c>
      <c r="I4" s="218"/>
      <c r="J4" s="823"/>
      <c r="K4" s="824" t="s">
        <v>3152</v>
      </c>
      <c r="L4" s="824" t="s">
        <v>3156</v>
      </c>
      <c r="M4" s="824" t="s">
        <v>3155</v>
      </c>
      <c r="N4" s="824" t="s">
        <v>3154</v>
      </c>
      <c r="O4" s="827" t="s">
        <v>80</v>
      </c>
      <c r="P4" s="824" t="s">
        <v>3153</v>
      </c>
      <c r="Q4" s="824" t="s">
        <v>3157</v>
      </c>
      <c r="R4" s="824" t="s">
        <v>38</v>
      </c>
      <c r="S4" s="824" t="s">
        <v>63</v>
      </c>
      <c r="T4" s="824" t="s">
        <v>97</v>
      </c>
    </row>
    <row r="5" spans="2:20" ht="14.7" thickBot="1">
      <c r="B5" s="374"/>
      <c r="C5" s="766">
        <f t="shared" ref="C5:C10" si="0">H5*0.1</f>
        <v>855.21839999999997</v>
      </c>
      <c r="D5" s="768"/>
      <c r="E5" s="767" t="s">
        <v>3196</v>
      </c>
      <c r="F5" s="547">
        <f t="shared" ref="F5:F10" si="1">H5+C5</f>
        <v>9407.402399999999</v>
      </c>
      <c r="G5" s="218"/>
      <c r="H5" s="547">
        <f t="shared" ref="H5:H29" si="2">K5*0.3</f>
        <v>8552.1839999999993</v>
      </c>
      <c r="I5" s="218"/>
      <c r="J5" s="815" t="s">
        <v>3010</v>
      </c>
      <c r="K5" s="816">
        <f>63.76*353+6000</f>
        <v>28507.279999999999</v>
      </c>
      <c r="L5" s="816">
        <f>353*63.76</f>
        <v>22507.279999999999</v>
      </c>
      <c r="M5" s="816">
        <f>17*(20*'[20]1 SoR'!$E$140)+5500</f>
        <v>32020</v>
      </c>
      <c r="N5" s="816">
        <f t="shared" ref="N5:N29" si="3">SUM(L5:M5)</f>
        <v>54527.28</v>
      </c>
      <c r="O5" s="817">
        <f t="shared" ref="O5:O29" si="4">SUM(K5:M5)</f>
        <v>83034.559999999998</v>
      </c>
      <c r="P5" s="826">
        <v>3000</v>
      </c>
      <c r="Q5" s="816">
        <f>17*(20*'[20]1 SoR'!$G$140)</f>
        <v>20400</v>
      </c>
      <c r="R5" s="816">
        <f t="shared" ref="R5:R29" si="5">SUM(P5:Q5)</f>
        <v>23400</v>
      </c>
      <c r="S5" s="825">
        <f t="shared" ref="S5:S19" si="6">T5/O5</f>
        <v>0.7181896309199447</v>
      </c>
      <c r="T5" s="818">
        <f t="shared" ref="T5:T29" si="7">O5-R5</f>
        <v>59634.559999999998</v>
      </c>
    </row>
    <row r="6" spans="2:20" ht="14.7" thickBot="1">
      <c r="B6" s="374"/>
      <c r="C6" s="766">
        <f t="shared" si="0"/>
        <v>543.43200000000013</v>
      </c>
      <c r="D6" s="768"/>
      <c r="E6" s="767" t="s">
        <v>3199</v>
      </c>
      <c r="F6" s="547">
        <f t="shared" si="1"/>
        <v>5977.7520000000004</v>
      </c>
      <c r="G6" s="218"/>
      <c r="H6" s="547">
        <f t="shared" si="2"/>
        <v>5434.3200000000006</v>
      </c>
      <c r="I6" s="218"/>
      <c r="J6" s="815" t="s">
        <v>3053</v>
      </c>
      <c r="K6" s="816">
        <f>190*63.76+6000</f>
        <v>18114.400000000001</v>
      </c>
      <c r="L6" s="816">
        <f>190*63.76</f>
        <v>12114.4</v>
      </c>
      <c r="M6" s="816">
        <f>2*(20*'[20]1 SoR'!$E$140)+5500</f>
        <v>8620</v>
      </c>
      <c r="N6" s="816">
        <f t="shared" si="3"/>
        <v>20734.400000000001</v>
      </c>
      <c r="O6" s="817">
        <f t="shared" si="4"/>
        <v>38848.800000000003</v>
      </c>
      <c r="P6" s="816">
        <v>9760</v>
      </c>
      <c r="Q6" s="816">
        <f>2*(20*'[20]1 SoR'!$G$140)</f>
        <v>2400</v>
      </c>
      <c r="R6" s="816">
        <f t="shared" si="5"/>
        <v>12160</v>
      </c>
      <c r="S6" s="825">
        <f t="shared" si="6"/>
        <v>0.68699161878873993</v>
      </c>
      <c r="T6" s="818">
        <f t="shared" si="7"/>
        <v>26688.800000000003</v>
      </c>
    </row>
    <row r="7" spans="2:20" ht="14.7" thickBot="1">
      <c r="B7" s="374"/>
      <c r="C7" s="766">
        <f t="shared" si="0"/>
        <v>600.81599999999992</v>
      </c>
      <c r="D7" s="768"/>
      <c r="E7" s="767" t="s">
        <v>3198</v>
      </c>
      <c r="F7" s="547">
        <f t="shared" si="1"/>
        <v>6608.9759999999987</v>
      </c>
      <c r="G7" s="218"/>
      <c r="H7" s="547">
        <f t="shared" si="2"/>
        <v>6008.1599999999989</v>
      </c>
      <c r="I7" s="218"/>
      <c r="J7" s="815" t="s">
        <v>3045</v>
      </c>
      <c r="K7" s="816">
        <f>220*63.76+6000</f>
        <v>20027.199999999997</v>
      </c>
      <c r="L7" s="816">
        <f>220*63.76</f>
        <v>14027.199999999999</v>
      </c>
      <c r="M7" s="816">
        <f>26*(20*'[20]1 SoR'!$E$140)+5500</f>
        <v>46060</v>
      </c>
      <c r="N7" s="816">
        <f t="shared" si="3"/>
        <v>60087.199999999997</v>
      </c>
      <c r="O7" s="817">
        <f t="shared" si="4"/>
        <v>80114.399999999994</v>
      </c>
      <c r="P7" s="816">
        <v>11080</v>
      </c>
      <c r="Q7" s="816">
        <f>26*(20*'[20]1 SoR'!$G$140)</f>
        <v>31200</v>
      </c>
      <c r="R7" s="816">
        <f t="shared" si="5"/>
        <v>42280</v>
      </c>
      <c r="S7" s="825">
        <f t="shared" si="6"/>
        <v>0.47225467581358654</v>
      </c>
      <c r="T7" s="818">
        <f t="shared" si="7"/>
        <v>37834.399999999994</v>
      </c>
    </row>
    <row r="8" spans="2:20" ht="14.7" thickBot="1">
      <c r="B8" s="557"/>
      <c r="C8" s="766">
        <f t="shared" si="0"/>
        <v>784.44479999999999</v>
      </c>
      <c r="D8" s="765"/>
      <c r="E8" s="766" t="s">
        <v>3197</v>
      </c>
      <c r="F8" s="547">
        <f t="shared" si="1"/>
        <v>8628.8927999999996</v>
      </c>
      <c r="G8" s="218"/>
      <c r="H8" s="547">
        <f t="shared" si="2"/>
        <v>7844.4479999999994</v>
      </c>
      <c r="I8" s="218"/>
      <c r="J8" s="815" t="s">
        <v>3022</v>
      </c>
      <c r="K8" s="816">
        <f>316*63.76+6000</f>
        <v>26148.16</v>
      </c>
      <c r="L8" s="816">
        <f>316*63.76</f>
        <v>20148.16</v>
      </c>
      <c r="M8" s="816">
        <f>26*(20*'[20]1 SoR'!$E$140)+5500</f>
        <v>46060</v>
      </c>
      <c r="N8" s="816">
        <f t="shared" si="3"/>
        <v>66208.160000000003</v>
      </c>
      <c r="O8" s="817">
        <f t="shared" si="4"/>
        <v>92356.32</v>
      </c>
      <c r="P8" s="816">
        <v>15304</v>
      </c>
      <c r="Q8" s="816">
        <f>26*(20*'[20]1 SoR'!$G$140)</f>
        <v>31200</v>
      </c>
      <c r="R8" s="816">
        <f t="shared" si="5"/>
        <v>46504</v>
      </c>
      <c r="S8" s="825">
        <f t="shared" si="6"/>
        <v>0.49647192525644163</v>
      </c>
      <c r="T8" s="818">
        <f t="shared" si="7"/>
        <v>45852.320000000007</v>
      </c>
    </row>
    <row r="9" spans="2:20" ht="14.7" thickBot="1">
      <c r="B9" s="557"/>
      <c r="C9" s="766">
        <f t="shared" si="0"/>
        <v>692.46960000000001</v>
      </c>
      <c r="D9" s="765"/>
      <c r="E9" s="766" t="s">
        <v>3195</v>
      </c>
      <c r="F9" s="547">
        <f t="shared" si="1"/>
        <v>7617.1656000000003</v>
      </c>
      <c r="G9" s="218"/>
      <c r="H9" s="547">
        <f t="shared" si="2"/>
        <v>6924.6959999999999</v>
      </c>
      <c r="I9" s="218"/>
      <c r="J9" s="815" t="s">
        <v>3009</v>
      </c>
      <c r="K9" s="816">
        <f>63.74*268+6000</f>
        <v>23082.32</v>
      </c>
      <c r="L9" s="816">
        <f>63.74*268</f>
        <v>17082.32</v>
      </c>
      <c r="M9" s="816">
        <f>5*(20*'[20]1 SoR'!$E$140)+5500</f>
        <v>13300</v>
      </c>
      <c r="N9" s="816">
        <f t="shared" si="3"/>
        <v>30382.32</v>
      </c>
      <c r="O9" s="817">
        <f t="shared" si="4"/>
        <v>53464.639999999999</v>
      </c>
      <c r="P9" s="816">
        <v>12840</v>
      </c>
      <c r="Q9" s="816">
        <f>5*(20*'[20]1 SoR'!$G$140)</f>
        <v>6000</v>
      </c>
      <c r="R9" s="816">
        <f t="shared" si="5"/>
        <v>18840</v>
      </c>
      <c r="S9" s="825">
        <f t="shared" si="6"/>
        <v>0.64761756555360706</v>
      </c>
      <c r="T9" s="818">
        <f t="shared" si="7"/>
        <v>34624.639999999999</v>
      </c>
    </row>
    <row r="10" spans="2:20" ht="14.7" thickBot="1">
      <c r="B10" s="557"/>
      <c r="C10" s="766">
        <f t="shared" si="0"/>
        <v>1612.2378000000001</v>
      </c>
      <c r="D10" s="765"/>
      <c r="E10" s="766" t="s">
        <v>3200</v>
      </c>
      <c r="F10" s="547">
        <f t="shared" si="1"/>
        <v>17734.6158</v>
      </c>
      <c r="G10" s="218"/>
      <c r="H10" s="547">
        <f t="shared" si="2"/>
        <v>16122.378000000001</v>
      </c>
      <c r="I10" s="218"/>
      <c r="J10" s="815" t="s">
        <v>3046</v>
      </c>
      <c r="K10" s="816">
        <f>63.74*749+6000</f>
        <v>53741.26</v>
      </c>
      <c r="L10" s="816">
        <f>748*63.76</f>
        <v>47692.479999999996</v>
      </c>
      <c r="M10" s="816">
        <f>72*(20*'[20]1 SoR'!$E$140)+5500</f>
        <v>117820</v>
      </c>
      <c r="N10" s="816">
        <f t="shared" si="3"/>
        <v>165512.47999999998</v>
      </c>
      <c r="O10" s="817">
        <f t="shared" si="4"/>
        <v>219253.74</v>
      </c>
      <c r="P10" s="816">
        <v>34356</v>
      </c>
      <c r="Q10" s="816">
        <f>72*(20*'[20]1 SoR'!$G$140)</f>
        <v>86400</v>
      </c>
      <c r="R10" s="816">
        <f t="shared" si="5"/>
        <v>120756</v>
      </c>
      <c r="S10" s="825">
        <f t="shared" si="6"/>
        <v>0.44924086585706585</v>
      </c>
      <c r="T10" s="818">
        <f t="shared" si="7"/>
        <v>98497.739999999991</v>
      </c>
    </row>
    <row r="11" spans="2:20" ht="14.7" thickBot="1">
      <c r="B11" s="557"/>
      <c r="C11" s="764"/>
      <c r="D11" s="765"/>
      <c r="E11" s="766"/>
      <c r="F11" s="767"/>
      <c r="G11" s="218"/>
      <c r="H11" s="547">
        <f t="shared" si="2"/>
        <v>4603.1459999999997</v>
      </c>
      <c r="I11" s="218"/>
      <c r="J11" s="814" t="s">
        <v>2893</v>
      </c>
      <c r="K11" s="816">
        <f>74.47*106+6500+950</f>
        <v>15343.82</v>
      </c>
      <c r="L11" s="816">
        <f>127*63.76</f>
        <v>8097.5199999999995</v>
      </c>
      <c r="M11" s="816">
        <f>30*(20*'[20]1 SoR'!$D$140)+(2*205)*5+950+6500</f>
        <v>58427</v>
      </c>
      <c r="N11" s="816">
        <f t="shared" si="3"/>
        <v>66524.52</v>
      </c>
      <c r="O11" s="817">
        <f t="shared" si="4"/>
        <v>81868.34</v>
      </c>
      <c r="P11" s="816">
        <v>9325.25</v>
      </c>
      <c r="Q11" s="816">
        <f>30*(20*'[20]1 SoR'!$G$140)+(2*180)*5+500</f>
        <v>38300</v>
      </c>
      <c r="R11" s="816">
        <f t="shared" si="5"/>
        <v>47625.25</v>
      </c>
      <c r="S11" s="825">
        <f t="shared" si="6"/>
        <v>0.418270237310296</v>
      </c>
      <c r="T11" s="818">
        <f t="shared" si="7"/>
        <v>34243.089999999997</v>
      </c>
    </row>
    <row r="12" spans="2:20" ht="14.7" thickBot="1">
      <c r="B12" s="557"/>
      <c r="C12" s="764"/>
      <c r="D12" s="765"/>
      <c r="E12" s="766"/>
      <c r="F12" s="767"/>
      <c r="G12" s="218"/>
      <c r="H12" s="547">
        <f t="shared" si="2"/>
        <v>5387.4</v>
      </c>
      <c r="I12" s="218"/>
      <c r="J12" s="814" t="s">
        <v>2895</v>
      </c>
      <c r="K12" s="816">
        <f>74*142+6500+950</f>
        <v>17958</v>
      </c>
      <c r="L12" s="816">
        <f>74*142</f>
        <v>10508</v>
      </c>
      <c r="M12" s="816">
        <f>24*(20*'[20]1 SoR'!$D$140)+(2*205)*3+950+6500</f>
        <v>47821.600000000006</v>
      </c>
      <c r="N12" s="816">
        <f t="shared" si="3"/>
        <v>58329.600000000006</v>
      </c>
      <c r="O12" s="817">
        <f t="shared" si="4"/>
        <v>76287.600000000006</v>
      </c>
      <c r="P12" s="816">
        <v>10256.5</v>
      </c>
      <c r="Q12" s="816">
        <f>24*(20*'[20]1 SoR'!$G$140)+(2*180)*2+500</f>
        <v>30020</v>
      </c>
      <c r="R12" s="816">
        <f t="shared" si="5"/>
        <v>40276.5</v>
      </c>
      <c r="S12" s="825">
        <f t="shared" si="6"/>
        <v>0.47204394947540629</v>
      </c>
      <c r="T12" s="818">
        <f t="shared" si="7"/>
        <v>36011.100000000006</v>
      </c>
    </row>
    <row r="13" spans="2:20" ht="14.7" thickBot="1">
      <c r="B13" s="557"/>
      <c r="C13" s="764"/>
      <c r="D13" s="765"/>
      <c r="E13" s="766"/>
      <c r="F13" s="767"/>
      <c r="G13" s="218"/>
      <c r="H13" s="547">
        <f t="shared" si="2"/>
        <v>3620.1419999999998</v>
      </c>
      <c r="I13" s="218"/>
      <c r="J13" s="814" t="s">
        <v>2897</v>
      </c>
      <c r="K13" s="816">
        <f>74.47*62+6500+950</f>
        <v>12067.14</v>
      </c>
      <c r="L13" s="816">
        <f>74.47*62</f>
        <v>4617.1400000000003</v>
      </c>
      <c r="M13" s="816">
        <f>11*(20*'[20]1 SoR'!$D$140)+(2*205)*2+950+6500</f>
        <v>26209.9</v>
      </c>
      <c r="N13" s="816">
        <f t="shared" si="3"/>
        <v>30827.040000000001</v>
      </c>
      <c r="O13" s="817">
        <f t="shared" si="4"/>
        <v>42894.18</v>
      </c>
      <c r="P13" s="816">
        <v>5136.5</v>
      </c>
      <c r="Q13" s="816">
        <f>11*(20*'[20]1 SoR'!$G$140)+(2*180)*2+500</f>
        <v>14420</v>
      </c>
      <c r="R13" s="816">
        <f t="shared" si="5"/>
        <v>19556.5</v>
      </c>
      <c r="S13" s="825">
        <f t="shared" si="6"/>
        <v>0.54407567646706378</v>
      </c>
      <c r="T13" s="818">
        <f t="shared" si="7"/>
        <v>23337.68</v>
      </c>
    </row>
    <row r="14" spans="2:20" ht="14.7" thickBot="1">
      <c r="B14" s="557"/>
      <c r="C14" s="764"/>
      <c r="D14" s="765"/>
      <c r="E14" s="766"/>
      <c r="F14" s="767"/>
      <c r="G14" s="218"/>
      <c r="H14" s="547">
        <f t="shared" si="2"/>
        <v>808.41</v>
      </c>
      <c r="I14" s="218"/>
      <c r="J14" s="814" t="s">
        <v>2899</v>
      </c>
      <c r="K14" s="816">
        <f>74.47*10+1000+950</f>
        <v>2694.7</v>
      </c>
      <c r="L14" s="816">
        <f>74.47*10</f>
        <v>744.7</v>
      </c>
      <c r="M14" s="816">
        <f>6*(20*'[20]1 SoR'!$D$140)+(2*205)*1+950+6500</f>
        <v>17645.400000000001</v>
      </c>
      <c r="N14" s="816">
        <f t="shared" si="3"/>
        <v>18390.100000000002</v>
      </c>
      <c r="O14" s="817">
        <f t="shared" si="4"/>
        <v>21084.800000000003</v>
      </c>
      <c r="P14" s="816">
        <v>1151</v>
      </c>
      <c r="Q14" s="816">
        <f>6*(20*'[20]1 SoR'!$G$140)+(2*180)*2+500</f>
        <v>8420</v>
      </c>
      <c r="R14" s="816">
        <f t="shared" si="5"/>
        <v>9571</v>
      </c>
      <c r="S14" s="825">
        <f t="shared" si="6"/>
        <v>0.54607110335407505</v>
      </c>
      <c r="T14" s="818">
        <f t="shared" si="7"/>
        <v>11513.800000000003</v>
      </c>
    </row>
    <row r="15" spans="2:20" ht="14.7" thickBot="1">
      <c r="B15" s="557"/>
      <c r="C15" s="835"/>
      <c r="D15" s="765"/>
      <c r="E15" s="766"/>
      <c r="F15" s="767"/>
      <c r="G15" s="218"/>
      <c r="H15" s="547">
        <f t="shared" si="2"/>
        <v>5971.5719999999992</v>
      </c>
      <c r="I15" s="218"/>
      <c r="J15" s="814" t="s">
        <v>2901</v>
      </c>
      <c r="K15" s="816">
        <f>63.74*226+5500</f>
        <v>19905.239999999998</v>
      </c>
      <c r="L15" s="816">
        <f>63.74*226</f>
        <v>14405.24</v>
      </c>
      <c r="M15" s="816">
        <f>19*(20*'[20]1 SoR'!$E$140)+5500</f>
        <v>35140</v>
      </c>
      <c r="N15" s="816">
        <f t="shared" si="3"/>
        <v>49545.24</v>
      </c>
      <c r="O15" s="817">
        <f t="shared" si="4"/>
        <v>69450.48</v>
      </c>
      <c r="P15" s="816">
        <v>9452</v>
      </c>
      <c r="Q15" s="816">
        <f>19*(20*'[20]1 SoR'!$G$140)</f>
        <v>22800</v>
      </c>
      <c r="R15" s="816">
        <f t="shared" si="5"/>
        <v>32252</v>
      </c>
      <c r="S15" s="825">
        <f t="shared" si="6"/>
        <v>0.53561156092801665</v>
      </c>
      <c r="T15" s="818">
        <f t="shared" si="7"/>
        <v>37198.479999999996</v>
      </c>
    </row>
    <row r="16" spans="2:20" ht="14.7" thickBot="1">
      <c r="B16" s="557"/>
      <c r="C16" s="764"/>
      <c r="D16" s="765"/>
      <c r="E16" s="766"/>
      <c r="F16" s="767"/>
      <c r="G16" s="218"/>
      <c r="H16" s="547">
        <f t="shared" si="2"/>
        <v>920.11500000000001</v>
      </c>
      <c r="I16" s="218"/>
      <c r="J16" s="814" t="s">
        <v>2902</v>
      </c>
      <c r="K16" s="816">
        <f>74.47*15+1000+950</f>
        <v>3067.05</v>
      </c>
      <c r="L16" s="816">
        <f>74.47*15</f>
        <v>1117.05</v>
      </c>
      <c r="M16" s="816">
        <f>1*(20*'[20]1 SoR'!$D$140)+(2*205)*1+950+6500</f>
        <v>9490.9</v>
      </c>
      <c r="N16" s="816">
        <f t="shared" si="3"/>
        <v>10607.949999999999</v>
      </c>
      <c r="O16" s="817">
        <f t="shared" si="4"/>
        <v>13675</v>
      </c>
      <c r="P16" s="816">
        <v>1782.5</v>
      </c>
      <c r="Q16" s="816">
        <f>1*(20*'[20]1 SoR'!$G$140)+(2*180)*2+500</f>
        <v>2420</v>
      </c>
      <c r="R16" s="816">
        <f t="shared" si="5"/>
        <v>4202.5</v>
      </c>
      <c r="S16" s="825">
        <f t="shared" si="6"/>
        <v>0.69268738574040223</v>
      </c>
      <c r="T16" s="818">
        <f t="shared" si="7"/>
        <v>9472.5</v>
      </c>
    </row>
    <row r="17" spans="2:20" ht="14.7" thickBot="1">
      <c r="B17" s="557"/>
      <c r="C17" s="764"/>
      <c r="D17" s="765"/>
      <c r="E17" s="766"/>
      <c r="F17" s="767"/>
      <c r="G17" s="218"/>
      <c r="H17" s="547">
        <f t="shared" si="2"/>
        <v>3112.6859999999997</v>
      </c>
      <c r="I17" s="218"/>
      <c r="J17" s="814" t="s">
        <v>2904</v>
      </c>
      <c r="K17" s="816">
        <f>74.47*46+6000+950</f>
        <v>10375.619999999999</v>
      </c>
      <c r="L17" s="816">
        <f>74.47*46</f>
        <v>3425.62</v>
      </c>
      <c r="M17" s="816">
        <f>2*(20*'[20]1 SoR'!$D$140)+(2*205)*1+950+6500</f>
        <v>11121.8</v>
      </c>
      <c r="N17" s="816">
        <f t="shared" si="3"/>
        <v>14547.419999999998</v>
      </c>
      <c r="O17" s="817">
        <f t="shared" si="4"/>
        <v>24923.039999999997</v>
      </c>
      <c r="P17" s="816">
        <v>2088.5</v>
      </c>
      <c r="Q17" s="816">
        <f>2*(20*'[20]1 SoR'!$G$140)+(2*180)*2+500</f>
        <v>3620</v>
      </c>
      <c r="R17" s="816">
        <f t="shared" si="5"/>
        <v>5708.5</v>
      </c>
      <c r="S17" s="825">
        <f t="shared" si="6"/>
        <v>0.77095490758751739</v>
      </c>
      <c r="T17" s="818">
        <f t="shared" si="7"/>
        <v>19214.539999999997</v>
      </c>
    </row>
    <row r="18" spans="2:20" ht="14.7" thickBot="1">
      <c r="B18" s="374"/>
      <c r="C18" s="767"/>
      <c r="D18" s="768"/>
      <c r="E18" s="767"/>
      <c r="F18" s="767"/>
      <c r="G18" s="218"/>
      <c r="H18" s="547">
        <f t="shared" si="2"/>
        <v>3112.6859999999997</v>
      </c>
      <c r="I18" s="218"/>
      <c r="J18" s="814" t="s">
        <v>2906</v>
      </c>
      <c r="K18" s="816">
        <f>74.47*46+6000+950</f>
        <v>10375.619999999999</v>
      </c>
      <c r="L18" s="816">
        <f>48*63.76</f>
        <v>3060.48</v>
      </c>
      <c r="M18" s="816">
        <f>4*(20*'[20]1 SoR'!$D$140)+(2*205)*1+950+6500</f>
        <v>14383.6</v>
      </c>
      <c r="N18" s="816">
        <f t="shared" si="3"/>
        <v>17444.080000000002</v>
      </c>
      <c r="O18" s="817">
        <f t="shared" si="4"/>
        <v>27819.699999999997</v>
      </c>
      <c r="P18" s="816">
        <v>4926.5</v>
      </c>
      <c r="Q18" s="816">
        <f>4*(20*'[20]1 SoR'!$G$140)+(2*180)*2+500</f>
        <v>6020</v>
      </c>
      <c r="R18" s="816">
        <f t="shared" si="5"/>
        <v>10946.5</v>
      </c>
      <c r="S18" s="825">
        <f t="shared" si="6"/>
        <v>0.60651984025708394</v>
      </c>
      <c r="T18" s="818">
        <f t="shared" si="7"/>
        <v>16873.199999999997</v>
      </c>
    </row>
    <row r="19" spans="2:20" ht="14.7" thickBot="1">
      <c r="B19" s="374"/>
      <c r="C19" s="767"/>
      <c r="D19" s="768"/>
      <c r="E19" s="767"/>
      <c r="F19" s="767"/>
      <c r="G19" s="218"/>
      <c r="H19" s="547">
        <f t="shared" si="2"/>
        <v>2706.6</v>
      </c>
      <c r="I19" s="218"/>
      <c r="J19" s="814" t="s">
        <v>2908</v>
      </c>
      <c r="K19" s="816">
        <f>74*28+6000+950</f>
        <v>9022</v>
      </c>
      <c r="L19" s="816">
        <f>74*28</f>
        <v>2072</v>
      </c>
      <c r="M19" s="816">
        <f>4*(20*'[20]1 SoR'!$D$140)+(2*205)*1+950+6500</f>
        <v>14383.6</v>
      </c>
      <c r="N19" s="816">
        <f t="shared" si="3"/>
        <v>16455.599999999999</v>
      </c>
      <c r="O19" s="817">
        <f t="shared" si="4"/>
        <v>25477.599999999999</v>
      </c>
      <c r="P19" s="816">
        <v>2547.5</v>
      </c>
      <c r="Q19" s="816">
        <f>2*(20*'[20]1 SoR'!$G$140)+(2*180)*2+500</f>
        <v>3620</v>
      </c>
      <c r="R19" s="816">
        <f t="shared" si="5"/>
        <v>6167.5</v>
      </c>
      <c r="S19" s="825">
        <f t="shared" si="6"/>
        <v>0.75792460828335473</v>
      </c>
      <c r="T19" s="818">
        <f t="shared" si="7"/>
        <v>19310.099999999999</v>
      </c>
    </row>
    <row r="20" spans="2:20" ht="14.7" thickBot="1">
      <c r="B20" s="374"/>
      <c r="C20" s="767"/>
      <c r="D20" s="768"/>
      <c r="E20" s="767"/>
      <c r="F20" s="767"/>
      <c r="G20" s="218"/>
      <c r="H20" s="547">
        <f t="shared" si="2"/>
        <v>0</v>
      </c>
      <c r="I20" s="218"/>
      <c r="J20" s="814" t="s">
        <v>3159</v>
      </c>
      <c r="K20" s="816"/>
      <c r="L20" s="816"/>
      <c r="M20" s="816"/>
      <c r="N20" s="816">
        <f t="shared" si="3"/>
        <v>0</v>
      </c>
      <c r="O20" s="817">
        <f t="shared" si="4"/>
        <v>0</v>
      </c>
      <c r="P20" s="816"/>
      <c r="Q20" s="816"/>
      <c r="R20" s="816">
        <f t="shared" si="5"/>
        <v>0</v>
      </c>
      <c r="S20" s="825"/>
      <c r="T20" s="818">
        <f t="shared" si="7"/>
        <v>0</v>
      </c>
    </row>
    <row r="21" spans="2:20" ht="14.7" thickBot="1">
      <c r="B21" s="374"/>
      <c r="C21" s="767"/>
      <c r="D21" s="768"/>
      <c r="E21" s="767"/>
      <c r="F21" s="767"/>
      <c r="G21" s="218"/>
      <c r="H21" s="547">
        <f t="shared" si="2"/>
        <v>5070.8879999999999</v>
      </c>
      <c r="I21" s="218"/>
      <c r="J21" s="814" t="s">
        <v>3111</v>
      </c>
      <c r="K21" s="816">
        <f>171*63.76+6000</f>
        <v>16902.96</v>
      </c>
      <c r="L21" s="816">
        <f>171*63.76</f>
        <v>10902.96</v>
      </c>
      <c r="M21" s="816">
        <f>22*(20*'[20]1 SoR'!$E$140)+5500</f>
        <v>39820</v>
      </c>
      <c r="N21" s="816">
        <f t="shared" si="3"/>
        <v>50722.96</v>
      </c>
      <c r="O21" s="817">
        <f t="shared" si="4"/>
        <v>67625.919999999998</v>
      </c>
      <c r="P21" s="816">
        <v>8924</v>
      </c>
      <c r="Q21" s="816">
        <f>22*(20*'[20]1 SoR'!$G$140)</f>
        <v>26400</v>
      </c>
      <c r="R21" s="816">
        <f t="shared" si="5"/>
        <v>35324</v>
      </c>
      <c r="S21" s="825">
        <f t="shared" ref="S21:S29" si="8">T21/O21</f>
        <v>0.47765590471819086</v>
      </c>
      <c r="T21" s="818">
        <f t="shared" si="7"/>
        <v>32301.919999999998</v>
      </c>
    </row>
    <row r="22" spans="2:20" ht="14.7" thickBot="1">
      <c r="B22" s="557"/>
      <c r="C22" s="764"/>
      <c r="D22" s="765"/>
      <c r="E22" s="766"/>
      <c r="F22" s="767"/>
      <c r="G22" s="218"/>
      <c r="H22" s="547">
        <f t="shared" si="2"/>
        <v>4439.6639999999998</v>
      </c>
      <c r="I22" s="558"/>
      <c r="J22" s="814" t="s">
        <v>3112</v>
      </c>
      <c r="K22" s="816">
        <f>138*63.76+6000</f>
        <v>14798.88</v>
      </c>
      <c r="L22" s="816">
        <f>138*63.76</f>
        <v>8798.8799999999992</v>
      </c>
      <c r="M22" s="816">
        <f>42*(20*'[20]1 SoR'!$E$140)+5500</f>
        <v>71020</v>
      </c>
      <c r="N22" s="816">
        <f t="shared" si="3"/>
        <v>79818.880000000005</v>
      </c>
      <c r="O22" s="817">
        <f t="shared" si="4"/>
        <v>94617.76</v>
      </c>
      <c r="P22" s="816">
        <v>7472</v>
      </c>
      <c r="Q22" s="816">
        <f>42*(20*'[20]1 SoR'!$G$140)</f>
        <v>50400</v>
      </c>
      <c r="R22" s="816">
        <f t="shared" si="5"/>
        <v>57872</v>
      </c>
      <c r="S22" s="825">
        <f t="shared" si="8"/>
        <v>0.38836007109024773</v>
      </c>
      <c r="T22" s="818">
        <f t="shared" si="7"/>
        <v>36745.759999999995</v>
      </c>
    </row>
    <row r="23" spans="2:20" ht="14.7" thickBot="1">
      <c r="B23" s="557"/>
      <c r="C23" s="764"/>
      <c r="D23" s="765"/>
      <c r="E23" s="766"/>
      <c r="F23" s="767"/>
      <c r="G23" s="218"/>
      <c r="H23" s="547">
        <f t="shared" si="2"/>
        <v>10025.040000000001</v>
      </c>
      <c r="I23" s="218"/>
      <c r="J23" s="814" t="s">
        <v>3113</v>
      </c>
      <c r="K23" s="816">
        <f>430*63.76+6000</f>
        <v>33416.800000000003</v>
      </c>
      <c r="L23" s="816">
        <f>430*63.76</f>
        <v>27416.799999999999</v>
      </c>
      <c r="M23" s="816">
        <f>100*(20*'[20]1 SoR'!$E$140)+5500</f>
        <v>161500</v>
      </c>
      <c r="N23" s="816">
        <f t="shared" si="3"/>
        <v>188916.8</v>
      </c>
      <c r="O23" s="817">
        <f t="shared" si="4"/>
        <v>222333.6</v>
      </c>
      <c r="P23" s="816">
        <v>20672</v>
      </c>
      <c r="Q23" s="816">
        <f>100*(20*'[20]1 SoR'!$G$140)</f>
        <v>120000</v>
      </c>
      <c r="R23" s="816">
        <f>SUM(P23:Q23)</f>
        <v>140672</v>
      </c>
      <c r="S23" s="825">
        <f t="shared" si="8"/>
        <v>0.36729311269191883</v>
      </c>
      <c r="T23" s="818">
        <f t="shared" si="7"/>
        <v>81661.600000000006</v>
      </c>
    </row>
    <row r="24" spans="2:20" ht="14.7" thickBot="1">
      <c r="B24" s="557"/>
      <c r="C24" s="764"/>
      <c r="D24" s="765"/>
      <c r="E24" s="766"/>
      <c r="F24" s="767"/>
      <c r="G24" s="218"/>
      <c r="H24" s="547">
        <f t="shared" si="2"/>
        <v>586.91999999999996</v>
      </c>
      <c r="I24" s="218"/>
      <c r="J24" s="814" t="s">
        <v>3114</v>
      </c>
      <c r="K24" s="816">
        <f>15*63.76+1000</f>
        <v>1956.4</v>
      </c>
      <c r="L24" s="816">
        <f>15*63.76</f>
        <v>956.4</v>
      </c>
      <c r="M24" s="816">
        <f>4*(20*'[20]1 SoR'!$E$140)+5500</f>
        <v>11740</v>
      </c>
      <c r="N24" s="816">
        <f t="shared" si="3"/>
        <v>12696.4</v>
      </c>
      <c r="O24" s="817">
        <f t="shared" si="4"/>
        <v>14652.8</v>
      </c>
      <c r="P24" s="816">
        <v>1467.5</v>
      </c>
      <c r="Q24" s="816">
        <f>4*(20*'[20]1 SoR'!$G$140)</f>
        <v>4800</v>
      </c>
      <c r="R24" s="816">
        <f t="shared" si="5"/>
        <v>6267.5</v>
      </c>
      <c r="S24" s="825">
        <f t="shared" si="8"/>
        <v>0.5722660515396375</v>
      </c>
      <c r="T24" s="818">
        <f t="shared" si="7"/>
        <v>8385.2999999999993</v>
      </c>
    </row>
    <row r="25" spans="2:20" ht="14.7" thickBot="1">
      <c r="B25" s="557"/>
      <c r="C25" s="764"/>
      <c r="D25" s="765"/>
      <c r="E25" s="766"/>
      <c r="F25" s="767"/>
      <c r="G25" s="218"/>
      <c r="H25" s="547">
        <f t="shared" si="2"/>
        <v>6868.9199999999992</v>
      </c>
      <c r="I25" s="218"/>
      <c r="J25" s="814" t="s">
        <v>3115</v>
      </c>
      <c r="K25" s="816">
        <f>265*63.76+6000</f>
        <v>22896.399999999998</v>
      </c>
      <c r="L25" s="816">
        <f>265*63.76</f>
        <v>16896.399999999998</v>
      </c>
      <c r="M25" s="816">
        <f>55*(20*'[20]1 SoR'!$E$140)+5500</f>
        <v>91300</v>
      </c>
      <c r="N25" s="816">
        <f t="shared" si="3"/>
        <v>108196.4</v>
      </c>
      <c r="O25" s="817">
        <f t="shared" si="4"/>
        <v>131092.79999999999</v>
      </c>
      <c r="P25" s="816">
        <v>13060</v>
      </c>
      <c r="Q25" s="816">
        <f>55*(20*'[20]1 SoR'!$G$140)</f>
        <v>66000</v>
      </c>
      <c r="R25" s="816">
        <f t="shared" si="5"/>
        <v>79060</v>
      </c>
      <c r="S25" s="825">
        <f t="shared" si="8"/>
        <v>0.39691577264350136</v>
      </c>
      <c r="T25" s="818">
        <f t="shared" si="7"/>
        <v>52032.799999999988</v>
      </c>
    </row>
    <row r="26" spans="2:20" ht="14.7" thickBot="1">
      <c r="B26" s="374"/>
      <c r="C26" s="767"/>
      <c r="D26" s="768"/>
      <c r="E26" s="767"/>
      <c r="F26" s="767"/>
      <c r="G26" s="218"/>
      <c r="H26" s="547">
        <f t="shared" si="2"/>
        <v>8093.1120000000001</v>
      </c>
      <c r="I26" s="218"/>
      <c r="J26" s="814" t="s">
        <v>3158</v>
      </c>
      <c r="K26" s="816">
        <f>329*63.76+6000</f>
        <v>26977.040000000001</v>
      </c>
      <c r="L26" s="816">
        <f>329*63.76</f>
        <v>20977.040000000001</v>
      </c>
      <c r="M26" s="817"/>
      <c r="N26" s="816">
        <f t="shared" si="3"/>
        <v>20977.040000000001</v>
      </c>
      <c r="O26" s="817">
        <f t="shared" si="4"/>
        <v>47954.080000000002</v>
      </c>
      <c r="P26" s="816">
        <v>15876</v>
      </c>
      <c r="Q26" s="816"/>
      <c r="R26" s="816">
        <f t="shared" si="5"/>
        <v>15876</v>
      </c>
      <c r="S26" s="825">
        <f t="shared" si="8"/>
        <v>0.6689332795040589</v>
      </c>
      <c r="T26" s="818">
        <f t="shared" si="7"/>
        <v>32078.080000000002</v>
      </c>
    </row>
    <row r="27" spans="2:20" ht="14.7" thickBot="1">
      <c r="B27" s="374"/>
      <c r="C27" s="767"/>
      <c r="D27" s="768"/>
      <c r="E27" s="767"/>
      <c r="F27" s="767"/>
      <c r="G27" s="218"/>
      <c r="H27" s="547">
        <f t="shared" si="2"/>
        <v>3291.4140000000002</v>
      </c>
      <c r="I27" s="218"/>
      <c r="J27" s="814" t="s">
        <v>3134</v>
      </c>
      <c r="K27" s="816">
        <f>74.47*54+950+6000</f>
        <v>10971.380000000001</v>
      </c>
      <c r="L27" s="816">
        <f>74.47*54</f>
        <v>4021.38</v>
      </c>
      <c r="M27" s="816">
        <f>5*(20*'[20]1 SoR'!$D$140)+(2*205)*1+950+6500</f>
        <v>16014.5</v>
      </c>
      <c r="N27" s="816">
        <f t="shared" si="3"/>
        <v>20035.88</v>
      </c>
      <c r="O27" s="817">
        <f t="shared" si="4"/>
        <v>31007.260000000002</v>
      </c>
      <c r="P27" s="816"/>
      <c r="Q27" s="816">
        <f>5*(20*'[20]1 SoR'!$G$140)+(2*180)*2+500</f>
        <v>7220</v>
      </c>
      <c r="R27" s="816">
        <f t="shared" si="5"/>
        <v>7220</v>
      </c>
      <c r="S27" s="825">
        <f t="shared" si="8"/>
        <v>0.76715130585546742</v>
      </c>
      <c r="T27" s="818">
        <f t="shared" si="7"/>
        <v>23787.260000000002</v>
      </c>
    </row>
    <row r="28" spans="2:20" ht="14.7" thickBot="1">
      <c r="B28" s="374"/>
      <c r="C28" s="767"/>
      <c r="D28" s="768"/>
      <c r="E28" s="767"/>
      <c r="F28" s="767"/>
      <c r="G28" s="218"/>
      <c r="H28" s="547">
        <f t="shared" si="2"/>
        <v>3540.6479999999997</v>
      </c>
      <c r="I28" s="218"/>
      <c r="J28" s="814" t="s">
        <v>3135</v>
      </c>
      <c r="K28" s="816">
        <f>91*63.76+6000</f>
        <v>11802.16</v>
      </c>
      <c r="L28" s="816">
        <f>91*63.76</f>
        <v>5802.16</v>
      </c>
      <c r="M28" s="816">
        <f>19*(20*'[20]1 SoR'!$E$140)+5500</f>
        <v>35140</v>
      </c>
      <c r="N28" s="816">
        <f t="shared" si="3"/>
        <v>40942.160000000003</v>
      </c>
      <c r="O28" s="817">
        <f t="shared" si="4"/>
        <v>52744.32</v>
      </c>
      <c r="P28" s="816"/>
      <c r="Q28" s="816">
        <f>19*(20*'[20]1 SoR'!$G$140)</f>
        <v>22800</v>
      </c>
      <c r="R28" s="816">
        <f t="shared" si="5"/>
        <v>22800</v>
      </c>
      <c r="S28" s="825">
        <f t="shared" si="8"/>
        <v>0.56772596556368538</v>
      </c>
      <c r="T28" s="818">
        <f t="shared" si="7"/>
        <v>29944.32</v>
      </c>
    </row>
    <row r="29" spans="2:20" ht="14.7" thickBot="1">
      <c r="B29" s="374"/>
      <c r="C29" s="767"/>
      <c r="D29" s="768"/>
      <c r="E29" s="767"/>
      <c r="F29" s="767"/>
      <c r="G29" s="218"/>
      <c r="H29" s="547">
        <f t="shared" si="2"/>
        <v>2086.9199999999996</v>
      </c>
      <c r="I29" s="218"/>
      <c r="J29" s="814" t="s">
        <v>3136</v>
      </c>
      <c r="K29" s="816">
        <f>15*63.76+6000</f>
        <v>6956.4</v>
      </c>
      <c r="L29" s="816">
        <f>15*63.76</f>
        <v>956.4</v>
      </c>
      <c r="M29" s="817"/>
      <c r="N29" s="816">
        <f t="shared" si="3"/>
        <v>956.4</v>
      </c>
      <c r="O29" s="817">
        <f t="shared" si="4"/>
        <v>7912.7999999999993</v>
      </c>
      <c r="P29" s="816"/>
      <c r="Q29" s="816"/>
      <c r="R29" s="816">
        <f t="shared" si="5"/>
        <v>0</v>
      </c>
      <c r="S29" s="825">
        <f t="shared" si="8"/>
        <v>1</v>
      </c>
      <c r="T29" s="818">
        <f t="shared" si="7"/>
        <v>7912.7999999999993</v>
      </c>
    </row>
    <row r="30" spans="2:20" ht="14.7" thickBot="1">
      <c r="B30" s="557"/>
      <c r="C30" s="764"/>
      <c r="D30" s="765"/>
      <c r="E30" s="766"/>
      <c r="F30" s="767"/>
      <c r="G30" s="218"/>
      <c r="H30" s="218"/>
      <c r="I30" s="218"/>
      <c r="J30" s="819"/>
      <c r="K30" s="820"/>
      <c r="L30" s="818"/>
      <c r="M30" s="816"/>
      <c r="N30" s="816"/>
      <c r="O30" s="817"/>
      <c r="P30" s="816"/>
      <c r="Q30" s="816"/>
      <c r="R30" s="816"/>
      <c r="S30" s="825"/>
      <c r="T30" s="814"/>
    </row>
    <row r="31" spans="2:20" ht="14.7" thickBot="1">
      <c r="B31" s="557"/>
      <c r="C31" s="764"/>
      <c r="D31" s="765"/>
      <c r="E31" s="766"/>
      <c r="F31" s="767"/>
      <c r="G31" s="218"/>
      <c r="H31" s="831">
        <f>SUBTOTAL(9,H5:H30)</f>
        <v>125132.46900000003</v>
      </c>
      <c r="I31" s="218"/>
      <c r="J31" s="821"/>
      <c r="K31" s="822">
        <f t="shared" ref="K31:Q31" si="9">SUBTOTAL(9,K5:K30)</f>
        <v>417108.23000000004</v>
      </c>
      <c r="L31" s="822">
        <f t="shared" si="9"/>
        <v>278348.00999999995</v>
      </c>
      <c r="M31" s="822">
        <f t="shared" si="9"/>
        <v>925038.3</v>
      </c>
      <c r="N31" s="822">
        <f t="shared" si="9"/>
        <v>1203386.3099999996</v>
      </c>
      <c r="O31" s="830">
        <f t="shared" si="9"/>
        <v>1620494.5400000003</v>
      </c>
      <c r="P31" s="822">
        <f t="shared" si="9"/>
        <v>200477.75</v>
      </c>
      <c r="Q31" s="822">
        <f t="shared" si="9"/>
        <v>604860</v>
      </c>
      <c r="R31" s="822">
        <f>SUBTOTAL(9,R5:R29)</f>
        <v>805337.75</v>
      </c>
      <c r="S31" s="829">
        <f>AVERAGE(S5:S29)</f>
        <v>0.58421779229997117</v>
      </c>
      <c r="T31" s="828">
        <f>SUBTOTAL(9,T5:T29)</f>
        <v>815156.79</v>
      </c>
    </row>
    <row r="32" spans="2:20">
      <c r="B32" s="557"/>
      <c r="C32" s="764"/>
      <c r="D32" s="765"/>
      <c r="E32" s="766"/>
      <c r="F32" s="767"/>
      <c r="G32" s="218"/>
      <c r="H32" s="218"/>
      <c r="I32" s="218"/>
      <c r="J32" s="228"/>
      <c r="K32" s="113"/>
      <c r="L32" s="547"/>
      <c r="M32" s="547"/>
      <c r="N32" s="547"/>
      <c r="O32" s="547"/>
      <c r="P32" s="377"/>
      <c r="Q32" s="218"/>
      <c r="R32" s="377"/>
      <c r="S32" s="377"/>
      <c r="T32" s="374"/>
    </row>
    <row r="33" spans="2:20">
      <c r="B33" s="557"/>
      <c r="C33" s="764"/>
      <c r="D33" s="765"/>
      <c r="E33" s="766"/>
      <c r="F33" s="767"/>
      <c r="G33" s="218"/>
      <c r="H33" s="218"/>
      <c r="I33" s="218"/>
      <c r="J33" s="51"/>
      <c r="K33" s="113"/>
      <c r="L33" s="547"/>
      <c r="M33" s="547"/>
      <c r="N33" s="547"/>
      <c r="O33" s="547"/>
      <c r="P33" s="377"/>
      <c r="Q33" s="218"/>
      <c r="R33" s="377"/>
      <c r="S33" s="377"/>
      <c r="T33" s="374"/>
    </row>
    <row r="34" spans="2:20">
      <c r="B34" s="557"/>
      <c r="C34" s="764"/>
      <c r="D34" s="765"/>
      <c r="E34" s="766"/>
      <c r="F34" s="767"/>
      <c r="G34" s="218"/>
      <c r="H34" s="218"/>
      <c r="I34" s="218"/>
      <c r="J34" s="228"/>
      <c r="K34" s="113"/>
      <c r="L34" s="547"/>
      <c r="M34" s="487">
        <f>M31*1.3</f>
        <v>1202549.79</v>
      </c>
      <c r="N34" s="547" t="s">
        <v>3161</v>
      </c>
      <c r="O34" s="547"/>
      <c r="P34" s="377"/>
      <c r="Q34" s="218"/>
      <c r="R34" s="377"/>
      <c r="S34" s="377"/>
      <c r="T34" s="374"/>
    </row>
    <row r="35" spans="2:20">
      <c r="B35" s="557"/>
      <c r="C35" s="764"/>
      <c r="D35" s="765"/>
      <c r="E35" s="766"/>
      <c r="F35" s="767"/>
      <c r="G35" s="218"/>
      <c r="H35" s="218"/>
      <c r="I35" s="218"/>
      <c r="J35" s="51"/>
      <c r="K35" s="113"/>
      <c r="L35" s="547"/>
      <c r="M35" s="547"/>
      <c r="N35" s="547"/>
      <c r="O35" s="547"/>
      <c r="P35" s="377"/>
      <c r="Q35" s="218"/>
      <c r="R35" s="377"/>
      <c r="S35" s="377"/>
      <c r="T35" s="374"/>
    </row>
    <row r="36" spans="2:20">
      <c r="B36" s="557"/>
      <c r="C36" s="764"/>
      <c r="D36" s="765"/>
      <c r="E36" s="766"/>
      <c r="F36" s="767"/>
      <c r="G36" s="218"/>
      <c r="H36" s="218"/>
      <c r="I36" s="218"/>
      <c r="J36" s="228"/>
      <c r="K36" s="113"/>
      <c r="L36" s="547"/>
      <c r="M36" s="547"/>
      <c r="N36" s="547"/>
      <c r="O36" s="547"/>
      <c r="P36" s="377"/>
      <c r="Q36" s="218"/>
      <c r="R36" s="377"/>
      <c r="S36" s="377"/>
      <c r="T36" s="374"/>
    </row>
    <row r="37" spans="2:20">
      <c r="B37" s="557"/>
      <c r="C37" s="764"/>
      <c r="D37" s="765"/>
      <c r="E37" s="766"/>
      <c r="F37" s="767"/>
      <c r="G37" s="218"/>
      <c r="H37" s="218"/>
      <c r="I37" s="218"/>
      <c r="J37" s="51"/>
      <c r="K37" s="113"/>
      <c r="L37" s="547"/>
      <c r="M37" s="547"/>
      <c r="N37" s="547"/>
      <c r="O37" s="547"/>
      <c r="P37" s="377"/>
      <c r="Q37" s="218"/>
      <c r="R37" s="377"/>
      <c r="S37" s="377"/>
      <c r="T37" s="37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T121"/>
  <sheetViews>
    <sheetView topLeftCell="A55" zoomScale="80" zoomScaleNormal="80" workbookViewId="0">
      <selection activeCell="I78" sqref="I78"/>
    </sheetView>
  </sheetViews>
  <sheetFormatPr defaultRowHeight="14.35"/>
  <cols>
    <col min="2" max="2" width="22.52734375" customWidth="1"/>
    <col min="3" max="3" width="27.64453125" customWidth="1"/>
    <col min="4" max="5" width="39.76171875" customWidth="1"/>
    <col min="6" max="6" width="15.05859375" customWidth="1"/>
    <col min="7" max="7" width="16.17578125" customWidth="1"/>
    <col min="8" max="8" width="18.703125" customWidth="1"/>
    <col min="9" max="9" width="6.9375" customWidth="1"/>
    <col min="10" max="10" width="11.234375" customWidth="1"/>
    <col min="11" max="11" width="12.5859375" customWidth="1"/>
    <col min="12" max="12" width="19.64453125" customWidth="1"/>
    <col min="13" max="13" width="19.234375" customWidth="1"/>
    <col min="14" max="14" width="13.3515625" customWidth="1"/>
    <col min="15" max="15" width="3.8203125" customWidth="1"/>
    <col min="16" max="16" width="12.3515625" customWidth="1"/>
    <col min="17" max="17" width="10.234375" customWidth="1"/>
    <col min="18" max="18" width="12.3515625" customWidth="1"/>
    <col min="19" max="19" width="10.234375" customWidth="1"/>
    <col min="20" max="20" width="10.234375" bestFit="1" customWidth="1"/>
  </cols>
  <sheetData>
    <row r="3" spans="2:14">
      <c r="B3" s="260" t="s">
        <v>2377</v>
      </c>
      <c r="C3" s="182"/>
    </row>
    <row r="4" spans="2:14">
      <c r="B4" s="5" t="s">
        <v>706</v>
      </c>
      <c r="C4" s="5" t="s">
        <v>35</v>
      </c>
    </row>
    <row r="5" spans="2:14">
      <c r="B5" s="5" t="s">
        <v>29</v>
      </c>
      <c r="C5" s="704" t="s">
        <v>715</v>
      </c>
      <c r="D5" s="704" t="s">
        <v>716</v>
      </c>
      <c r="E5" s="704" t="s">
        <v>714</v>
      </c>
      <c r="F5" s="704" t="s">
        <v>749</v>
      </c>
      <c r="G5" s="704" t="s">
        <v>327</v>
      </c>
      <c r="H5" s="704" t="s">
        <v>2306</v>
      </c>
      <c r="I5" s="704" t="s">
        <v>2331</v>
      </c>
      <c r="J5" s="704" t="s">
        <v>2330</v>
      </c>
      <c r="K5" s="704" t="s">
        <v>2765</v>
      </c>
      <c r="L5" s="704" t="s">
        <v>1581</v>
      </c>
      <c r="M5" s="704" t="s">
        <v>2690</v>
      </c>
      <c r="N5" s="704" t="s">
        <v>28</v>
      </c>
    </row>
    <row r="6" spans="2:14">
      <c r="B6" s="6" t="s">
        <v>2188</v>
      </c>
      <c r="C6" s="31">
        <v>76932.220714285708</v>
      </c>
      <c r="D6" s="31">
        <v>32554.75</v>
      </c>
      <c r="E6" s="31">
        <v>104242.66399999999</v>
      </c>
      <c r="F6" s="31"/>
      <c r="G6" s="31"/>
      <c r="H6" s="31"/>
      <c r="I6" s="31">
        <v>2683.7299999999996</v>
      </c>
      <c r="J6" s="31">
        <v>4275.79</v>
      </c>
      <c r="K6" s="31"/>
      <c r="L6" s="31"/>
      <c r="M6" s="31">
        <v>71187.3</v>
      </c>
      <c r="N6" s="31">
        <v>291876.45471428573</v>
      </c>
    </row>
    <row r="7" spans="2:14">
      <c r="B7" s="6" t="s">
        <v>916</v>
      </c>
      <c r="C7" s="31">
        <v>53229.244285714289</v>
      </c>
      <c r="D7" s="31">
        <v>18859.54</v>
      </c>
      <c r="E7" s="31">
        <v>71800.095000000016</v>
      </c>
      <c r="F7" s="31">
        <v>23006.15</v>
      </c>
      <c r="G7" s="31"/>
      <c r="H7" s="31"/>
      <c r="I7" s="31"/>
      <c r="J7" s="31"/>
      <c r="K7" s="31">
        <v>140678.41999999998</v>
      </c>
      <c r="L7" s="31"/>
      <c r="M7" s="31"/>
      <c r="N7" s="31">
        <v>307573.44928571431</v>
      </c>
    </row>
    <row r="8" spans="2:14">
      <c r="B8" s="6" t="s">
        <v>1341</v>
      </c>
      <c r="C8" s="31">
        <v>97881.288428571424</v>
      </c>
      <c r="D8" s="31">
        <v>39299.64</v>
      </c>
      <c r="E8" s="31">
        <v>78473.265714285721</v>
      </c>
      <c r="F8" s="31"/>
      <c r="G8" s="31"/>
      <c r="H8" s="31"/>
      <c r="I8" s="31"/>
      <c r="J8" s="31"/>
      <c r="K8" s="31"/>
      <c r="L8" s="31"/>
      <c r="M8" s="31"/>
      <c r="N8" s="31">
        <v>215654.19414285716</v>
      </c>
    </row>
    <row r="9" spans="2:14">
      <c r="B9" s="6" t="s">
        <v>1786</v>
      </c>
      <c r="C9" s="31">
        <v>99099.312857142853</v>
      </c>
      <c r="D9" s="31">
        <v>34300.339999999997</v>
      </c>
      <c r="E9" s="31">
        <v>79417.840000000011</v>
      </c>
      <c r="F9" s="31"/>
      <c r="G9" s="31"/>
      <c r="H9" s="31"/>
      <c r="I9" s="31">
        <v>6636.8200000000006</v>
      </c>
      <c r="J9" s="31">
        <v>3760.4957142857143</v>
      </c>
      <c r="K9" s="31"/>
      <c r="L9" s="31"/>
      <c r="M9" s="31"/>
      <c r="N9" s="31">
        <v>223214.80857142858</v>
      </c>
    </row>
    <row r="10" spans="2:14">
      <c r="B10" s="6" t="s">
        <v>1630</v>
      </c>
      <c r="C10" s="31">
        <v>32097.9</v>
      </c>
      <c r="D10" s="31">
        <v>70587.469999999987</v>
      </c>
      <c r="E10" s="31">
        <v>75561.535000000003</v>
      </c>
      <c r="F10" s="31"/>
      <c r="G10" s="31"/>
      <c r="H10" s="31"/>
      <c r="I10" s="31"/>
      <c r="J10" s="31"/>
      <c r="K10" s="31"/>
      <c r="L10" s="31"/>
      <c r="M10" s="31"/>
      <c r="N10" s="31">
        <v>178246.905</v>
      </c>
    </row>
    <row r="11" spans="2:14">
      <c r="B11" s="6" t="s">
        <v>917</v>
      </c>
      <c r="C11" s="31">
        <v>120154.02192857143</v>
      </c>
      <c r="D11" s="31"/>
      <c r="E11" s="31">
        <v>39534.879999999997</v>
      </c>
      <c r="F11" s="31"/>
      <c r="G11" s="31"/>
      <c r="H11" s="31"/>
      <c r="I11" s="31"/>
      <c r="J11" s="31"/>
      <c r="K11" s="31"/>
      <c r="L11" s="31"/>
      <c r="M11" s="31"/>
      <c r="N11" s="31">
        <v>159688.90192857143</v>
      </c>
    </row>
    <row r="12" spans="2:14">
      <c r="B12" s="6" t="s">
        <v>2287</v>
      </c>
      <c r="C12" s="31">
        <v>71050.453999999998</v>
      </c>
      <c r="D12" s="31">
        <v>7097.72</v>
      </c>
      <c r="E12" s="31">
        <v>182981.34447500005</v>
      </c>
      <c r="F12" s="31"/>
      <c r="G12" s="31"/>
      <c r="H12" s="31"/>
      <c r="I12" s="31"/>
      <c r="J12" s="31"/>
      <c r="K12" s="31"/>
      <c r="L12" s="31"/>
      <c r="M12" s="31">
        <v>211622.56243499997</v>
      </c>
      <c r="N12" s="31">
        <v>472752.08091000002</v>
      </c>
    </row>
    <row r="13" spans="2:14">
      <c r="B13" s="6" t="s">
        <v>1787</v>
      </c>
      <c r="C13" s="31">
        <v>52134.780759267982</v>
      </c>
      <c r="D13" s="31">
        <v>64116.5</v>
      </c>
      <c r="E13" s="31">
        <v>252389.38500002166</v>
      </c>
      <c r="F13" s="31"/>
      <c r="G13" s="31"/>
      <c r="H13" s="31">
        <v>9741.52</v>
      </c>
      <c r="I13" s="31">
        <v>53328.291428571429</v>
      </c>
      <c r="J13" s="31">
        <v>16295.165000000001</v>
      </c>
      <c r="K13" s="31"/>
      <c r="L13" s="31"/>
      <c r="M13" s="31"/>
      <c r="N13" s="31">
        <v>448005.64218786109</v>
      </c>
    </row>
    <row r="14" spans="2:14">
      <c r="B14" s="6" t="s">
        <v>2189</v>
      </c>
      <c r="C14" s="31">
        <v>98413.736799999999</v>
      </c>
      <c r="D14" s="31"/>
      <c r="E14" s="31">
        <v>111034.04800000002</v>
      </c>
      <c r="F14" s="31"/>
      <c r="G14" s="31"/>
      <c r="H14" s="31"/>
      <c r="I14" s="31"/>
      <c r="J14" s="31"/>
      <c r="K14" s="31"/>
      <c r="L14" s="31"/>
      <c r="M14" s="31">
        <v>48461.730674999999</v>
      </c>
      <c r="N14" s="31">
        <v>257909.51547500002</v>
      </c>
    </row>
    <row r="15" spans="2:14">
      <c r="B15" s="6" t="s">
        <v>1101</v>
      </c>
      <c r="C15" s="31">
        <v>40159.16857142857</v>
      </c>
      <c r="D15" s="31">
        <v>13823.63</v>
      </c>
      <c r="E15" s="31">
        <v>87330.13900000001</v>
      </c>
      <c r="F15" s="31"/>
      <c r="G15" s="31"/>
      <c r="H15" s="31"/>
      <c r="I15" s="31"/>
      <c r="J15" s="31"/>
      <c r="K15" s="31"/>
      <c r="L15" s="31">
        <v>32819.040000000001</v>
      </c>
      <c r="M15" s="31"/>
      <c r="N15" s="31">
        <v>174131.97757142858</v>
      </c>
    </row>
    <row r="16" spans="2:14">
      <c r="B16" s="6" t="s">
        <v>3165</v>
      </c>
      <c r="C16" s="31"/>
      <c r="D16" s="31"/>
      <c r="E16" s="31">
        <v>5863.2100000000009</v>
      </c>
      <c r="F16" s="31"/>
      <c r="G16" s="31"/>
      <c r="H16" s="31"/>
      <c r="I16" s="31"/>
      <c r="J16" s="31"/>
      <c r="K16" s="31"/>
      <c r="L16" s="31"/>
      <c r="M16" s="31"/>
      <c r="N16" s="31">
        <v>5863.2100000000009</v>
      </c>
    </row>
    <row r="17" spans="2:17">
      <c r="B17" s="6" t="s">
        <v>1102</v>
      </c>
      <c r="C17" s="31">
        <v>77688.987250000006</v>
      </c>
      <c r="D17" s="31">
        <v>19825</v>
      </c>
      <c r="E17" s="31">
        <v>54284.32</v>
      </c>
      <c r="F17" s="31">
        <v>68329.850000000006</v>
      </c>
      <c r="G17" s="31"/>
      <c r="H17" s="31"/>
      <c r="I17" s="31"/>
      <c r="J17" s="31"/>
      <c r="K17" s="31"/>
      <c r="L17" s="31"/>
      <c r="M17" s="31"/>
      <c r="N17" s="31">
        <v>220128.15725000002</v>
      </c>
    </row>
    <row r="18" spans="2:17">
      <c r="B18" s="6" t="s">
        <v>3163</v>
      </c>
      <c r="C18" s="31">
        <v>7336.89</v>
      </c>
      <c r="D18" s="31"/>
      <c r="E18" s="31">
        <v>57308.04</v>
      </c>
      <c r="F18" s="31"/>
      <c r="G18" s="31"/>
      <c r="H18" s="31"/>
      <c r="I18" s="31"/>
      <c r="J18" s="31"/>
      <c r="K18" s="31"/>
      <c r="L18" s="31"/>
      <c r="M18" s="31"/>
      <c r="N18" s="31">
        <v>64644.93</v>
      </c>
    </row>
    <row r="19" spans="2:17">
      <c r="B19" s="6" t="s">
        <v>919</v>
      </c>
      <c r="C19" s="31">
        <v>82870.984285714279</v>
      </c>
      <c r="D19" s="31">
        <v>5490.09</v>
      </c>
      <c r="E19" s="31">
        <v>93218.72</v>
      </c>
      <c r="F19" s="31"/>
      <c r="G19" s="31">
        <v>1475</v>
      </c>
      <c r="H19" s="31"/>
      <c r="I19" s="31"/>
      <c r="J19" s="31"/>
      <c r="K19" s="31"/>
      <c r="L19" s="31"/>
      <c r="M19" s="31"/>
      <c r="N19" s="31">
        <v>183054.79428571428</v>
      </c>
    </row>
    <row r="20" spans="2:17">
      <c r="B20" s="6" t="s">
        <v>3164</v>
      </c>
      <c r="C20" s="31">
        <v>19483.744000000002</v>
      </c>
      <c r="D20" s="31"/>
      <c r="E20" s="31">
        <v>67991.349999999991</v>
      </c>
      <c r="F20" s="31"/>
      <c r="G20" s="31"/>
      <c r="H20" s="31"/>
      <c r="I20" s="31"/>
      <c r="J20" s="31"/>
      <c r="K20" s="31"/>
      <c r="L20" s="31"/>
      <c r="M20" s="31"/>
      <c r="N20" s="31">
        <v>87475.093999999997</v>
      </c>
    </row>
    <row r="21" spans="2:17">
      <c r="B21" s="6" t="s">
        <v>28</v>
      </c>
      <c r="C21" s="31">
        <v>928532.73388069635</v>
      </c>
      <c r="D21" s="31">
        <v>305954.68</v>
      </c>
      <c r="E21" s="31">
        <v>1361430.8361893077</v>
      </c>
      <c r="F21" s="31">
        <v>91336</v>
      </c>
      <c r="G21" s="31">
        <v>1475</v>
      </c>
      <c r="H21" s="31">
        <v>9741.52</v>
      </c>
      <c r="I21" s="31">
        <v>62648.841428571424</v>
      </c>
      <c r="J21" s="31">
        <v>24331.450714285715</v>
      </c>
      <c r="K21" s="31">
        <v>140678.41999999998</v>
      </c>
      <c r="L21" s="31">
        <v>32819.040000000001</v>
      </c>
      <c r="M21" s="31">
        <v>331271.59310999996</v>
      </c>
      <c r="N21" s="31">
        <v>3290220.1153228614</v>
      </c>
    </row>
    <row r="26" spans="2:17" s="704" customFormat="1">
      <c r="B26"/>
      <c r="C26"/>
      <c r="D26"/>
      <c r="E26"/>
      <c r="F26"/>
      <c r="G26"/>
      <c r="H26"/>
      <c r="I26"/>
      <c r="J26"/>
      <c r="K26"/>
      <c r="L26"/>
      <c r="M26"/>
      <c r="N26"/>
    </row>
    <row r="27" spans="2:17" s="704" customFormat="1">
      <c r="O27"/>
    </row>
    <row r="28" spans="2:17" s="704" customFormat="1">
      <c r="O28"/>
    </row>
    <row r="29" spans="2:17" s="704" customFormat="1">
      <c r="B29" s="694" t="s">
        <v>2420</v>
      </c>
      <c r="C29" s="695"/>
      <c r="E29" s="24" t="s">
        <v>3346</v>
      </c>
      <c r="J29"/>
      <c r="K29"/>
      <c r="L29"/>
      <c r="M29"/>
      <c r="N29"/>
      <c r="O29"/>
      <c r="P29"/>
      <c r="Q29"/>
    </row>
    <row r="30" spans="2:17" s="704" customFormat="1">
      <c r="B30" s="5" t="s">
        <v>29</v>
      </c>
      <c r="C30" t="s">
        <v>706</v>
      </c>
      <c r="D30"/>
      <c r="E30" s="5" t="s">
        <v>2519</v>
      </c>
      <c r="F30" s="5" t="s">
        <v>35</v>
      </c>
      <c r="G30"/>
      <c r="H30"/>
      <c r="I30"/>
      <c r="J30"/>
      <c r="K30"/>
      <c r="L30"/>
      <c r="M30"/>
      <c r="N30"/>
      <c r="O30"/>
      <c r="P30"/>
      <c r="Q30"/>
    </row>
    <row r="31" spans="2:17" s="704" customFormat="1">
      <c r="B31" s="6" t="s">
        <v>2188</v>
      </c>
      <c r="C31" s="31">
        <v>357969.08147357538</v>
      </c>
      <c r="D31"/>
      <c r="E31" s="5" t="s">
        <v>29</v>
      </c>
      <c r="F31" s="704" t="s">
        <v>715</v>
      </c>
      <c r="G31" s="704" t="s">
        <v>716</v>
      </c>
      <c r="H31" s="704" t="s">
        <v>714</v>
      </c>
      <c r="I31" s="704" t="s">
        <v>749</v>
      </c>
      <c r="J31" s="704" t="s">
        <v>327</v>
      </c>
      <c r="K31" s="704" t="s">
        <v>2306</v>
      </c>
      <c r="L31" s="704" t="s">
        <v>2331</v>
      </c>
      <c r="M31" s="704" t="s">
        <v>2330</v>
      </c>
      <c r="N31" s="704" t="s">
        <v>2765</v>
      </c>
      <c r="O31" s="704" t="s">
        <v>1581</v>
      </c>
      <c r="P31" s="704" t="s">
        <v>2690</v>
      </c>
      <c r="Q31" s="704" t="s">
        <v>28</v>
      </c>
    </row>
    <row r="32" spans="2:17" s="704" customFormat="1">
      <c r="B32" s="6" t="s">
        <v>916</v>
      </c>
      <c r="C32" s="31">
        <v>133567.87611136769</v>
      </c>
      <c r="D32"/>
      <c r="E32" s="6" t="s">
        <v>2188</v>
      </c>
      <c r="F32" s="4">
        <v>8</v>
      </c>
      <c r="G32" s="4">
        <v>2</v>
      </c>
      <c r="H32" s="4">
        <v>11</v>
      </c>
      <c r="I32" s="4"/>
      <c r="J32" s="4"/>
      <c r="K32" s="4"/>
      <c r="L32" s="4">
        <v>2</v>
      </c>
      <c r="M32" s="4">
        <v>1</v>
      </c>
      <c r="N32" s="4"/>
      <c r="O32" s="4"/>
      <c r="P32" s="4">
        <v>3</v>
      </c>
      <c r="Q32" s="4">
        <v>27</v>
      </c>
    </row>
    <row r="33" spans="2:20" s="704" customFormat="1">
      <c r="B33" s="6" t="s">
        <v>1341</v>
      </c>
      <c r="C33" s="31">
        <v>157199.52457142857</v>
      </c>
      <c r="D33"/>
      <c r="E33" s="6" t="s">
        <v>916</v>
      </c>
      <c r="F33" s="4">
        <v>7</v>
      </c>
      <c r="G33" s="4">
        <v>3</v>
      </c>
      <c r="H33" s="4">
        <v>15</v>
      </c>
      <c r="I33" s="4">
        <v>1</v>
      </c>
      <c r="J33" s="4"/>
      <c r="K33" s="4"/>
      <c r="L33" s="4"/>
      <c r="M33" s="4"/>
      <c r="N33" s="4"/>
      <c r="O33" s="4"/>
      <c r="P33" s="4"/>
      <c r="Q33" s="4">
        <v>26</v>
      </c>
    </row>
    <row r="34" spans="2:20" s="704" customFormat="1">
      <c r="B34" s="6" t="s">
        <v>1786</v>
      </c>
      <c r="C34" s="31">
        <v>155207.47542857143</v>
      </c>
      <c r="D34"/>
      <c r="E34" s="6" t="s">
        <v>1341</v>
      </c>
      <c r="F34" s="4">
        <v>12</v>
      </c>
      <c r="G34" s="4">
        <v>1</v>
      </c>
      <c r="H34" s="4">
        <v>12</v>
      </c>
      <c r="I34" s="4"/>
      <c r="J34" s="4"/>
      <c r="K34" s="4"/>
      <c r="L34" s="4"/>
      <c r="M34" s="4"/>
      <c r="N34" s="4"/>
      <c r="O34" s="4"/>
      <c r="P34" s="4"/>
      <c r="Q34" s="4">
        <v>25</v>
      </c>
      <c r="R34"/>
      <c r="S34"/>
      <c r="T34"/>
    </row>
    <row r="35" spans="2:20" s="704" customFormat="1">
      <c r="B35" s="6" t="s">
        <v>1630</v>
      </c>
      <c r="C35" s="31">
        <v>194602.40164285715</v>
      </c>
      <c r="D35"/>
      <c r="E35" s="6" t="s">
        <v>1786</v>
      </c>
      <c r="F35" s="4">
        <v>9</v>
      </c>
      <c r="G35" s="4">
        <v>1</v>
      </c>
      <c r="H35" s="4">
        <v>10</v>
      </c>
      <c r="I35" s="4"/>
      <c r="J35" s="4"/>
      <c r="K35" s="4"/>
      <c r="L35" s="4">
        <v>6</v>
      </c>
      <c r="M35" s="4">
        <v>6</v>
      </c>
      <c r="N35" s="4"/>
      <c r="O35" s="4"/>
      <c r="P35" s="4"/>
      <c r="Q35" s="4">
        <v>32</v>
      </c>
      <c r="R35"/>
      <c r="S35"/>
      <c r="T35"/>
    </row>
    <row r="36" spans="2:20" s="704" customFormat="1">
      <c r="B36" s="6" t="s">
        <v>917</v>
      </c>
      <c r="C36" s="31">
        <v>41961.52285714286</v>
      </c>
      <c r="D36"/>
      <c r="E36" s="6" t="s">
        <v>1630</v>
      </c>
      <c r="F36" s="4">
        <v>4</v>
      </c>
      <c r="G36" s="4">
        <v>1</v>
      </c>
      <c r="H36" s="4">
        <v>18</v>
      </c>
      <c r="I36" s="4"/>
      <c r="J36" s="4"/>
      <c r="K36" s="4"/>
      <c r="L36" s="4"/>
      <c r="M36" s="4"/>
      <c r="N36" s="4"/>
      <c r="O36" s="4"/>
      <c r="P36" s="4"/>
      <c r="Q36" s="4">
        <v>23</v>
      </c>
      <c r="R36"/>
      <c r="S36"/>
      <c r="T36"/>
    </row>
    <row r="37" spans="2:20" s="704" customFormat="1">
      <c r="B37" s="6" t="s">
        <v>2287</v>
      </c>
      <c r="C37" s="31">
        <v>417727.25976071437</v>
      </c>
      <c r="D37"/>
      <c r="E37" s="6" t="s">
        <v>917</v>
      </c>
      <c r="F37" s="4">
        <v>12</v>
      </c>
      <c r="G37" s="4"/>
      <c r="H37" s="4">
        <v>12</v>
      </c>
      <c r="I37" s="4"/>
      <c r="J37" s="4"/>
      <c r="K37" s="4"/>
      <c r="L37" s="4"/>
      <c r="M37" s="4"/>
      <c r="N37" s="4"/>
      <c r="O37" s="4"/>
      <c r="P37" s="4"/>
      <c r="Q37" s="4">
        <v>24</v>
      </c>
      <c r="T37"/>
    </row>
    <row r="38" spans="2:20" s="704" customFormat="1">
      <c r="B38" s="6" t="s">
        <v>1787</v>
      </c>
      <c r="C38" s="31">
        <v>349940.44285714283</v>
      </c>
      <c r="D38"/>
      <c r="E38" s="6" t="s">
        <v>2287</v>
      </c>
      <c r="F38" s="4">
        <v>10</v>
      </c>
      <c r="G38" s="4">
        <v>1</v>
      </c>
      <c r="H38" s="4">
        <v>24</v>
      </c>
      <c r="I38" s="4"/>
      <c r="J38" s="4"/>
      <c r="K38" s="4"/>
      <c r="L38" s="4"/>
      <c r="M38" s="4"/>
      <c r="N38" s="4"/>
      <c r="O38" s="4"/>
      <c r="P38" s="4">
        <v>3</v>
      </c>
      <c r="Q38" s="4">
        <v>38</v>
      </c>
      <c r="T38"/>
    </row>
    <row r="39" spans="2:20" s="704" customFormat="1">
      <c r="B39" s="6" t="s">
        <v>2189</v>
      </c>
      <c r="C39" s="31">
        <v>327167.74857142864</v>
      </c>
      <c r="D39"/>
      <c r="E39" s="6" t="s">
        <v>1787</v>
      </c>
      <c r="F39" s="4">
        <v>7</v>
      </c>
      <c r="G39" s="4">
        <v>2</v>
      </c>
      <c r="H39" s="4">
        <v>20</v>
      </c>
      <c r="I39" s="4"/>
      <c r="J39" s="4"/>
      <c r="K39" s="4">
        <v>1</v>
      </c>
      <c r="L39" s="4">
        <v>35</v>
      </c>
      <c r="M39" s="4">
        <v>13</v>
      </c>
      <c r="N39" s="4"/>
      <c r="O39" s="4"/>
      <c r="P39" s="4"/>
      <c r="Q39" s="4">
        <v>78</v>
      </c>
      <c r="T39"/>
    </row>
    <row r="40" spans="2:20" s="704" customFormat="1">
      <c r="B40" s="6" t="s">
        <v>1101</v>
      </c>
      <c r="C40" s="31">
        <v>213874.75660714286</v>
      </c>
      <c r="D40"/>
      <c r="E40" s="6" t="s">
        <v>2189</v>
      </c>
      <c r="F40" s="4">
        <v>11</v>
      </c>
      <c r="G40" s="4"/>
      <c r="H40" s="4">
        <v>21</v>
      </c>
      <c r="I40" s="4"/>
      <c r="J40" s="4"/>
      <c r="K40" s="4"/>
      <c r="L40" s="4"/>
      <c r="M40" s="4"/>
      <c r="N40" s="4"/>
      <c r="O40" s="4"/>
      <c r="P40" s="4">
        <v>2</v>
      </c>
      <c r="Q40" s="4">
        <v>34</v>
      </c>
      <c r="T40"/>
    </row>
    <row r="41" spans="2:20" s="704" customFormat="1">
      <c r="B41" s="6" t="s">
        <v>1102</v>
      </c>
      <c r="C41" s="31">
        <v>200843.25328571425</v>
      </c>
      <c r="D41"/>
      <c r="E41" s="6" t="s">
        <v>1101</v>
      </c>
      <c r="F41" s="4">
        <v>6</v>
      </c>
      <c r="G41" s="4">
        <v>1</v>
      </c>
      <c r="H41" s="4">
        <v>11</v>
      </c>
      <c r="I41" s="4"/>
      <c r="J41" s="4"/>
      <c r="K41" s="4"/>
      <c r="L41" s="4"/>
      <c r="M41" s="4"/>
      <c r="N41" s="4"/>
      <c r="O41" s="4">
        <v>3</v>
      </c>
      <c r="P41" s="4"/>
      <c r="Q41" s="4">
        <v>21</v>
      </c>
      <c r="T41"/>
    </row>
    <row r="42" spans="2:20" s="704" customFormat="1">
      <c r="B42" s="6" t="s">
        <v>919</v>
      </c>
      <c r="C42" s="31">
        <v>139140.58471428574</v>
      </c>
      <c r="D42"/>
      <c r="E42" s="6" t="s">
        <v>1102</v>
      </c>
      <c r="F42" s="4">
        <v>7</v>
      </c>
      <c r="G42" s="4">
        <v>1</v>
      </c>
      <c r="H42" s="4">
        <v>10</v>
      </c>
      <c r="I42" s="4">
        <v>1</v>
      </c>
      <c r="J42" s="4"/>
      <c r="K42" s="4"/>
      <c r="L42" s="4"/>
      <c r="M42" s="4"/>
      <c r="N42" s="4"/>
      <c r="O42" s="4"/>
      <c r="P42" s="4"/>
      <c r="Q42" s="4">
        <v>19</v>
      </c>
      <c r="T42"/>
    </row>
    <row r="43" spans="2:20" s="704" customFormat="1">
      <c r="B43" s="6" t="s">
        <v>28</v>
      </c>
      <c r="C43" s="31">
        <v>2689201.9278813717</v>
      </c>
      <c r="D43"/>
      <c r="E43" s="6" t="s">
        <v>919</v>
      </c>
      <c r="F43" s="4">
        <v>7</v>
      </c>
      <c r="G43" s="4">
        <v>2</v>
      </c>
      <c r="H43" s="4">
        <v>11</v>
      </c>
      <c r="I43" s="4"/>
      <c r="J43" s="4">
        <v>1</v>
      </c>
      <c r="K43" s="4"/>
      <c r="L43" s="4"/>
      <c r="M43" s="4"/>
      <c r="N43" s="4"/>
      <c r="O43" s="4"/>
      <c r="P43" s="4"/>
      <c r="Q43" s="4">
        <v>21</v>
      </c>
      <c r="T43"/>
    </row>
    <row r="44" spans="2:20" s="704" customFormat="1">
      <c r="D44"/>
      <c r="E44" s="6" t="s">
        <v>28</v>
      </c>
      <c r="F44" s="4">
        <v>100</v>
      </c>
      <c r="G44" s="4">
        <v>15</v>
      </c>
      <c r="H44" s="4">
        <v>175</v>
      </c>
      <c r="I44" s="4">
        <v>2</v>
      </c>
      <c r="J44" s="4">
        <v>1</v>
      </c>
      <c r="K44" s="4">
        <v>1</v>
      </c>
      <c r="L44" s="4">
        <v>43</v>
      </c>
      <c r="M44" s="4">
        <v>20</v>
      </c>
      <c r="N44" s="4"/>
      <c r="O44" s="4">
        <v>3</v>
      </c>
      <c r="P44" s="4">
        <v>8</v>
      </c>
      <c r="Q44" s="4">
        <v>368</v>
      </c>
      <c r="T44"/>
    </row>
    <row r="45" spans="2:20" s="704" customFormat="1">
      <c r="D45"/>
      <c r="T45"/>
    </row>
    <row r="46" spans="2:20" s="704" customFormat="1">
      <c r="D46"/>
      <c r="T46"/>
    </row>
    <row r="47" spans="2:20" s="704" customFormat="1">
      <c r="D47"/>
      <c r="T47"/>
    </row>
    <row r="48" spans="2:20" s="704" customFormat="1">
      <c r="T48"/>
    </row>
    <row r="56" spans="2:10">
      <c r="B56" s="24" t="s">
        <v>3347</v>
      </c>
      <c r="C56" s="24"/>
    </row>
    <row r="57" spans="2:10">
      <c r="B57" s="5" t="s">
        <v>29</v>
      </c>
      <c r="C57" s="704" t="s">
        <v>2518</v>
      </c>
      <c r="D57" s="704" t="s">
        <v>2519</v>
      </c>
    </row>
    <row r="58" spans="2:10">
      <c r="B58" s="6" t="s">
        <v>2188</v>
      </c>
      <c r="C58" s="4">
        <v>24</v>
      </c>
      <c r="D58" s="4">
        <v>27</v>
      </c>
    </row>
    <row r="59" spans="2:10">
      <c r="B59" s="20" t="s">
        <v>715</v>
      </c>
      <c r="C59" s="4">
        <v>8</v>
      </c>
      <c r="D59" s="4">
        <v>8</v>
      </c>
      <c r="F59" s="704"/>
    </row>
    <row r="60" spans="2:10">
      <c r="B60" s="20" t="s">
        <v>716</v>
      </c>
      <c r="C60" s="4">
        <v>2</v>
      </c>
      <c r="D60" s="4">
        <v>2</v>
      </c>
      <c r="F60" s="704"/>
    </row>
    <row r="61" spans="2:10">
      <c r="B61" s="20" t="s">
        <v>714</v>
      </c>
      <c r="C61" s="4">
        <v>11</v>
      </c>
      <c r="D61" s="4">
        <v>11</v>
      </c>
      <c r="F61" s="704"/>
      <c r="G61" s="704"/>
    </row>
    <row r="62" spans="2:10">
      <c r="B62" s="20" t="s">
        <v>2331</v>
      </c>
      <c r="C62" s="4"/>
      <c r="D62" s="4">
        <v>2</v>
      </c>
      <c r="F62" s="704"/>
      <c r="G62" s="29"/>
      <c r="H62" s="29"/>
      <c r="I62" s="29"/>
      <c r="J62" s="29"/>
    </row>
    <row r="63" spans="2:10">
      <c r="B63" s="20" t="s">
        <v>2330</v>
      </c>
      <c r="C63" s="4"/>
      <c r="D63" s="4">
        <v>1</v>
      </c>
      <c r="F63" s="6"/>
      <c r="G63" s="4"/>
      <c r="H63" s="4"/>
      <c r="I63" s="4"/>
      <c r="J63" s="4"/>
    </row>
    <row r="64" spans="2:10">
      <c r="B64" s="20" t="s">
        <v>2690</v>
      </c>
      <c r="C64" s="4">
        <v>3</v>
      </c>
      <c r="D64" s="4">
        <v>3</v>
      </c>
      <c r="F64" s="51"/>
      <c r="G64" s="226"/>
      <c r="H64" s="226"/>
      <c r="I64" s="226"/>
      <c r="J64" s="226"/>
    </row>
    <row r="65" spans="2:10">
      <c r="B65" s="6" t="s">
        <v>916</v>
      </c>
      <c r="C65" s="4">
        <v>12</v>
      </c>
      <c r="D65" s="4">
        <v>26</v>
      </c>
      <c r="F65" s="6"/>
      <c r="G65" s="4"/>
      <c r="H65" s="4"/>
      <c r="I65" s="4"/>
      <c r="J65" s="4"/>
    </row>
    <row r="66" spans="2:10">
      <c r="B66" s="20" t="s">
        <v>715</v>
      </c>
      <c r="C66" s="4">
        <v>6</v>
      </c>
      <c r="D66" s="4">
        <v>7</v>
      </c>
    </row>
    <row r="67" spans="2:10">
      <c r="B67" s="20" t="s">
        <v>716</v>
      </c>
      <c r="C67" s="4">
        <v>2</v>
      </c>
      <c r="D67" s="4">
        <v>3</v>
      </c>
    </row>
    <row r="68" spans="2:10">
      <c r="B68" s="20" t="s">
        <v>714</v>
      </c>
      <c r="C68" s="4">
        <v>4</v>
      </c>
      <c r="D68" s="4">
        <v>15</v>
      </c>
    </row>
    <row r="69" spans="2:10">
      <c r="B69" s="20" t="s">
        <v>749</v>
      </c>
      <c r="C69" s="4"/>
      <c r="D69" s="4">
        <v>1</v>
      </c>
    </row>
    <row r="70" spans="2:10">
      <c r="B70" s="20" t="s">
        <v>2765</v>
      </c>
      <c r="C70" s="4"/>
      <c r="D70" s="4"/>
    </row>
    <row r="71" spans="2:10">
      <c r="B71" s="6" t="s">
        <v>1341</v>
      </c>
      <c r="C71" s="4">
        <v>20</v>
      </c>
      <c r="D71" s="4">
        <v>25</v>
      </c>
    </row>
    <row r="72" spans="2:10">
      <c r="B72" s="20" t="s">
        <v>715</v>
      </c>
      <c r="C72" s="4">
        <v>11</v>
      </c>
      <c r="D72" s="4">
        <v>12</v>
      </c>
    </row>
    <row r="73" spans="2:10">
      <c r="B73" s="20" t="s">
        <v>716</v>
      </c>
      <c r="C73" s="4"/>
      <c r="D73" s="4">
        <v>1</v>
      </c>
    </row>
    <row r="74" spans="2:10">
      <c r="B74" s="20" t="s">
        <v>714</v>
      </c>
      <c r="C74" s="4">
        <v>9</v>
      </c>
      <c r="D74" s="4">
        <v>12</v>
      </c>
    </row>
    <row r="75" spans="2:10">
      <c r="B75" s="6" t="s">
        <v>1786</v>
      </c>
      <c r="C75" s="4">
        <v>18</v>
      </c>
      <c r="D75" s="4">
        <v>32</v>
      </c>
    </row>
    <row r="76" spans="2:10">
      <c r="B76" s="20" t="s">
        <v>715</v>
      </c>
      <c r="C76" s="4">
        <v>9</v>
      </c>
      <c r="D76" s="4">
        <v>9</v>
      </c>
    </row>
    <row r="77" spans="2:10">
      <c r="B77" s="20" t="s">
        <v>716</v>
      </c>
      <c r="C77" s="4"/>
      <c r="D77" s="4">
        <v>1</v>
      </c>
    </row>
    <row r="78" spans="2:10">
      <c r="B78" s="20" t="s">
        <v>714</v>
      </c>
      <c r="C78" s="4">
        <v>8</v>
      </c>
      <c r="D78" s="4">
        <v>10</v>
      </c>
    </row>
    <row r="79" spans="2:10">
      <c r="B79" s="20" t="s">
        <v>2331</v>
      </c>
      <c r="C79" s="4">
        <v>1</v>
      </c>
      <c r="D79" s="4">
        <v>6</v>
      </c>
    </row>
    <row r="80" spans="2:10">
      <c r="B80" s="20" t="s">
        <v>2330</v>
      </c>
      <c r="C80" s="4"/>
      <c r="D80" s="4">
        <v>6</v>
      </c>
    </row>
    <row r="81" spans="2:10">
      <c r="B81" s="6" t="s">
        <v>1630</v>
      </c>
      <c r="C81" s="4">
        <v>20</v>
      </c>
      <c r="D81" s="4">
        <v>23</v>
      </c>
    </row>
    <row r="82" spans="2:10">
      <c r="B82" s="20" t="s">
        <v>715</v>
      </c>
      <c r="C82" s="4">
        <v>3</v>
      </c>
      <c r="D82" s="4">
        <v>4</v>
      </c>
      <c r="I82" s="704"/>
      <c r="J82" s="704"/>
    </row>
    <row r="83" spans="2:10">
      <c r="B83" s="20" t="s">
        <v>716</v>
      </c>
      <c r="C83" s="4"/>
      <c r="D83" s="4">
        <v>1</v>
      </c>
      <c r="I83" s="704"/>
    </row>
    <row r="84" spans="2:10">
      <c r="B84" s="20" t="s">
        <v>714</v>
      </c>
      <c r="C84" s="4">
        <v>17</v>
      </c>
      <c r="D84" s="4">
        <v>18</v>
      </c>
      <c r="I84" s="6"/>
      <c r="J84" s="4"/>
    </row>
    <row r="85" spans="2:10">
      <c r="B85" s="6" t="s">
        <v>917</v>
      </c>
      <c r="C85" s="4">
        <v>12</v>
      </c>
      <c r="D85" s="4">
        <v>24</v>
      </c>
      <c r="I85" s="6"/>
      <c r="J85" s="4"/>
    </row>
    <row r="86" spans="2:10">
      <c r="B86" s="20" t="s">
        <v>715</v>
      </c>
      <c r="C86" s="4">
        <v>12</v>
      </c>
      <c r="D86" s="4">
        <v>12</v>
      </c>
      <c r="I86" s="6"/>
      <c r="J86" s="4"/>
    </row>
    <row r="87" spans="2:10">
      <c r="B87" s="20" t="s">
        <v>714</v>
      </c>
      <c r="C87" s="4"/>
      <c r="D87" s="4">
        <v>12</v>
      </c>
      <c r="I87" s="6"/>
      <c r="J87" s="4"/>
    </row>
    <row r="88" spans="2:10">
      <c r="B88" s="6" t="s">
        <v>2287</v>
      </c>
      <c r="C88" s="4">
        <v>36</v>
      </c>
      <c r="D88" s="4">
        <v>38</v>
      </c>
      <c r="I88" s="6"/>
      <c r="J88" s="4"/>
    </row>
    <row r="89" spans="2:10">
      <c r="B89" s="20" t="s">
        <v>715</v>
      </c>
      <c r="C89" s="4">
        <v>8</v>
      </c>
      <c r="D89" s="4">
        <v>10</v>
      </c>
      <c r="I89" s="6"/>
      <c r="J89" s="4"/>
    </row>
    <row r="90" spans="2:10">
      <c r="B90" s="20" t="s">
        <v>716</v>
      </c>
      <c r="C90" s="4">
        <v>1</v>
      </c>
      <c r="D90" s="4">
        <v>1</v>
      </c>
      <c r="I90" s="6"/>
      <c r="J90" s="4"/>
    </row>
    <row r="91" spans="2:10">
      <c r="B91" s="20" t="s">
        <v>714</v>
      </c>
      <c r="C91" s="4">
        <v>24</v>
      </c>
      <c r="D91" s="4">
        <v>24</v>
      </c>
      <c r="I91" s="6"/>
      <c r="J91" s="4"/>
    </row>
    <row r="92" spans="2:10">
      <c r="B92" s="20" t="s">
        <v>2690</v>
      </c>
      <c r="C92" s="4">
        <v>3</v>
      </c>
      <c r="D92" s="4">
        <v>3</v>
      </c>
      <c r="I92" s="6"/>
      <c r="J92" s="4"/>
    </row>
    <row r="93" spans="2:10">
      <c r="B93" s="6" t="s">
        <v>1787</v>
      </c>
      <c r="C93" s="4">
        <v>28</v>
      </c>
      <c r="D93" s="4">
        <v>78</v>
      </c>
      <c r="I93" s="6"/>
      <c r="J93" s="4"/>
    </row>
    <row r="94" spans="2:10">
      <c r="B94" s="20" t="s">
        <v>715</v>
      </c>
      <c r="C94" s="4">
        <v>6</v>
      </c>
      <c r="D94" s="4">
        <v>7</v>
      </c>
      <c r="I94" s="6"/>
      <c r="J94" s="4"/>
    </row>
    <row r="95" spans="2:10">
      <c r="B95" s="20" t="s">
        <v>716</v>
      </c>
      <c r="C95" s="4">
        <v>2</v>
      </c>
      <c r="D95" s="4">
        <v>2</v>
      </c>
      <c r="I95" s="6"/>
      <c r="J95" s="4"/>
    </row>
    <row r="96" spans="2:10">
      <c r="B96" s="20" t="s">
        <v>714</v>
      </c>
      <c r="C96" s="4">
        <v>20</v>
      </c>
      <c r="D96" s="4">
        <v>20</v>
      </c>
      <c r="I96" s="6"/>
      <c r="J96" s="4"/>
    </row>
    <row r="97" spans="2:18">
      <c r="B97" s="20" t="s">
        <v>2306</v>
      </c>
      <c r="C97" s="4"/>
      <c r="D97" s="4">
        <v>1</v>
      </c>
      <c r="I97" s="6"/>
      <c r="J97" s="4"/>
    </row>
    <row r="98" spans="2:18">
      <c r="B98" s="20" t="s">
        <v>2331</v>
      </c>
      <c r="C98" s="4"/>
      <c r="D98" s="4">
        <v>35</v>
      </c>
      <c r="I98" s="6"/>
      <c r="J98" s="4"/>
    </row>
    <row r="99" spans="2:18">
      <c r="B99" s="20" t="s">
        <v>2330</v>
      </c>
      <c r="C99" s="4"/>
      <c r="D99" s="4">
        <v>13</v>
      </c>
    </row>
    <row r="100" spans="2:18">
      <c r="B100" s="6" t="s">
        <v>2189</v>
      </c>
      <c r="C100" s="4">
        <v>35</v>
      </c>
      <c r="D100" s="4">
        <v>34</v>
      </c>
    </row>
    <row r="101" spans="2:18">
      <c r="B101" s="20" t="s">
        <v>715</v>
      </c>
      <c r="C101" s="4">
        <v>12</v>
      </c>
      <c r="D101" s="4">
        <v>11</v>
      </c>
    </row>
    <row r="102" spans="2:18">
      <c r="B102" s="20" t="s">
        <v>714</v>
      </c>
      <c r="C102" s="4">
        <v>21</v>
      </c>
      <c r="D102" s="4">
        <v>21</v>
      </c>
    </row>
    <row r="103" spans="2:18">
      <c r="B103" s="20" t="s">
        <v>2690</v>
      </c>
      <c r="C103" s="4">
        <v>2</v>
      </c>
      <c r="D103" s="4">
        <v>2</v>
      </c>
    </row>
    <row r="104" spans="2:18">
      <c r="B104" s="6" t="s">
        <v>1101</v>
      </c>
      <c r="C104" s="4">
        <v>16</v>
      </c>
      <c r="D104" s="4">
        <v>21</v>
      </c>
    </row>
    <row r="105" spans="2:18">
      <c r="B105" s="20" t="s">
        <v>715</v>
      </c>
      <c r="C105" s="4">
        <v>4</v>
      </c>
      <c r="D105" s="4">
        <v>6</v>
      </c>
    </row>
    <row r="106" spans="2:18">
      <c r="B106" s="20" t="s">
        <v>716</v>
      </c>
      <c r="C106" s="4"/>
      <c r="D106" s="4">
        <v>1</v>
      </c>
    </row>
    <row r="107" spans="2:18">
      <c r="B107" s="20" t="s">
        <v>714</v>
      </c>
      <c r="C107" s="4">
        <v>9</v>
      </c>
      <c r="D107" s="4">
        <v>11</v>
      </c>
    </row>
    <row r="108" spans="2:18">
      <c r="B108" s="20" t="s">
        <v>1581</v>
      </c>
      <c r="C108" s="4">
        <v>3</v>
      </c>
      <c r="D108" s="4">
        <v>3</v>
      </c>
    </row>
    <row r="109" spans="2:18">
      <c r="B109" s="6" t="s">
        <v>1102</v>
      </c>
      <c r="C109" s="4">
        <v>14</v>
      </c>
      <c r="D109" s="4">
        <v>19</v>
      </c>
    </row>
    <row r="110" spans="2:18">
      <c r="B110" s="20" t="s">
        <v>715</v>
      </c>
      <c r="C110" s="4">
        <v>7</v>
      </c>
      <c r="D110" s="4">
        <v>7</v>
      </c>
      <c r="P110" s="704"/>
      <c r="Q110" s="29"/>
      <c r="R110" s="29"/>
    </row>
    <row r="111" spans="2:18">
      <c r="B111" s="20" t="s">
        <v>716</v>
      </c>
      <c r="C111" s="4">
        <v>1</v>
      </c>
      <c r="D111" s="4">
        <v>1</v>
      </c>
      <c r="P111" s="6"/>
      <c r="Q111" s="4"/>
      <c r="R111" s="4"/>
    </row>
    <row r="112" spans="2:18">
      <c r="B112" s="20" t="s">
        <v>714</v>
      </c>
      <c r="C112" s="4">
        <v>6</v>
      </c>
      <c r="D112" s="4">
        <v>10</v>
      </c>
      <c r="P112" s="6"/>
      <c r="Q112" s="4"/>
      <c r="R112" s="4"/>
    </row>
    <row r="113" spans="2:18">
      <c r="B113" s="20" t="s">
        <v>749</v>
      </c>
      <c r="C113" s="4"/>
      <c r="D113" s="4">
        <v>1</v>
      </c>
      <c r="P113" s="6"/>
      <c r="Q113" s="4"/>
      <c r="R113" s="4"/>
    </row>
    <row r="114" spans="2:18">
      <c r="B114" s="6" t="s">
        <v>919</v>
      </c>
      <c r="C114" s="4">
        <v>10</v>
      </c>
      <c r="D114" s="4">
        <v>21</v>
      </c>
      <c r="P114" s="6"/>
      <c r="Q114" s="4"/>
      <c r="R114" s="4"/>
    </row>
    <row r="115" spans="2:18">
      <c r="B115" s="20" t="s">
        <v>715</v>
      </c>
      <c r="C115" s="4">
        <v>6</v>
      </c>
      <c r="D115" s="4">
        <v>7</v>
      </c>
      <c r="P115" s="20"/>
      <c r="Q115" s="4"/>
      <c r="R115" s="4"/>
    </row>
    <row r="116" spans="2:18">
      <c r="B116" s="20" t="s">
        <v>716</v>
      </c>
      <c r="C116" s="4"/>
      <c r="D116" s="4">
        <v>2</v>
      </c>
      <c r="P116" s="20"/>
      <c r="Q116" s="4"/>
      <c r="R116" s="4"/>
    </row>
    <row r="117" spans="2:18">
      <c r="B117" s="20" t="s">
        <v>714</v>
      </c>
      <c r="C117" s="4">
        <v>4</v>
      </c>
      <c r="D117" s="4">
        <v>11</v>
      </c>
      <c r="P117" s="20"/>
      <c r="Q117" s="4"/>
      <c r="R117" s="4"/>
    </row>
    <row r="118" spans="2:18">
      <c r="B118" s="20" t="s">
        <v>327</v>
      </c>
      <c r="C118" s="4"/>
      <c r="D118" s="4">
        <v>1</v>
      </c>
      <c r="P118" s="20"/>
      <c r="Q118" s="4"/>
      <c r="R118" s="4"/>
    </row>
    <row r="119" spans="2:18">
      <c r="B119" s="6" t="s">
        <v>28</v>
      </c>
      <c r="C119" s="4">
        <v>245</v>
      </c>
      <c r="D119" s="4">
        <v>368</v>
      </c>
      <c r="P119" s="20"/>
      <c r="Q119" s="4"/>
      <c r="R119" s="4"/>
    </row>
    <row r="120" spans="2:18">
      <c r="P120" s="20"/>
      <c r="Q120" s="4"/>
      <c r="R120" s="4"/>
    </row>
    <row r="121" spans="2:18">
      <c r="P121" s="6"/>
      <c r="Q121" s="4"/>
      <c r="R121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S250"/>
  <sheetViews>
    <sheetView topLeftCell="C1" zoomScale="80" zoomScaleNormal="80" workbookViewId="0">
      <pane ySplit="1" topLeftCell="A2" activePane="bottomLeft" state="frozen"/>
      <selection pane="bottomLeft" activeCell="F262" sqref="F262"/>
    </sheetView>
  </sheetViews>
  <sheetFormatPr defaultColWidth="9" defaultRowHeight="14"/>
  <cols>
    <col min="1" max="1" width="8.703125" style="369" customWidth="1"/>
    <col min="2" max="2" width="26.41015625" style="369" customWidth="1"/>
    <col min="3" max="3" width="80.703125" style="354" customWidth="1"/>
    <col min="4" max="4" width="20.703125" style="354" bestFit="1" customWidth="1"/>
    <col min="5" max="5" width="21.703125" style="354" customWidth="1"/>
    <col min="6" max="6" width="11" style="457" customWidth="1"/>
    <col min="7" max="7" width="9.703125" style="457" customWidth="1"/>
    <col min="8" max="8" width="12" style="451" customWidth="1"/>
    <col min="9" max="9" width="11.64453125" style="369" customWidth="1"/>
    <col min="10" max="10" width="14.5859375" style="356" customWidth="1"/>
    <col min="11" max="11" width="14.87890625" style="356" customWidth="1"/>
    <col min="12" max="12" width="46.1171875" style="366" customWidth="1"/>
    <col min="13" max="13" width="3.29296875" style="354" customWidth="1"/>
    <col min="14" max="14" width="10.29296875" style="354" bestFit="1" customWidth="1"/>
    <col min="15" max="17" width="9" style="354"/>
    <col min="18" max="18" width="21" style="354" customWidth="1"/>
    <col min="19" max="19" width="35.41015625" style="354" customWidth="1"/>
    <col min="20" max="16384" width="9" style="354"/>
  </cols>
  <sheetData>
    <row r="1" spans="1:19" s="631" customFormat="1" ht="88.35" customHeight="1">
      <c r="A1" s="629" t="s">
        <v>863</v>
      </c>
      <c r="B1" s="629" t="s">
        <v>713</v>
      </c>
      <c r="C1" s="629" t="s">
        <v>862</v>
      </c>
      <c r="D1" s="629" t="s">
        <v>861</v>
      </c>
      <c r="E1" s="629" t="s">
        <v>860</v>
      </c>
      <c r="F1" s="629" t="s">
        <v>65</v>
      </c>
      <c r="G1" s="629" t="s">
        <v>859</v>
      </c>
      <c r="H1" s="629" t="s">
        <v>1649</v>
      </c>
      <c r="I1" s="629" t="s">
        <v>1018</v>
      </c>
      <c r="J1" s="630" t="s">
        <v>1106</v>
      </c>
      <c r="K1" s="630" t="s">
        <v>1834</v>
      </c>
      <c r="L1" s="629" t="s">
        <v>79</v>
      </c>
      <c r="N1" s="631" t="s">
        <v>22</v>
      </c>
      <c r="R1" s="673" t="s">
        <v>1805</v>
      </c>
      <c r="S1" s="672" t="s">
        <v>1660</v>
      </c>
    </row>
    <row r="2" spans="1:19" ht="13.5" hidden="1" customHeight="1">
      <c r="A2" s="632">
        <v>652</v>
      </c>
      <c r="B2" s="644" t="s">
        <v>852</v>
      </c>
      <c r="C2" s="397" t="s">
        <v>2505</v>
      </c>
      <c r="D2" s="646" t="s">
        <v>857</v>
      </c>
      <c r="E2" s="664" t="s">
        <v>854</v>
      </c>
      <c r="F2" s="658">
        <v>43200</v>
      </c>
      <c r="G2" s="658">
        <v>43244</v>
      </c>
      <c r="H2" s="725">
        <f>G2-F2</f>
        <v>44</v>
      </c>
      <c r="I2" s="656"/>
      <c r="J2" s="649"/>
      <c r="K2" s="649"/>
      <c r="L2" s="643"/>
      <c r="N2" s="560"/>
    </row>
    <row r="3" spans="1:19" ht="13.5" hidden="1" customHeight="1">
      <c r="A3" s="632">
        <v>690</v>
      </c>
      <c r="B3" s="644" t="s">
        <v>852</v>
      </c>
      <c r="C3" s="397" t="s">
        <v>2394</v>
      </c>
      <c r="D3" s="633" t="s">
        <v>855</v>
      </c>
      <c r="E3" s="643" t="s">
        <v>854</v>
      </c>
      <c r="F3" s="661">
        <v>43216</v>
      </c>
      <c r="G3" s="661">
        <v>43230</v>
      </c>
      <c r="H3" s="725">
        <f t="shared" ref="H3:H7" si="0">G3-F3</f>
        <v>14</v>
      </c>
      <c r="I3" s="656"/>
      <c r="J3" s="649"/>
      <c r="K3" s="649"/>
      <c r="L3" s="643"/>
      <c r="N3" s="560"/>
    </row>
    <row r="4" spans="1:19" ht="13.5" hidden="1" customHeight="1">
      <c r="A4" s="632">
        <v>691</v>
      </c>
      <c r="B4" s="644" t="s">
        <v>852</v>
      </c>
      <c r="C4" s="397" t="s">
        <v>2462</v>
      </c>
      <c r="D4" s="642" t="s">
        <v>857</v>
      </c>
      <c r="E4" s="643" t="s">
        <v>854</v>
      </c>
      <c r="F4" s="661">
        <v>43220</v>
      </c>
      <c r="G4" s="661">
        <v>43229</v>
      </c>
      <c r="H4" s="725">
        <f t="shared" si="0"/>
        <v>9</v>
      </c>
      <c r="I4" s="656"/>
      <c r="J4" s="649"/>
      <c r="K4" s="649"/>
      <c r="L4" s="643"/>
      <c r="N4" s="560"/>
    </row>
    <row r="5" spans="1:19" ht="13.5" hidden="1" customHeight="1">
      <c r="A5" s="632">
        <v>692</v>
      </c>
      <c r="B5" s="644" t="s">
        <v>852</v>
      </c>
      <c r="C5" s="397" t="s">
        <v>2500</v>
      </c>
      <c r="D5" s="642" t="s">
        <v>857</v>
      </c>
      <c r="E5" s="643" t="s">
        <v>854</v>
      </c>
      <c r="F5" s="661">
        <v>43220</v>
      </c>
      <c r="G5" s="661">
        <v>43229</v>
      </c>
      <c r="H5" s="725">
        <f t="shared" si="0"/>
        <v>9</v>
      </c>
      <c r="I5" s="656"/>
      <c r="J5" s="649"/>
      <c r="K5" s="649"/>
      <c r="L5" s="643"/>
      <c r="N5" s="560"/>
    </row>
    <row r="6" spans="1:19" ht="13.5" hidden="1" customHeight="1">
      <c r="A6" s="632">
        <v>693</v>
      </c>
      <c r="B6" s="644" t="s">
        <v>852</v>
      </c>
      <c r="C6" s="397" t="s">
        <v>2253</v>
      </c>
      <c r="D6" s="642" t="s">
        <v>857</v>
      </c>
      <c r="E6" s="643" t="s">
        <v>854</v>
      </c>
      <c r="F6" s="661">
        <v>43220</v>
      </c>
      <c r="G6" s="661">
        <v>43229</v>
      </c>
      <c r="H6" s="725">
        <f t="shared" si="0"/>
        <v>9</v>
      </c>
      <c r="I6" s="656"/>
      <c r="J6" s="649"/>
      <c r="K6" s="649"/>
      <c r="L6" s="643"/>
      <c r="N6" s="560"/>
    </row>
    <row r="7" spans="1:19" ht="13.5" hidden="1" customHeight="1">
      <c r="A7" s="632">
        <v>694</v>
      </c>
      <c r="B7" s="644" t="s">
        <v>852</v>
      </c>
      <c r="C7" s="397" t="s">
        <v>2314</v>
      </c>
      <c r="D7" s="642" t="s">
        <v>857</v>
      </c>
      <c r="E7" s="643" t="s">
        <v>854</v>
      </c>
      <c r="F7" s="661">
        <v>43220</v>
      </c>
      <c r="G7" s="661">
        <v>43229</v>
      </c>
      <c r="H7" s="725">
        <f t="shared" si="0"/>
        <v>9</v>
      </c>
      <c r="I7" s="656"/>
      <c r="J7" s="649"/>
      <c r="K7" s="649"/>
      <c r="L7" s="643"/>
      <c r="N7" s="560"/>
    </row>
    <row r="8" spans="1:19" ht="13.5" hidden="1" customHeight="1">
      <c r="A8" s="632">
        <v>695</v>
      </c>
      <c r="B8" s="644" t="s">
        <v>852</v>
      </c>
      <c r="C8" s="397" t="s">
        <v>1795</v>
      </c>
      <c r="D8" s="633" t="s">
        <v>855</v>
      </c>
      <c r="E8" s="643" t="s">
        <v>854</v>
      </c>
      <c r="F8" s="661">
        <v>43221</v>
      </c>
      <c r="G8" s="661">
        <v>43230</v>
      </c>
      <c r="H8" s="725">
        <f t="shared" ref="H8" si="1">G8-F8</f>
        <v>9</v>
      </c>
      <c r="I8" s="656"/>
      <c r="J8" s="649"/>
      <c r="K8" s="649"/>
      <c r="L8" s="643"/>
      <c r="N8" s="560"/>
    </row>
    <row r="9" spans="1:19" ht="13.5" hidden="1" customHeight="1">
      <c r="A9" s="632">
        <v>696</v>
      </c>
      <c r="B9" s="644" t="s">
        <v>851</v>
      </c>
      <c r="C9" s="397" t="s">
        <v>2700</v>
      </c>
      <c r="D9" s="642" t="s">
        <v>857</v>
      </c>
      <c r="E9" s="643" t="s">
        <v>854</v>
      </c>
      <c r="F9" s="661">
        <v>43220</v>
      </c>
      <c r="G9" s="661">
        <v>43230</v>
      </c>
      <c r="H9" s="725">
        <f t="shared" ref="H9:H14" si="2">G9-F9</f>
        <v>10</v>
      </c>
      <c r="I9" s="656"/>
      <c r="J9" s="649"/>
      <c r="K9" s="649"/>
      <c r="L9" s="643"/>
      <c r="N9" s="560"/>
    </row>
    <row r="10" spans="1:19" ht="13.5" hidden="1" customHeight="1">
      <c r="A10" s="632">
        <v>697</v>
      </c>
      <c r="B10" s="644" t="s">
        <v>851</v>
      </c>
      <c r="C10" s="397" t="s">
        <v>2460</v>
      </c>
      <c r="D10" s="642" t="s">
        <v>857</v>
      </c>
      <c r="E10" s="643" t="s">
        <v>854</v>
      </c>
      <c r="F10" s="661">
        <v>43220</v>
      </c>
      <c r="G10" s="661">
        <v>43230</v>
      </c>
      <c r="H10" s="725">
        <f t="shared" si="2"/>
        <v>10</v>
      </c>
      <c r="I10" s="656"/>
      <c r="J10" s="649"/>
      <c r="K10" s="649"/>
      <c r="L10" s="643"/>
      <c r="N10" s="560"/>
    </row>
    <row r="11" spans="1:19" ht="13.5" hidden="1" customHeight="1">
      <c r="A11" s="632">
        <v>698</v>
      </c>
      <c r="B11" s="644" t="s">
        <v>851</v>
      </c>
      <c r="C11" s="397" t="s">
        <v>2460</v>
      </c>
      <c r="D11" s="633" t="s">
        <v>855</v>
      </c>
      <c r="E11" s="643" t="s">
        <v>854</v>
      </c>
      <c r="F11" s="661">
        <v>43221</v>
      </c>
      <c r="G11" s="661">
        <v>43227</v>
      </c>
      <c r="H11" s="725">
        <f t="shared" si="2"/>
        <v>6</v>
      </c>
      <c r="I11" s="656"/>
      <c r="J11" s="649"/>
      <c r="K11" s="649"/>
      <c r="L11" s="643"/>
      <c r="N11" s="560"/>
    </row>
    <row r="12" spans="1:19" ht="13.5" hidden="1" customHeight="1">
      <c r="A12" s="632">
        <v>699</v>
      </c>
      <c r="B12" s="644" t="s">
        <v>852</v>
      </c>
      <c r="C12" s="397" t="s">
        <v>2314</v>
      </c>
      <c r="D12" s="633" t="s">
        <v>855</v>
      </c>
      <c r="E12" s="643" t="s">
        <v>854</v>
      </c>
      <c r="F12" s="661">
        <v>43221</v>
      </c>
      <c r="G12" s="661">
        <v>43230</v>
      </c>
      <c r="H12" s="725">
        <f t="shared" si="2"/>
        <v>9</v>
      </c>
      <c r="I12" s="656"/>
      <c r="J12" s="649"/>
      <c r="K12" s="649"/>
      <c r="L12" s="643"/>
      <c r="N12" s="560"/>
    </row>
    <row r="13" spans="1:19" ht="13.5" hidden="1" customHeight="1">
      <c r="A13" s="632">
        <v>700</v>
      </c>
      <c r="B13" s="644" t="s">
        <v>852</v>
      </c>
      <c r="C13" s="397" t="s">
        <v>1226</v>
      </c>
      <c r="D13" s="633" t="s">
        <v>855</v>
      </c>
      <c r="E13" s="643" t="s">
        <v>854</v>
      </c>
      <c r="F13" s="658">
        <v>43222</v>
      </c>
      <c r="G13" s="658">
        <v>43243</v>
      </c>
      <c r="H13" s="725">
        <f t="shared" si="2"/>
        <v>21</v>
      </c>
      <c r="I13" s="656"/>
      <c r="J13" s="649"/>
      <c r="K13" s="649"/>
      <c r="L13" s="643"/>
      <c r="N13" s="560"/>
    </row>
    <row r="14" spans="1:19" ht="13.5" hidden="1" customHeight="1">
      <c r="A14" s="632">
        <v>701</v>
      </c>
      <c r="B14" s="644" t="s">
        <v>852</v>
      </c>
      <c r="C14" s="397" t="s">
        <v>2512</v>
      </c>
      <c r="D14" s="633" t="s">
        <v>855</v>
      </c>
      <c r="E14" s="643" t="s">
        <v>854</v>
      </c>
      <c r="F14" s="661">
        <v>43238</v>
      </c>
      <c r="G14" s="661">
        <v>43244</v>
      </c>
      <c r="H14" s="725">
        <f t="shared" si="2"/>
        <v>6</v>
      </c>
      <c r="I14" s="656"/>
      <c r="J14" s="649"/>
      <c r="K14" s="649"/>
      <c r="L14" s="643"/>
      <c r="N14" s="560"/>
    </row>
    <row r="15" spans="1:19" ht="13.5" hidden="1" customHeight="1">
      <c r="A15" s="632">
        <v>702</v>
      </c>
      <c r="B15" s="644" t="s">
        <v>851</v>
      </c>
      <c r="C15" s="397" t="s">
        <v>1161</v>
      </c>
      <c r="D15" s="642" t="s">
        <v>850</v>
      </c>
      <c r="E15" s="664" t="s">
        <v>938</v>
      </c>
      <c r="F15" s="661">
        <v>43222</v>
      </c>
      <c r="G15" s="661">
        <v>43223</v>
      </c>
      <c r="H15" s="725">
        <f t="shared" ref="H15:H16" si="3">G15-F15</f>
        <v>1</v>
      </c>
      <c r="I15" s="657">
        <f>N15-G15</f>
        <v>5</v>
      </c>
      <c r="J15" s="650"/>
      <c r="K15" s="650"/>
      <c r="L15" s="647" t="s">
        <v>2778</v>
      </c>
      <c r="M15" s="660"/>
      <c r="N15" s="654">
        <v>43228</v>
      </c>
    </row>
    <row r="16" spans="1:19" ht="13.5" hidden="1" customHeight="1">
      <c r="A16" s="632">
        <v>703</v>
      </c>
      <c r="B16" s="644" t="s">
        <v>852</v>
      </c>
      <c r="C16" s="397" t="s">
        <v>2500</v>
      </c>
      <c r="D16" s="633" t="s">
        <v>855</v>
      </c>
      <c r="E16" s="643" t="s">
        <v>854</v>
      </c>
      <c r="F16" s="661">
        <v>43223</v>
      </c>
      <c r="G16" s="661">
        <v>43235</v>
      </c>
      <c r="H16" s="725">
        <f t="shared" si="3"/>
        <v>12</v>
      </c>
      <c r="I16" s="656"/>
      <c r="J16" s="649"/>
      <c r="K16" s="649"/>
      <c r="L16" s="643"/>
      <c r="N16" s="560"/>
    </row>
    <row r="17" spans="1:14" ht="13.5" hidden="1" customHeight="1">
      <c r="A17" s="632">
        <v>704</v>
      </c>
      <c r="B17" s="644" t="s">
        <v>852</v>
      </c>
      <c r="C17" s="397" t="s">
        <v>2253</v>
      </c>
      <c r="D17" s="633" t="s">
        <v>855</v>
      </c>
      <c r="E17" s="643" t="s">
        <v>854</v>
      </c>
      <c r="F17" s="661">
        <v>43223</v>
      </c>
      <c r="G17" s="661">
        <v>43230</v>
      </c>
      <c r="H17" s="725">
        <f>G17-F17</f>
        <v>7</v>
      </c>
      <c r="I17" s="656"/>
      <c r="J17" s="649"/>
      <c r="K17" s="649"/>
      <c r="L17" s="643"/>
      <c r="N17" s="560"/>
    </row>
    <row r="18" spans="1:14" ht="13.5" hidden="1" customHeight="1">
      <c r="A18" s="632">
        <v>705</v>
      </c>
      <c r="B18" s="644" t="s">
        <v>851</v>
      </c>
      <c r="C18" s="397" t="s">
        <v>1083</v>
      </c>
      <c r="D18" s="642" t="s">
        <v>857</v>
      </c>
      <c r="E18" s="643" t="s">
        <v>854</v>
      </c>
      <c r="F18" s="661">
        <v>43223</v>
      </c>
      <c r="G18" s="661">
        <v>43236</v>
      </c>
      <c r="H18" s="725">
        <f>G18-F18</f>
        <v>13</v>
      </c>
      <c r="I18" s="656"/>
      <c r="J18" s="649"/>
      <c r="K18" s="649"/>
      <c r="L18" s="643"/>
      <c r="N18" s="560"/>
    </row>
    <row r="19" spans="1:14" ht="13.5" hidden="1" customHeight="1">
      <c r="A19" s="632">
        <v>706</v>
      </c>
      <c r="B19" s="644" t="s">
        <v>851</v>
      </c>
      <c r="C19" s="397" t="s">
        <v>1083</v>
      </c>
      <c r="D19" s="633" t="s">
        <v>855</v>
      </c>
      <c r="E19" s="643" t="s">
        <v>854</v>
      </c>
      <c r="F19" s="661">
        <v>43228</v>
      </c>
      <c r="G19" s="661">
        <v>43230</v>
      </c>
      <c r="H19" s="725">
        <f>G19-F19</f>
        <v>2</v>
      </c>
      <c r="I19" s="656"/>
      <c r="J19" s="649"/>
      <c r="K19" s="649"/>
      <c r="L19" s="643"/>
      <c r="N19" s="560"/>
    </row>
    <row r="20" spans="1:14" ht="13.5" hidden="1" customHeight="1">
      <c r="A20" s="632">
        <v>707</v>
      </c>
      <c r="B20" s="644" t="s">
        <v>852</v>
      </c>
      <c r="C20" s="397" t="s">
        <v>2504</v>
      </c>
      <c r="D20" s="642" t="s">
        <v>857</v>
      </c>
      <c r="E20" s="643" t="s">
        <v>854</v>
      </c>
      <c r="F20" s="661">
        <v>43223</v>
      </c>
      <c r="G20" s="661">
        <v>43236</v>
      </c>
      <c r="H20" s="725">
        <f t="shared" ref="H20:H26" si="4">G20-F20</f>
        <v>13</v>
      </c>
      <c r="I20" s="656"/>
      <c r="J20" s="649"/>
      <c r="K20" s="649"/>
      <c r="L20" s="643"/>
      <c r="N20" s="560"/>
    </row>
    <row r="21" spans="1:14" ht="13.5" hidden="1" customHeight="1">
      <c r="A21" s="632">
        <v>708</v>
      </c>
      <c r="B21" s="644" t="s">
        <v>852</v>
      </c>
      <c r="C21" s="397" t="s">
        <v>2508</v>
      </c>
      <c r="D21" s="642" t="s">
        <v>857</v>
      </c>
      <c r="E21" s="643" t="s">
        <v>854</v>
      </c>
      <c r="F21" s="661">
        <v>43223</v>
      </c>
      <c r="G21" s="661">
        <v>43236</v>
      </c>
      <c r="H21" s="725">
        <f t="shared" si="4"/>
        <v>13</v>
      </c>
      <c r="I21" s="656"/>
      <c r="J21" s="649"/>
      <c r="K21" s="649"/>
      <c r="L21" s="643"/>
      <c r="N21" s="560"/>
    </row>
    <row r="22" spans="1:14" ht="13.5" hidden="1" customHeight="1">
      <c r="A22" s="632">
        <v>709</v>
      </c>
      <c r="B22" s="644" t="s">
        <v>851</v>
      </c>
      <c r="C22" s="397" t="s">
        <v>2559</v>
      </c>
      <c r="D22" s="642" t="s">
        <v>857</v>
      </c>
      <c r="E22" s="643" t="s">
        <v>854</v>
      </c>
      <c r="F22" s="661">
        <v>43223</v>
      </c>
      <c r="G22" s="661">
        <v>43236</v>
      </c>
      <c r="H22" s="725">
        <f t="shared" si="4"/>
        <v>13</v>
      </c>
      <c r="I22" s="656"/>
      <c r="J22" s="649"/>
      <c r="K22" s="649"/>
      <c r="L22" s="643"/>
      <c r="N22" s="560"/>
    </row>
    <row r="23" spans="1:14" ht="13.5" hidden="1" customHeight="1">
      <c r="A23" s="632">
        <v>710</v>
      </c>
      <c r="B23" s="644" t="s">
        <v>852</v>
      </c>
      <c r="C23" s="397" t="s">
        <v>2421</v>
      </c>
      <c r="D23" s="642" t="s">
        <v>857</v>
      </c>
      <c r="E23" s="643" t="s">
        <v>854</v>
      </c>
      <c r="F23" s="661">
        <v>43223</v>
      </c>
      <c r="G23" s="661">
        <v>43236</v>
      </c>
      <c r="H23" s="725">
        <f t="shared" si="4"/>
        <v>13</v>
      </c>
      <c r="I23" s="656"/>
      <c r="J23" s="649"/>
      <c r="K23" s="649"/>
      <c r="L23" s="643"/>
      <c r="N23" s="560"/>
    </row>
    <row r="24" spans="1:14" ht="13.5" hidden="1" customHeight="1">
      <c r="A24" s="632">
        <v>711</v>
      </c>
      <c r="B24" s="644" t="s">
        <v>851</v>
      </c>
      <c r="C24" s="397" t="s">
        <v>2535</v>
      </c>
      <c r="D24" s="642" t="s">
        <v>857</v>
      </c>
      <c r="E24" s="643" t="s">
        <v>854</v>
      </c>
      <c r="F24" s="661">
        <v>43223</v>
      </c>
      <c r="G24" s="661">
        <v>43237</v>
      </c>
      <c r="H24" s="725">
        <f t="shared" si="4"/>
        <v>14</v>
      </c>
      <c r="I24" s="656"/>
      <c r="J24" s="649"/>
      <c r="K24" s="649"/>
      <c r="L24" s="643"/>
      <c r="N24" s="560"/>
    </row>
    <row r="25" spans="1:14" ht="13.5" hidden="1" customHeight="1">
      <c r="A25" s="632">
        <v>712</v>
      </c>
      <c r="B25" s="644" t="s">
        <v>852</v>
      </c>
      <c r="C25" s="397" t="s">
        <v>2218</v>
      </c>
      <c r="D25" s="642" t="s">
        <v>850</v>
      </c>
      <c r="E25" s="664" t="s">
        <v>938</v>
      </c>
      <c r="F25" s="661">
        <v>43228</v>
      </c>
      <c r="G25" s="661">
        <v>43230</v>
      </c>
      <c r="H25" s="725">
        <f t="shared" si="4"/>
        <v>2</v>
      </c>
      <c r="I25" s="657"/>
      <c r="J25" s="650"/>
      <c r="K25" s="650"/>
      <c r="L25" s="647"/>
      <c r="M25" s="660"/>
      <c r="N25" s="654"/>
    </row>
    <row r="26" spans="1:14" ht="13.5" hidden="1" customHeight="1">
      <c r="A26" s="632">
        <v>713</v>
      </c>
      <c r="B26" s="644" t="s">
        <v>852</v>
      </c>
      <c r="C26" s="397" t="s">
        <v>2575</v>
      </c>
      <c r="D26" s="642" t="s">
        <v>857</v>
      </c>
      <c r="E26" s="643" t="s">
        <v>854</v>
      </c>
      <c r="F26" s="661">
        <v>43224</v>
      </c>
      <c r="G26" s="661">
        <v>43236</v>
      </c>
      <c r="H26" s="725">
        <f t="shared" si="4"/>
        <v>12</v>
      </c>
      <c r="I26" s="656"/>
      <c r="J26" s="649"/>
      <c r="K26" s="649"/>
      <c r="L26" s="643"/>
      <c r="N26" s="560"/>
    </row>
    <row r="27" spans="1:14" ht="13.5" hidden="1" customHeight="1">
      <c r="A27" s="632">
        <v>714</v>
      </c>
      <c r="B27" s="644" t="s">
        <v>852</v>
      </c>
      <c r="C27" s="397" t="s">
        <v>2547</v>
      </c>
      <c r="D27" s="642" t="s">
        <v>857</v>
      </c>
      <c r="E27" s="643" t="s">
        <v>854</v>
      </c>
      <c r="F27" s="661">
        <v>43227</v>
      </c>
      <c r="G27" s="661">
        <v>43237</v>
      </c>
      <c r="H27" s="725">
        <f t="shared" ref="H27:H35" si="5">G27-F27</f>
        <v>10</v>
      </c>
      <c r="I27" s="656"/>
      <c r="J27" s="649"/>
      <c r="K27" s="649"/>
      <c r="L27" s="643"/>
      <c r="N27" s="560"/>
    </row>
    <row r="28" spans="1:14" ht="13.5" hidden="1" customHeight="1">
      <c r="A28" s="632">
        <v>715</v>
      </c>
      <c r="B28" s="644" t="s">
        <v>851</v>
      </c>
      <c r="C28" s="397" t="s">
        <v>2538</v>
      </c>
      <c r="D28" s="642" t="s">
        <v>857</v>
      </c>
      <c r="E28" s="643" t="s">
        <v>854</v>
      </c>
      <c r="F28" s="661">
        <v>43227</v>
      </c>
      <c r="G28" s="661">
        <v>43237</v>
      </c>
      <c r="H28" s="725">
        <f t="shared" si="5"/>
        <v>10</v>
      </c>
      <c r="I28" s="656"/>
      <c r="J28" s="649"/>
      <c r="K28" s="649"/>
      <c r="L28" s="643"/>
      <c r="N28" s="560"/>
    </row>
    <row r="29" spans="1:14" ht="13.5" hidden="1" customHeight="1">
      <c r="A29" s="632">
        <v>716</v>
      </c>
      <c r="B29" s="644" t="s">
        <v>851</v>
      </c>
      <c r="C29" s="397" t="s">
        <v>2561</v>
      </c>
      <c r="D29" s="642" t="s">
        <v>857</v>
      </c>
      <c r="E29" s="643" t="s">
        <v>854</v>
      </c>
      <c r="F29" s="661">
        <v>43227</v>
      </c>
      <c r="G29" s="661">
        <v>43237</v>
      </c>
      <c r="H29" s="725">
        <f t="shared" si="5"/>
        <v>10</v>
      </c>
      <c r="I29" s="656"/>
      <c r="J29" s="649"/>
      <c r="K29" s="649"/>
      <c r="L29" s="643"/>
      <c r="N29" s="560"/>
    </row>
    <row r="30" spans="1:14" ht="13.5" hidden="1" customHeight="1">
      <c r="A30" s="632">
        <v>717</v>
      </c>
      <c r="B30" s="644" t="s">
        <v>852</v>
      </c>
      <c r="C30" s="397" t="s">
        <v>2536</v>
      </c>
      <c r="D30" s="642" t="s">
        <v>857</v>
      </c>
      <c r="E30" s="643" t="s">
        <v>854</v>
      </c>
      <c r="F30" s="661">
        <v>43227</v>
      </c>
      <c r="G30" s="661">
        <v>43237</v>
      </c>
      <c r="H30" s="725">
        <f t="shared" si="5"/>
        <v>10</v>
      </c>
      <c r="I30" s="656"/>
      <c r="J30" s="649"/>
      <c r="K30" s="649"/>
      <c r="L30" s="643"/>
      <c r="N30" s="560"/>
    </row>
    <row r="31" spans="1:14" ht="13.5" hidden="1" customHeight="1">
      <c r="A31" s="632">
        <v>718</v>
      </c>
      <c r="B31" s="644" t="s">
        <v>851</v>
      </c>
      <c r="C31" s="397" t="s">
        <v>2460</v>
      </c>
      <c r="D31" s="642" t="s">
        <v>850</v>
      </c>
      <c r="E31" s="643" t="s">
        <v>938</v>
      </c>
      <c r="F31" s="658">
        <v>43231</v>
      </c>
      <c r="G31" s="658">
        <v>43248</v>
      </c>
      <c r="H31" s="725">
        <f t="shared" si="5"/>
        <v>17</v>
      </c>
      <c r="I31" s="657">
        <f>N31-G31</f>
        <v>1</v>
      </c>
      <c r="J31" s="650"/>
      <c r="K31" s="650"/>
      <c r="L31" s="647" t="s">
        <v>2936</v>
      </c>
      <c r="M31" s="660"/>
      <c r="N31" s="654">
        <v>43249</v>
      </c>
    </row>
    <row r="32" spans="1:14" ht="13.5" hidden="1" customHeight="1">
      <c r="A32" s="632">
        <v>719</v>
      </c>
      <c r="B32" s="644" t="s">
        <v>852</v>
      </c>
      <c r="C32" s="397" t="s">
        <v>2421</v>
      </c>
      <c r="D32" s="642" t="s">
        <v>855</v>
      </c>
      <c r="E32" s="643" t="s">
        <v>854</v>
      </c>
      <c r="F32" s="661">
        <v>43228</v>
      </c>
      <c r="G32" s="661">
        <v>43234</v>
      </c>
      <c r="H32" s="725">
        <f t="shared" si="5"/>
        <v>6</v>
      </c>
      <c r="I32" s="656"/>
      <c r="J32" s="649"/>
      <c r="K32" s="649"/>
      <c r="L32" s="643"/>
      <c r="N32" s="560"/>
    </row>
    <row r="33" spans="1:16" ht="13.5" hidden="1" customHeight="1">
      <c r="A33" s="632">
        <v>720</v>
      </c>
      <c r="B33" s="644" t="s">
        <v>852</v>
      </c>
      <c r="C33" s="397" t="s">
        <v>2508</v>
      </c>
      <c r="D33" s="642" t="s">
        <v>855</v>
      </c>
      <c r="E33" s="643" t="s">
        <v>854</v>
      </c>
      <c r="F33" s="661">
        <v>43228</v>
      </c>
      <c r="G33" s="661">
        <v>43230</v>
      </c>
      <c r="H33" s="725">
        <f t="shared" si="5"/>
        <v>2</v>
      </c>
      <c r="I33" s="656"/>
      <c r="J33" s="649"/>
      <c r="K33" s="649"/>
      <c r="L33" s="643"/>
      <c r="N33" s="560"/>
    </row>
    <row r="34" spans="1:16" ht="13.5" hidden="1" customHeight="1">
      <c r="A34" s="632">
        <v>721</v>
      </c>
      <c r="B34" s="644" t="s">
        <v>851</v>
      </c>
      <c r="C34" s="397" t="s">
        <v>2538</v>
      </c>
      <c r="D34" s="642" t="s">
        <v>855</v>
      </c>
      <c r="E34" s="643" t="s">
        <v>854</v>
      </c>
      <c r="F34" s="661">
        <v>43228</v>
      </c>
      <c r="G34" s="661">
        <v>43234</v>
      </c>
      <c r="H34" s="725">
        <f t="shared" si="5"/>
        <v>6</v>
      </c>
      <c r="I34" s="656"/>
      <c r="J34" s="649"/>
      <c r="K34" s="649"/>
      <c r="L34" s="643"/>
      <c r="N34" s="560"/>
    </row>
    <row r="35" spans="1:16" ht="13.5" hidden="1" customHeight="1">
      <c r="A35" s="632">
        <v>722</v>
      </c>
      <c r="B35" s="644" t="s">
        <v>852</v>
      </c>
      <c r="C35" s="397" t="s">
        <v>2547</v>
      </c>
      <c r="D35" s="642" t="s">
        <v>855</v>
      </c>
      <c r="E35" s="643" t="s">
        <v>854</v>
      </c>
      <c r="F35" s="661">
        <v>43228</v>
      </c>
      <c r="G35" s="661">
        <v>43230</v>
      </c>
      <c r="H35" s="725">
        <f t="shared" si="5"/>
        <v>2</v>
      </c>
      <c r="I35" s="656"/>
      <c r="J35" s="649"/>
      <c r="K35" s="649"/>
      <c r="L35" s="643"/>
      <c r="N35" s="560"/>
    </row>
    <row r="36" spans="1:16" ht="13.5" hidden="1" customHeight="1">
      <c r="A36" s="632">
        <v>724</v>
      </c>
      <c r="B36" s="644" t="s">
        <v>851</v>
      </c>
      <c r="C36" s="397" t="s">
        <v>2371</v>
      </c>
      <c r="D36" s="642" t="s">
        <v>857</v>
      </c>
      <c r="E36" s="643" t="s">
        <v>854</v>
      </c>
      <c r="F36" s="661">
        <v>43216</v>
      </c>
      <c r="G36" s="661">
        <v>43228</v>
      </c>
      <c r="H36" s="725">
        <f t="shared" ref="H36" si="6">G36-F36</f>
        <v>12</v>
      </c>
      <c r="I36" s="656"/>
      <c r="J36" s="649"/>
      <c r="K36" s="649"/>
      <c r="L36" s="643"/>
      <c r="N36" s="560"/>
    </row>
    <row r="37" spans="1:16" ht="13.5" hidden="1" customHeight="1">
      <c r="A37" s="632">
        <v>725</v>
      </c>
      <c r="B37" s="644" t="s">
        <v>851</v>
      </c>
      <c r="C37" s="397" t="s">
        <v>2371</v>
      </c>
      <c r="D37" s="642" t="s">
        <v>855</v>
      </c>
      <c r="E37" s="643" t="s">
        <v>854</v>
      </c>
      <c r="F37" s="661">
        <v>43229</v>
      </c>
      <c r="G37" s="661">
        <v>43236</v>
      </c>
      <c r="H37" s="725">
        <f>G37-F37</f>
        <v>7</v>
      </c>
      <c r="I37" s="656"/>
      <c r="J37" s="649"/>
      <c r="K37" s="649"/>
      <c r="L37" s="643"/>
      <c r="N37" s="560"/>
    </row>
    <row r="38" spans="1:16" ht="13.5" hidden="1" customHeight="1">
      <c r="A38" s="632">
        <v>726</v>
      </c>
      <c r="B38" s="644" t="s">
        <v>852</v>
      </c>
      <c r="C38" s="445" t="s">
        <v>2446</v>
      </c>
      <c r="D38" s="642" t="s">
        <v>855</v>
      </c>
      <c r="E38" s="643" t="s">
        <v>854</v>
      </c>
      <c r="F38" s="799">
        <v>43235</v>
      </c>
      <c r="G38" s="799">
        <v>43249</v>
      </c>
      <c r="H38" s="725">
        <f>G38-F38</f>
        <v>14</v>
      </c>
      <c r="I38" s="699"/>
      <c r="J38" s="651"/>
      <c r="K38" s="651"/>
      <c r="L38" s="643"/>
      <c r="N38" s="560"/>
    </row>
    <row r="39" spans="1:16" ht="13.5" hidden="1" customHeight="1">
      <c r="A39" s="632">
        <v>727</v>
      </c>
      <c r="B39" s="644" t="s">
        <v>852</v>
      </c>
      <c r="C39" s="397" t="s">
        <v>2446</v>
      </c>
      <c r="D39" s="642" t="s">
        <v>857</v>
      </c>
      <c r="E39" s="643" t="s">
        <v>854</v>
      </c>
      <c r="F39" s="661">
        <v>43230</v>
      </c>
      <c r="G39" s="661">
        <v>43243</v>
      </c>
      <c r="H39" s="725">
        <f>G39-F39</f>
        <v>13</v>
      </c>
      <c r="I39" s="656"/>
      <c r="J39" s="649"/>
      <c r="K39" s="649"/>
      <c r="L39" s="643"/>
      <c r="N39" s="560"/>
    </row>
    <row r="40" spans="1:16" ht="13.5" hidden="1" customHeight="1">
      <c r="A40" s="632">
        <v>728</v>
      </c>
      <c r="B40" s="644" t="s">
        <v>852</v>
      </c>
      <c r="C40" s="397" t="s">
        <v>2462</v>
      </c>
      <c r="D40" s="642" t="s">
        <v>850</v>
      </c>
      <c r="E40" s="643" t="s">
        <v>938</v>
      </c>
      <c r="F40" s="661">
        <v>43230</v>
      </c>
      <c r="G40" s="661">
        <v>43231</v>
      </c>
      <c r="H40" s="725">
        <f t="shared" ref="H40:H41" si="7">G40-F40</f>
        <v>1</v>
      </c>
      <c r="I40" s="637">
        <f>N40-F40</f>
        <v>5</v>
      </c>
      <c r="J40" s="650"/>
      <c r="K40" s="650"/>
      <c r="L40" s="647" t="s">
        <v>2813</v>
      </c>
      <c r="M40" s="660"/>
      <c r="N40" s="654">
        <v>43235</v>
      </c>
    </row>
    <row r="41" spans="1:16" ht="13.5" hidden="1" customHeight="1">
      <c r="A41" s="632">
        <v>729</v>
      </c>
      <c r="B41" s="644" t="s">
        <v>852</v>
      </c>
      <c r="C41" s="397" t="s">
        <v>2504</v>
      </c>
      <c r="D41" s="642" t="s">
        <v>855</v>
      </c>
      <c r="E41" s="643" t="s">
        <v>854</v>
      </c>
      <c r="F41" s="661">
        <v>43230</v>
      </c>
      <c r="G41" s="661">
        <v>43243</v>
      </c>
      <c r="H41" s="725">
        <f t="shared" si="7"/>
        <v>13</v>
      </c>
      <c r="I41" s="656"/>
      <c r="J41" s="649"/>
      <c r="K41" s="649"/>
      <c r="L41" s="643"/>
      <c r="N41" s="560"/>
    </row>
    <row r="42" spans="1:16" ht="13.5" hidden="1" customHeight="1">
      <c r="A42" s="632">
        <v>730</v>
      </c>
      <c r="B42" s="644" t="s">
        <v>852</v>
      </c>
      <c r="C42" s="397" t="s">
        <v>2575</v>
      </c>
      <c r="D42" s="642" t="s">
        <v>855</v>
      </c>
      <c r="E42" s="643" t="s">
        <v>854</v>
      </c>
      <c r="F42" s="661">
        <v>43230</v>
      </c>
      <c r="G42" s="661">
        <v>43234</v>
      </c>
      <c r="H42" s="725">
        <f>G42-F42</f>
        <v>4</v>
      </c>
      <c r="I42" s="656"/>
      <c r="J42" s="649"/>
      <c r="K42" s="649"/>
      <c r="L42" s="643"/>
      <c r="N42" s="560"/>
    </row>
    <row r="43" spans="1:16" ht="13.5" hidden="1" customHeight="1">
      <c r="A43" s="632">
        <v>731</v>
      </c>
      <c r="B43" s="644" t="s">
        <v>2773</v>
      </c>
      <c r="C43" s="397" t="s">
        <v>2772</v>
      </c>
      <c r="D43" s="642" t="s">
        <v>850</v>
      </c>
      <c r="E43" s="643" t="s">
        <v>938</v>
      </c>
      <c r="F43" s="809">
        <v>43230</v>
      </c>
      <c r="G43" s="809">
        <v>43259</v>
      </c>
      <c r="H43" s="725">
        <f t="shared" ref="H43:H44" si="8">G43-F43</f>
        <v>29</v>
      </c>
      <c r="I43" s="656"/>
      <c r="J43" s="649"/>
      <c r="K43" s="649"/>
      <c r="L43" s="647" t="s">
        <v>3127</v>
      </c>
      <c r="N43" s="560"/>
    </row>
    <row r="44" spans="1:16" ht="13.5" hidden="1" customHeight="1">
      <c r="A44" s="632">
        <v>732</v>
      </c>
      <c r="B44" s="644" t="s">
        <v>2773</v>
      </c>
      <c r="C44" s="397" t="s">
        <v>2774</v>
      </c>
      <c r="D44" s="642" t="s">
        <v>850</v>
      </c>
      <c r="E44" s="643" t="s">
        <v>938</v>
      </c>
      <c r="F44" s="809">
        <v>43230</v>
      </c>
      <c r="G44" s="809">
        <v>43259</v>
      </c>
      <c r="H44" s="725">
        <f t="shared" si="8"/>
        <v>29</v>
      </c>
      <c r="I44" s="656"/>
      <c r="J44" s="649"/>
      <c r="K44" s="649"/>
      <c r="L44" s="647" t="s">
        <v>3127</v>
      </c>
      <c r="N44" s="560"/>
    </row>
    <row r="45" spans="1:16" ht="13.5" hidden="1" customHeight="1">
      <c r="A45" s="632">
        <v>733</v>
      </c>
      <c r="B45" s="644" t="s">
        <v>851</v>
      </c>
      <c r="C45" s="397" t="s">
        <v>2700</v>
      </c>
      <c r="D45" s="642" t="s">
        <v>850</v>
      </c>
      <c r="E45" s="643" t="s">
        <v>938</v>
      </c>
      <c r="F45" s="658">
        <v>43231</v>
      </c>
      <c r="G45" s="658">
        <v>43251</v>
      </c>
      <c r="H45" s="725">
        <f t="shared" ref="H45" si="9">G45-F45</f>
        <v>20</v>
      </c>
      <c r="I45" s="657">
        <f t="shared" ref="I45:I52" si="10">N45-G45</f>
        <v>0</v>
      </c>
      <c r="J45" s="650"/>
      <c r="K45" s="650"/>
      <c r="L45" s="647" t="s">
        <v>3004</v>
      </c>
      <c r="M45" s="660"/>
      <c r="N45" s="654">
        <v>43251</v>
      </c>
      <c r="O45" s="660"/>
      <c r="P45" s="660"/>
    </row>
    <row r="46" spans="1:16" ht="13.5" hidden="1" customHeight="1">
      <c r="A46" s="632">
        <v>734</v>
      </c>
      <c r="B46" s="644" t="s">
        <v>852</v>
      </c>
      <c r="C46" s="397" t="s">
        <v>2392</v>
      </c>
      <c r="D46" s="642" t="s">
        <v>850</v>
      </c>
      <c r="E46" s="643" t="s">
        <v>938</v>
      </c>
      <c r="F46" s="661">
        <v>43231</v>
      </c>
      <c r="G46" s="661">
        <v>43235</v>
      </c>
      <c r="H46" s="725">
        <f>G46-F46</f>
        <v>4</v>
      </c>
      <c r="I46" s="657">
        <f t="shared" si="10"/>
        <v>2</v>
      </c>
      <c r="J46" s="650"/>
      <c r="K46" s="650"/>
      <c r="L46" s="647" t="s">
        <v>3019</v>
      </c>
      <c r="M46" s="660"/>
      <c r="N46" s="654">
        <v>43237</v>
      </c>
    </row>
    <row r="47" spans="1:16" ht="13.5" hidden="1" customHeight="1">
      <c r="A47" s="632">
        <v>735</v>
      </c>
      <c r="B47" s="644" t="s">
        <v>852</v>
      </c>
      <c r="C47" s="397" t="s">
        <v>2505</v>
      </c>
      <c r="D47" s="642" t="s">
        <v>850</v>
      </c>
      <c r="E47" s="664" t="s">
        <v>938</v>
      </c>
      <c r="F47" s="661">
        <v>43245</v>
      </c>
      <c r="G47" s="661">
        <v>43249</v>
      </c>
      <c r="H47" s="725">
        <f>G47-F47</f>
        <v>4</v>
      </c>
      <c r="I47" s="657">
        <f t="shared" si="10"/>
        <v>2</v>
      </c>
      <c r="J47" s="650"/>
      <c r="K47" s="650"/>
      <c r="L47" s="647" t="s">
        <v>3003</v>
      </c>
      <c r="M47" s="660"/>
      <c r="N47" s="654">
        <v>43251</v>
      </c>
    </row>
    <row r="48" spans="1:16" ht="13.5" hidden="1" customHeight="1">
      <c r="A48" s="632">
        <v>736</v>
      </c>
      <c r="B48" s="644" t="s">
        <v>852</v>
      </c>
      <c r="C48" s="397" t="s">
        <v>2314</v>
      </c>
      <c r="D48" s="642" t="s">
        <v>850</v>
      </c>
      <c r="E48" s="643" t="s">
        <v>938</v>
      </c>
      <c r="F48" s="661">
        <v>43231</v>
      </c>
      <c r="G48" s="661">
        <v>43236</v>
      </c>
      <c r="H48" s="725">
        <f>G48-F48</f>
        <v>5</v>
      </c>
      <c r="I48" s="657">
        <f t="shared" si="10"/>
        <v>1</v>
      </c>
      <c r="J48" s="650"/>
      <c r="K48" s="650"/>
      <c r="L48" s="647" t="s">
        <v>3019</v>
      </c>
      <c r="M48" s="660"/>
      <c r="N48" s="654">
        <v>43237</v>
      </c>
      <c r="O48" s="660"/>
    </row>
    <row r="49" spans="1:15" ht="13.5" hidden="1" customHeight="1">
      <c r="A49" s="632">
        <v>737</v>
      </c>
      <c r="B49" s="644" t="s">
        <v>852</v>
      </c>
      <c r="C49" s="397" t="s">
        <v>2253</v>
      </c>
      <c r="D49" s="642" t="s">
        <v>850</v>
      </c>
      <c r="E49" s="643" t="s">
        <v>938</v>
      </c>
      <c r="F49" s="661">
        <v>43231</v>
      </c>
      <c r="G49" s="661">
        <v>43236</v>
      </c>
      <c r="H49" s="725">
        <f>G49-F49</f>
        <v>5</v>
      </c>
      <c r="I49" s="657">
        <f t="shared" si="10"/>
        <v>1</v>
      </c>
      <c r="J49" s="650"/>
      <c r="K49" s="650"/>
      <c r="L49" s="647" t="s">
        <v>3019</v>
      </c>
      <c r="M49" s="660"/>
      <c r="N49" s="654">
        <v>43237</v>
      </c>
      <c r="O49" s="660"/>
    </row>
    <row r="50" spans="1:15" ht="13.5" hidden="1" customHeight="1">
      <c r="A50" s="632">
        <v>738</v>
      </c>
      <c r="B50" s="644" t="s">
        <v>852</v>
      </c>
      <c r="C50" s="397" t="s">
        <v>2508</v>
      </c>
      <c r="D50" s="642" t="s">
        <v>850</v>
      </c>
      <c r="E50" s="643" t="s">
        <v>938</v>
      </c>
      <c r="F50" s="661">
        <v>43237</v>
      </c>
      <c r="G50" s="661">
        <v>43241</v>
      </c>
      <c r="H50" s="725">
        <f>G50-F50</f>
        <v>4</v>
      </c>
      <c r="I50" s="657">
        <f t="shared" si="10"/>
        <v>1</v>
      </c>
      <c r="J50" s="650"/>
      <c r="K50" s="650"/>
      <c r="L50" s="647" t="s">
        <v>2888</v>
      </c>
      <c r="M50" s="660"/>
      <c r="N50" s="654">
        <v>43242</v>
      </c>
    </row>
    <row r="51" spans="1:15" ht="13.5" hidden="1" customHeight="1">
      <c r="A51" s="632">
        <v>739</v>
      </c>
      <c r="B51" s="644" t="s">
        <v>852</v>
      </c>
      <c r="C51" s="397" t="s">
        <v>2394</v>
      </c>
      <c r="D51" s="642" t="s">
        <v>850</v>
      </c>
      <c r="E51" s="643" t="s">
        <v>938</v>
      </c>
      <c r="F51" s="661">
        <v>43231</v>
      </c>
      <c r="G51" s="661">
        <v>43236</v>
      </c>
      <c r="H51" s="725">
        <f t="shared" ref="H51" si="11">G51-F51</f>
        <v>5</v>
      </c>
      <c r="I51" s="657">
        <f t="shared" si="10"/>
        <v>1</v>
      </c>
      <c r="J51" s="650"/>
      <c r="K51" s="650"/>
      <c r="L51" s="647" t="s">
        <v>3019</v>
      </c>
      <c r="M51" s="660"/>
      <c r="N51" s="654">
        <v>43237</v>
      </c>
    </row>
    <row r="52" spans="1:15" ht="13.5" hidden="1" customHeight="1">
      <c r="A52" s="632">
        <v>740</v>
      </c>
      <c r="B52" s="644" t="s">
        <v>852</v>
      </c>
      <c r="C52" s="397" t="s">
        <v>1795</v>
      </c>
      <c r="D52" s="642" t="s">
        <v>850</v>
      </c>
      <c r="E52" s="643" t="s">
        <v>938</v>
      </c>
      <c r="F52" s="661">
        <v>43231</v>
      </c>
      <c r="G52" s="661">
        <v>43235</v>
      </c>
      <c r="H52" s="725">
        <f t="shared" ref="H52" si="12">G52-F52</f>
        <v>4</v>
      </c>
      <c r="I52" s="657">
        <f t="shared" si="10"/>
        <v>2</v>
      </c>
      <c r="J52" s="650"/>
      <c r="K52" s="650"/>
      <c r="L52" s="647" t="s">
        <v>3019</v>
      </c>
      <c r="M52" s="660"/>
      <c r="N52" s="654">
        <v>43237</v>
      </c>
    </row>
    <row r="53" spans="1:15" ht="13.5" hidden="1" customHeight="1">
      <c r="A53" s="632">
        <v>741</v>
      </c>
      <c r="B53" s="644" t="s">
        <v>852</v>
      </c>
      <c r="C53" s="397" t="s">
        <v>2626</v>
      </c>
      <c r="D53" s="642" t="s">
        <v>857</v>
      </c>
      <c r="E53" s="643" t="s">
        <v>854</v>
      </c>
      <c r="F53" s="661">
        <v>43234</v>
      </c>
      <c r="G53" s="661">
        <v>43245</v>
      </c>
      <c r="H53" s="725">
        <f>G53-F53</f>
        <v>11</v>
      </c>
      <c r="I53" s="656"/>
      <c r="J53" s="649"/>
      <c r="K53" s="649"/>
      <c r="L53" s="643"/>
      <c r="N53" s="560"/>
    </row>
    <row r="54" spans="1:15" ht="13.5" hidden="1" customHeight="1">
      <c r="A54" s="632">
        <v>742</v>
      </c>
      <c r="B54" s="644" t="s">
        <v>852</v>
      </c>
      <c r="C54" s="397" t="s">
        <v>2502</v>
      </c>
      <c r="D54" s="642" t="s">
        <v>857</v>
      </c>
      <c r="E54" s="643" t="s">
        <v>854</v>
      </c>
      <c r="F54" s="661">
        <v>43235</v>
      </c>
      <c r="G54" s="661">
        <v>43249</v>
      </c>
      <c r="H54" s="725">
        <f>G54-F54</f>
        <v>14</v>
      </c>
      <c r="I54" s="656"/>
      <c r="J54" s="649"/>
      <c r="K54" s="649"/>
      <c r="L54" s="643"/>
      <c r="N54" s="560"/>
    </row>
    <row r="55" spans="1:15" ht="13.5" hidden="1" customHeight="1">
      <c r="A55" s="632">
        <v>743</v>
      </c>
      <c r="B55" s="644" t="s">
        <v>852</v>
      </c>
      <c r="C55" s="397" t="s">
        <v>2753</v>
      </c>
      <c r="D55" s="642" t="s">
        <v>857</v>
      </c>
      <c r="E55" s="643" t="s">
        <v>854</v>
      </c>
      <c r="F55" s="661">
        <v>43235</v>
      </c>
      <c r="G55" s="661">
        <v>43249</v>
      </c>
      <c r="H55" s="725">
        <f>G55-F55</f>
        <v>14</v>
      </c>
      <c r="I55" s="656"/>
      <c r="J55" s="649"/>
      <c r="K55" s="649"/>
      <c r="L55" s="643"/>
      <c r="N55" s="560"/>
    </row>
    <row r="56" spans="1:15" ht="13.5" hidden="1" customHeight="1">
      <c r="A56" s="632">
        <v>744</v>
      </c>
      <c r="B56" s="644" t="s">
        <v>852</v>
      </c>
      <c r="C56" s="397" t="s">
        <v>2795</v>
      </c>
      <c r="D56" s="642" t="s">
        <v>857</v>
      </c>
      <c r="E56" s="643" t="s">
        <v>854</v>
      </c>
      <c r="F56" s="661">
        <v>43235</v>
      </c>
      <c r="G56" s="661">
        <v>43249</v>
      </c>
      <c r="H56" s="725">
        <f>G56-F56</f>
        <v>14</v>
      </c>
      <c r="I56" s="656"/>
      <c r="J56" s="649"/>
      <c r="K56" s="649"/>
      <c r="L56" s="643"/>
      <c r="N56" s="560"/>
    </row>
    <row r="57" spans="1:15" ht="13.5" hidden="1" customHeight="1">
      <c r="A57" s="632">
        <v>745</v>
      </c>
      <c r="B57" s="644" t="s">
        <v>852</v>
      </c>
      <c r="C57" s="397" t="s">
        <v>2500</v>
      </c>
      <c r="D57" s="642" t="s">
        <v>850</v>
      </c>
      <c r="E57" s="643" t="s">
        <v>938</v>
      </c>
      <c r="F57" s="661">
        <v>43236</v>
      </c>
      <c r="G57" s="661">
        <v>43238</v>
      </c>
      <c r="H57" s="725">
        <f t="shared" ref="H57" si="13">G57-F57</f>
        <v>2</v>
      </c>
      <c r="I57" s="657">
        <f>N57-G57</f>
        <v>4</v>
      </c>
      <c r="J57" s="650"/>
      <c r="K57" s="650"/>
      <c r="L57" s="647" t="s">
        <v>2885</v>
      </c>
      <c r="M57" s="660"/>
      <c r="N57" s="654">
        <v>43242</v>
      </c>
    </row>
    <row r="58" spans="1:15" ht="13.5" hidden="1" customHeight="1">
      <c r="A58" s="632">
        <v>746</v>
      </c>
      <c r="B58" s="644" t="s">
        <v>851</v>
      </c>
      <c r="C58" s="397" t="s">
        <v>2371</v>
      </c>
      <c r="D58" s="642" t="s">
        <v>850</v>
      </c>
      <c r="E58" s="643" t="s">
        <v>938</v>
      </c>
      <c r="F58" s="661">
        <v>43237</v>
      </c>
      <c r="G58" s="661">
        <v>43248</v>
      </c>
      <c r="H58" s="725">
        <f>G58-F58</f>
        <v>11</v>
      </c>
      <c r="I58" s="657">
        <f>N58-G58</f>
        <v>1</v>
      </c>
      <c r="J58" s="650"/>
      <c r="K58" s="650"/>
      <c r="L58" s="647" t="s">
        <v>2934</v>
      </c>
      <c r="M58" s="660"/>
      <c r="N58" s="654">
        <v>43249</v>
      </c>
      <c r="O58" s="660"/>
    </row>
    <row r="59" spans="1:15" ht="13.5" hidden="1" customHeight="1">
      <c r="A59" s="632">
        <v>747</v>
      </c>
      <c r="B59" s="644" t="s">
        <v>851</v>
      </c>
      <c r="C59" s="397" t="s">
        <v>2666</v>
      </c>
      <c r="D59" s="642" t="s">
        <v>857</v>
      </c>
      <c r="E59" s="643" t="s">
        <v>854</v>
      </c>
      <c r="F59" s="661">
        <v>43236</v>
      </c>
      <c r="G59" s="661">
        <v>43249</v>
      </c>
      <c r="H59" s="725">
        <f>G59-F59</f>
        <v>13</v>
      </c>
      <c r="I59" s="656"/>
      <c r="J59" s="650"/>
      <c r="K59" s="649"/>
      <c r="L59" s="643"/>
      <c r="N59" s="560"/>
    </row>
    <row r="60" spans="1:15" ht="13.5" hidden="1" customHeight="1">
      <c r="A60" s="632">
        <v>748</v>
      </c>
      <c r="B60" s="644" t="s">
        <v>851</v>
      </c>
      <c r="C60" s="397" t="s">
        <v>2559</v>
      </c>
      <c r="D60" s="642" t="s">
        <v>850</v>
      </c>
      <c r="E60" s="643" t="s">
        <v>938</v>
      </c>
      <c r="F60" s="661">
        <v>43237</v>
      </c>
      <c r="G60" s="661">
        <v>43238</v>
      </c>
      <c r="H60" s="725">
        <f t="shared" ref="H60" si="14">G60-F60</f>
        <v>1</v>
      </c>
      <c r="I60" s="657">
        <f>N60-G60</f>
        <v>4</v>
      </c>
      <c r="J60" s="650"/>
      <c r="K60" s="650"/>
      <c r="L60" s="647" t="s">
        <v>2885</v>
      </c>
      <c r="M60" s="660"/>
      <c r="N60" s="654">
        <v>43242</v>
      </c>
    </row>
    <row r="61" spans="1:15" ht="13.5" hidden="1" customHeight="1">
      <c r="A61" s="632">
        <v>749</v>
      </c>
      <c r="B61" s="644" t="s">
        <v>852</v>
      </c>
      <c r="C61" s="397" t="s">
        <v>2421</v>
      </c>
      <c r="D61" s="642" t="s">
        <v>850</v>
      </c>
      <c r="E61" s="643" t="s">
        <v>938</v>
      </c>
      <c r="F61" s="661">
        <v>43237</v>
      </c>
      <c r="G61" s="661">
        <v>43238</v>
      </c>
      <c r="H61" s="725">
        <f>G61-F61</f>
        <v>1</v>
      </c>
      <c r="I61" s="657">
        <f>N61-G61</f>
        <v>4</v>
      </c>
      <c r="J61" s="650"/>
      <c r="K61" s="650"/>
      <c r="L61" s="647" t="s">
        <v>2885</v>
      </c>
      <c r="M61" s="660"/>
      <c r="N61" s="654">
        <v>43242</v>
      </c>
      <c r="O61" s="660"/>
    </row>
    <row r="62" spans="1:15" ht="13.5" hidden="1" customHeight="1">
      <c r="A62" s="632">
        <v>750</v>
      </c>
      <c r="B62" s="644" t="s">
        <v>852</v>
      </c>
      <c r="C62" s="397" t="s">
        <v>2575</v>
      </c>
      <c r="D62" s="642" t="s">
        <v>850</v>
      </c>
      <c r="E62" s="643" t="s">
        <v>938</v>
      </c>
      <c r="F62" s="661">
        <v>43237</v>
      </c>
      <c r="G62" s="661">
        <v>43238</v>
      </c>
      <c r="H62" s="725">
        <f>G62-F62</f>
        <v>1</v>
      </c>
      <c r="I62" s="657">
        <f>N62-G62</f>
        <v>4</v>
      </c>
      <c r="J62" s="650"/>
      <c r="K62" s="650"/>
      <c r="L62" s="647" t="s">
        <v>2885</v>
      </c>
      <c r="M62" s="660"/>
      <c r="N62" s="654">
        <v>43242</v>
      </c>
    </row>
    <row r="63" spans="1:15" ht="13.5" hidden="1" customHeight="1">
      <c r="A63" s="632">
        <v>751</v>
      </c>
      <c r="B63" s="644" t="s">
        <v>2773</v>
      </c>
      <c r="C63" s="397" t="s">
        <v>2815</v>
      </c>
      <c r="D63" s="642" t="s">
        <v>850</v>
      </c>
      <c r="E63" s="643" t="s">
        <v>856</v>
      </c>
      <c r="F63" s="809">
        <v>43242</v>
      </c>
      <c r="G63" s="809">
        <v>43259</v>
      </c>
      <c r="H63" s="725">
        <f>G63-F63</f>
        <v>17</v>
      </c>
      <c r="I63" s="656"/>
      <c r="J63" s="649"/>
      <c r="K63" s="649"/>
      <c r="L63" s="647" t="s">
        <v>3127</v>
      </c>
      <c r="N63" s="560"/>
    </row>
    <row r="64" spans="1:15" ht="13.5" hidden="1" customHeight="1">
      <c r="A64" s="632">
        <v>752</v>
      </c>
      <c r="B64" s="644" t="s">
        <v>852</v>
      </c>
      <c r="C64" s="397" t="s">
        <v>2816</v>
      </c>
      <c r="D64" s="642" t="s">
        <v>857</v>
      </c>
      <c r="E64" s="643" t="s">
        <v>854</v>
      </c>
      <c r="F64" s="661">
        <v>43237</v>
      </c>
      <c r="G64" s="661">
        <v>43250</v>
      </c>
      <c r="H64" s="725">
        <f>G64-F64</f>
        <v>13</v>
      </c>
      <c r="I64" s="656"/>
      <c r="J64" s="649"/>
      <c r="K64" s="649"/>
      <c r="L64" s="643"/>
      <c r="N64" s="560"/>
    </row>
    <row r="65" spans="1:16" ht="13.5" hidden="1" customHeight="1">
      <c r="A65" s="632">
        <v>753</v>
      </c>
      <c r="B65" s="644" t="s">
        <v>851</v>
      </c>
      <c r="C65" s="397" t="s">
        <v>2535</v>
      </c>
      <c r="D65" s="642" t="s">
        <v>850</v>
      </c>
      <c r="E65" s="643" t="s">
        <v>938</v>
      </c>
      <c r="F65" s="661">
        <v>43238</v>
      </c>
      <c r="G65" s="661">
        <v>43241</v>
      </c>
      <c r="H65" s="725">
        <f t="shared" ref="H65" si="15">G65-F65</f>
        <v>3</v>
      </c>
      <c r="I65" s="657">
        <f>N65-G65</f>
        <v>1</v>
      </c>
      <c r="J65" s="650"/>
      <c r="K65" s="650"/>
      <c r="L65" s="647" t="s">
        <v>2883</v>
      </c>
      <c r="M65" s="660"/>
      <c r="N65" s="654">
        <v>43242</v>
      </c>
      <c r="O65" s="660"/>
      <c r="P65" s="660"/>
    </row>
    <row r="66" spans="1:16" ht="13.5" hidden="1" customHeight="1">
      <c r="A66" s="632">
        <v>754</v>
      </c>
      <c r="B66" s="644" t="s">
        <v>851</v>
      </c>
      <c r="C66" s="397" t="s">
        <v>2561</v>
      </c>
      <c r="D66" s="642" t="s">
        <v>850</v>
      </c>
      <c r="E66" s="643" t="s">
        <v>938</v>
      </c>
      <c r="F66" s="661">
        <v>43238</v>
      </c>
      <c r="G66" s="661">
        <v>43241</v>
      </c>
      <c r="H66" s="725">
        <f>G66-F66</f>
        <v>3</v>
      </c>
      <c r="I66" s="657">
        <f>N66-G66</f>
        <v>1</v>
      </c>
      <c r="J66" s="650"/>
      <c r="K66" s="650"/>
      <c r="L66" s="647" t="s">
        <v>2890</v>
      </c>
      <c r="M66" s="660"/>
      <c r="N66" s="654">
        <v>43242</v>
      </c>
    </row>
    <row r="67" spans="1:16" ht="13.5" hidden="1" customHeight="1">
      <c r="A67" s="632">
        <v>756</v>
      </c>
      <c r="B67" s="644" t="s">
        <v>852</v>
      </c>
      <c r="C67" s="397" t="s">
        <v>2536</v>
      </c>
      <c r="D67" s="642" t="s">
        <v>850</v>
      </c>
      <c r="E67" s="643" t="s">
        <v>938</v>
      </c>
      <c r="F67" s="661">
        <v>43238</v>
      </c>
      <c r="G67" s="661">
        <v>43241</v>
      </c>
      <c r="H67" s="725">
        <f t="shared" ref="H67:H74" si="16">G67-F67</f>
        <v>3</v>
      </c>
      <c r="I67" s="657">
        <f>N67-G67</f>
        <v>1</v>
      </c>
      <c r="J67" s="650"/>
      <c r="K67" s="650"/>
      <c r="L67" s="647" t="s">
        <v>2885</v>
      </c>
      <c r="M67" s="660"/>
      <c r="N67" s="654">
        <v>43242</v>
      </c>
    </row>
    <row r="68" spans="1:16" ht="13.5" hidden="1" customHeight="1">
      <c r="A68" s="632">
        <v>757</v>
      </c>
      <c r="B68" s="644" t="s">
        <v>851</v>
      </c>
      <c r="C68" s="397" t="s">
        <v>2538</v>
      </c>
      <c r="D68" s="642" t="s">
        <v>850</v>
      </c>
      <c r="E68" s="643" t="s">
        <v>938</v>
      </c>
      <c r="F68" s="661">
        <v>43238</v>
      </c>
      <c r="G68" s="661">
        <v>43242</v>
      </c>
      <c r="H68" s="725">
        <f t="shared" si="16"/>
        <v>4</v>
      </c>
      <c r="I68" s="657">
        <f>N68-G68</f>
        <v>2</v>
      </c>
      <c r="J68" s="650"/>
      <c r="K68" s="650"/>
      <c r="L68" s="647" t="s">
        <v>3020</v>
      </c>
      <c r="M68" s="660"/>
      <c r="N68" s="654">
        <v>43244</v>
      </c>
    </row>
    <row r="69" spans="1:16" ht="13.5" hidden="1" customHeight="1">
      <c r="A69" s="632">
        <v>758</v>
      </c>
      <c r="B69" s="644" t="s">
        <v>852</v>
      </c>
      <c r="C69" s="397" t="s">
        <v>2626</v>
      </c>
      <c r="D69" s="642" t="s">
        <v>855</v>
      </c>
      <c r="E69" s="643" t="s">
        <v>854</v>
      </c>
      <c r="F69" s="661">
        <v>43238</v>
      </c>
      <c r="G69" s="661">
        <v>43250</v>
      </c>
      <c r="H69" s="725">
        <f t="shared" si="16"/>
        <v>12</v>
      </c>
      <c r="I69" s="656"/>
      <c r="J69" s="649"/>
      <c r="K69" s="649"/>
      <c r="L69" s="643"/>
      <c r="N69" s="560"/>
    </row>
    <row r="70" spans="1:16" ht="13.5" hidden="1" customHeight="1">
      <c r="A70" s="632">
        <v>759</v>
      </c>
      <c r="B70" s="644" t="s">
        <v>852</v>
      </c>
      <c r="C70" s="397" t="s">
        <v>2502</v>
      </c>
      <c r="D70" s="642" t="s">
        <v>855</v>
      </c>
      <c r="E70" s="643" t="s">
        <v>854</v>
      </c>
      <c r="F70" s="661">
        <v>43238</v>
      </c>
      <c r="G70" s="661">
        <v>43244</v>
      </c>
      <c r="H70" s="725">
        <f t="shared" si="16"/>
        <v>6</v>
      </c>
      <c r="I70" s="656"/>
      <c r="J70" s="649"/>
      <c r="K70" s="649"/>
      <c r="L70" s="643"/>
      <c r="N70" s="560"/>
    </row>
    <row r="71" spans="1:16" ht="13.5" hidden="1" customHeight="1">
      <c r="A71" s="632">
        <v>760</v>
      </c>
      <c r="B71" s="644" t="s">
        <v>851</v>
      </c>
      <c r="C71" s="397" t="s">
        <v>2666</v>
      </c>
      <c r="D71" s="642" t="s">
        <v>855</v>
      </c>
      <c r="E71" s="643" t="s">
        <v>854</v>
      </c>
      <c r="F71" s="661">
        <v>43238</v>
      </c>
      <c r="G71" s="661">
        <v>43244</v>
      </c>
      <c r="H71" s="725">
        <f t="shared" si="16"/>
        <v>6</v>
      </c>
      <c r="I71" s="656"/>
      <c r="J71" s="650"/>
      <c r="K71" s="649"/>
      <c r="L71" s="643"/>
      <c r="N71" s="560"/>
    </row>
    <row r="72" spans="1:16" ht="13.5" hidden="1" customHeight="1">
      <c r="A72" s="632">
        <v>761</v>
      </c>
      <c r="B72" s="644" t="s">
        <v>852</v>
      </c>
      <c r="C72" s="397" t="s">
        <v>2795</v>
      </c>
      <c r="D72" s="642" t="s">
        <v>855</v>
      </c>
      <c r="E72" s="643" t="s">
        <v>854</v>
      </c>
      <c r="F72" s="661">
        <v>43238</v>
      </c>
      <c r="G72" s="661">
        <v>43250</v>
      </c>
      <c r="H72" s="725">
        <f t="shared" si="16"/>
        <v>12</v>
      </c>
      <c r="I72" s="656"/>
      <c r="J72" s="650"/>
      <c r="K72" s="649"/>
      <c r="L72" s="643"/>
      <c r="N72" s="560"/>
    </row>
    <row r="73" spans="1:16" ht="13.5" hidden="1" customHeight="1">
      <c r="A73" s="632">
        <v>762</v>
      </c>
      <c r="B73" s="644" t="s">
        <v>852</v>
      </c>
      <c r="C73" s="397" t="s">
        <v>2750</v>
      </c>
      <c r="D73" s="642" t="s">
        <v>857</v>
      </c>
      <c r="E73" s="643" t="s">
        <v>854</v>
      </c>
      <c r="F73" s="661">
        <v>43238</v>
      </c>
      <c r="G73" s="661">
        <v>43250</v>
      </c>
      <c r="H73" s="725">
        <f t="shared" si="16"/>
        <v>12</v>
      </c>
      <c r="I73" s="656"/>
      <c r="J73" s="649"/>
      <c r="K73" s="649">
        <v>2366</v>
      </c>
      <c r="L73" s="643"/>
      <c r="N73" s="560"/>
    </row>
    <row r="74" spans="1:16" ht="13.5" hidden="1" customHeight="1">
      <c r="A74" s="632">
        <v>763</v>
      </c>
      <c r="B74" s="644" t="s">
        <v>852</v>
      </c>
      <c r="C74" s="397" t="s">
        <v>2816</v>
      </c>
      <c r="D74" s="642" t="s">
        <v>855</v>
      </c>
      <c r="E74" s="643" t="s">
        <v>854</v>
      </c>
      <c r="F74" s="661">
        <v>43238</v>
      </c>
      <c r="G74" s="661">
        <v>43250</v>
      </c>
      <c r="H74" s="725">
        <f t="shared" si="16"/>
        <v>12</v>
      </c>
      <c r="I74" s="656"/>
      <c r="J74" s="649"/>
      <c r="K74" s="649"/>
      <c r="L74" s="643"/>
      <c r="N74" s="560"/>
    </row>
    <row r="75" spans="1:16" ht="13.5" hidden="1" customHeight="1">
      <c r="A75" s="632">
        <v>764</v>
      </c>
      <c r="B75" s="644" t="s">
        <v>851</v>
      </c>
      <c r="C75" s="397" t="s">
        <v>2539</v>
      </c>
      <c r="D75" s="642" t="s">
        <v>857</v>
      </c>
      <c r="E75" s="643" t="s">
        <v>854</v>
      </c>
      <c r="F75" s="661">
        <v>43241</v>
      </c>
      <c r="G75" s="661">
        <v>43251</v>
      </c>
      <c r="H75" s="725">
        <f t="shared" ref="H75:H83" si="17">G75-F75</f>
        <v>10</v>
      </c>
      <c r="I75" s="656"/>
      <c r="J75" s="649"/>
      <c r="K75" s="649"/>
      <c r="L75" s="643"/>
      <c r="N75" s="560"/>
    </row>
    <row r="76" spans="1:16" ht="13.5" hidden="1" customHeight="1">
      <c r="A76" s="632">
        <v>765</v>
      </c>
      <c r="B76" s="644" t="s">
        <v>851</v>
      </c>
      <c r="C76" s="397" t="s">
        <v>2562</v>
      </c>
      <c r="D76" s="642" t="s">
        <v>857</v>
      </c>
      <c r="E76" s="643" t="s">
        <v>854</v>
      </c>
      <c r="F76" s="661">
        <v>43241</v>
      </c>
      <c r="G76" s="661">
        <v>43251</v>
      </c>
      <c r="H76" s="725">
        <f t="shared" si="17"/>
        <v>10</v>
      </c>
      <c r="I76" s="656"/>
      <c r="J76" s="649"/>
      <c r="K76" s="649"/>
      <c r="L76" s="643"/>
      <c r="N76" s="560"/>
    </row>
    <row r="77" spans="1:16" ht="13.5" hidden="1" customHeight="1">
      <c r="A77" s="632">
        <v>766</v>
      </c>
      <c r="B77" s="644" t="s">
        <v>852</v>
      </c>
      <c r="C77" s="397" t="s">
        <v>2824</v>
      </c>
      <c r="D77" s="642" t="s">
        <v>857</v>
      </c>
      <c r="E77" s="643" t="s">
        <v>854</v>
      </c>
      <c r="F77" s="661">
        <v>43242</v>
      </c>
      <c r="G77" s="661">
        <v>43251</v>
      </c>
      <c r="H77" s="725">
        <f t="shared" si="17"/>
        <v>9</v>
      </c>
      <c r="I77" s="656"/>
      <c r="J77" s="649"/>
      <c r="K77" s="649"/>
      <c r="L77" s="643"/>
      <c r="N77" s="560"/>
    </row>
    <row r="78" spans="1:16" ht="13.5" hidden="1" customHeight="1">
      <c r="A78" s="632">
        <v>767</v>
      </c>
      <c r="B78" s="644" t="s">
        <v>852</v>
      </c>
      <c r="C78" s="397" t="s">
        <v>2824</v>
      </c>
      <c r="D78" s="642" t="s">
        <v>855</v>
      </c>
      <c r="E78" s="643" t="s">
        <v>854</v>
      </c>
      <c r="F78" s="661">
        <v>43242</v>
      </c>
      <c r="G78" s="661">
        <v>43244</v>
      </c>
      <c r="H78" s="725">
        <f t="shared" si="17"/>
        <v>2</v>
      </c>
      <c r="I78" s="656"/>
      <c r="J78" s="649"/>
      <c r="K78" s="649"/>
      <c r="L78" s="643"/>
      <c r="N78" s="560"/>
    </row>
    <row r="79" spans="1:16" ht="13.5" hidden="1" customHeight="1">
      <c r="A79" s="632">
        <v>768</v>
      </c>
      <c r="B79" s="644" t="s">
        <v>851</v>
      </c>
      <c r="C79" s="397" t="s">
        <v>2539</v>
      </c>
      <c r="D79" s="642" t="s">
        <v>855</v>
      </c>
      <c r="E79" s="643" t="s">
        <v>854</v>
      </c>
      <c r="F79" s="661">
        <v>43242</v>
      </c>
      <c r="G79" s="661">
        <v>43250</v>
      </c>
      <c r="H79" s="725">
        <f t="shared" si="17"/>
        <v>8</v>
      </c>
      <c r="I79" s="656"/>
      <c r="J79" s="649"/>
      <c r="K79" s="649"/>
      <c r="L79" s="643"/>
      <c r="N79" s="560"/>
    </row>
    <row r="80" spans="1:16" ht="13.5" hidden="1" customHeight="1">
      <c r="A80" s="632">
        <v>769</v>
      </c>
      <c r="B80" s="644" t="s">
        <v>851</v>
      </c>
      <c r="C80" s="397" t="s">
        <v>3018</v>
      </c>
      <c r="D80" s="642" t="s">
        <v>855</v>
      </c>
      <c r="E80" s="643" t="s">
        <v>854</v>
      </c>
      <c r="F80" s="661">
        <v>43250</v>
      </c>
      <c r="G80" s="661">
        <v>43265</v>
      </c>
      <c r="H80" s="725">
        <f t="shared" si="17"/>
        <v>15</v>
      </c>
      <c r="I80" s="656"/>
      <c r="J80" s="649"/>
      <c r="K80" s="649"/>
      <c r="L80" s="643"/>
      <c r="N80" s="560"/>
    </row>
    <row r="81" spans="1:16" ht="13.5" hidden="1" customHeight="1">
      <c r="A81" s="632">
        <v>770</v>
      </c>
      <c r="B81" s="644" t="s">
        <v>851</v>
      </c>
      <c r="C81" s="397" t="s">
        <v>2527</v>
      </c>
      <c r="D81" s="642" t="s">
        <v>857</v>
      </c>
      <c r="E81" s="643" t="s">
        <v>854</v>
      </c>
      <c r="F81" s="661">
        <v>43243</v>
      </c>
      <c r="G81" s="661">
        <v>43255</v>
      </c>
      <c r="H81" s="725">
        <f t="shared" si="17"/>
        <v>12</v>
      </c>
      <c r="I81" s="656"/>
      <c r="J81" s="649"/>
      <c r="K81" s="649"/>
      <c r="L81" s="643"/>
      <c r="N81" s="560"/>
    </row>
    <row r="82" spans="1:16" ht="13.5" hidden="1" customHeight="1">
      <c r="A82" s="632">
        <v>771</v>
      </c>
      <c r="B82" s="644" t="s">
        <v>851</v>
      </c>
      <c r="C82" s="397" t="s">
        <v>2527</v>
      </c>
      <c r="D82" s="642" t="s">
        <v>855</v>
      </c>
      <c r="E82" s="643" t="s">
        <v>854</v>
      </c>
      <c r="F82" s="661">
        <v>43243</v>
      </c>
      <c r="G82" s="661">
        <v>43251</v>
      </c>
      <c r="H82" s="725">
        <f t="shared" si="17"/>
        <v>8</v>
      </c>
      <c r="I82" s="656"/>
      <c r="J82" s="649"/>
      <c r="K82" s="649"/>
      <c r="L82" s="643"/>
      <c r="N82" s="560"/>
    </row>
    <row r="83" spans="1:16" ht="13.5" hidden="1" customHeight="1">
      <c r="A83" s="632">
        <v>772</v>
      </c>
      <c r="B83" s="644" t="s">
        <v>852</v>
      </c>
      <c r="C83" s="397" t="s">
        <v>1226</v>
      </c>
      <c r="D83" s="642" t="s">
        <v>850</v>
      </c>
      <c r="E83" s="643" t="s">
        <v>938</v>
      </c>
      <c r="F83" s="661">
        <v>43244</v>
      </c>
      <c r="G83" s="661">
        <v>43249</v>
      </c>
      <c r="H83" s="725">
        <f t="shared" si="17"/>
        <v>5</v>
      </c>
      <c r="I83" s="657">
        <f>N83-G83</f>
        <v>2</v>
      </c>
      <c r="J83" s="650"/>
      <c r="K83" s="650"/>
      <c r="L83" s="647" t="s">
        <v>3004</v>
      </c>
      <c r="M83" s="660"/>
      <c r="N83" s="654">
        <v>43251</v>
      </c>
      <c r="O83" s="660"/>
    </row>
    <row r="84" spans="1:16" ht="13.5" hidden="1" customHeight="1">
      <c r="A84" s="632">
        <v>773</v>
      </c>
      <c r="B84" s="644" t="s">
        <v>852</v>
      </c>
      <c r="C84" s="397" t="s">
        <v>2504</v>
      </c>
      <c r="D84" s="642" t="s">
        <v>850</v>
      </c>
      <c r="E84" s="643" t="s">
        <v>938</v>
      </c>
      <c r="F84" s="661">
        <v>43244</v>
      </c>
      <c r="G84" s="661">
        <v>43249</v>
      </c>
      <c r="H84" s="725">
        <f t="shared" ref="H84" si="18">G84-F84</f>
        <v>5</v>
      </c>
      <c r="I84" s="657">
        <f>N84-G84</f>
        <v>2</v>
      </c>
      <c r="J84" s="650"/>
      <c r="K84" s="650"/>
      <c r="L84" s="647" t="s">
        <v>3001</v>
      </c>
      <c r="M84" s="660"/>
      <c r="N84" s="654">
        <v>43251</v>
      </c>
    </row>
    <row r="85" spans="1:16" ht="13.5" hidden="1" customHeight="1">
      <c r="A85" s="632">
        <v>774</v>
      </c>
      <c r="B85" s="644" t="s">
        <v>852</v>
      </c>
      <c r="C85" s="397" t="s">
        <v>2793</v>
      </c>
      <c r="D85" s="642" t="s">
        <v>857</v>
      </c>
      <c r="E85" s="643" t="s">
        <v>854</v>
      </c>
      <c r="F85" s="661">
        <v>43244</v>
      </c>
      <c r="G85" s="661">
        <v>43256</v>
      </c>
      <c r="H85" s="725">
        <f t="shared" ref="H85:H93" si="19">G85-F85</f>
        <v>12</v>
      </c>
      <c r="I85" s="656"/>
      <c r="J85" s="649"/>
      <c r="K85" s="649"/>
      <c r="L85" s="643"/>
      <c r="N85" s="560"/>
    </row>
    <row r="86" spans="1:16" ht="13.5" hidden="1" customHeight="1">
      <c r="A86" s="632">
        <v>775</v>
      </c>
      <c r="B86" s="644" t="s">
        <v>852</v>
      </c>
      <c r="C86" s="397" t="s">
        <v>2793</v>
      </c>
      <c r="D86" s="642" t="s">
        <v>855</v>
      </c>
      <c r="E86" s="643" t="s">
        <v>854</v>
      </c>
      <c r="F86" s="661">
        <v>43244</v>
      </c>
      <c r="G86" s="661">
        <v>43250</v>
      </c>
      <c r="H86" s="725">
        <f t="shared" si="19"/>
        <v>6</v>
      </c>
      <c r="I86" s="656"/>
      <c r="J86" s="649"/>
      <c r="K86" s="649"/>
      <c r="L86" s="643"/>
      <c r="N86" s="560"/>
    </row>
    <row r="87" spans="1:16" ht="13.5" hidden="1" customHeight="1">
      <c r="A87" s="632">
        <v>776</v>
      </c>
      <c r="B87" s="644" t="s">
        <v>852</v>
      </c>
      <c r="C87" s="397" t="s">
        <v>2512</v>
      </c>
      <c r="D87" s="642" t="s">
        <v>850</v>
      </c>
      <c r="E87" s="643" t="s">
        <v>938</v>
      </c>
      <c r="F87" s="661">
        <v>43245</v>
      </c>
      <c r="G87" s="661">
        <v>43249</v>
      </c>
      <c r="H87" s="725">
        <f t="shared" si="19"/>
        <v>4</v>
      </c>
      <c r="I87" s="657">
        <f>N87-G87</f>
        <v>2</v>
      </c>
      <c r="J87" s="650"/>
      <c r="K87" s="650"/>
      <c r="L87" s="647" t="s">
        <v>3001</v>
      </c>
      <c r="M87" s="660"/>
      <c r="N87" s="654">
        <v>43251</v>
      </c>
      <c r="O87" s="660"/>
      <c r="P87" s="660"/>
    </row>
    <row r="88" spans="1:16" ht="13.5" hidden="1" customHeight="1">
      <c r="A88" s="632">
        <v>777</v>
      </c>
      <c r="B88" s="644" t="s">
        <v>852</v>
      </c>
      <c r="C88" s="397" t="s">
        <v>2313</v>
      </c>
      <c r="D88" s="642" t="s">
        <v>857</v>
      </c>
      <c r="E88" s="643" t="s">
        <v>854</v>
      </c>
      <c r="F88" s="661">
        <v>43249</v>
      </c>
      <c r="G88" s="661">
        <v>43259</v>
      </c>
      <c r="H88" s="725">
        <f t="shared" si="19"/>
        <v>10</v>
      </c>
      <c r="I88" s="656"/>
      <c r="J88" s="649"/>
      <c r="K88" s="649"/>
      <c r="L88" s="643"/>
      <c r="N88" s="560"/>
    </row>
    <row r="89" spans="1:16" ht="13.5" hidden="1" customHeight="1">
      <c r="A89" s="632">
        <v>778</v>
      </c>
      <c r="B89" s="644" t="s">
        <v>852</v>
      </c>
      <c r="C89" s="397" t="s">
        <v>2665</v>
      </c>
      <c r="D89" s="642" t="s">
        <v>857</v>
      </c>
      <c r="E89" s="643" t="s">
        <v>854</v>
      </c>
      <c r="F89" s="661">
        <v>43249</v>
      </c>
      <c r="G89" s="661">
        <v>43259</v>
      </c>
      <c r="H89" s="725">
        <f t="shared" si="19"/>
        <v>10</v>
      </c>
      <c r="I89" s="656"/>
      <c r="J89" s="649"/>
      <c r="K89" s="649"/>
      <c r="L89" s="643"/>
      <c r="N89" s="560"/>
    </row>
    <row r="90" spans="1:16" ht="13.5" hidden="1" customHeight="1">
      <c r="A90" s="632">
        <v>779</v>
      </c>
      <c r="B90" s="644" t="s">
        <v>852</v>
      </c>
      <c r="C90" s="397" t="s">
        <v>2733</v>
      </c>
      <c r="D90" s="642" t="s">
        <v>857</v>
      </c>
      <c r="E90" s="643" t="s">
        <v>854</v>
      </c>
      <c r="F90" s="661">
        <v>43249</v>
      </c>
      <c r="G90" s="661">
        <v>43259</v>
      </c>
      <c r="H90" s="725">
        <f t="shared" si="19"/>
        <v>10</v>
      </c>
      <c r="I90" s="656"/>
      <c r="J90" s="649"/>
      <c r="K90" s="649"/>
      <c r="L90" s="643"/>
      <c r="N90" s="560"/>
    </row>
    <row r="91" spans="1:16" ht="13.5" hidden="1" customHeight="1">
      <c r="A91" s="632">
        <v>780</v>
      </c>
      <c r="B91" s="644" t="s">
        <v>852</v>
      </c>
      <c r="C91" s="397" t="s">
        <v>2502</v>
      </c>
      <c r="D91" s="642" t="s">
        <v>850</v>
      </c>
      <c r="E91" s="643" t="s">
        <v>938</v>
      </c>
      <c r="F91" s="661">
        <v>43251</v>
      </c>
      <c r="G91" s="661">
        <v>43255</v>
      </c>
      <c r="H91" s="725">
        <f t="shared" si="19"/>
        <v>4</v>
      </c>
      <c r="I91" s="657">
        <f>N91-G91</f>
        <v>1</v>
      </c>
      <c r="J91" s="650"/>
      <c r="K91" s="650"/>
      <c r="L91" s="647" t="s">
        <v>3021</v>
      </c>
      <c r="M91" s="660"/>
      <c r="N91" s="654">
        <v>43256</v>
      </c>
      <c r="O91" s="660"/>
    </row>
    <row r="92" spans="1:16" ht="13.5" hidden="1" customHeight="1">
      <c r="A92" s="632">
        <v>781</v>
      </c>
      <c r="B92" s="644" t="s">
        <v>852</v>
      </c>
      <c r="C92" s="397" t="s">
        <v>2753</v>
      </c>
      <c r="D92" s="642" t="s">
        <v>855</v>
      </c>
      <c r="E92" s="643" t="s">
        <v>854</v>
      </c>
      <c r="F92" s="661">
        <v>43250</v>
      </c>
      <c r="G92" s="661">
        <v>43259</v>
      </c>
      <c r="H92" s="725">
        <f t="shared" si="19"/>
        <v>9</v>
      </c>
      <c r="I92" s="656"/>
      <c r="J92" s="649"/>
      <c r="K92" s="649"/>
      <c r="L92" s="643"/>
      <c r="N92" s="560"/>
    </row>
    <row r="93" spans="1:16" ht="13.5" hidden="1" customHeight="1">
      <c r="A93" s="632">
        <v>782</v>
      </c>
      <c r="B93" s="644" t="s">
        <v>852</v>
      </c>
      <c r="C93" s="397" t="s">
        <v>2753</v>
      </c>
      <c r="D93" s="642" t="s">
        <v>850</v>
      </c>
      <c r="E93" s="643" t="s">
        <v>938</v>
      </c>
      <c r="F93" s="661">
        <v>43272</v>
      </c>
      <c r="G93" s="661">
        <v>43273</v>
      </c>
      <c r="H93" s="725">
        <f t="shared" si="19"/>
        <v>1</v>
      </c>
      <c r="I93" s="657">
        <f>N93-G93</f>
        <v>4</v>
      </c>
      <c r="J93" s="804"/>
      <c r="K93" s="804"/>
      <c r="L93" s="647" t="s">
        <v>3210</v>
      </c>
      <c r="M93" s="660"/>
      <c r="N93" s="654">
        <v>43277</v>
      </c>
    </row>
    <row r="94" spans="1:16" ht="13.5" hidden="1" customHeight="1">
      <c r="A94" s="632">
        <v>783</v>
      </c>
      <c r="B94" s="644" t="s">
        <v>851</v>
      </c>
      <c r="C94" s="397" t="s">
        <v>2666</v>
      </c>
      <c r="D94" s="642" t="s">
        <v>850</v>
      </c>
      <c r="E94" s="643" t="s">
        <v>938</v>
      </c>
      <c r="F94" s="661">
        <v>43251</v>
      </c>
      <c r="G94" s="661">
        <v>43252</v>
      </c>
      <c r="H94" s="725">
        <f t="shared" ref="H94" si="20">G94-F94</f>
        <v>1</v>
      </c>
      <c r="I94" s="657">
        <f>N94-G94</f>
        <v>4</v>
      </c>
      <c r="J94" s="650"/>
      <c r="K94" s="650"/>
      <c r="L94" s="647" t="s">
        <v>3021</v>
      </c>
      <c r="M94" s="660"/>
      <c r="N94" s="654">
        <v>43256</v>
      </c>
    </row>
    <row r="95" spans="1:16" ht="13.5" hidden="1" customHeight="1">
      <c r="A95" s="632">
        <v>784</v>
      </c>
      <c r="B95" s="644" t="s">
        <v>852</v>
      </c>
      <c r="C95" s="397" t="s">
        <v>2446</v>
      </c>
      <c r="D95" s="642" t="s">
        <v>850</v>
      </c>
      <c r="E95" s="643" t="s">
        <v>938</v>
      </c>
      <c r="F95" s="661">
        <v>43251</v>
      </c>
      <c r="G95" s="661">
        <v>43258</v>
      </c>
      <c r="H95" s="725">
        <f>G95-F95</f>
        <v>7</v>
      </c>
      <c r="I95" s="657">
        <f>N95-G95</f>
        <v>-43258</v>
      </c>
      <c r="J95" s="650"/>
      <c r="K95" s="650"/>
      <c r="L95" s="647" t="s">
        <v>3007</v>
      </c>
      <c r="M95" s="660"/>
      <c r="N95" s="654"/>
    </row>
    <row r="96" spans="1:16" ht="13.5" hidden="1" customHeight="1">
      <c r="A96" s="632">
        <v>785</v>
      </c>
      <c r="B96" s="644" t="s">
        <v>852</v>
      </c>
      <c r="C96" s="397" t="s">
        <v>2795</v>
      </c>
      <c r="D96" s="642" t="s">
        <v>850</v>
      </c>
      <c r="E96" s="643" t="s">
        <v>938</v>
      </c>
      <c r="F96" s="799">
        <v>43251</v>
      </c>
      <c r="G96" s="799">
        <v>43252</v>
      </c>
      <c r="H96" s="725">
        <f t="shared" ref="H96" si="21">G96-F96</f>
        <v>1</v>
      </c>
      <c r="I96" s="657">
        <f>N96-G96</f>
        <v>4</v>
      </c>
      <c r="J96" s="650"/>
      <c r="K96" s="650"/>
      <c r="L96" s="647" t="s">
        <v>3021</v>
      </c>
      <c r="M96" s="660"/>
      <c r="N96" s="654">
        <v>43256</v>
      </c>
      <c r="O96" s="660"/>
      <c r="P96" s="660"/>
    </row>
    <row r="97" spans="1:14" ht="13.5" hidden="1" customHeight="1">
      <c r="A97" s="632">
        <v>786</v>
      </c>
      <c r="B97" s="644" t="s">
        <v>851</v>
      </c>
      <c r="C97" s="397" t="s">
        <v>2920</v>
      </c>
      <c r="D97" s="642" t="s">
        <v>857</v>
      </c>
      <c r="E97" s="643" t="s">
        <v>854</v>
      </c>
      <c r="F97" s="661">
        <v>43251</v>
      </c>
      <c r="G97" s="661">
        <v>43265</v>
      </c>
      <c r="H97" s="725">
        <f>G97-F97</f>
        <v>14</v>
      </c>
      <c r="I97" s="656"/>
      <c r="J97" s="649"/>
      <c r="K97" s="649"/>
      <c r="L97" s="643"/>
      <c r="N97" s="560"/>
    </row>
    <row r="98" spans="1:14" ht="13.5" hidden="1" customHeight="1">
      <c r="A98" s="632">
        <v>787</v>
      </c>
      <c r="B98" s="644" t="s">
        <v>852</v>
      </c>
      <c r="C98" s="397" t="s">
        <v>2694</v>
      </c>
      <c r="D98" s="642" t="s">
        <v>857</v>
      </c>
      <c r="E98" s="643" t="s">
        <v>854</v>
      </c>
      <c r="F98" s="661">
        <v>43250</v>
      </c>
      <c r="G98" s="661">
        <v>43264</v>
      </c>
      <c r="H98" s="725">
        <f>G98-F98</f>
        <v>14</v>
      </c>
      <c r="I98" s="656"/>
      <c r="J98" s="649"/>
      <c r="K98" s="649"/>
      <c r="L98" s="643"/>
      <c r="N98" s="560"/>
    </row>
    <row r="99" spans="1:14" ht="13.5" hidden="1" customHeight="1">
      <c r="A99" s="632">
        <v>788</v>
      </c>
      <c r="B99" s="644" t="s">
        <v>852</v>
      </c>
      <c r="C99" s="397" t="s">
        <v>2750</v>
      </c>
      <c r="D99" s="642" t="s">
        <v>850</v>
      </c>
      <c r="E99" s="643" t="s">
        <v>938</v>
      </c>
      <c r="F99" s="661">
        <v>43251</v>
      </c>
      <c r="G99" s="661">
        <v>43252</v>
      </c>
      <c r="H99" s="725">
        <f t="shared" ref="H99:H100" si="22">G99-F99</f>
        <v>1</v>
      </c>
      <c r="I99" s="657">
        <f>N99-G99</f>
        <v>4</v>
      </c>
      <c r="J99" s="650"/>
      <c r="K99" s="650"/>
      <c r="L99" s="647" t="s">
        <v>3021</v>
      </c>
      <c r="M99" s="660"/>
      <c r="N99" s="654">
        <v>43256</v>
      </c>
    </row>
    <row r="100" spans="1:14" ht="13.5" hidden="1" customHeight="1">
      <c r="A100" s="632">
        <v>789</v>
      </c>
      <c r="B100" s="644" t="s">
        <v>852</v>
      </c>
      <c r="C100" s="397" t="s">
        <v>2816</v>
      </c>
      <c r="D100" s="642" t="s">
        <v>850</v>
      </c>
      <c r="E100" s="643" t="s">
        <v>938</v>
      </c>
      <c r="F100" s="661">
        <v>43251</v>
      </c>
      <c r="G100" s="661">
        <v>43257</v>
      </c>
      <c r="H100" s="725">
        <f t="shared" si="22"/>
        <v>6</v>
      </c>
      <c r="I100" s="657">
        <f>N100-G100</f>
        <v>1</v>
      </c>
      <c r="J100" s="650"/>
      <c r="K100" s="650"/>
      <c r="L100" s="647" t="s">
        <v>3068</v>
      </c>
      <c r="M100" s="660"/>
      <c r="N100" s="654">
        <v>43258</v>
      </c>
    </row>
    <row r="101" spans="1:14" ht="13.5" hidden="1" customHeight="1">
      <c r="A101" s="632">
        <v>790</v>
      </c>
      <c r="B101" s="644" t="s">
        <v>851</v>
      </c>
      <c r="C101" s="397" t="s">
        <v>2825</v>
      </c>
      <c r="D101" s="642" t="s">
        <v>857</v>
      </c>
      <c r="E101" s="643" t="s">
        <v>854</v>
      </c>
      <c r="F101" s="661">
        <v>43251</v>
      </c>
      <c r="G101" s="661">
        <v>43265</v>
      </c>
      <c r="H101" s="725">
        <f>G101-F101</f>
        <v>14</v>
      </c>
      <c r="I101" s="656"/>
      <c r="J101" s="649"/>
      <c r="K101" s="649"/>
      <c r="L101" s="643"/>
      <c r="N101" s="560"/>
    </row>
    <row r="102" spans="1:14" ht="13.5" hidden="1" customHeight="1">
      <c r="A102" s="632">
        <v>791</v>
      </c>
      <c r="B102" s="644" t="s">
        <v>852</v>
      </c>
      <c r="C102" s="397" t="s">
        <v>2626</v>
      </c>
      <c r="D102" s="642" t="s">
        <v>850</v>
      </c>
      <c r="E102" s="643" t="s">
        <v>938</v>
      </c>
      <c r="F102" s="661">
        <v>43251</v>
      </c>
      <c r="G102" s="661">
        <v>43255</v>
      </c>
      <c r="H102" s="725">
        <f t="shared" ref="H102" si="23">G102-F102</f>
        <v>4</v>
      </c>
      <c r="I102" s="657">
        <f>N102-G102</f>
        <v>-43255</v>
      </c>
      <c r="J102" s="650"/>
      <c r="K102" s="650"/>
      <c r="L102" s="647" t="s">
        <v>2806</v>
      </c>
      <c r="M102" s="660"/>
      <c r="N102" s="654"/>
    </row>
    <row r="103" spans="1:14" ht="13.5" hidden="1" customHeight="1">
      <c r="A103" s="632">
        <v>792</v>
      </c>
      <c r="B103" s="644" t="s">
        <v>852</v>
      </c>
      <c r="C103" s="397" t="s">
        <v>2817</v>
      </c>
      <c r="D103" s="642" t="s">
        <v>857</v>
      </c>
      <c r="E103" s="643" t="s">
        <v>854</v>
      </c>
      <c r="F103" s="661">
        <v>43251</v>
      </c>
      <c r="G103" s="661">
        <v>43265</v>
      </c>
      <c r="H103" s="725">
        <f>G103-F103</f>
        <v>14</v>
      </c>
      <c r="I103" s="656"/>
      <c r="J103" s="649"/>
      <c r="K103" s="649"/>
      <c r="L103" s="643"/>
      <c r="N103" s="560"/>
    </row>
    <row r="104" spans="1:14" ht="13.5" hidden="1" customHeight="1">
      <c r="A104" s="632">
        <v>793</v>
      </c>
      <c r="B104" s="644" t="s">
        <v>852</v>
      </c>
      <c r="C104" s="397" t="s">
        <v>2817</v>
      </c>
      <c r="D104" s="642" t="s">
        <v>850</v>
      </c>
      <c r="E104" s="643" t="s">
        <v>938</v>
      </c>
      <c r="F104" s="661">
        <v>43266</v>
      </c>
      <c r="G104" s="661">
        <v>43271</v>
      </c>
      <c r="H104" s="725">
        <f>G104-F104</f>
        <v>5</v>
      </c>
      <c r="I104" s="657">
        <f>N104-G104</f>
        <v>2</v>
      </c>
      <c r="J104" s="650"/>
      <c r="K104" s="650"/>
      <c r="L104" s="647" t="s">
        <v>3208</v>
      </c>
      <c r="M104" s="660"/>
      <c r="N104" s="654">
        <v>43273</v>
      </c>
    </row>
    <row r="105" spans="1:14" ht="13.5" hidden="1" customHeight="1">
      <c r="A105" s="632">
        <v>794</v>
      </c>
      <c r="B105" s="644" t="s">
        <v>852</v>
      </c>
      <c r="C105" s="397" t="s">
        <v>2313</v>
      </c>
      <c r="D105" s="642" t="s">
        <v>855</v>
      </c>
      <c r="E105" s="643" t="s">
        <v>854</v>
      </c>
      <c r="F105" s="661">
        <v>43251</v>
      </c>
      <c r="G105" s="661">
        <v>43256</v>
      </c>
      <c r="H105" s="725">
        <f>G105-F105</f>
        <v>5</v>
      </c>
      <c r="I105" s="656"/>
      <c r="J105" s="649"/>
      <c r="K105" s="649"/>
      <c r="L105" s="643"/>
      <c r="N105" s="560"/>
    </row>
    <row r="106" spans="1:14" ht="13.5" hidden="1" customHeight="1">
      <c r="A106" s="632">
        <v>795</v>
      </c>
      <c r="B106" s="644" t="s">
        <v>852</v>
      </c>
      <c r="C106" s="397" t="s">
        <v>2733</v>
      </c>
      <c r="D106" s="642" t="s">
        <v>855</v>
      </c>
      <c r="E106" s="643" t="s">
        <v>854</v>
      </c>
      <c r="F106" s="658">
        <v>43251</v>
      </c>
      <c r="G106" s="658">
        <v>43270</v>
      </c>
      <c r="H106" s="725">
        <f t="shared" ref="H106" si="24">G106-F106</f>
        <v>19</v>
      </c>
      <c r="I106" s="656"/>
      <c r="J106" s="649"/>
      <c r="K106" s="649"/>
      <c r="L106" s="643"/>
      <c r="N106" s="560"/>
    </row>
    <row r="107" spans="1:14" ht="13.5" hidden="1" customHeight="1">
      <c r="A107" s="632">
        <v>796</v>
      </c>
      <c r="B107" s="644" t="s">
        <v>851</v>
      </c>
      <c r="C107" s="397" t="s">
        <v>2920</v>
      </c>
      <c r="D107" s="642" t="s">
        <v>855</v>
      </c>
      <c r="E107" s="643" t="s">
        <v>854</v>
      </c>
      <c r="F107" s="661">
        <v>43251</v>
      </c>
      <c r="G107" s="661">
        <v>43256</v>
      </c>
      <c r="H107" s="725">
        <f>G107-F107</f>
        <v>5</v>
      </c>
      <c r="I107" s="656"/>
      <c r="J107" s="649"/>
      <c r="K107" s="649"/>
      <c r="L107" s="643"/>
      <c r="N107" s="560"/>
    </row>
    <row r="108" spans="1:14" ht="13.5" hidden="1" customHeight="1">
      <c r="A108" s="632">
        <v>797</v>
      </c>
      <c r="B108" s="644" t="s">
        <v>851</v>
      </c>
      <c r="C108" s="397" t="s">
        <v>1083</v>
      </c>
      <c r="D108" s="642" t="s">
        <v>850</v>
      </c>
      <c r="E108" s="643" t="s">
        <v>938</v>
      </c>
      <c r="F108" s="661">
        <v>43251</v>
      </c>
      <c r="G108" s="661">
        <v>43255</v>
      </c>
      <c r="H108" s="725">
        <f>G108-F108</f>
        <v>4</v>
      </c>
      <c r="I108" s="656"/>
      <c r="J108" s="649"/>
      <c r="K108" s="649"/>
      <c r="L108" s="643"/>
      <c r="N108" s="560"/>
    </row>
    <row r="109" spans="1:14" ht="13.5" hidden="1" customHeight="1">
      <c r="A109" s="632">
        <v>798</v>
      </c>
      <c r="B109" s="644" t="s">
        <v>852</v>
      </c>
      <c r="C109" s="397" t="s">
        <v>2547</v>
      </c>
      <c r="D109" s="642" t="s">
        <v>850</v>
      </c>
      <c r="E109" s="643" t="s">
        <v>938</v>
      </c>
      <c r="F109" s="661">
        <v>43255</v>
      </c>
      <c r="G109" s="661">
        <v>43256</v>
      </c>
      <c r="H109" s="725">
        <f t="shared" ref="H109" si="25">G109-F109</f>
        <v>1</v>
      </c>
      <c r="I109" s="657">
        <f>N109-G109</f>
        <v>2</v>
      </c>
      <c r="J109" s="650"/>
      <c r="K109" s="650"/>
      <c r="L109" s="647" t="s">
        <v>3067</v>
      </c>
      <c r="N109" s="560">
        <v>43258</v>
      </c>
    </row>
    <row r="110" spans="1:14" ht="13.5" hidden="1" customHeight="1">
      <c r="A110" s="632">
        <v>799</v>
      </c>
      <c r="B110" s="644" t="s">
        <v>852</v>
      </c>
      <c r="C110" s="397" t="s">
        <v>2824</v>
      </c>
      <c r="D110" s="642" t="s">
        <v>850</v>
      </c>
      <c r="E110" s="643" t="s">
        <v>938</v>
      </c>
      <c r="F110" s="661">
        <v>43255</v>
      </c>
      <c r="G110" s="661">
        <v>43257</v>
      </c>
      <c r="H110" s="725">
        <f>G110-F110</f>
        <v>2</v>
      </c>
      <c r="I110" s="657">
        <f>N110-G110</f>
        <v>1</v>
      </c>
      <c r="J110" s="650"/>
      <c r="K110" s="650"/>
      <c r="L110" s="647" t="s">
        <v>3069</v>
      </c>
      <c r="M110" s="660"/>
      <c r="N110" s="654">
        <v>43258</v>
      </c>
    </row>
    <row r="111" spans="1:14" ht="13.5" hidden="1" customHeight="1">
      <c r="A111" s="632">
        <v>800</v>
      </c>
      <c r="B111" s="644" t="s">
        <v>852</v>
      </c>
      <c r="C111" s="397" t="s">
        <v>2770</v>
      </c>
      <c r="D111" s="642" t="s">
        <v>855</v>
      </c>
      <c r="E111" s="643" t="s">
        <v>854</v>
      </c>
      <c r="F111" s="661">
        <v>43251</v>
      </c>
      <c r="G111" s="661">
        <v>43256</v>
      </c>
      <c r="H111" s="725">
        <f>G111-F111</f>
        <v>5</v>
      </c>
      <c r="I111" s="656"/>
      <c r="L111" s="643"/>
      <c r="N111" s="560"/>
    </row>
    <row r="112" spans="1:14" ht="13.5" hidden="1" customHeight="1">
      <c r="A112" s="632">
        <v>801</v>
      </c>
      <c r="B112" s="644" t="s">
        <v>852</v>
      </c>
      <c r="C112" s="397" t="s">
        <v>2770</v>
      </c>
      <c r="D112" s="642" t="s">
        <v>857</v>
      </c>
      <c r="E112" s="643" t="s">
        <v>854</v>
      </c>
      <c r="F112" s="661">
        <v>43244</v>
      </c>
      <c r="G112" s="661">
        <v>43256</v>
      </c>
      <c r="H112" s="725">
        <f>G112-F112</f>
        <v>12</v>
      </c>
      <c r="I112" s="656"/>
      <c r="J112" s="649"/>
      <c r="K112" s="649"/>
      <c r="L112" s="643"/>
      <c r="N112" s="560"/>
    </row>
    <row r="113" spans="1:14" ht="13.5" hidden="1" customHeight="1">
      <c r="A113" s="632">
        <v>802</v>
      </c>
      <c r="B113" s="644" t="s">
        <v>851</v>
      </c>
      <c r="C113" s="397" t="s">
        <v>2539</v>
      </c>
      <c r="D113" s="642" t="s">
        <v>850</v>
      </c>
      <c r="E113" s="643" t="s">
        <v>938</v>
      </c>
      <c r="F113" s="661">
        <v>43255</v>
      </c>
      <c r="G113" s="661">
        <v>43257</v>
      </c>
      <c r="H113" s="725">
        <f t="shared" ref="H113" si="26">N113-F113</f>
        <v>3</v>
      </c>
      <c r="I113" s="657">
        <f>N113-G113</f>
        <v>1</v>
      </c>
      <c r="J113" s="650"/>
      <c r="K113" s="650"/>
      <c r="L113" s="647" t="s">
        <v>3068</v>
      </c>
      <c r="M113" s="660"/>
      <c r="N113" s="654">
        <v>43258</v>
      </c>
    </row>
    <row r="114" spans="1:14" ht="13.5" hidden="1" customHeight="1">
      <c r="A114" s="632">
        <v>803</v>
      </c>
      <c r="B114" s="644" t="s">
        <v>852</v>
      </c>
      <c r="C114" s="397" t="s">
        <v>2733</v>
      </c>
      <c r="D114" s="642" t="s">
        <v>850</v>
      </c>
      <c r="E114" s="643" t="s">
        <v>938</v>
      </c>
      <c r="F114" s="661">
        <v>43272</v>
      </c>
      <c r="G114" s="661">
        <v>43273</v>
      </c>
      <c r="H114" s="725">
        <f t="shared" ref="H114" si="27">G114-F114</f>
        <v>1</v>
      </c>
      <c r="I114" s="657">
        <f t="shared" ref="I114" si="28">N114-G114</f>
        <v>0</v>
      </c>
      <c r="J114" s="650"/>
      <c r="K114" s="650"/>
      <c r="L114" s="647" t="s">
        <v>3208</v>
      </c>
      <c r="M114" s="660"/>
      <c r="N114" s="654">
        <v>43273</v>
      </c>
    </row>
    <row r="115" spans="1:14" ht="13.5" hidden="1" customHeight="1">
      <c r="A115" s="632">
        <v>804</v>
      </c>
      <c r="B115" s="644" t="s">
        <v>852</v>
      </c>
      <c r="C115" s="397" t="s">
        <v>2665</v>
      </c>
      <c r="D115" s="642" t="s">
        <v>855</v>
      </c>
      <c r="E115" s="643" t="s">
        <v>854</v>
      </c>
      <c r="F115" s="661">
        <v>43251</v>
      </c>
      <c r="G115" s="661">
        <v>43256</v>
      </c>
      <c r="H115" s="725">
        <f>G115-F115</f>
        <v>5</v>
      </c>
      <c r="I115" s="656"/>
      <c r="J115" s="649"/>
      <c r="K115" s="649"/>
      <c r="L115" s="643"/>
      <c r="N115" s="560"/>
    </row>
    <row r="116" spans="1:14" ht="13.5" hidden="1" customHeight="1">
      <c r="A116" s="632">
        <v>805</v>
      </c>
      <c r="B116" s="644" t="s">
        <v>852</v>
      </c>
      <c r="C116" s="397" t="s">
        <v>2740</v>
      </c>
      <c r="D116" s="642" t="s">
        <v>857</v>
      </c>
      <c r="E116" s="643" t="s">
        <v>854</v>
      </c>
      <c r="F116" s="661">
        <v>43255</v>
      </c>
      <c r="G116" s="661">
        <v>43266</v>
      </c>
      <c r="H116" s="725">
        <f>G116-F116</f>
        <v>11</v>
      </c>
      <c r="I116" s="656"/>
      <c r="J116" s="649"/>
      <c r="K116" s="649"/>
      <c r="L116" s="643"/>
      <c r="N116" s="560"/>
    </row>
    <row r="117" spans="1:14" ht="13.5" hidden="1" customHeight="1">
      <c r="A117" s="632">
        <v>806</v>
      </c>
      <c r="B117" s="644" t="s">
        <v>852</v>
      </c>
      <c r="C117" s="397" t="s">
        <v>2391</v>
      </c>
      <c r="D117" s="642" t="s">
        <v>857</v>
      </c>
      <c r="E117" s="643" t="s">
        <v>854</v>
      </c>
      <c r="F117" s="661">
        <v>43255</v>
      </c>
      <c r="G117" s="661">
        <v>43266</v>
      </c>
      <c r="H117" s="725">
        <f>G117-F117</f>
        <v>11</v>
      </c>
      <c r="I117" s="656"/>
      <c r="J117" s="649"/>
      <c r="K117" s="649"/>
      <c r="L117" s="643"/>
      <c r="N117" s="560"/>
    </row>
    <row r="118" spans="1:14" ht="13.5" hidden="1" customHeight="1">
      <c r="A118" s="632">
        <v>807</v>
      </c>
      <c r="B118" s="644" t="s">
        <v>851</v>
      </c>
      <c r="C118" s="397" t="s">
        <v>2385</v>
      </c>
      <c r="D118" s="642" t="s">
        <v>857</v>
      </c>
      <c r="E118" s="643" t="s">
        <v>854</v>
      </c>
      <c r="F118" s="805">
        <v>43256</v>
      </c>
      <c r="G118" s="805">
        <v>43271</v>
      </c>
      <c r="H118" s="725">
        <f>G118-F118</f>
        <v>15</v>
      </c>
      <c r="I118" s="656"/>
      <c r="J118" s="649"/>
      <c r="K118" s="649"/>
      <c r="L118" s="643"/>
      <c r="N118" s="560"/>
    </row>
    <row r="119" spans="1:14" ht="13.5" hidden="1" customHeight="1">
      <c r="A119" s="632">
        <v>808</v>
      </c>
      <c r="B119" s="644" t="s">
        <v>851</v>
      </c>
      <c r="C119" s="397" t="s">
        <v>2527</v>
      </c>
      <c r="D119" s="642" t="s">
        <v>850</v>
      </c>
      <c r="E119" s="643" t="s">
        <v>856</v>
      </c>
      <c r="F119" s="723">
        <v>43257</v>
      </c>
      <c r="G119" s="724"/>
      <c r="H119" s="725">
        <f ca="1">N119-F119</f>
        <v>37.397539004632563</v>
      </c>
      <c r="I119" s="656"/>
      <c r="J119" s="649">
        <v>4284.1550857142856</v>
      </c>
      <c r="K119" s="649">
        <v>10941.895085714285</v>
      </c>
      <c r="L119" s="643"/>
      <c r="N119" s="560">
        <f t="shared" ref="N119:N153" ca="1" si="29">NOW()</f>
        <v>43294.397539004633</v>
      </c>
    </row>
    <row r="120" spans="1:14" ht="13.5" hidden="1" customHeight="1">
      <c r="A120" s="632">
        <v>809</v>
      </c>
      <c r="B120" s="644" t="s">
        <v>2773</v>
      </c>
      <c r="C120" s="397" t="s">
        <v>3124</v>
      </c>
      <c r="D120" s="642" t="s">
        <v>850</v>
      </c>
      <c r="E120" s="643" t="s">
        <v>856</v>
      </c>
      <c r="F120" s="723">
        <v>43270</v>
      </c>
      <c r="G120" s="724"/>
      <c r="H120" s="725">
        <f ca="1">N120-F120</f>
        <v>24.397539004632563</v>
      </c>
      <c r="I120" s="656"/>
      <c r="J120" s="649"/>
      <c r="K120" s="649">
        <v>39419.230000000003</v>
      </c>
      <c r="L120" s="643"/>
      <c r="N120" s="560">
        <f t="shared" ca="1" si="29"/>
        <v>43294.397539004633</v>
      </c>
    </row>
    <row r="121" spans="1:14" ht="13.5" hidden="1" customHeight="1">
      <c r="A121" s="632"/>
      <c r="B121" s="644" t="s">
        <v>2773</v>
      </c>
      <c r="C121" s="397" t="s">
        <v>3125</v>
      </c>
      <c r="D121" s="642" t="s">
        <v>850</v>
      </c>
      <c r="E121" s="643" t="s">
        <v>938</v>
      </c>
      <c r="F121" s="809">
        <v>43242</v>
      </c>
      <c r="G121" s="809">
        <v>43259</v>
      </c>
      <c r="H121" s="725"/>
      <c r="I121" s="656"/>
      <c r="J121" s="651"/>
      <c r="K121" s="649"/>
      <c r="L121" s="647" t="s">
        <v>3127</v>
      </c>
      <c r="N121" s="560"/>
    </row>
    <row r="122" spans="1:14" ht="13.5" hidden="1" customHeight="1">
      <c r="A122" s="632">
        <v>810</v>
      </c>
      <c r="B122" s="644" t="s">
        <v>852</v>
      </c>
      <c r="C122" s="397" t="s">
        <v>2793</v>
      </c>
      <c r="D122" s="642" t="s">
        <v>850</v>
      </c>
      <c r="E122" s="643" t="s">
        <v>938</v>
      </c>
      <c r="F122" s="661">
        <v>43257</v>
      </c>
      <c r="G122" s="661">
        <v>43260</v>
      </c>
      <c r="H122" s="725">
        <f>G122-F122</f>
        <v>3</v>
      </c>
      <c r="I122" s="657">
        <f>N122-G122</f>
        <v>-43260</v>
      </c>
      <c r="J122" s="650"/>
      <c r="K122" s="650"/>
      <c r="L122" s="647" t="s">
        <v>2806</v>
      </c>
      <c r="M122" s="660"/>
      <c r="N122" s="654"/>
    </row>
    <row r="123" spans="1:14" ht="13.5" hidden="1" customHeight="1">
      <c r="A123" s="632">
        <v>811</v>
      </c>
      <c r="B123" s="644" t="s">
        <v>852</v>
      </c>
      <c r="C123" s="397" t="s">
        <v>2817</v>
      </c>
      <c r="D123" s="642" t="s">
        <v>855</v>
      </c>
      <c r="E123" s="643" t="s">
        <v>854</v>
      </c>
      <c r="F123" s="661">
        <v>43251</v>
      </c>
      <c r="G123" s="661">
        <v>43256</v>
      </c>
      <c r="H123" s="725">
        <f t="shared" ref="H123:H124" si="30">G123-F123</f>
        <v>5</v>
      </c>
      <c r="I123" s="656"/>
      <c r="J123" s="649"/>
      <c r="K123" s="649"/>
      <c r="L123" s="643"/>
      <c r="N123" s="560"/>
    </row>
    <row r="124" spans="1:14" ht="13.5" hidden="1" customHeight="1">
      <c r="A124" s="632">
        <v>812</v>
      </c>
      <c r="B124" s="644" t="s">
        <v>852</v>
      </c>
      <c r="C124" s="397" t="s">
        <v>2525</v>
      </c>
      <c r="D124" s="642" t="s">
        <v>857</v>
      </c>
      <c r="E124" s="643" t="s">
        <v>854</v>
      </c>
      <c r="F124" s="661">
        <v>43252</v>
      </c>
      <c r="G124" s="661">
        <v>43265</v>
      </c>
      <c r="H124" s="725">
        <f t="shared" si="30"/>
        <v>13</v>
      </c>
      <c r="I124" s="656"/>
      <c r="J124" s="649"/>
      <c r="K124" s="649"/>
      <c r="L124" s="643"/>
      <c r="N124" s="560"/>
    </row>
    <row r="125" spans="1:14" ht="13.5" hidden="1" customHeight="1">
      <c r="A125" s="632">
        <v>813</v>
      </c>
      <c r="B125" s="644" t="s">
        <v>852</v>
      </c>
      <c r="C125" s="397" t="s">
        <v>2525</v>
      </c>
      <c r="D125" s="642" t="s">
        <v>855</v>
      </c>
      <c r="E125" s="643" t="s">
        <v>854</v>
      </c>
      <c r="F125" s="661">
        <v>43252</v>
      </c>
      <c r="G125" s="661">
        <v>43256</v>
      </c>
      <c r="H125" s="725">
        <f t="shared" ref="H125" si="31">G125-F125</f>
        <v>4</v>
      </c>
      <c r="I125" s="656"/>
      <c r="J125" s="649"/>
      <c r="K125" s="649"/>
      <c r="L125" s="643"/>
      <c r="N125" s="560"/>
    </row>
    <row r="126" spans="1:14" ht="13.5" hidden="1" customHeight="1">
      <c r="A126" s="632">
        <v>814</v>
      </c>
      <c r="B126" s="644" t="s">
        <v>852</v>
      </c>
      <c r="C126" s="397" t="s">
        <v>2770</v>
      </c>
      <c r="D126" s="642" t="s">
        <v>850</v>
      </c>
      <c r="E126" s="643" t="s">
        <v>856</v>
      </c>
      <c r="F126" s="723">
        <v>43257</v>
      </c>
      <c r="G126" s="724"/>
      <c r="H126" s="725">
        <f ca="1">N126-F126</f>
        <v>37.397539004632563</v>
      </c>
      <c r="I126" s="656"/>
      <c r="J126" s="356">
        <v>755.60000000000059</v>
      </c>
      <c r="K126" s="356">
        <v>1407.4700000000007</v>
      </c>
      <c r="L126" s="643"/>
      <c r="N126" s="560">
        <f t="shared" ca="1" si="29"/>
        <v>43294.397539004633</v>
      </c>
    </row>
    <row r="127" spans="1:14" ht="13.5" hidden="1" customHeight="1">
      <c r="A127" s="632">
        <v>815</v>
      </c>
      <c r="B127" s="644" t="s">
        <v>852</v>
      </c>
      <c r="C127" s="397" t="s">
        <v>2740</v>
      </c>
      <c r="D127" s="642" t="s">
        <v>855</v>
      </c>
      <c r="E127" s="643" t="s">
        <v>854</v>
      </c>
      <c r="F127" s="661">
        <v>43257</v>
      </c>
      <c r="G127" s="661">
        <v>43269</v>
      </c>
      <c r="H127" s="725">
        <f>G127-F127</f>
        <v>12</v>
      </c>
      <c r="I127" s="656"/>
      <c r="J127" s="649"/>
      <c r="K127" s="649"/>
      <c r="L127" s="643"/>
      <c r="N127" s="560"/>
    </row>
    <row r="128" spans="1:14" ht="13.5" hidden="1" customHeight="1">
      <c r="A128" s="632">
        <v>816</v>
      </c>
      <c r="B128" s="644" t="s">
        <v>852</v>
      </c>
      <c r="C128" s="397" t="s">
        <v>2742</v>
      </c>
      <c r="D128" s="642" t="s">
        <v>857</v>
      </c>
      <c r="E128" s="643" t="s">
        <v>854</v>
      </c>
      <c r="F128" s="661">
        <v>43257</v>
      </c>
      <c r="G128" s="661">
        <v>43271</v>
      </c>
      <c r="H128" s="725">
        <f>G128-F128</f>
        <v>14</v>
      </c>
      <c r="I128" s="656"/>
      <c r="J128" s="649"/>
      <c r="K128" s="649"/>
      <c r="L128" s="643"/>
      <c r="N128" s="560"/>
    </row>
    <row r="129" spans="1:15" ht="13.5" hidden="1" customHeight="1">
      <c r="A129" s="632">
        <v>817</v>
      </c>
      <c r="B129" s="644" t="s">
        <v>852</v>
      </c>
      <c r="C129" s="397" t="s">
        <v>2742</v>
      </c>
      <c r="D129" s="642" t="s">
        <v>855</v>
      </c>
      <c r="E129" s="643" t="s">
        <v>854</v>
      </c>
      <c r="F129" s="661">
        <v>43257</v>
      </c>
      <c r="G129" s="661">
        <v>43259</v>
      </c>
      <c r="H129" s="725">
        <f>G129-F129</f>
        <v>2</v>
      </c>
      <c r="I129" s="656"/>
      <c r="J129" s="649"/>
      <c r="K129" s="649"/>
      <c r="L129" s="643"/>
      <c r="N129" s="560"/>
    </row>
    <row r="130" spans="1:15" ht="13.5" hidden="1" customHeight="1">
      <c r="A130" s="632">
        <v>818</v>
      </c>
      <c r="B130" s="644" t="s">
        <v>852</v>
      </c>
      <c r="C130" s="397" t="s">
        <v>1659</v>
      </c>
      <c r="D130" s="642" t="s">
        <v>857</v>
      </c>
      <c r="E130" s="643" t="s">
        <v>854</v>
      </c>
      <c r="F130" s="661">
        <v>43257</v>
      </c>
      <c r="G130" s="661">
        <v>43271</v>
      </c>
      <c r="H130" s="725">
        <f>G130-F130</f>
        <v>14</v>
      </c>
      <c r="I130" s="656"/>
      <c r="J130" s="649"/>
      <c r="K130" s="649"/>
      <c r="L130" s="643"/>
      <c r="N130" s="560"/>
    </row>
    <row r="131" spans="1:15" ht="13.5" hidden="1" customHeight="1">
      <c r="A131" s="632">
        <v>819</v>
      </c>
      <c r="B131" s="644" t="s">
        <v>852</v>
      </c>
      <c r="C131" s="397" t="s">
        <v>1659</v>
      </c>
      <c r="D131" s="642" t="s">
        <v>855</v>
      </c>
      <c r="E131" s="643" t="s">
        <v>856</v>
      </c>
      <c r="F131" s="723">
        <v>43257</v>
      </c>
      <c r="G131" s="724"/>
      <c r="H131" s="725">
        <f t="shared" ref="H131" ca="1" si="32">N131-F131</f>
        <v>37.397539004632563</v>
      </c>
      <c r="I131" s="656"/>
      <c r="J131" s="649">
        <v>1825.26</v>
      </c>
      <c r="K131" s="649">
        <v>3536.8599999999997</v>
      </c>
      <c r="L131" s="643"/>
      <c r="N131" s="560">
        <f t="shared" ca="1" si="29"/>
        <v>43294.397539004633</v>
      </c>
    </row>
    <row r="132" spans="1:15" ht="13.5" hidden="1" customHeight="1">
      <c r="A132" s="632">
        <v>820</v>
      </c>
      <c r="B132" s="644" t="s">
        <v>852</v>
      </c>
      <c r="C132" s="397" t="s">
        <v>2796</v>
      </c>
      <c r="D132" s="642" t="s">
        <v>857</v>
      </c>
      <c r="E132" s="643" t="s">
        <v>854</v>
      </c>
      <c r="F132" s="661">
        <v>43258</v>
      </c>
      <c r="G132" s="661">
        <v>43271</v>
      </c>
      <c r="H132" s="725">
        <f t="shared" ref="H132:H133" si="33">G132-F132</f>
        <v>13</v>
      </c>
      <c r="I132" s="656"/>
      <c r="J132" s="649"/>
      <c r="K132" s="649"/>
      <c r="L132" s="643" t="s">
        <v>16</v>
      </c>
      <c r="N132" s="560"/>
    </row>
    <row r="133" spans="1:15" ht="13.5" hidden="1" customHeight="1">
      <c r="A133" s="632">
        <v>821</v>
      </c>
      <c r="B133" s="644" t="s">
        <v>852</v>
      </c>
      <c r="C133" s="397" t="s">
        <v>3032</v>
      </c>
      <c r="D133" s="642" t="s">
        <v>855</v>
      </c>
      <c r="E133" s="643" t="s">
        <v>854</v>
      </c>
      <c r="F133" s="661">
        <v>43259</v>
      </c>
      <c r="G133" s="661">
        <v>43272</v>
      </c>
      <c r="H133" s="725">
        <f t="shared" si="33"/>
        <v>13</v>
      </c>
      <c r="I133" s="656"/>
      <c r="J133" s="649"/>
      <c r="K133" s="649"/>
      <c r="L133" s="643"/>
      <c r="N133" s="560"/>
    </row>
    <row r="134" spans="1:15" ht="13.5" hidden="1" customHeight="1">
      <c r="A134" s="632">
        <v>822</v>
      </c>
      <c r="B134" s="644" t="s">
        <v>852</v>
      </c>
      <c r="C134" s="397" t="s">
        <v>2769</v>
      </c>
      <c r="D134" s="642" t="s">
        <v>857</v>
      </c>
      <c r="E134" s="643" t="s">
        <v>854</v>
      </c>
      <c r="F134" s="661">
        <v>43258</v>
      </c>
      <c r="G134" s="661">
        <v>43271</v>
      </c>
      <c r="H134" s="725">
        <f>G134-F134</f>
        <v>13</v>
      </c>
      <c r="I134" s="656"/>
      <c r="J134" s="649"/>
      <c r="K134" s="649"/>
      <c r="L134" s="643"/>
      <c r="N134" s="560"/>
    </row>
    <row r="135" spans="1:15" ht="13.5" hidden="1" customHeight="1">
      <c r="A135" s="632">
        <v>823</v>
      </c>
      <c r="B135" s="644" t="s">
        <v>852</v>
      </c>
      <c r="C135" s="397" t="s">
        <v>2769</v>
      </c>
      <c r="D135" s="642" t="s">
        <v>855</v>
      </c>
      <c r="E135" s="643" t="s">
        <v>854</v>
      </c>
      <c r="F135" s="658">
        <v>43265</v>
      </c>
      <c r="G135" s="658">
        <v>43283</v>
      </c>
      <c r="H135" s="725">
        <f>G135-F135</f>
        <v>18</v>
      </c>
      <c r="I135" s="656"/>
      <c r="J135" s="649"/>
      <c r="K135" s="649"/>
      <c r="L135" s="643"/>
      <c r="N135" s="560"/>
    </row>
    <row r="136" spans="1:15" ht="13.5" hidden="1" customHeight="1">
      <c r="A136" s="632">
        <v>824</v>
      </c>
      <c r="B136" s="644" t="s">
        <v>852</v>
      </c>
      <c r="C136" s="397" t="s">
        <v>2665</v>
      </c>
      <c r="D136" s="642" t="s">
        <v>850</v>
      </c>
      <c r="E136" s="643" t="s">
        <v>938</v>
      </c>
      <c r="F136" s="661">
        <v>43263</v>
      </c>
      <c r="G136" s="661">
        <v>43265</v>
      </c>
      <c r="H136" s="725">
        <f>G136-F136</f>
        <v>2</v>
      </c>
      <c r="I136" s="657">
        <f>N136-G136</f>
        <v>-43265</v>
      </c>
      <c r="J136" s="804"/>
      <c r="K136" s="804"/>
      <c r="L136" s="647" t="s">
        <v>2806</v>
      </c>
      <c r="M136" s="660"/>
      <c r="N136" s="654"/>
      <c r="O136" s="660"/>
    </row>
    <row r="137" spans="1:15" ht="13.5" hidden="1" customHeight="1">
      <c r="A137" s="632">
        <v>825</v>
      </c>
      <c r="B137" s="644" t="s">
        <v>852</v>
      </c>
      <c r="C137" s="397" t="s">
        <v>2313</v>
      </c>
      <c r="D137" s="642" t="s">
        <v>850</v>
      </c>
      <c r="E137" s="643" t="s">
        <v>856</v>
      </c>
      <c r="F137" s="723">
        <v>43263</v>
      </c>
      <c r="G137" s="724"/>
      <c r="H137" s="725">
        <f ca="1">N137-F137</f>
        <v>31.397539004632563</v>
      </c>
      <c r="I137" s="656"/>
      <c r="J137" s="649">
        <v>3224.76</v>
      </c>
      <c r="K137" s="649">
        <v>4246.1400000000003</v>
      </c>
      <c r="L137" s="643"/>
      <c r="N137" s="560">
        <f t="shared" ca="1" si="29"/>
        <v>43294.397539004633</v>
      </c>
    </row>
    <row r="138" spans="1:15" ht="13.5" hidden="1" customHeight="1">
      <c r="A138" s="632">
        <v>826</v>
      </c>
      <c r="B138" s="644" t="s">
        <v>852</v>
      </c>
      <c r="C138" s="397" t="s">
        <v>2391</v>
      </c>
      <c r="D138" s="642" t="s">
        <v>850</v>
      </c>
      <c r="E138" s="643" t="s">
        <v>938</v>
      </c>
      <c r="F138" s="723">
        <v>43269</v>
      </c>
      <c r="G138" s="723">
        <v>43271</v>
      </c>
      <c r="H138" s="725">
        <f>G138-F138</f>
        <v>2</v>
      </c>
      <c r="I138" s="657">
        <f t="shared" ref="I138" si="34">N138-G138</f>
        <v>2</v>
      </c>
      <c r="J138" s="649"/>
      <c r="K138" s="649"/>
      <c r="L138" s="647" t="s">
        <v>3218</v>
      </c>
      <c r="N138" s="654">
        <v>43273</v>
      </c>
    </row>
    <row r="139" spans="1:15" ht="13.5" hidden="1" customHeight="1">
      <c r="A139" s="632">
        <v>827</v>
      </c>
      <c r="B139" s="644" t="s">
        <v>852</v>
      </c>
      <c r="C139" s="397" t="s">
        <v>2694</v>
      </c>
      <c r="D139" s="642" t="s">
        <v>855</v>
      </c>
      <c r="E139" s="643" t="s">
        <v>854</v>
      </c>
      <c r="F139" s="661">
        <v>43258</v>
      </c>
      <c r="G139" s="661">
        <v>43272</v>
      </c>
      <c r="H139" s="725">
        <f>G139-F139</f>
        <v>14</v>
      </c>
      <c r="I139" s="656"/>
      <c r="J139" s="649"/>
      <c r="K139" s="649"/>
      <c r="L139" s="643"/>
      <c r="N139" s="560"/>
    </row>
    <row r="140" spans="1:15" ht="13.5" hidden="1" customHeight="1">
      <c r="A140" s="632">
        <v>828</v>
      </c>
      <c r="B140" s="644" t="s">
        <v>852</v>
      </c>
      <c r="C140" s="397" t="s">
        <v>2652</v>
      </c>
      <c r="D140" s="642" t="s">
        <v>857</v>
      </c>
      <c r="E140" s="643" t="s">
        <v>854</v>
      </c>
      <c r="F140" s="661">
        <v>43258</v>
      </c>
      <c r="G140" s="661">
        <v>43271</v>
      </c>
      <c r="H140" s="725">
        <f>G140-F140</f>
        <v>13</v>
      </c>
      <c r="I140" s="656"/>
      <c r="J140" s="649"/>
      <c r="K140" s="649"/>
      <c r="L140" s="643"/>
      <c r="N140" s="560"/>
    </row>
    <row r="141" spans="1:15" ht="13.5" hidden="1" customHeight="1">
      <c r="A141" s="632">
        <v>829</v>
      </c>
      <c r="B141" s="644" t="s">
        <v>852</v>
      </c>
      <c r="C141" s="397" t="s">
        <v>2652</v>
      </c>
      <c r="D141" s="642" t="s">
        <v>855</v>
      </c>
      <c r="E141" s="643" t="s">
        <v>854</v>
      </c>
      <c r="F141" s="661">
        <v>43265</v>
      </c>
      <c r="G141" s="661">
        <v>43272</v>
      </c>
      <c r="H141" s="725">
        <f>G141-F141</f>
        <v>7</v>
      </c>
      <c r="I141" s="656"/>
      <c r="J141" s="649"/>
      <c r="K141" s="649"/>
      <c r="L141" s="643"/>
      <c r="N141" s="560"/>
    </row>
    <row r="142" spans="1:15" ht="13.5" hidden="1" customHeight="1">
      <c r="A142" s="632">
        <v>830</v>
      </c>
      <c r="B142" s="369" t="s">
        <v>851</v>
      </c>
      <c r="C142" s="354" t="s">
        <v>2562</v>
      </c>
      <c r="D142" s="642" t="s">
        <v>850</v>
      </c>
      <c r="E142" s="643" t="s">
        <v>938</v>
      </c>
      <c r="F142" s="661">
        <v>43266</v>
      </c>
      <c r="G142" s="661">
        <v>43269</v>
      </c>
      <c r="H142" s="725">
        <f t="shared" ref="H142" si="35">G142-F142</f>
        <v>3</v>
      </c>
      <c r="I142" s="657">
        <f>N142-G142</f>
        <v>1</v>
      </c>
      <c r="J142" s="650"/>
      <c r="K142" s="650"/>
      <c r="L142" s="647" t="s">
        <v>3101</v>
      </c>
      <c r="M142" s="660"/>
      <c r="N142" s="654">
        <v>43270</v>
      </c>
    </row>
    <row r="143" spans="1:15" ht="13.5" hidden="1" customHeight="1">
      <c r="A143" s="632">
        <v>831</v>
      </c>
      <c r="B143" s="644" t="s">
        <v>851</v>
      </c>
      <c r="C143" s="397" t="s">
        <v>2825</v>
      </c>
      <c r="D143" s="642" t="s">
        <v>850</v>
      </c>
      <c r="E143" s="643" t="s">
        <v>938</v>
      </c>
      <c r="F143" s="661">
        <v>43266</v>
      </c>
      <c r="G143" s="661">
        <v>43269</v>
      </c>
      <c r="H143" s="725">
        <f>G143-F143</f>
        <v>3</v>
      </c>
      <c r="I143" s="657">
        <f>N143-G143</f>
        <v>1</v>
      </c>
      <c r="J143" s="650"/>
      <c r="K143" s="650"/>
      <c r="L143" s="647" t="s">
        <v>3101</v>
      </c>
      <c r="M143" s="660"/>
      <c r="N143" s="654">
        <v>43270</v>
      </c>
    </row>
    <row r="144" spans="1:15" ht="13.5" hidden="1" customHeight="1">
      <c r="A144" s="632">
        <v>832</v>
      </c>
      <c r="B144" s="644" t="s">
        <v>851</v>
      </c>
      <c r="C144" s="397" t="s">
        <v>2674</v>
      </c>
      <c r="D144" s="642" t="s">
        <v>857</v>
      </c>
      <c r="E144" s="643" t="s">
        <v>854</v>
      </c>
      <c r="F144" s="661">
        <v>43265</v>
      </c>
      <c r="G144" s="661">
        <v>43279</v>
      </c>
      <c r="H144" s="725">
        <f>G144-F144</f>
        <v>14</v>
      </c>
      <c r="I144" s="656"/>
      <c r="J144" s="649"/>
      <c r="K144" s="649"/>
      <c r="L144" s="643"/>
      <c r="N144" s="560"/>
    </row>
    <row r="145" spans="1:14" ht="13.5" hidden="1" customHeight="1">
      <c r="A145" s="632">
        <v>833</v>
      </c>
      <c r="B145" s="644" t="s">
        <v>851</v>
      </c>
      <c r="C145" s="397" t="s">
        <v>2629</v>
      </c>
      <c r="D145" s="642" t="s">
        <v>857</v>
      </c>
      <c r="E145" s="643" t="s">
        <v>854</v>
      </c>
      <c r="F145" s="661">
        <v>43265</v>
      </c>
      <c r="G145" s="661">
        <v>43279</v>
      </c>
      <c r="H145" s="725">
        <f t="shared" ref="H145:H150" si="36">G145-F145</f>
        <v>14</v>
      </c>
      <c r="I145" s="656"/>
      <c r="J145" s="649"/>
      <c r="K145" s="649"/>
      <c r="L145" s="643"/>
      <c r="N145" s="560"/>
    </row>
    <row r="146" spans="1:14" ht="13.5" hidden="1" customHeight="1">
      <c r="A146" s="632">
        <v>834</v>
      </c>
      <c r="B146" s="644" t="s">
        <v>852</v>
      </c>
      <c r="C146" s="397" t="s">
        <v>2525</v>
      </c>
      <c r="D146" s="642" t="s">
        <v>850</v>
      </c>
      <c r="E146" s="643" t="s">
        <v>938</v>
      </c>
      <c r="F146" s="661">
        <v>43266</v>
      </c>
      <c r="G146" s="661">
        <v>43271</v>
      </c>
      <c r="H146" s="725">
        <f t="shared" si="36"/>
        <v>5</v>
      </c>
      <c r="I146" s="657">
        <f>N146-G146</f>
        <v>2</v>
      </c>
      <c r="J146" s="650"/>
      <c r="K146" s="650"/>
      <c r="L146" s="647" t="s">
        <v>3218</v>
      </c>
      <c r="M146" s="660"/>
      <c r="N146" s="654">
        <v>43273</v>
      </c>
    </row>
    <row r="147" spans="1:14" ht="13.5" hidden="1" customHeight="1">
      <c r="A147" s="632">
        <v>835</v>
      </c>
      <c r="B147" s="644" t="s">
        <v>851</v>
      </c>
      <c r="C147" s="397" t="s">
        <v>2920</v>
      </c>
      <c r="D147" s="642" t="s">
        <v>850</v>
      </c>
      <c r="E147" s="643" t="s">
        <v>938</v>
      </c>
      <c r="F147" s="661">
        <v>43266</v>
      </c>
      <c r="G147" s="661">
        <v>43276</v>
      </c>
      <c r="H147" s="725">
        <f t="shared" si="36"/>
        <v>10</v>
      </c>
      <c r="I147" s="657">
        <f>N147-G147</f>
        <v>3</v>
      </c>
      <c r="J147" s="650"/>
      <c r="K147" s="650"/>
      <c r="L147" s="647" t="s">
        <v>3220</v>
      </c>
      <c r="M147" s="660"/>
      <c r="N147" s="654">
        <v>43279</v>
      </c>
    </row>
    <row r="148" spans="1:14" ht="13.5" hidden="1" customHeight="1">
      <c r="A148" s="632">
        <v>836</v>
      </c>
      <c r="B148" s="644" t="s">
        <v>851</v>
      </c>
      <c r="C148" s="397" t="s">
        <v>2629</v>
      </c>
      <c r="D148" s="642" t="s">
        <v>855</v>
      </c>
      <c r="E148" s="643" t="s">
        <v>854</v>
      </c>
      <c r="F148" s="661">
        <v>43266</v>
      </c>
      <c r="G148" s="661">
        <v>43278</v>
      </c>
      <c r="H148" s="725">
        <f t="shared" si="36"/>
        <v>12</v>
      </c>
      <c r="I148" s="656"/>
      <c r="J148" s="649"/>
      <c r="K148" s="649"/>
      <c r="L148" s="643"/>
      <c r="N148" s="560"/>
    </row>
    <row r="149" spans="1:14" ht="13.5" hidden="1" customHeight="1">
      <c r="A149" s="632">
        <v>837</v>
      </c>
      <c r="B149" s="644" t="s">
        <v>851</v>
      </c>
      <c r="C149" s="397" t="s">
        <v>2917</v>
      </c>
      <c r="D149" s="642" t="s">
        <v>857</v>
      </c>
      <c r="E149" s="643" t="s">
        <v>856</v>
      </c>
      <c r="F149" s="661">
        <v>43266</v>
      </c>
      <c r="G149" s="661">
        <v>43279</v>
      </c>
      <c r="H149" s="725">
        <f t="shared" si="36"/>
        <v>13</v>
      </c>
      <c r="I149" s="656"/>
      <c r="J149" s="649"/>
      <c r="K149" s="649"/>
      <c r="L149" s="643"/>
      <c r="N149" s="560"/>
    </row>
    <row r="150" spans="1:14" ht="13.5" hidden="1" customHeight="1">
      <c r="A150" s="632">
        <v>838</v>
      </c>
      <c r="B150" s="644" t="s">
        <v>851</v>
      </c>
      <c r="C150" s="397" t="s">
        <v>2917</v>
      </c>
      <c r="D150" s="642" t="s">
        <v>855</v>
      </c>
      <c r="E150" s="643" t="s">
        <v>854</v>
      </c>
      <c r="F150" s="661">
        <v>43269</v>
      </c>
      <c r="G150" s="661">
        <v>43271</v>
      </c>
      <c r="H150" s="725">
        <f t="shared" si="36"/>
        <v>2</v>
      </c>
      <c r="I150" s="656"/>
      <c r="J150" s="649"/>
      <c r="K150" s="649"/>
      <c r="L150" s="643"/>
      <c r="N150" s="560"/>
    </row>
    <row r="151" spans="1:14" ht="13.5" hidden="1" customHeight="1">
      <c r="A151" s="632">
        <v>839</v>
      </c>
      <c r="B151" s="644" t="s">
        <v>851</v>
      </c>
      <c r="C151" s="397" t="s">
        <v>2741</v>
      </c>
      <c r="D151" s="642" t="s">
        <v>857</v>
      </c>
      <c r="E151" s="643" t="s">
        <v>854</v>
      </c>
      <c r="F151" s="661">
        <v>43266</v>
      </c>
      <c r="G151" s="661">
        <v>43279</v>
      </c>
      <c r="H151" s="725">
        <f t="shared" ref="H151:H152" si="37">G151-F151</f>
        <v>13</v>
      </c>
      <c r="I151" s="656"/>
      <c r="J151" s="649"/>
      <c r="K151" s="649"/>
      <c r="L151" s="643"/>
      <c r="N151" s="560"/>
    </row>
    <row r="152" spans="1:14" ht="13.5" hidden="1" customHeight="1">
      <c r="A152" s="632">
        <v>840</v>
      </c>
      <c r="B152" s="644" t="s">
        <v>851</v>
      </c>
      <c r="C152" s="397" t="s">
        <v>2741</v>
      </c>
      <c r="D152" s="642" t="s">
        <v>855</v>
      </c>
      <c r="E152" s="643" t="s">
        <v>854</v>
      </c>
      <c r="F152" s="661">
        <v>43266</v>
      </c>
      <c r="G152" s="661">
        <v>43278</v>
      </c>
      <c r="H152" s="725">
        <f t="shared" si="37"/>
        <v>12</v>
      </c>
      <c r="I152" s="656"/>
      <c r="J152" s="649"/>
      <c r="K152" s="649"/>
      <c r="L152" s="643"/>
      <c r="N152" s="560"/>
    </row>
    <row r="153" spans="1:14" ht="13.5" hidden="1" customHeight="1">
      <c r="A153" s="632">
        <v>841</v>
      </c>
      <c r="B153" s="644" t="s">
        <v>852</v>
      </c>
      <c r="C153" s="397" t="s">
        <v>3037</v>
      </c>
      <c r="D153" s="642" t="s">
        <v>857</v>
      </c>
      <c r="E153" s="643" t="s">
        <v>856</v>
      </c>
      <c r="F153" s="723">
        <v>43266</v>
      </c>
      <c r="G153" s="724"/>
      <c r="H153" s="725">
        <f t="shared" ref="H153" ca="1" si="38">N153-F153</f>
        <v>28.397539004632563</v>
      </c>
      <c r="I153" s="656"/>
      <c r="J153" s="649"/>
      <c r="K153" s="649"/>
      <c r="L153" s="643"/>
      <c r="N153" s="560">
        <f t="shared" ca="1" si="29"/>
        <v>43294.397539004633</v>
      </c>
    </row>
    <row r="154" spans="1:14" ht="13.5" hidden="1" customHeight="1">
      <c r="A154" s="632">
        <v>842</v>
      </c>
      <c r="B154" s="644" t="s">
        <v>851</v>
      </c>
      <c r="C154" s="397" t="s">
        <v>2674</v>
      </c>
      <c r="D154" s="642" t="s">
        <v>855</v>
      </c>
      <c r="E154" s="643" t="s">
        <v>854</v>
      </c>
      <c r="F154" s="661">
        <v>43266</v>
      </c>
      <c r="G154" s="661">
        <v>43278</v>
      </c>
      <c r="H154" s="725">
        <f t="shared" ref="H154:H160" si="39">G154-F154</f>
        <v>12</v>
      </c>
      <c r="I154" s="656"/>
      <c r="J154" s="649"/>
      <c r="K154" s="649"/>
      <c r="L154" s="643"/>
      <c r="N154" s="560"/>
    </row>
    <row r="155" spans="1:14" ht="13.5" hidden="1" customHeight="1">
      <c r="A155" s="632">
        <v>843</v>
      </c>
      <c r="B155" s="644" t="s">
        <v>852</v>
      </c>
      <c r="C155" s="397" t="s">
        <v>3037</v>
      </c>
      <c r="D155" s="642" t="s">
        <v>855</v>
      </c>
      <c r="E155" s="643" t="s">
        <v>854</v>
      </c>
      <c r="F155" s="661">
        <v>43266</v>
      </c>
      <c r="G155" s="661">
        <v>43271</v>
      </c>
      <c r="H155" s="725">
        <f t="shared" si="39"/>
        <v>5</v>
      </c>
      <c r="I155" s="656"/>
      <c r="J155" s="650">
        <v>-2087.42</v>
      </c>
      <c r="K155" s="649">
        <v>837.5</v>
      </c>
      <c r="L155" s="643"/>
      <c r="N155" s="560"/>
    </row>
    <row r="156" spans="1:14" ht="13.5" customHeight="1">
      <c r="A156" s="632">
        <v>844</v>
      </c>
      <c r="B156" s="644" t="s">
        <v>852</v>
      </c>
      <c r="C156" s="397" t="s">
        <v>2543</v>
      </c>
      <c r="D156" s="642" t="s">
        <v>857</v>
      </c>
      <c r="E156" s="643" t="s">
        <v>856</v>
      </c>
      <c r="F156" s="661">
        <v>43269</v>
      </c>
      <c r="G156" s="661">
        <v>43280</v>
      </c>
      <c r="H156" s="725">
        <f t="shared" si="39"/>
        <v>11</v>
      </c>
      <c r="I156" s="656"/>
      <c r="J156" s="651"/>
      <c r="K156" s="649"/>
      <c r="L156" s="643"/>
      <c r="N156" s="560"/>
    </row>
    <row r="157" spans="1:14" ht="13.5" customHeight="1">
      <c r="A157" s="632">
        <v>845</v>
      </c>
      <c r="B157" s="644" t="s">
        <v>852</v>
      </c>
      <c r="C157" s="397" t="s">
        <v>2543</v>
      </c>
      <c r="D157" s="642" t="s">
        <v>855</v>
      </c>
      <c r="E157" s="643" t="s">
        <v>856</v>
      </c>
      <c r="F157" s="661">
        <v>43269</v>
      </c>
      <c r="G157" s="661">
        <v>43283</v>
      </c>
      <c r="H157" s="725">
        <f t="shared" si="39"/>
        <v>14</v>
      </c>
      <c r="I157" s="656"/>
      <c r="J157" s="651"/>
      <c r="K157" s="649"/>
      <c r="L157" s="643"/>
      <c r="N157" s="560"/>
    </row>
    <row r="158" spans="1:14" ht="13.5" hidden="1" customHeight="1">
      <c r="A158" s="632">
        <v>846</v>
      </c>
      <c r="B158" s="644" t="s">
        <v>851</v>
      </c>
      <c r="C158" s="397" t="s">
        <v>3075</v>
      </c>
      <c r="D158" s="642" t="s">
        <v>857</v>
      </c>
      <c r="E158" s="643" t="s">
        <v>854</v>
      </c>
      <c r="F158" s="661">
        <v>43269</v>
      </c>
      <c r="G158" s="661">
        <v>43280</v>
      </c>
      <c r="H158" s="725">
        <f t="shared" si="39"/>
        <v>11</v>
      </c>
      <c r="I158" s="656"/>
      <c r="J158" s="651"/>
      <c r="K158" s="649">
        <v>1065</v>
      </c>
      <c r="L158" s="643"/>
      <c r="N158" s="560"/>
    </row>
    <row r="159" spans="1:14" ht="13.5" hidden="1" customHeight="1">
      <c r="A159" s="632">
        <v>847</v>
      </c>
      <c r="B159" s="644" t="s">
        <v>851</v>
      </c>
      <c r="C159" s="397" t="s">
        <v>3088</v>
      </c>
      <c r="D159" s="642" t="s">
        <v>857</v>
      </c>
      <c r="E159" s="643" t="s">
        <v>854</v>
      </c>
      <c r="F159" s="661">
        <v>43269</v>
      </c>
      <c r="G159" s="661">
        <v>43280</v>
      </c>
      <c r="H159" s="725">
        <f t="shared" si="39"/>
        <v>11</v>
      </c>
      <c r="I159" s="656"/>
      <c r="J159" s="651"/>
      <c r="K159" s="649"/>
      <c r="L159" s="643"/>
      <c r="N159" s="560"/>
    </row>
    <row r="160" spans="1:14" ht="13.5" hidden="1" customHeight="1">
      <c r="A160" s="632">
        <v>848</v>
      </c>
      <c r="B160" s="644" t="s">
        <v>851</v>
      </c>
      <c r="C160" s="397" t="s">
        <v>3088</v>
      </c>
      <c r="D160" s="642" t="s">
        <v>855</v>
      </c>
      <c r="E160" s="643" t="s">
        <v>854</v>
      </c>
      <c r="F160" s="661">
        <v>43269</v>
      </c>
      <c r="G160" s="661">
        <v>43271</v>
      </c>
      <c r="H160" s="725">
        <f t="shared" si="39"/>
        <v>2</v>
      </c>
      <c r="I160" s="656"/>
      <c r="J160" s="651"/>
      <c r="K160" s="649"/>
      <c r="L160" s="643"/>
      <c r="N160" s="560"/>
    </row>
    <row r="161" spans="1:14" ht="13.5" hidden="1" customHeight="1">
      <c r="A161" s="632">
        <v>849</v>
      </c>
      <c r="B161" s="644" t="s">
        <v>852</v>
      </c>
      <c r="C161" s="397" t="s">
        <v>3025</v>
      </c>
      <c r="D161" s="642" t="s">
        <v>857</v>
      </c>
      <c r="E161" s="643" t="s">
        <v>854</v>
      </c>
      <c r="F161" s="661">
        <v>43270</v>
      </c>
      <c r="G161" s="661">
        <v>43283</v>
      </c>
      <c r="H161" s="725">
        <f t="shared" ref="H161" si="40">G161-F161</f>
        <v>13</v>
      </c>
      <c r="I161" s="656"/>
      <c r="J161" s="651"/>
      <c r="K161" s="649"/>
      <c r="L161" s="643"/>
      <c r="N161" s="560"/>
    </row>
    <row r="162" spans="1:14" ht="13.5" hidden="1" customHeight="1">
      <c r="A162" s="632">
        <v>850</v>
      </c>
      <c r="B162" s="644" t="s">
        <v>851</v>
      </c>
      <c r="C162" s="806" t="s">
        <v>2983</v>
      </c>
      <c r="D162" s="807" t="s">
        <v>857</v>
      </c>
      <c r="E162" s="643"/>
      <c r="F162" s="723"/>
      <c r="G162" s="805">
        <v>43283</v>
      </c>
      <c r="H162" s="837" t="s">
        <v>2343</v>
      </c>
      <c r="I162" s="656"/>
      <c r="J162" s="651"/>
      <c r="K162" s="649">
        <v>4293.8739999999998</v>
      </c>
      <c r="L162" s="808" t="s">
        <v>3119</v>
      </c>
      <c r="N162" s="560">
        <f t="shared" ref="N162:N225" ca="1" si="41">NOW()</f>
        <v>43294.397539004633</v>
      </c>
    </row>
    <row r="163" spans="1:14" ht="13.5" hidden="1" customHeight="1">
      <c r="A163" s="632">
        <v>851</v>
      </c>
      <c r="B163" s="644" t="s">
        <v>852</v>
      </c>
      <c r="C163" s="397" t="s">
        <v>2529</v>
      </c>
      <c r="D163" s="642" t="s">
        <v>855</v>
      </c>
      <c r="E163" s="643" t="s">
        <v>854</v>
      </c>
      <c r="F163" s="661">
        <v>43269</v>
      </c>
      <c r="G163" s="661">
        <v>43276</v>
      </c>
      <c r="H163" s="725">
        <f t="shared" ref="H163:H169" si="42">G163-F163</f>
        <v>7</v>
      </c>
      <c r="I163" s="656"/>
      <c r="J163" s="651"/>
      <c r="K163" s="649"/>
      <c r="L163" s="643"/>
      <c r="N163" s="560"/>
    </row>
    <row r="164" spans="1:14" ht="13.5" hidden="1" customHeight="1">
      <c r="A164" s="632">
        <v>852</v>
      </c>
      <c r="B164" s="644" t="s">
        <v>852</v>
      </c>
      <c r="C164" s="397" t="s">
        <v>2529</v>
      </c>
      <c r="D164" s="642" t="s">
        <v>857</v>
      </c>
      <c r="E164" s="643" t="s">
        <v>854</v>
      </c>
      <c r="F164" s="661">
        <v>43269</v>
      </c>
      <c r="G164" s="661">
        <v>43283</v>
      </c>
      <c r="H164" s="725">
        <f t="shared" si="42"/>
        <v>14</v>
      </c>
      <c r="I164" s="656"/>
      <c r="J164" s="651"/>
      <c r="K164" s="649"/>
      <c r="L164" s="643"/>
      <c r="N164" s="560"/>
    </row>
    <row r="165" spans="1:14" ht="13.5" hidden="1" customHeight="1">
      <c r="A165" s="632">
        <v>853</v>
      </c>
      <c r="B165" s="644" t="s">
        <v>852</v>
      </c>
      <c r="C165" s="397" t="s">
        <v>2914</v>
      </c>
      <c r="D165" s="642" t="s">
        <v>857</v>
      </c>
      <c r="E165" s="643" t="s">
        <v>854</v>
      </c>
      <c r="F165" s="661">
        <v>43270</v>
      </c>
      <c r="G165" s="661">
        <v>43283</v>
      </c>
      <c r="H165" s="725">
        <f t="shared" si="42"/>
        <v>13</v>
      </c>
      <c r="I165" s="656"/>
      <c r="J165" s="651"/>
      <c r="K165" s="649"/>
      <c r="L165" s="643"/>
      <c r="N165" s="560"/>
    </row>
    <row r="166" spans="1:14" ht="13.5" hidden="1" customHeight="1">
      <c r="A166" s="632">
        <v>854</v>
      </c>
      <c r="B166" s="644" t="s">
        <v>852</v>
      </c>
      <c r="C166" s="397" t="s">
        <v>2742</v>
      </c>
      <c r="D166" s="642" t="s">
        <v>850</v>
      </c>
      <c r="E166" s="643" t="s">
        <v>938</v>
      </c>
      <c r="F166" s="661">
        <v>43272</v>
      </c>
      <c r="G166" s="661">
        <v>43273</v>
      </c>
      <c r="H166" s="725">
        <f t="shared" si="42"/>
        <v>1</v>
      </c>
      <c r="I166" s="657">
        <f t="shared" ref="I166" si="43">N166-G166</f>
        <v>-43273</v>
      </c>
      <c r="J166" s="650"/>
      <c r="K166" s="650"/>
      <c r="L166" s="647" t="s">
        <v>3126</v>
      </c>
      <c r="M166" s="660"/>
      <c r="N166" s="654"/>
    </row>
    <row r="167" spans="1:14" ht="13.5" hidden="1" customHeight="1">
      <c r="A167" s="632">
        <v>855</v>
      </c>
      <c r="B167" s="644" t="s">
        <v>851</v>
      </c>
      <c r="C167" s="397" t="s">
        <v>2385</v>
      </c>
      <c r="D167" s="642" t="s">
        <v>850</v>
      </c>
      <c r="E167" s="643" t="s">
        <v>938</v>
      </c>
      <c r="F167" s="661">
        <v>43272</v>
      </c>
      <c r="G167" s="661">
        <v>43272</v>
      </c>
      <c r="H167" s="725">
        <f t="shared" si="42"/>
        <v>0</v>
      </c>
      <c r="I167" s="657">
        <f>N167-G167</f>
        <v>5</v>
      </c>
      <c r="J167" s="650"/>
      <c r="K167" s="650"/>
      <c r="L167" s="647" t="s">
        <v>3219</v>
      </c>
      <c r="M167" s="660"/>
      <c r="N167" s="654">
        <v>43277</v>
      </c>
    </row>
    <row r="168" spans="1:14" ht="13.5" hidden="1" customHeight="1">
      <c r="A168" s="632">
        <v>856</v>
      </c>
      <c r="B168" s="644" t="s">
        <v>852</v>
      </c>
      <c r="C168" s="397" t="s">
        <v>2560</v>
      </c>
      <c r="D168" s="642" t="s">
        <v>857</v>
      </c>
      <c r="E168" s="643" t="s">
        <v>854</v>
      </c>
      <c r="F168" s="661">
        <v>43271</v>
      </c>
      <c r="G168" s="661">
        <v>43284</v>
      </c>
      <c r="H168" s="725">
        <f t="shared" si="42"/>
        <v>13</v>
      </c>
      <c r="I168" s="656"/>
      <c r="J168" s="651"/>
      <c r="K168" s="649"/>
      <c r="L168" s="643"/>
      <c r="N168" s="560"/>
    </row>
    <row r="169" spans="1:14" ht="13.5" hidden="1" customHeight="1">
      <c r="A169" s="632">
        <v>857</v>
      </c>
      <c r="B169" s="644" t="s">
        <v>2765</v>
      </c>
      <c r="C169" s="397" t="s">
        <v>3010</v>
      </c>
      <c r="D169" s="642" t="s">
        <v>3102</v>
      </c>
      <c r="E169" s="643" t="s">
        <v>854</v>
      </c>
      <c r="F169" s="723">
        <v>43259</v>
      </c>
      <c r="G169" s="723">
        <v>43265</v>
      </c>
      <c r="H169" s="725">
        <f t="shared" si="42"/>
        <v>6</v>
      </c>
      <c r="I169" s="656"/>
      <c r="J169" s="651"/>
      <c r="K169" s="649"/>
      <c r="L169" s="810" t="s">
        <v>3211</v>
      </c>
      <c r="N169" s="560"/>
    </row>
    <row r="170" spans="1:14" ht="13.5" hidden="1" customHeight="1">
      <c r="A170" s="632">
        <v>858</v>
      </c>
      <c r="B170" s="644" t="s">
        <v>2765</v>
      </c>
      <c r="C170" s="397" t="s">
        <v>3053</v>
      </c>
      <c r="D170" s="642" t="s">
        <v>3102</v>
      </c>
      <c r="E170" s="643" t="s">
        <v>854</v>
      </c>
      <c r="F170" s="723">
        <v>43264</v>
      </c>
      <c r="G170" s="723">
        <v>43265</v>
      </c>
      <c r="H170" s="725">
        <f t="shared" ref="H170:H171" si="44">G170-F170</f>
        <v>1</v>
      </c>
      <c r="I170" s="656"/>
      <c r="J170" s="651"/>
      <c r="K170" s="649"/>
      <c r="L170" s="810" t="s">
        <v>3212</v>
      </c>
      <c r="N170" s="560"/>
    </row>
    <row r="171" spans="1:14" ht="13.5" hidden="1" customHeight="1">
      <c r="A171" s="632">
        <v>859</v>
      </c>
      <c r="B171" s="644" t="s">
        <v>2765</v>
      </c>
      <c r="C171" s="397" t="s">
        <v>3045</v>
      </c>
      <c r="D171" s="642" t="s">
        <v>3102</v>
      </c>
      <c r="E171" s="643" t="s">
        <v>854</v>
      </c>
      <c r="F171" s="723">
        <v>43263</v>
      </c>
      <c r="G171" s="723">
        <v>43265</v>
      </c>
      <c r="H171" s="725">
        <f t="shared" si="44"/>
        <v>2</v>
      </c>
      <c r="I171" s="656"/>
      <c r="J171" s="651"/>
      <c r="K171" s="649"/>
      <c r="L171" s="810" t="s">
        <v>3213</v>
      </c>
      <c r="N171" s="560"/>
    </row>
    <row r="172" spans="1:14" ht="13.5" hidden="1" customHeight="1">
      <c r="A172" s="632">
        <v>860</v>
      </c>
      <c r="B172" s="644" t="s">
        <v>2765</v>
      </c>
      <c r="C172" s="397" t="s">
        <v>3022</v>
      </c>
      <c r="D172" s="642" t="s">
        <v>3102</v>
      </c>
      <c r="E172" s="643" t="s">
        <v>854</v>
      </c>
      <c r="F172" s="723">
        <v>43263</v>
      </c>
      <c r="G172" s="723">
        <v>43265</v>
      </c>
      <c r="H172" s="725">
        <f>G172-F172</f>
        <v>2</v>
      </c>
      <c r="I172" s="656"/>
      <c r="J172" s="651"/>
      <c r="K172" s="649"/>
      <c r="L172" s="810" t="s">
        <v>3214</v>
      </c>
      <c r="N172" s="560"/>
    </row>
    <row r="173" spans="1:14" ht="13.5" hidden="1" customHeight="1">
      <c r="A173" s="632">
        <v>861</v>
      </c>
      <c r="B173" s="644" t="s">
        <v>2765</v>
      </c>
      <c r="C173" s="397" t="s">
        <v>3009</v>
      </c>
      <c r="D173" s="642" t="s">
        <v>3102</v>
      </c>
      <c r="E173" s="643" t="s">
        <v>854</v>
      </c>
      <c r="F173" s="723">
        <v>43259</v>
      </c>
      <c r="G173" s="723">
        <v>43265</v>
      </c>
      <c r="H173" s="725">
        <f>G173-F173</f>
        <v>6</v>
      </c>
      <c r="I173" s="656"/>
      <c r="J173" s="651"/>
      <c r="K173" s="649"/>
      <c r="L173" s="810" t="s">
        <v>3215</v>
      </c>
      <c r="N173" s="560"/>
    </row>
    <row r="174" spans="1:14" ht="13.5" hidden="1" customHeight="1">
      <c r="A174" s="632">
        <v>862</v>
      </c>
      <c r="B174" s="644" t="s">
        <v>2765</v>
      </c>
      <c r="C174" s="397" t="s">
        <v>3046</v>
      </c>
      <c r="D174" s="642" t="s">
        <v>3102</v>
      </c>
      <c r="E174" s="643" t="s">
        <v>854</v>
      </c>
      <c r="F174" s="723">
        <v>43264</v>
      </c>
      <c r="G174" s="723">
        <v>43265</v>
      </c>
      <c r="H174" s="725">
        <f>G174-F174</f>
        <v>1</v>
      </c>
      <c r="I174" s="656"/>
      <c r="J174" s="651"/>
      <c r="K174" s="649"/>
      <c r="L174" s="810" t="s">
        <v>3216</v>
      </c>
      <c r="N174" s="560"/>
    </row>
    <row r="175" spans="1:14" ht="13.5" hidden="1" customHeight="1">
      <c r="A175" s="632">
        <v>863</v>
      </c>
      <c r="B175" s="644" t="s">
        <v>852</v>
      </c>
      <c r="C175" s="397" t="s">
        <v>3039</v>
      </c>
      <c r="D175" s="642" t="s">
        <v>3102</v>
      </c>
      <c r="E175" s="643" t="s">
        <v>854</v>
      </c>
      <c r="F175" s="723">
        <v>43263</v>
      </c>
      <c r="G175" s="723">
        <v>43265</v>
      </c>
      <c r="H175" s="725">
        <f>G175-F175</f>
        <v>2</v>
      </c>
      <c r="I175" s="656"/>
      <c r="J175" s="651"/>
      <c r="K175" s="649"/>
      <c r="L175" s="810" t="s">
        <v>3217</v>
      </c>
      <c r="N175" s="560"/>
    </row>
    <row r="176" spans="1:14" ht="13.5" hidden="1" customHeight="1">
      <c r="A176" s="632">
        <v>864</v>
      </c>
      <c r="B176" s="644" t="s">
        <v>851</v>
      </c>
      <c r="C176" s="397" t="s">
        <v>2736</v>
      </c>
      <c r="D176" s="642" t="s">
        <v>857</v>
      </c>
      <c r="E176" s="643" t="s">
        <v>854</v>
      </c>
      <c r="F176" s="661">
        <v>43271</v>
      </c>
      <c r="G176" s="661">
        <v>43285</v>
      </c>
      <c r="H176" s="725">
        <f>G176-F176</f>
        <v>14</v>
      </c>
      <c r="I176" s="656"/>
      <c r="J176" s="651"/>
      <c r="K176" s="649"/>
      <c r="L176" s="643"/>
      <c r="N176" s="560"/>
    </row>
    <row r="177" spans="1:15" ht="13.5" hidden="1" customHeight="1">
      <c r="A177" s="632">
        <v>865</v>
      </c>
      <c r="B177" s="644" t="s">
        <v>852</v>
      </c>
      <c r="C177" s="397" t="s">
        <v>3032</v>
      </c>
      <c r="D177" s="642" t="s">
        <v>850</v>
      </c>
      <c r="E177" s="643" t="s">
        <v>856</v>
      </c>
      <c r="F177" s="661">
        <v>43273</v>
      </c>
      <c r="G177" s="661">
        <v>43274</v>
      </c>
      <c r="H177" s="725">
        <f t="shared" ref="H177" si="45">G177-F177</f>
        <v>1</v>
      </c>
      <c r="I177" s="657">
        <f>N177-G177</f>
        <v>5</v>
      </c>
      <c r="J177" s="650"/>
      <c r="K177" s="650"/>
      <c r="L177" s="647" t="s">
        <v>3221</v>
      </c>
      <c r="M177" s="660"/>
      <c r="N177" s="654">
        <v>43279</v>
      </c>
    </row>
    <row r="178" spans="1:15" ht="13.5" hidden="1" customHeight="1">
      <c r="A178" s="632">
        <v>866</v>
      </c>
      <c r="B178" s="644" t="s">
        <v>852</v>
      </c>
      <c r="C178" s="397" t="s">
        <v>2652</v>
      </c>
      <c r="D178" s="642" t="s">
        <v>850</v>
      </c>
      <c r="E178" s="643" t="s">
        <v>938</v>
      </c>
      <c r="F178" s="661">
        <v>43273</v>
      </c>
      <c r="G178" s="661">
        <v>43277</v>
      </c>
      <c r="H178" s="725">
        <f>G178-F178</f>
        <v>4</v>
      </c>
      <c r="I178" s="657">
        <f>N178-G178</f>
        <v>2</v>
      </c>
      <c r="J178" s="650"/>
      <c r="K178" s="650"/>
      <c r="L178" s="647" t="s">
        <v>3222</v>
      </c>
      <c r="M178" s="660"/>
      <c r="N178" s="654">
        <v>43279</v>
      </c>
    </row>
    <row r="179" spans="1:15" ht="13.5" hidden="1" customHeight="1">
      <c r="A179" s="632">
        <v>867</v>
      </c>
      <c r="B179" s="644" t="s">
        <v>852</v>
      </c>
      <c r="C179" s="397" t="s">
        <v>2694</v>
      </c>
      <c r="D179" s="642" t="s">
        <v>850</v>
      </c>
      <c r="E179" s="643" t="s">
        <v>938</v>
      </c>
      <c r="F179" s="661">
        <v>43273</v>
      </c>
      <c r="G179" s="661">
        <v>43276</v>
      </c>
      <c r="H179" s="725">
        <f>G179-F179</f>
        <v>3</v>
      </c>
      <c r="I179" s="657">
        <f>N179-G179</f>
        <v>3</v>
      </c>
      <c r="J179" s="650"/>
      <c r="K179" s="650"/>
      <c r="L179" s="647" t="s">
        <v>3220</v>
      </c>
      <c r="M179" s="660"/>
      <c r="N179" s="654">
        <v>43279</v>
      </c>
      <c r="O179" s="660"/>
    </row>
    <row r="180" spans="1:15" ht="13.5" hidden="1" customHeight="1">
      <c r="A180" s="632">
        <v>868</v>
      </c>
      <c r="B180" s="644" t="s">
        <v>852</v>
      </c>
      <c r="C180" s="397" t="s">
        <v>2740</v>
      </c>
      <c r="D180" s="642" t="s">
        <v>850</v>
      </c>
      <c r="E180" s="643" t="s">
        <v>938</v>
      </c>
      <c r="F180" s="661">
        <v>43272</v>
      </c>
      <c r="G180" s="661">
        <v>43276</v>
      </c>
      <c r="H180" s="725">
        <f>G180-F180</f>
        <v>4</v>
      </c>
      <c r="I180" s="657">
        <f>N180-G180</f>
        <v>1</v>
      </c>
      <c r="J180" s="650"/>
      <c r="K180" s="650"/>
      <c r="L180" s="647" t="s">
        <v>3210</v>
      </c>
      <c r="M180" s="660"/>
      <c r="N180" s="654">
        <v>43277</v>
      </c>
    </row>
    <row r="181" spans="1:15" ht="13.5" hidden="1" customHeight="1">
      <c r="A181" s="632">
        <v>869</v>
      </c>
      <c r="B181" s="644" t="s">
        <v>852</v>
      </c>
      <c r="C181" s="397" t="s">
        <v>2560</v>
      </c>
      <c r="D181" s="642" t="s">
        <v>855</v>
      </c>
      <c r="E181" s="643" t="s">
        <v>854</v>
      </c>
      <c r="F181" s="661">
        <v>43273</v>
      </c>
      <c r="G181" s="661">
        <v>43277</v>
      </c>
      <c r="H181" s="725">
        <f>G181-F181</f>
        <v>4</v>
      </c>
      <c r="I181" s="656"/>
      <c r="J181" s="651"/>
      <c r="K181" s="649"/>
      <c r="L181" s="643"/>
      <c r="N181" s="560"/>
    </row>
    <row r="182" spans="1:15" ht="13.5" hidden="1" customHeight="1">
      <c r="A182" s="632">
        <v>870</v>
      </c>
      <c r="B182" s="644" t="s">
        <v>852</v>
      </c>
      <c r="C182" s="397" t="s">
        <v>2186</v>
      </c>
      <c r="D182" s="642" t="s">
        <v>857</v>
      </c>
      <c r="E182" s="643" t="s">
        <v>856</v>
      </c>
      <c r="F182" s="723">
        <v>43273</v>
      </c>
      <c r="G182" s="723">
        <v>43286</v>
      </c>
      <c r="H182" s="841">
        <f>G182-F182</f>
        <v>13</v>
      </c>
      <c r="I182" s="656"/>
      <c r="J182" s="651"/>
      <c r="K182" s="649"/>
      <c r="L182" s="643"/>
      <c r="N182" s="560">
        <f t="shared" ca="1" si="41"/>
        <v>43294.397539004633</v>
      </c>
    </row>
    <row r="183" spans="1:15" ht="13.5" hidden="1" customHeight="1">
      <c r="A183" s="632">
        <v>871</v>
      </c>
      <c r="B183" s="644" t="s">
        <v>852</v>
      </c>
      <c r="C183" s="397" t="s">
        <v>2186</v>
      </c>
      <c r="D183" s="642" t="s">
        <v>855</v>
      </c>
      <c r="E183" s="643" t="s">
        <v>856</v>
      </c>
      <c r="F183" s="723">
        <v>43273</v>
      </c>
      <c r="G183" s="724"/>
      <c r="H183" s="725">
        <f t="shared" ref="H183:H189" ca="1" si="46">N183-F183</f>
        <v>21.397539004632563</v>
      </c>
      <c r="I183" s="656"/>
      <c r="J183" s="651">
        <v>11374.176475000002</v>
      </c>
      <c r="K183" s="649">
        <v>13199.366475000003</v>
      </c>
      <c r="L183" s="643"/>
      <c r="N183" s="560">
        <f t="shared" ca="1" si="41"/>
        <v>43294.397539004633</v>
      </c>
    </row>
    <row r="184" spans="1:15" ht="13.5" hidden="1" customHeight="1">
      <c r="A184" s="632">
        <v>872</v>
      </c>
      <c r="B184" s="644" t="s">
        <v>852</v>
      </c>
      <c r="C184" s="397" t="s">
        <v>2348</v>
      </c>
      <c r="D184" s="642" t="s">
        <v>857</v>
      </c>
      <c r="E184" s="643" t="s">
        <v>856</v>
      </c>
      <c r="F184" s="661">
        <v>43273</v>
      </c>
      <c r="G184" s="661">
        <v>43286</v>
      </c>
      <c r="H184" s="725">
        <f>G184-F184</f>
        <v>13</v>
      </c>
      <c r="I184" s="656"/>
      <c r="J184" s="651"/>
      <c r="K184" s="649"/>
      <c r="L184" s="643"/>
      <c r="N184" s="560">
        <f t="shared" ca="1" si="41"/>
        <v>43294.397539004633</v>
      </c>
    </row>
    <row r="185" spans="1:15" ht="13.5" hidden="1" customHeight="1">
      <c r="A185" s="632">
        <v>873</v>
      </c>
      <c r="B185" s="644" t="s">
        <v>852</v>
      </c>
      <c r="C185" s="397" t="s">
        <v>2347</v>
      </c>
      <c r="D185" s="642" t="s">
        <v>857</v>
      </c>
      <c r="E185" s="643" t="s">
        <v>854</v>
      </c>
      <c r="F185" s="661">
        <v>43276</v>
      </c>
      <c r="G185" s="661">
        <v>43287</v>
      </c>
      <c r="H185" s="725">
        <f>G185-F185</f>
        <v>11</v>
      </c>
      <c r="I185" s="656"/>
      <c r="J185" s="651"/>
      <c r="K185" s="649"/>
      <c r="L185" s="643"/>
      <c r="N185" s="560"/>
    </row>
    <row r="186" spans="1:15" ht="13.5" hidden="1" customHeight="1">
      <c r="A186" s="632">
        <v>874</v>
      </c>
      <c r="B186" s="644" t="s">
        <v>851</v>
      </c>
      <c r="C186" s="397" t="s">
        <v>3049</v>
      </c>
      <c r="D186" s="642" t="s">
        <v>857</v>
      </c>
      <c r="E186" s="643" t="s">
        <v>854</v>
      </c>
      <c r="F186" s="661">
        <v>43276</v>
      </c>
      <c r="G186" s="661">
        <v>43287</v>
      </c>
      <c r="H186" s="725">
        <f>G186-F186</f>
        <v>11</v>
      </c>
      <c r="I186" s="656"/>
      <c r="J186" s="651"/>
      <c r="K186" s="649"/>
      <c r="L186" s="643"/>
      <c r="N186" s="560"/>
    </row>
    <row r="187" spans="1:15" ht="13.5" hidden="1" customHeight="1">
      <c r="A187" s="632">
        <v>875</v>
      </c>
      <c r="B187" s="644" t="s">
        <v>852</v>
      </c>
      <c r="C187" s="397" t="s">
        <v>3008</v>
      </c>
      <c r="D187" s="642" t="s">
        <v>857</v>
      </c>
      <c r="E187" s="643" t="s">
        <v>856</v>
      </c>
      <c r="F187" s="723">
        <v>43273</v>
      </c>
      <c r="G187" s="724"/>
      <c r="H187" s="725">
        <f t="shared" ca="1" si="46"/>
        <v>21.397539004632563</v>
      </c>
      <c r="I187" s="656"/>
      <c r="J187" s="651"/>
      <c r="K187" s="649"/>
      <c r="L187" s="643"/>
      <c r="N187" s="560">
        <f t="shared" ca="1" si="41"/>
        <v>43294.397539004633</v>
      </c>
    </row>
    <row r="188" spans="1:15" ht="13.5" hidden="1" customHeight="1">
      <c r="A188" s="632">
        <v>876</v>
      </c>
      <c r="B188" s="644" t="s">
        <v>852</v>
      </c>
      <c r="C188" s="397" t="s">
        <v>3008</v>
      </c>
      <c r="D188" s="642" t="s">
        <v>855</v>
      </c>
      <c r="E188" s="643" t="s">
        <v>856</v>
      </c>
      <c r="F188" s="723">
        <v>43277</v>
      </c>
      <c r="G188" s="724"/>
      <c r="H188" s="725">
        <f t="shared" ca="1" si="46"/>
        <v>17.397539004632563</v>
      </c>
      <c r="I188" s="656"/>
      <c r="J188" s="651"/>
      <c r="K188" s="649"/>
      <c r="L188" s="643"/>
      <c r="N188" s="560">
        <f t="shared" ca="1" si="41"/>
        <v>43294.397539004633</v>
      </c>
    </row>
    <row r="189" spans="1:15" ht="13.5" hidden="1" customHeight="1">
      <c r="A189" s="632">
        <v>877</v>
      </c>
      <c r="B189" s="644" t="s">
        <v>852</v>
      </c>
      <c r="C189" s="397" t="s">
        <v>2348</v>
      </c>
      <c r="D189" s="642" t="s">
        <v>855</v>
      </c>
      <c r="E189" s="643" t="s">
        <v>856</v>
      </c>
      <c r="F189" s="723">
        <v>43277</v>
      </c>
      <c r="G189" s="724"/>
      <c r="H189" s="725">
        <f t="shared" ca="1" si="46"/>
        <v>17.397539004632563</v>
      </c>
      <c r="I189" s="656"/>
      <c r="J189" s="651">
        <v>5141.04</v>
      </c>
      <c r="K189" s="649">
        <v>10882.54</v>
      </c>
      <c r="L189" s="643"/>
      <c r="N189" s="560">
        <f t="shared" ca="1" si="41"/>
        <v>43294.397539004633</v>
      </c>
    </row>
    <row r="190" spans="1:15" ht="13.5" hidden="1" customHeight="1">
      <c r="A190" s="632">
        <v>878</v>
      </c>
      <c r="B190" s="644" t="s">
        <v>852</v>
      </c>
      <c r="C190" s="397" t="s">
        <v>3025</v>
      </c>
      <c r="D190" s="642" t="s">
        <v>855</v>
      </c>
      <c r="E190" s="643" t="s">
        <v>856</v>
      </c>
      <c r="F190" s="723">
        <v>43278</v>
      </c>
      <c r="G190" s="724"/>
      <c r="H190" s="725">
        <f ca="1">N190-F190</f>
        <v>16.397539004632563</v>
      </c>
      <c r="I190" s="656"/>
      <c r="J190" s="651">
        <v>16441.630000000008</v>
      </c>
      <c r="K190" s="649">
        <v>25221.470000000008</v>
      </c>
      <c r="L190" s="643"/>
      <c r="N190" s="560">
        <f t="shared" ca="1" si="41"/>
        <v>43294.397539004633</v>
      </c>
    </row>
    <row r="191" spans="1:15" ht="13.5" hidden="1" customHeight="1">
      <c r="A191" s="632">
        <v>879</v>
      </c>
      <c r="B191" s="644" t="s">
        <v>852</v>
      </c>
      <c r="C191" s="397" t="s">
        <v>2669</v>
      </c>
      <c r="D191" s="642" t="s">
        <v>857</v>
      </c>
      <c r="E191" s="643" t="s">
        <v>856</v>
      </c>
      <c r="F191" s="661">
        <v>43278</v>
      </c>
      <c r="G191" s="661">
        <v>43290</v>
      </c>
      <c r="H191" s="725">
        <f>G191-F191</f>
        <v>12</v>
      </c>
      <c r="I191" s="656"/>
      <c r="J191" s="651"/>
      <c r="K191" s="649">
        <v>1734.4</v>
      </c>
      <c r="L191" s="643"/>
      <c r="N191" s="560">
        <f t="shared" ca="1" si="41"/>
        <v>43294.397539004633</v>
      </c>
    </row>
    <row r="192" spans="1:15" ht="13.5" hidden="1" customHeight="1">
      <c r="A192" s="632">
        <v>880</v>
      </c>
      <c r="B192" s="644" t="s">
        <v>852</v>
      </c>
      <c r="C192" s="397" t="s">
        <v>2320</v>
      </c>
      <c r="D192" s="642" t="s">
        <v>857</v>
      </c>
      <c r="E192" s="643" t="s">
        <v>856</v>
      </c>
      <c r="F192" s="661">
        <v>43278</v>
      </c>
      <c r="G192" s="661">
        <v>43290</v>
      </c>
      <c r="H192" s="725">
        <f>G192-F192</f>
        <v>12</v>
      </c>
      <c r="I192" s="656"/>
      <c r="J192" s="651"/>
      <c r="K192" s="649"/>
      <c r="L192" s="643"/>
      <c r="N192" s="560"/>
    </row>
    <row r="193" spans="1:14" ht="13.5" hidden="1" customHeight="1">
      <c r="A193" s="632">
        <v>881</v>
      </c>
      <c r="B193" s="644" t="s">
        <v>852</v>
      </c>
      <c r="C193" s="397" t="s">
        <v>2320</v>
      </c>
      <c r="D193" s="642" t="s">
        <v>855</v>
      </c>
      <c r="E193" s="643" t="s">
        <v>856</v>
      </c>
      <c r="F193" s="723">
        <v>43278</v>
      </c>
      <c r="G193" s="724"/>
      <c r="H193" s="725">
        <f t="shared" ref="H193:H203" ca="1" si="47">N193-F193</f>
        <v>16.397539004632563</v>
      </c>
      <c r="I193" s="656"/>
      <c r="J193" s="651">
        <v>10448.27</v>
      </c>
      <c r="K193" s="649">
        <v>11689.03</v>
      </c>
      <c r="L193" s="643"/>
      <c r="N193" s="560">
        <f t="shared" ca="1" si="41"/>
        <v>43294.397539004633</v>
      </c>
    </row>
    <row r="194" spans="1:14" ht="13.5" hidden="1" customHeight="1">
      <c r="A194" s="632">
        <v>882</v>
      </c>
      <c r="B194" s="644" t="s">
        <v>851</v>
      </c>
      <c r="C194" s="397" t="s">
        <v>3084</v>
      </c>
      <c r="D194" s="642" t="s">
        <v>857</v>
      </c>
      <c r="E194" s="643" t="s">
        <v>854</v>
      </c>
      <c r="F194" s="661">
        <v>43278</v>
      </c>
      <c r="G194" s="661">
        <v>43290</v>
      </c>
      <c r="H194" s="725">
        <f>G194-F194</f>
        <v>12</v>
      </c>
      <c r="I194" s="656"/>
      <c r="J194" s="651"/>
      <c r="K194" s="649"/>
      <c r="L194" s="643"/>
      <c r="N194" s="560"/>
    </row>
    <row r="195" spans="1:14" ht="13.5" hidden="1" customHeight="1">
      <c r="A195" s="632">
        <v>883</v>
      </c>
      <c r="B195" s="644" t="s">
        <v>851</v>
      </c>
      <c r="C195" s="397" t="s">
        <v>2629</v>
      </c>
      <c r="D195" s="642" t="s">
        <v>850</v>
      </c>
      <c r="E195" s="643" t="s">
        <v>938</v>
      </c>
      <c r="F195" s="661">
        <v>43279</v>
      </c>
      <c r="G195" s="661">
        <v>43284</v>
      </c>
      <c r="H195" s="725">
        <f t="shared" ref="H195:H196" si="48">G195-F195</f>
        <v>5</v>
      </c>
      <c r="I195" s="657">
        <f>N195-G195</f>
        <v>-43284</v>
      </c>
      <c r="J195" s="650"/>
      <c r="K195" s="650"/>
      <c r="L195" s="647" t="s">
        <v>3241</v>
      </c>
      <c r="M195" s="660"/>
      <c r="N195" s="654"/>
    </row>
    <row r="196" spans="1:14" ht="13.5" hidden="1" customHeight="1">
      <c r="A196" s="632">
        <v>884</v>
      </c>
      <c r="B196" s="644" t="s">
        <v>851</v>
      </c>
      <c r="C196" s="397" t="s">
        <v>2917</v>
      </c>
      <c r="D196" s="642" t="s">
        <v>850</v>
      </c>
      <c r="E196" s="643" t="s">
        <v>938</v>
      </c>
      <c r="F196" s="661">
        <v>43279</v>
      </c>
      <c r="G196" s="661">
        <v>43286</v>
      </c>
      <c r="H196" s="725">
        <f t="shared" si="48"/>
        <v>7</v>
      </c>
      <c r="I196" s="657">
        <f t="shared" ref="I196" si="49">N196-G196</f>
        <v>5</v>
      </c>
      <c r="J196" s="650"/>
      <c r="K196" s="650"/>
      <c r="L196" s="647" t="s">
        <v>3341</v>
      </c>
      <c r="M196" s="660"/>
      <c r="N196" s="654">
        <v>43291</v>
      </c>
    </row>
    <row r="197" spans="1:14" ht="13.5" hidden="1" customHeight="1">
      <c r="A197" s="632">
        <v>885</v>
      </c>
      <c r="B197" s="644" t="s">
        <v>851</v>
      </c>
      <c r="C197" s="397" t="s">
        <v>2741</v>
      </c>
      <c r="D197" s="642" t="s">
        <v>850</v>
      </c>
      <c r="E197" s="643" t="s">
        <v>856</v>
      </c>
      <c r="F197" s="661">
        <v>43279</v>
      </c>
      <c r="G197" s="661">
        <v>43284</v>
      </c>
      <c r="H197" s="725">
        <f t="shared" ref="H197" si="50">G197-F197</f>
        <v>5</v>
      </c>
      <c r="I197" s="657">
        <f>N197-G197</f>
        <v>-43284</v>
      </c>
      <c r="J197" s="650"/>
      <c r="K197" s="650"/>
      <c r="L197" s="647" t="s">
        <v>3241</v>
      </c>
      <c r="M197" s="660"/>
      <c r="N197" s="654"/>
    </row>
    <row r="198" spans="1:14" ht="13.5" hidden="1" customHeight="1">
      <c r="A198" s="632">
        <v>886</v>
      </c>
      <c r="B198" s="644" t="s">
        <v>851</v>
      </c>
      <c r="C198" s="397" t="s">
        <v>2674</v>
      </c>
      <c r="D198" s="642" t="s">
        <v>850</v>
      </c>
      <c r="E198" s="643" t="s">
        <v>856</v>
      </c>
      <c r="F198" s="661">
        <v>43279</v>
      </c>
      <c r="G198" s="661">
        <v>43284</v>
      </c>
      <c r="H198" s="725">
        <f t="shared" ref="H198" si="51">G198-F198</f>
        <v>5</v>
      </c>
      <c r="I198" s="657">
        <f>N198-G198</f>
        <v>-43284</v>
      </c>
      <c r="J198" s="650"/>
      <c r="K198" s="650"/>
      <c r="L198" s="647" t="s">
        <v>3241</v>
      </c>
      <c r="M198" s="660"/>
      <c r="N198" s="654"/>
    </row>
    <row r="199" spans="1:14" ht="13.5" hidden="1" customHeight="1">
      <c r="A199" s="632">
        <v>887</v>
      </c>
      <c r="B199" s="644" t="s">
        <v>852</v>
      </c>
      <c r="C199" s="397" t="s">
        <v>2682</v>
      </c>
      <c r="D199" s="642" t="s">
        <v>857</v>
      </c>
      <c r="E199" s="643" t="s">
        <v>856</v>
      </c>
      <c r="F199" s="661">
        <v>43280</v>
      </c>
      <c r="G199" s="661">
        <v>43292</v>
      </c>
      <c r="H199" s="725">
        <f>G199-F199</f>
        <v>12</v>
      </c>
      <c r="I199" s="656"/>
      <c r="J199" s="651"/>
      <c r="K199" s="649"/>
      <c r="L199" s="643"/>
      <c r="N199" s="560">
        <f t="shared" ca="1" si="41"/>
        <v>43294.397539004633</v>
      </c>
    </row>
    <row r="200" spans="1:14" ht="13.5" hidden="1" customHeight="1">
      <c r="A200" s="632">
        <v>888</v>
      </c>
      <c r="B200" s="644" t="s">
        <v>851</v>
      </c>
      <c r="C200" s="397" t="s">
        <v>2736</v>
      </c>
      <c r="D200" s="642" t="s">
        <v>855</v>
      </c>
      <c r="E200" s="643" t="s">
        <v>856</v>
      </c>
      <c r="F200" s="723">
        <v>43280</v>
      </c>
      <c r="G200" s="724"/>
      <c r="H200" s="725">
        <f t="shared" ca="1" si="47"/>
        <v>14.397539004632563</v>
      </c>
      <c r="I200" s="656"/>
      <c r="J200" s="651">
        <v>-120</v>
      </c>
      <c r="K200" s="649">
        <v>7649.35</v>
      </c>
      <c r="L200" s="643"/>
      <c r="N200" s="560">
        <f t="shared" ca="1" si="41"/>
        <v>43294.397539004633</v>
      </c>
    </row>
    <row r="201" spans="1:14" ht="13.5" hidden="1" customHeight="1">
      <c r="A201" s="632">
        <v>889</v>
      </c>
      <c r="B201" s="644" t="s">
        <v>852</v>
      </c>
      <c r="C201" s="397" t="s">
        <v>2682</v>
      </c>
      <c r="D201" s="642" t="s">
        <v>855</v>
      </c>
      <c r="E201" s="643" t="s">
        <v>856</v>
      </c>
      <c r="F201" s="723">
        <v>43280</v>
      </c>
      <c r="G201" s="724"/>
      <c r="H201" s="725">
        <f t="shared" ca="1" si="47"/>
        <v>14.397539004632563</v>
      </c>
      <c r="I201" s="656"/>
      <c r="J201" s="651">
        <v>5576.54</v>
      </c>
      <c r="K201" s="649">
        <v>6946.6399999999994</v>
      </c>
      <c r="L201" s="643"/>
      <c r="N201" s="560">
        <f t="shared" ca="1" si="41"/>
        <v>43294.397539004633</v>
      </c>
    </row>
    <row r="202" spans="1:14" ht="13.5" hidden="1" customHeight="1">
      <c r="A202" s="632">
        <v>890</v>
      </c>
      <c r="B202" s="644" t="s">
        <v>852</v>
      </c>
      <c r="C202" s="397" t="s">
        <v>2881</v>
      </c>
      <c r="D202" s="642" t="s">
        <v>857</v>
      </c>
      <c r="E202" s="643" t="s">
        <v>854</v>
      </c>
      <c r="F202" s="661">
        <v>43280</v>
      </c>
      <c r="G202" s="661">
        <v>43292</v>
      </c>
      <c r="H202" s="725">
        <f>G202-F202</f>
        <v>12</v>
      </c>
      <c r="I202" s="656"/>
      <c r="J202" s="651"/>
      <c r="K202" s="649"/>
      <c r="L202" s="643"/>
      <c r="N202" s="560"/>
    </row>
    <row r="203" spans="1:14" ht="13.5" hidden="1" customHeight="1">
      <c r="A203" s="632">
        <v>891</v>
      </c>
      <c r="B203" s="644" t="s">
        <v>852</v>
      </c>
      <c r="C203" s="397" t="s">
        <v>3061</v>
      </c>
      <c r="D203" s="642" t="s">
        <v>857</v>
      </c>
      <c r="E203" s="643" t="s">
        <v>856</v>
      </c>
      <c r="F203" s="661">
        <v>43281</v>
      </c>
      <c r="G203" s="661">
        <v>43292</v>
      </c>
      <c r="H203" s="725">
        <f>G203-F203</f>
        <v>11</v>
      </c>
      <c r="I203" s="656"/>
      <c r="J203" s="651"/>
      <c r="K203" s="649">
        <v>4296.8100000000004</v>
      </c>
      <c r="L203" s="643"/>
      <c r="N203" s="560"/>
    </row>
    <row r="204" spans="1:14" ht="13.5" hidden="1" customHeight="1">
      <c r="A204" s="632">
        <v>892</v>
      </c>
      <c r="B204" s="644" t="s">
        <v>852</v>
      </c>
      <c r="C204" s="397" t="s">
        <v>2914</v>
      </c>
      <c r="D204" s="642" t="s">
        <v>855</v>
      </c>
      <c r="E204" s="643" t="s">
        <v>854</v>
      </c>
      <c r="F204" s="723">
        <v>43283</v>
      </c>
      <c r="G204" s="723">
        <v>43285</v>
      </c>
      <c r="H204" s="725">
        <f t="shared" ref="H204" si="52">G204-F204</f>
        <v>2</v>
      </c>
      <c r="I204" s="656"/>
      <c r="J204" s="651"/>
      <c r="K204" s="649"/>
      <c r="L204" s="643"/>
      <c r="N204" s="560"/>
    </row>
    <row r="205" spans="1:14" ht="13.5" hidden="1" customHeight="1">
      <c r="A205" s="632">
        <v>893</v>
      </c>
      <c r="B205" s="644" t="s">
        <v>852</v>
      </c>
      <c r="C205" s="397" t="s">
        <v>2669</v>
      </c>
      <c r="D205" s="642" t="s">
        <v>855</v>
      </c>
      <c r="E205" s="643" t="s">
        <v>856</v>
      </c>
      <c r="F205" s="723">
        <v>43283</v>
      </c>
      <c r="G205" s="724"/>
      <c r="H205" s="725">
        <f t="shared" ref="H205" ca="1" si="53">N205-F205</f>
        <v>11.397539004632563</v>
      </c>
      <c r="I205" s="656"/>
      <c r="J205" s="651">
        <v>13956.892000000005</v>
      </c>
      <c r="K205" s="649">
        <v>15691.292000000005</v>
      </c>
      <c r="L205" s="643"/>
      <c r="N205" s="560">
        <f t="shared" ca="1" si="41"/>
        <v>43294.397539004633</v>
      </c>
    </row>
    <row r="206" spans="1:14" ht="13.5" hidden="1" customHeight="1">
      <c r="A206" s="632">
        <v>894</v>
      </c>
      <c r="B206" s="644" t="s">
        <v>852</v>
      </c>
      <c r="C206" s="397" t="s">
        <v>2881</v>
      </c>
      <c r="D206" s="642" t="s">
        <v>855</v>
      </c>
      <c r="E206" s="643" t="s">
        <v>856</v>
      </c>
      <c r="F206" s="723">
        <v>43283</v>
      </c>
      <c r="G206" s="724"/>
      <c r="H206" s="725">
        <f t="shared" ref="H206:H207" ca="1" si="54">N206-F206</f>
        <v>11.397539004632563</v>
      </c>
      <c r="I206" s="656"/>
      <c r="J206" s="651">
        <v>14474.66</v>
      </c>
      <c r="K206" s="649">
        <v>15922.126000000002</v>
      </c>
      <c r="L206" s="643"/>
      <c r="N206" s="560">
        <f t="shared" ca="1" si="41"/>
        <v>43294.397539004633</v>
      </c>
    </row>
    <row r="207" spans="1:14" ht="13.5" hidden="1" customHeight="1">
      <c r="A207" s="632">
        <v>895</v>
      </c>
      <c r="B207" s="644" t="s">
        <v>851</v>
      </c>
      <c r="C207" s="397" t="s">
        <v>3088</v>
      </c>
      <c r="D207" s="642" t="s">
        <v>850</v>
      </c>
      <c r="E207" s="643" t="s">
        <v>856</v>
      </c>
      <c r="F207" s="723">
        <v>43283</v>
      </c>
      <c r="G207" s="724"/>
      <c r="H207" s="725">
        <f t="shared" ca="1" si="54"/>
        <v>11.397539004632563</v>
      </c>
      <c r="I207" s="656"/>
      <c r="J207" s="651">
        <v>3749.57</v>
      </c>
      <c r="K207" s="649">
        <v>6989.52</v>
      </c>
      <c r="L207" s="643"/>
      <c r="N207" s="560">
        <f t="shared" ca="1" si="41"/>
        <v>43294.397539004633</v>
      </c>
    </row>
    <row r="208" spans="1:14" ht="13.5" hidden="1" customHeight="1">
      <c r="A208" s="632">
        <v>896</v>
      </c>
      <c r="B208" s="644" t="s">
        <v>851</v>
      </c>
      <c r="C208" s="397" t="s">
        <v>3075</v>
      </c>
      <c r="D208" s="642" t="s">
        <v>850</v>
      </c>
      <c r="E208" s="643" t="s">
        <v>938</v>
      </c>
      <c r="F208" s="661">
        <v>43283</v>
      </c>
      <c r="G208" s="661">
        <v>43284</v>
      </c>
      <c r="H208" s="725">
        <f t="shared" ref="H208:H209" si="55">G208-F208</f>
        <v>1</v>
      </c>
      <c r="I208" s="657">
        <f>N208-G208</f>
        <v>-43284</v>
      </c>
      <c r="J208" s="650"/>
      <c r="K208" s="650"/>
      <c r="L208" s="647" t="s">
        <v>3241</v>
      </c>
      <c r="M208" s="660"/>
      <c r="N208" s="654"/>
    </row>
    <row r="209" spans="1:15" ht="13.5" hidden="1" customHeight="1">
      <c r="A209" s="632">
        <v>897</v>
      </c>
      <c r="B209" s="644" t="s">
        <v>852</v>
      </c>
      <c r="C209" s="397" t="s">
        <v>2529</v>
      </c>
      <c r="D209" s="642" t="s">
        <v>850</v>
      </c>
      <c r="E209" s="643" t="s">
        <v>938</v>
      </c>
      <c r="F209" s="661">
        <v>43284</v>
      </c>
      <c r="G209" s="661">
        <v>43286</v>
      </c>
      <c r="H209" s="725">
        <f t="shared" si="55"/>
        <v>2</v>
      </c>
      <c r="I209" s="657">
        <f>N209-G209</f>
        <v>5</v>
      </c>
      <c r="J209" s="650"/>
      <c r="K209" s="650"/>
      <c r="L209" s="647" t="s">
        <v>3342</v>
      </c>
      <c r="M209" s="660"/>
      <c r="N209" s="654">
        <v>43291</v>
      </c>
      <c r="O209" s="660"/>
    </row>
    <row r="210" spans="1:15" ht="13.5" hidden="1" customHeight="1">
      <c r="A210" s="632">
        <v>898</v>
      </c>
      <c r="B210" s="644" t="s">
        <v>852</v>
      </c>
      <c r="C210" s="397" t="s">
        <v>2769</v>
      </c>
      <c r="D210" s="642" t="s">
        <v>850</v>
      </c>
      <c r="E210" s="643" t="s">
        <v>938</v>
      </c>
      <c r="F210" s="661">
        <v>43284</v>
      </c>
      <c r="G210" s="661">
        <v>43286</v>
      </c>
      <c r="H210" s="725">
        <f>G210-F210</f>
        <v>2</v>
      </c>
      <c r="I210" s="657">
        <f>N210-G210</f>
        <v>5</v>
      </c>
      <c r="J210" s="650"/>
      <c r="K210" s="650"/>
      <c r="L210" s="647" t="s">
        <v>3342</v>
      </c>
      <c r="M210" s="660"/>
      <c r="N210" s="654">
        <v>43291</v>
      </c>
    </row>
    <row r="211" spans="1:15" ht="13.5" customHeight="1">
      <c r="A211" s="632">
        <v>899</v>
      </c>
      <c r="B211" s="644" t="s">
        <v>852</v>
      </c>
      <c r="C211" s="397" t="s">
        <v>2543</v>
      </c>
      <c r="D211" s="642" t="s">
        <v>850</v>
      </c>
      <c r="E211" s="643" t="s">
        <v>938</v>
      </c>
      <c r="F211" s="661">
        <v>43284</v>
      </c>
      <c r="G211" s="661">
        <v>43287</v>
      </c>
      <c r="H211" s="725">
        <f t="shared" ref="H211" si="56">G211-F211</f>
        <v>3</v>
      </c>
      <c r="I211" s="657">
        <f>N211-G211</f>
        <v>4</v>
      </c>
      <c r="J211" s="650"/>
      <c r="K211" s="650"/>
      <c r="L211" s="647" t="s">
        <v>3345</v>
      </c>
      <c r="M211" s="660"/>
      <c r="N211" s="654">
        <v>43291</v>
      </c>
    </row>
    <row r="212" spans="1:15" ht="13.5" hidden="1" customHeight="1">
      <c r="A212" s="632">
        <v>900</v>
      </c>
      <c r="B212" s="644" t="s">
        <v>852</v>
      </c>
      <c r="C212" s="397" t="s">
        <v>2560</v>
      </c>
      <c r="D212" s="642" t="s">
        <v>850</v>
      </c>
      <c r="E212" s="643" t="s">
        <v>938</v>
      </c>
      <c r="F212" s="723">
        <v>43284</v>
      </c>
      <c r="G212" s="723">
        <v>43286</v>
      </c>
      <c r="H212" s="725">
        <f>G212-F212</f>
        <v>2</v>
      </c>
      <c r="I212" s="657">
        <f>N212-G212</f>
        <v>5</v>
      </c>
      <c r="J212" s="650"/>
      <c r="K212" s="650"/>
      <c r="L212" s="647" t="s">
        <v>3342</v>
      </c>
      <c r="M212" s="660"/>
      <c r="N212" s="654">
        <v>43291</v>
      </c>
    </row>
    <row r="213" spans="1:15" ht="13.5" hidden="1" customHeight="1">
      <c r="A213" s="632">
        <v>901</v>
      </c>
      <c r="B213" s="644" t="s">
        <v>852</v>
      </c>
      <c r="C213" s="397" t="s">
        <v>3087</v>
      </c>
      <c r="D213" s="642" t="s">
        <v>857</v>
      </c>
      <c r="E213" s="643" t="s">
        <v>856</v>
      </c>
      <c r="F213" s="723">
        <v>43285</v>
      </c>
      <c r="G213" s="724"/>
      <c r="H213" s="725">
        <f t="shared" ref="H211:H213" ca="1" si="57">N213-F213</f>
        <v>9.3975390046325629</v>
      </c>
      <c r="I213" s="656"/>
      <c r="J213" s="651"/>
      <c r="K213" s="649">
        <v>3687.45</v>
      </c>
      <c r="L213" s="643"/>
      <c r="N213" s="560">
        <f t="shared" ca="1" si="41"/>
        <v>43294.397539004633</v>
      </c>
    </row>
    <row r="214" spans="1:15" ht="13.5" hidden="1" customHeight="1">
      <c r="A214" s="632">
        <v>902</v>
      </c>
      <c r="B214" s="644" t="s">
        <v>851</v>
      </c>
      <c r="C214" s="397" t="s">
        <v>3110</v>
      </c>
      <c r="D214" s="642" t="s">
        <v>857</v>
      </c>
      <c r="E214" s="643" t="s">
        <v>854</v>
      </c>
      <c r="F214" s="661">
        <v>43272</v>
      </c>
      <c r="G214" s="661">
        <v>43285</v>
      </c>
      <c r="H214" s="725">
        <f t="shared" ref="H214:H215" si="58">G214-F214</f>
        <v>13</v>
      </c>
      <c r="I214" s="656"/>
      <c r="J214" s="651"/>
      <c r="K214" s="649"/>
      <c r="L214" s="643"/>
      <c r="N214" s="560">
        <f t="shared" ca="1" si="41"/>
        <v>43294.397539004633</v>
      </c>
    </row>
    <row r="215" spans="1:15" ht="13.5" hidden="1" customHeight="1">
      <c r="A215" s="632">
        <v>903</v>
      </c>
      <c r="B215" s="644" t="s">
        <v>851</v>
      </c>
      <c r="C215" s="397" t="s">
        <v>3110</v>
      </c>
      <c r="D215" s="642" t="s">
        <v>850</v>
      </c>
      <c r="E215" s="643" t="s">
        <v>938</v>
      </c>
      <c r="F215" s="661">
        <v>43286</v>
      </c>
      <c r="G215" s="661">
        <v>43287</v>
      </c>
      <c r="H215" s="725">
        <f t="shared" si="58"/>
        <v>1</v>
      </c>
      <c r="I215" s="657">
        <f>N215-G215</f>
        <v>-43287</v>
      </c>
      <c r="J215" s="650"/>
      <c r="K215" s="650"/>
      <c r="L215" s="647"/>
      <c r="M215" s="660"/>
      <c r="N215" s="654"/>
    </row>
    <row r="216" spans="1:15" ht="13.5" hidden="1" customHeight="1">
      <c r="A216" s="632">
        <v>904</v>
      </c>
      <c r="B216" s="644" t="s">
        <v>852</v>
      </c>
      <c r="C216" s="397" t="s">
        <v>2914</v>
      </c>
      <c r="D216" s="642" t="s">
        <v>850</v>
      </c>
      <c r="E216" s="643" t="s">
        <v>856</v>
      </c>
      <c r="F216" s="723">
        <v>43286</v>
      </c>
      <c r="G216" s="724"/>
      <c r="H216" s="725">
        <f t="shared" ref="H216:H217" ca="1" si="59">N216-F216</f>
        <v>8.3975390046325629</v>
      </c>
      <c r="I216" s="656"/>
      <c r="J216" s="651">
        <v>9243.7120000000159</v>
      </c>
      <c r="K216" s="649">
        <v>20294.232000000018</v>
      </c>
      <c r="L216" s="643"/>
      <c r="N216" s="560">
        <f t="shared" ca="1" si="41"/>
        <v>43294.397539004633</v>
      </c>
    </row>
    <row r="217" spans="1:15" ht="13.5" hidden="1" customHeight="1">
      <c r="A217" s="632">
        <v>905</v>
      </c>
      <c r="B217" s="644" t="s">
        <v>851</v>
      </c>
      <c r="C217" s="397" t="s">
        <v>3043</v>
      </c>
      <c r="D217" s="642" t="s">
        <v>857</v>
      </c>
      <c r="E217" s="643" t="s">
        <v>856</v>
      </c>
      <c r="F217" s="723">
        <v>43285</v>
      </c>
      <c r="G217" s="724"/>
      <c r="H217" s="725">
        <f t="shared" ca="1" si="59"/>
        <v>9.3975390046325629</v>
      </c>
      <c r="I217" s="656"/>
      <c r="J217" s="651"/>
      <c r="K217" s="649">
        <v>9332.5300000000007</v>
      </c>
      <c r="L217" s="643"/>
      <c r="N217" s="560">
        <f t="shared" ca="1" si="41"/>
        <v>43294.397539004633</v>
      </c>
    </row>
    <row r="218" spans="1:15" ht="13.5" hidden="1" customHeight="1">
      <c r="A218" s="632">
        <v>906</v>
      </c>
      <c r="B218" s="644" t="s">
        <v>852</v>
      </c>
      <c r="C218" s="397" t="s">
        <v>2762</v>
      </c>
      <c r="D218" s="642" t="s">
        <v>857</v>
      </c>
      <c r="E218" s="643" t="s">
        <v>856</v>
      </c>
      <c r="F218" s="723">
        <v>43285</v>
      </c>
      <c r="G218" s="724"/>
      <c r="H218" s="725">
        <f t="shared" ref="H218:H223" ca="1" si="60">N218-F218</f>
        <v>9.3975390046325629</v>
      </c>
      <c r="I218" s="656"/>
      <c r="J218" s="651"/>
      <c r="K218" s="649">
        <v>611.63</v>
      </c>
      <c r="L218" s="643"/>
      <c r="N218" s="560">
        <f t="shared" ca="1" si="41"/>
        <v>43294.397539004633</v>
      </c>
    </row>
    <row r="219" spans="1:15" ht="13.5" hidden="1" customHeight="1">
      <c r="A219" s="632">
        <v>907</v>
      </c>
      <c r="B219" s="644" t="s">
        <v>851</v>
      </c>
      <c r="C219" s="397" t="s">
        <v>3149</v>
      </c>
      <c r="D219" s="642" t="s">
        <v>857</v>
      </c>
      <c r="E219" s="643" t="s">
        <v>856</v>
      </c>
      <c r="F219" s="723">
        <v>43286</v>
      </c>
      <c r="G219" s="724"/>
      <c r="H219" s="725">
        <f t="shared" ca="1" si="60"/>
        <v>8.3975390046325629</v>
      </c>
      <c r="I219" s="656"/>
      <c r="J219" s="651"/>
      <c r="K219" s="649">
        <v>2852.73</v>
      </c>
      <c r="L219" s="643"/>
      <c r="N219" s="560">
        <f t="shared" ca="1" si="41"/>
        <v>43294.397539004633</v>
      </c>
    </row>
    <row r="220" spans="1:15" ht="13.5" hidden="1" customHeight="1">
      <c r="A220" s="632">
        <v>908</v>
      </c>
      <c r="B220" s="644" t="s">
        <v>851</v>
      </c>
      <c r="C220" s="397" t="s">
        <v>2739</v>
      </c>
      <c r="D220" s="642" t="s">
        <v>857</v>
      </c>
      <c r="E220" s="643" t="s">
        <v>856</v>
      </c>
      <c r="F220" s="723">
        <v>43286</v>
      </c>
      <c r="G220" s="724"/>
      <c r="H220" s="725">
        <f t="shared" ca="1" si="60"/>
        <v>8.3975390046325629</v>
      </c>
      <c r="I220" s="656"/>
      <c r="J220" s="651"/>
      <c r="K220" s="649"/>
      <c r="L220" s="643"/>
      <c r="N220" s="560">
        <f t="shared" ca="1" si="41"/>
        <v>43294.397539004633</v>
      </c>
    </row>
    <row r="221" spans="1:15" ht="13.5" hidden="1" customHeight="1">
      <c r="A221" s="632">
        <v>909</v>
      </c>
      <c r="B221" s="644" t="s">
        <v>2773</v>
      </c>
      <c r="C221" s="354" t="s">
        <v>3283</v>
      </c>
      <c r="D221" s="642" t="s">
        <v>850</v>
      </c>
      <c r="E221" s="643" t="s">
        <v>856</v>
      </c>
      <c r="F221" s="723">
        <v>43287</v>
      </c>
      <c r="G221" s="724"/>
      <c r="H221" s="725">
        <f t="shared" ca="1" si="60"/>
        <v>7.3975390046325629</v>
      </c>
      <c r="I221" s="656"/>
      <c r="J221" s="651"/>
      <c r="K221" s="649">
        <v>30911.409282500004</v>
      </c>
      <c r="L221" s="643"/>
      <c r="N221" s="560">
        <f t="shared" ca="1" si="41"/>
        <v>43294.397539004633</v>
      </c>
    </row>
    <row r="222" spans="1:15" ht="13.5" hidden="1" customHeight="1">
      <c r="A222" s="632">
        <v>910</v>
      </c>
      <c r="B222" s="644" t="s">
        <v>2773</v>
      </c>
      <c r="C222" s="397" t="s">
        <v>3284</v>
      </c>
      <c r="D222" s="642" t="s">
        <v>850</v>
      </c>
      <c r="E222" s="643" t="s">
        <v>856</v>
      </c>
      <c r="F222" s="723">
        <v>43287</v>
      </c>
      <c r="G222" s="724"/>
      <c r="H222" s="725">
        <f t="shared" ca="1" si="60"/>
        <v>7.3975390046325629</v>
      </c>
      <c r="I222" s="656"/>
      <c r="J222" s="651"/>
      <c r="K222" s="649">
        <v>46564.38</v>
      </c>
      <c r="L222" s="643"/>
      <c r="N222" s="560">
        <f t="shared" ca="1" si="41"/>
        <v>43294.397539004633</v>
      </c>
    </row>
    <row r="223" spans="1:15" ht="13.5" hidden="1" customHeight="1">
      <c r="A223" s="632">
        <v>911</v>
      </c>
      <c r="B223" s="644" t="s">
        <v>2773</v>
      </c>
      <c r="C223" s="397" t="s">
        <v>3285</v>
      </c>
      <c r="D223" s="642" t="s">
        <v>850</v>
      </c>
      <c r="E223" s="643" t="s">
        <v>856</v>
      </c>
      <c r="F223" s="723">
        <v>43291</v>
      </c>
      <c r="G223" s="724"/>
      <c r="H223" s="725">
        <f t="shared" ca="1" si="60"/>
        <v>3.3975390046325629</v>
      </c>
      <c r="I223" s="656"/>
      <c r="J223" s="651"/>
      <c r="K223" s="649">
        <v>139911.24315249996</v>
      </c>
      <c r="L223" s="643"/>
      <c r="N223" s="560">
        <f t="shared" ca="1" si="41"/>
        <v>43294.397539004633</v>
      </c>
    </row>
    <row r="224" spans="1:15" ht="13.5" hidden="1" customHeight="1">
      <c r="A224" s="632">
        <v>912</v>
      </c>
      <c r="B224" s="644" t="s">
        <v>852</v>
      </c>
      <c r="C224" s="397" t="s">
        <v>3006</v>
      </c>
      <c r="D224" s="642" t="s">
        <v>857</v>
      </c>
      <c r="E224" s="643" t="s">
        <v>856</v>
      </c>
      <c r="F224" s="723">
        <v>43286</v>
      </c>
      <c r="G224" s="724"/>
      <c r="H224" s="725">
        <f t="shared" ref="H224" ca="1" si="61">N224-F224</f>
        <v>8.3975390046325629</v>
      </c>
      <c r="I224" s="656"/>
      <c r="J224" s="651"/>
      <c r="K224" s="649">
        <v>19385.47</v>
      </c>
      <c r="L224" s="643"/>
      <c r="N224" s="560">
        <f t="shared" ca="1" si="41"/>
        <v>43294.397539004633</v>
      </c>
    </row>
    <row r="225" spans="1:14" ht="13.5" hidden="1" customHeight="1">
      <c r="A225" s="632">
        <v>913</v>
      </c>
      <c r="B225" s="644" t="s">
        <v>851</v>
      </c>
      <c r="C225" s="397" t="s">
        <v>3239</v>
      </c>
      <c r="D225" s="642" t="s">
        <v>857</v>
      </c>
      <c r="E225" s="643" t="s">
        <v>856</v>
      </c>
      <c r="F225" s="723">
        <v>43286</v>
      </c>
      <c r="G225" s="724"/>
      <c r="H225" s="725">
        <f t="shared" ref="H225:H226" ca="1" si="62">N225-F225</f>
        <v>8.3975390046325629</v>
      </c>
      <c r="I225" s="656"/>
      <c r="J225" s="651"/>
      <c r="K225" s="539"/>
      <c r="L225" s="643"/>
      <c r="N225" s="560">
        <f t="shared" ca="1" si="41"/>
        <v>43294.397539004633</v>
      </c>
    </row>
    <row r="226" spans="1:14" ht="13.5" hidden="1" customHeight="1">
      <c r="A226" s="632">
        <v>914</v>
      </c>
      <c r="B226" s="644" t="s">
        <v>852</v>
      </c>
      <c r="C226" s="397" t="s">
        <v>3050</v>
      </c>
      <c r="D226" s="642" t="s">
        <v>857</v>
      </c>
      <c r="E226" s="643" t="s">
        <v>856</v>
      </c>
      <c r="F226" s="723">
        <v>43287</v>
      </c>
      <c r="G226" s="724"/>
      <c r="H226" s="725">
        <f t="shared" ca="1" si="62"/>
        <v>7.3975390046325629</v>
      </c>
      <c r="I226" s="656"/>
      <c r="J226" s="651"/>
      <c r="K226" s="649"/>
      <c r="L226" s="643"/>
      <c r="N226" s="560">
        <f t="shared" ref="N226:N245" ca="1" si="63">NOW()</f>
        <v>43294.397539004633</v>
      </c>
    </row>
    <row r="227" spans="1:14" ht="13.5" hidden="1" customHeight="1">
      <c r="A227" s="632">
        <v>915</v>
      </c>
      <c r="B227" s="644" t="s">
        <v>852</v>
      </c>
      <c r="C227" s="397" t="s">
        <v>3131</v>
      </c>
      <c r="D227" s="642" t="s">
        <v>857</v>
      </c>
      <c r="E227" s="643"/>
      <c r="F227" s="723"/>
      <c r="G227" s="724"/>
      <c r="H227" s="725"/>
      <c r="I227" s="656"/>
      <c r="J227" s="651"/>
      <c r="K227" s="649"/>
      <c r="L227" s="643"/>
      <c r="N227" s="560">
        <f t="shared" ca="1" si="63"/>
        <v>43294.397539004633</v>
      </c>
    </row>
    <row r="228" spans="1:14" ht="13.5" hidden="1" customHeight="1">
      <c r="A228" s="632">
        <v>916</v>
      </c>
      <c r="B228" s="644" t="s">
        <v>852</v>
      </c>
      <c r="C228" s="397" t="s">
        <v>3183</v>
      </c>
      <c r="D228" s="642" t="s">
        <v>857</v>
      </c>
      <c r="E228" s="643" t="s">
        <v>856</v>
      </c>
      <c r="F228" s="723">
        <v>43287</v>
      </c>
      <c r="G228" s="724"/>
      <c r="H228" s="725">
        <f t="shared" ref="H228:H235" ca="1" si="64">N228-F228</f>
        <v>7.3975390046325629</v>
      </c>
      <c r="I228" s="656"/>
      <c r="J228" s="651"/>
      <c r="K228" s="649"/>
      <c r="L228" s="643"/>
      <c r="N228" s="560">
        <f t="shared" ca="1" si="63"/>
        <v>43294.397539004633</v>
      </c>
    </row>
    <row r="229" spans="1:14" ht="13.5" hidden="1" customHeight="1">
      <c r="A229" s="632">
        <v>917</v>
      </c>
      <c r="B229" s="644" t="s">
        <v>852</v>
      </c>
      <c r="C229" s="397" t="s">
        <v>3031</v>
      </c>
      <c r="D229" s="642" t="s">
        <v>857</v>
      </c>
      <c r="E229" s="643" t="s">
        <v>856</v>
      </c>
      <c r="F229" s="723">
        <v>43287</v>
      </c>
      <c r="G229" s="724"/>
      <c r="H229" s="725">
        <f t="shared" ca="1" si="64"/>
        <v>7.3975390046325629</v>
      </c>
      <c r="I229" s="656"/>
      <c r="J229" s="651"/>
      <c r="K229" s="649">
        <v>4388.9399999999996</v>
      </c>
      <c r="L229" s="643"/>
      <c r="N229" s="560">
        <f t="shared" ca="1" si="63"/>
        <v>43294.397539004633</v>
      </c>
    </row>
    <row r="230" spans="1:14" ht="13.5" hidden="1" customHeight="1">
      <c r="A230" s="632">
        <v>918</v>
      </c>
      <c r="B230" s="843" t="s">
        <v>851</v>
      </c>
      <c r="C230" s="844" t="s">
        <v>3049</v>
      </c>
      <c r="D230" s="845" t="s">
        <v>850</v>
      </c>
      <c r="E230" s="846" t="s">
        <v>3309</v>
      </c>
      <c r="F230" s="723"/>
      <c r="G230" s="723"/>
      <c r="H230" s="725">
        <f t="shared" ca="1" si="64"/>
        <v>43294.397539004633</v>
      </c>
      <c r="I230" s="656"/>
      <c r="J230" s="651"/>
      <c r="K230" s="649"/>
      <c r="L230" s="643"/>
      <c r="N230" s="560">
        <f t="shared" ca="1" si="63"/>
        <v>43294.397539004633</v>
      </c>
    </row>
    <row r="231" spans="1:14" ht="13.5" hidden="1" customHeight="1">
      <c r="A231" s="632">
        <v>919</v>
      </c>
      <c r="B231" s="644" t="s">
        <v>852</v>
      </c>
      <c r="C231" s="397" t="s">
        <v>2347</v>
      </c>
      <c r="D231" s="642" t="s">
        <v>850</v>
      </c>
      <c r="E231" s="643" t="s">
        <v>938</v>
      </c>
      <c r="F231" s="661">
        <v>43290</v>
      </c>
      <c r="G231" s="661">
        <v>43292</v>
      </c>
      <c r="H231" s="725">
        <f>G231-F231</f>
        <v>2</v>
      </c>
      <c r="I231" s="657">
        <f>N231-G231</f>
        <v>-43292</v>
      </c>
      <c r="J231" s="650"/>
      <c r="K231" s="650"/>
      <c r="L231" s="647" t="s">
        <v>3241</v>
      </c>
      <c r="M231" s="660"/>
      <c r="N231" s="654"/>
    </row>
    <row r="232" spans="1:14" ht="13.5" hidden="1" customHeight="1">
      <c r="A232" s="632">
        <v>920</v>
      </c>
      <c r="B232" s="644" t="s">
        <v>851</v>
      </c>
      <c r="C232" s="397" t="s">
        <v>3049</v>
      </c>
      <c r="D232" s="642" t="s">
        <v>855</v>
      </c>
      <c r="E232" s="643" t="s">
        <v>856</v>
      </c>
      <c r="F232" s="723">
        <v>43290</v>
      </c>
      <c r="G232" s="724"/>
      <c r="H232" s="725">
        <f t="shared" ca="1" si="64"/>
        <v>4.3975390046325629</v>
      </c>
      <c r="I232" s="656"/>
      <c r="J232" s="651">
        <v>3918.18</v>
      </c>
      <c r="K232" s="649">
        <v>11058.91</v>
      </c>
      <c r="L232" s="643"/>
      <c r="N232" s="560">
        <f t="shared" ca="1" si="63"/>
        <v>43294.397539004633</v>
      </c>
    </row>
    <row r="233" spans="1:14" ht="13.5" hidden="1" customHeight="1">
      <c r="A233" s="632">
        <v>921</v>
      </c>
      <c r="B233" s="644" t="s">
        <v>851</v>
      </c>
      <c r="C233" s="397" t="s">
        <v>2739</v>
      </c>
      <c r="D233" s="642" t="s">
        <v>855</v>
      </c>
      <c r="E233" s="643" t="s">
        <v>856</v>
      </c>
      <c r="F233" s="723">
        <v>43290</v>
      </c>
      <c r="G233" s="724"/>
      <c r="H233" s="725">
        <f t="shared" ca="1" si="64"/>
        <v>4.3975390046325629</v>
      </c>
      <c r="I233" s="656"/>
      <c r="J233" s="651">
        <v>1133.5999999999999</v>
      </c>
      <c r="K233" s="649">
        <v>4706.99</v>
      </c>
      <c r="L233" s="643"/>
      <c r="N233" s="560">
        <f t="shared" ca="1" si="63"/>
        <v>43294.397539004633</v>
      </c>
    </row>
    <row r="234" spans="1:14" ht="13.5" hidden="1" customHeight="1">
      <c r="A234" s="632">
        <v>922</v>
      </c>
      <c r="B234" s="644" t="s">
        <v>852</v>
      </c>
      <c r="C234" s="397" t="s">
        <v>3050</v>
      </c>
      <c r="D234" s="642" t="s">
        <v>855</v>
      </c>
      <c r="E234" s="643" t="s">
        <v>856</v>
      </c>
      <c r="F234" s="723">
        <v>43290</v>
      </c>
      <c r="G234" s="724"/>
      <c r="H234" s="725">
        <f t="shared" ca="1" si="64"/>
        <v>4.3975390046325629</v>
      </c>
      <c r="I234" s="656"/>
      <c r="J234" s="651">
        <v>5801.3047500000039</v>
      </c>
      <c r="K234" s="649">
        <v>11604.274750000004</v>
      </c>
      <c r="L234" s="643"/>
      <c r="N234" s="560">
        <f t="shared" ca="1" si="63"/>
        <v>43294.397539004633</v>
      </c>
    </row>
    <row r="235" spans="1:14" ht="13.5" hidden="1" customHeight="1">
      <c r="A235" s="632">
        <v>923</v>
      </c>
      <c r="B235" s="644" t="s">
        <v>852</v>
      </c>
      <c r="C235" s="397" t="s">
        <v>3031</v>
      </c>
      <c r="D235" s="642" t="s">
        <v>855</v>
      </c>
      <c r="E235" s="643" t="s">
        <v>856</v>
      </c>
      <c r="F235" s="723">
        <v>43290</v>
      </c>
      <c r="G235" s="724"/>
      <c r="H235" s="725">
        <f t="shared" ca="1" si="64"/>
        <v>4.3975390046325629</v>
      </c>
      <c r="I235" s="656"/>
      <c r="J235" s="651">
        <v>14761.990000000002</v>
      </c>
      <c r="K235" s="649">
        <v>19150.93</v>
      </c>
      <c r="L235" s="643"/>
      <c r="N235" s="560">
        <f t="shared" ca="1" si="63"/>
        <v>43294.397539004633</v>
      </c>
    </row>
    <row r="236" spans="1:14" ht="13.5" hidden="1" customHeight="1">
      <c r="A236" s="632">
        <v>924</v>
      </c>
      <c r="B236" s="644" t="s">
        <v>852</v>
      </c>
      <c r="C236" s="397" t="s">
        <v>3087</v>
      </c>
      <c r="D236" s="642" t="s">
        <v>855</v>
      </c>
      <c r="E236" s="643" t="s">
        <v>856</v>
      </c>
      <c r="F236" s="723">
        <v>43290</v>
      </c>
      <c r="G236" s="724"/>
      <c r="H236" s="725">
        <f t="shared" ref="H236" ca="1" si="65">N236-F236</f>
        <v>4.3975390046325629</v>
      </c>
      <c r="I236" s="656"/>
      <c r="J236" s="651">
        <v>2280.35</v>
      </c>
      <c r="K236" s="649">
        <v>5967.7999999999993</v>
      </c>
      <c r="L236" s="643"/>
      <c r="N236" s="560">
        <f t="shared" ca="1" si="63"/>
        <v>43294.397539004633</v>
      </c>
    </row>
    <row r="237" spans="1:14" ht="13.5" hidden="1" customHeight="1">
      <c r="A237" s="632">
        <v>925</v>
      </c>
      <c r="B237" s="644" t="s">
        <v>852</v>
      </c>
      <c r="C237" s="397" t="s">
        <v>2762</v>
      </c>
      <c r="D237" s="642" t="s">
        <v>855</v>
      </c>
      <c r="E237" s="643" t="s">
        <v>856</v>
      </c>
      <c r="F237" s="723">
        <v>43290</v>
      </c>
      <c r="G237" s="724"/>
      <c r="H237" s="725">
        <f t="shared" ref="H237:H239" ca="1" si="66">N237-F237</f>
        <v>4.3975390046325629</v>
      </c>
      <c r="I237" s="656"/>
      <c r="J237" s="651">
        <v>530.88</v>
      </c>
      <c r="K237" s="649">
        <v>1142.51</v>
      </c>
      <c r="L237" s="643"/>
      <c r="N237" s="560">
        <f t="shared" ca="1" si="63"/>
        <v>43294.397539004633</v>
      </c>
    </row>
    <row r="238" spans="1:14" ht="13.5" hidden="1" customHeight="1">
      <c r="A238" s="632">
        <v>926</v>
      </c>
      <c r="B238" s="644" t="s">
        <v>852</v>
      </c>
      <c r="C238" s="397" t="s">
        <v>3183</v>
      </c>
      <c r="D238" s="642" t="s">
        <v>855</v>
      </c>
      <c r="E238" s="643" t="s">
        <v>856</v>
      </c>
      <c r="F238" s="723">
        <v>43291</v>
      </c>
      <c r="G238" s="724"/>
      <c r="H238" s="725">
        <f t="shared" ca="1" si="66"/>
        <v>3.3975390046325629</v>
      </c>
      <c r="I238" s="656"/>
      <c r="J238" s="651">
        <v>4773.34</v>
      </c>
      <c r="K238" s="649">
        <v>7928.0599999999995</v>
      </c>
      <c r="L238" s="643"/>
      <c r="N238" s="560">
        <f t="shared" ca="1" si="63"/>
        <v>43294.397539004633</v>
      </c>
    </row>
    <row r="239" spans="1:14" ht="13.5" hidden="1" customHeight="1">
      <c r="A239" s="632">
        <v>927</v>
      </c>
      <c r="B239" s="644" t="s">
        <v>852</v>
      </c>
      <c r="C239" s="397" t="s">
        <v>3311</v>
      </c>
      <c r="D239" s="642" t="s">
        <v>857</v>
      </c>
      <c r="E239" s="643" t="s">
        <v>856</v>
      </c>
      <c r="F239" s="723">
        <v>43293</v>
      </c>
      <c r="G239" s="724"/>
      <c r="H239" s="725">
        <f t="shared" ca="1" si="66"/>
        <v>1.3975390046325629</v>
      </c>
      <c r="I239" s="656"/>
      <c r="J239" s="651"/>
      <c r="K239" s="649"/>
      <c r="L239" s="643"/>
      <c r="N239" s="560">
        <f t="shared" ca="1" si="63"/>
        <v>43294.397539004633</v>
      </c>
    </row>
    <row r="240" spans="1:14" ht="13.5" hidden="1" customHeight="1">
      <c r="A240" s="632">
        <v>928</v>
      </c>
      <c r="B240" s="644" t="s">
        <v>852</v>
      </c>
      <c r="C240" s="397" t="s">
        <v>3131</v>
      </c>
      <c r="D240" s="642" t="s">
        <v>855</v>
      </c>
      <c r="E240" s="643" t="s">
        <v>856</v>
      </c>
      <c r="F240" s="723">
        <v>43291</v>
      </c>
      <c r="G240" s="724"/>
      <c r="H240" s="725">
        <f t="shared" ref="H240" ca="1" si="67">N240-F240</f>
        <v>3.3975390046325629</v>
      </c>
      <c r="I240" s="656"/>
      <c r="J240" s="651">
        <v>1609.79</v>
      </c>
      <c r="K240" s="649">
        <v>3401.74</v>
      </c>
      <c r="L240" s="643"/>
      <c r="N240" s="560">
        <f t="shared" ca="1" si="63"/>
        <v>43294.397539004633</v>
      </c>
    </row>
    <row r="241" spans="1:14" ht="13.5" hidden="1" customHeight="1">
      <c r="A241" s="632">
        <v>929</v>
      </c>
      <c r="B241" s="644" t="s">
        <v>851</v>
      </c>
      <c r="C241" s="397" t="s">
        <v>3239</v>
      </c>
      <c r="D241" s="642" t="s">
        <v>855</v>
      </c>
      <c r="E241" s="643" t="s">
        <v>856</v>
      </c>
      <c r="F241" s="723">
        <v>43291</v>
      </c>
      <c r="G241" s="724"/>
      <c r="H241" s="725">
        <f t="shared" ref="H241:H243" ca="1" si="68">N241-F241</f>
        <v>3.3975390046325629</v>
      </c>
      <c r="I241" s="656"/>
      <c r="J241" s="651">
        <v>5339.41</v>
      </c>
      <c r="K241" s="649">
        <v>14588.41</v>
      </c>
      <c r="L241" s="643"/>
      <c r="N241" s="560">
        <f t="shared" ca="1" si="63"/>
        <v>43294.397539004633</v>
      </c>
    </row>
    <row r="242" spans="1:14" ht="13.5" hidden="1" customHeight="1">
      <c r="A242" s="632">
        <v>930</v>
      </c>
      <c r="B242" s="644" t="s">
        <v>851</v>
      </c>
      <c r="C242" s="397" t="s">
        <v>3043</v>
      </c>
      <c r="D242" s="642" t="s">
        <v>855</v>
      </c>
      <c r="E242" s="643" t="s">
        <v>856</v>
      </c>
      <c r="F242" s="723">
        <v>43292</v>
      </c>
      <c r="G242" s="724"/>
      <c r="H242" s="725">
        <f t="shared" ca="1" si="68"/>
        <v>2.3975390046325629</v>
      </c>
      <c r="I242" s="656"/>
      <c r="J242" s="651">
        <v>1389.8600000000001</v>
      </c>
      <c r="K242" s="649">
        <v>10722.390000000001</v>
      </c>
      <c r="L242" s="643"/>
      <c r="N242" s="560">
        <f t="shared" ca="1" si="63"/>
        <v>43294.397539004633</v>
      </c>
    </row>
    <row r="243" spans="1:14" ht="13.5" hidden="1" customHeight="1">
      <c r="A243" s="632">
        <v>931</v>
      </c>
      <c r="B243" s="644" t="s">
        <v>851</v>
      </c>
      <c r="C243" s="397" t="s">
        <v>3052</v>
      </c>
      <c r="D243" s="642" t="s">
        <v>857</v>
      </c>
      <c r="E243" s="643" t="s">
        <v>856</v>
      </c>
      <c r="F243" s="723">
        <v>43292</v>
      </c>
      <c r="G243" s="724"/>
      <c r="H243" s="725">
        <f t="shared" ca="1" si="68"/>
        <v>2.3975390046325629</v>
      </c>
      <c r="I243" s="656"/>
      <c r="J243" s="651"/>
      <c r="K243" s="649"/>
      <c r="L243" s="643"/>
      <c r="N243" s="560">
        <f t="shared" ca="1" si="63"/>
        <v>43294.397539004633</v>
      </c>
    </row>
    <row r="244" spans="1:14" ht="13.5" hidden="1" customHeight="1">
      <c r="A244" s="632">
        <v>932</v>
      </c>
      <c r="B244" s="644" t="s">
        <v>851</v>
      </c>
      <c r="C244" s="397" t="s">
        <v>3052</v>
      </c>
      <c r="D244" s="642" t="s">
        <v>855</v>
      </c>
      <c r="E244" s="643" t="s">
        <v>856</v>
      </c>
      <c r="F244" s="723">
        <v>43292</v>
      </c>
      <c r="G244" s="724"/>
      <c r="H244" s="725">
        <f t="shared" ref="H244" ca="1" si="69">N244-F244</f>
        <v>2.3975390046325629</v>
      </c>
      <c r="I244" s="656"/>
      <c r="J244" s="651">
        <v>2158.71</v>
      </c>
      <c r="K244" s="649">
        <v>9365.7000000000007</v>
      </c>
      <c r="L244" s="643"/>
      <c r="N244" s="560">
        <f t="shared" ca="1" si="63"/>
        <v>43294.397539004633</v>
      </c>
    </row>
    <row r="245" spans="1:14" ht="13.5" hidden="1" customHeight="1">
      <c r="A245" s="632">
        <v>933</v>
      </c>
      <c r="B245" s="644" t="s">
        <v>851</v>
      </c>
      <c r="C245" s="397" t="s">
        <v>3084</v>
      </c>
      <c r="D245" s="642" t="s">
        <v>850</v>
      </c>
      <c r="E245" s="643" t="s">
        <v>938</v>
      </c>
      <c r="F245" s="661">
        <v>43291</v>
      </c>
      <c r="G245" s="661">
        <v>43292</v>
      </c>
      <c r="H245" s="725">
        <f>G245-F245</f>
        <v>1</v>
      </c>
      <c r="I245" s="657">
        <f>N245-G245</f>
        <v>-43292</v>
      </c>
      <c r="J245" s="650"/>
      <c r="K245" s="650"/>
      <c r="L245" s="647" t="s">
        <v>3241</v>
      </c>
      <c r="M245" s="660"/>
      <c r="N245" s="654"/>
    </row>
    <row r="246" spans="1:14" ht="13.5" hidden="1" customHeight="1">
      <c r="A246" s="632">
        <v>934</v>
      </c>
      <c r="B246" s="644"/>
      <c r="C246" s="397"/>
      <c r="D246" s="642"/>
      <c r="E246" s="643"/>
      <c r="F246" s="723"/>
      <c r="G246" s="724"/>
      <c r="H246" s="725"/>
      <c r="I246" s="656"/>
      <c r="J246" s="651"/>
      <c r="K246" s="649"/>
      <c r="L246" s="643"/>
      <c r="N246" s="560"/>
    </row>
    <row r="247" spans="1:14" ht="13.5" hidden="1" customHeight="1">
      <c r="A247" s="632">
        <v>935</v>
      </c>
      <c r="B247" s="644"/>
      <c r="C247" s="397"/>
      <c r="D247" s="642"/>
      <c r="E247" s="643"/>
      <c r="F247" s="723"/>
      <c r="G247" s="724"/>
      <c r="H247" s="725"/>
      <c r="I247" s="656"/>
      <c r="J247" s="651"/>
      <c r="K247" s="649"/>
      <c r="L247" s="643"/>
      <c r="N247" s="560"/>
    </row>
    <row r="248" spans="1:14" ht="13.5" hidden="1" customHeight="1">
      <c r="A248" s="632">
        <v>936</v>
      </c>
      <c r="B248" s="644"/>
      <c r="C248" s="397"/>
      <c r="D248" s="642"/>
      <c r="E248" s="643"/>
      <c r="F248" s="723"/>
      <c r="G248" s="724"/>
      <c r="H248" s="725"/>
      <c r="I248" s="656"/>
      <c r="J248" s="651"/>
      <c r="K248" s="649"/>
      <c r="L248" s="643"/>
      <c r="N248" s="560"/>
    </row>
    <row r="249" spans="1:14" ht="13.5" hidden="1" customHeight="1">
      <c r="A249" s="632">
        <v>937</v>
      </c>
      <c r="B249" s="644"/>
      <c r="C249" s="397"/>
      <c r="D249" s="633"/>
      <c r="E249" s="643"/>
      <c r="F249" s="723"/>
      <c r="G249" s="724"/>
      <c r="H249" s="725"/>
      <c r="I249" s="656"/>
      <c r="J249" s="651"/>
      <c r="K249" s="649"/>
      <c r="L249" s="643"/>
      <c r="N249" s="560"/>
    </row>
    <row r="250" spans="1:14">
      <c r="I250" s="659"/>
      <c r="J250" s="502">
        <f>SUBTOTAL(9,J2:J249)</f>
        <v>0</v>
      </c>
      <c r="K250" s="502">
        <f>SUBTOTAL(9,K2:K249)</f>
        <v>0</v>
      </c>
    </row>
  </sheetData>
  <autoFilter ref="A1:L249">
    <filterColumn colId="2">
      <filters>
        <filter val="MW22195 - AYCA-4SOX62-2LIV-03- 186 Moore St Liverpool"/>
      </filters>
    </filterColumn>
    <sortState ref="A2:L699">
      <sortCondition ref="A1:A699"/>
    </sortState>
  </autoFilter>
  <pageMargins left="0.7" right="0.7" top="0.75" bottom="0.75" header="0.3" footer="0.3"/>
  <pageSetup paperSize="9" scale="48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45"/>
  <sheetViews>
    <sheetView zoomScale="70" zoomScaleNormal="70" workbookViewId="0">
      <pane ySplit="1" topLeftCell="A2" activePane="bottomLeft" state="frozen"/>
      <selection pane="bottomLeft" activeCell="K17" sqref="K17"/>
    </sheetView>
  </sheetViews>
  <sheetFormatPr defaultColWidth="9" defaultRowHeight="14"/>
  <cols>
    <col min="1" max="1" width="8.703125" style="369" customWidth="1"/>
    <col min="2" max="2" width="26.41015625" style="369" customWidth="1"/>
    <col min="3" max="3" width="80.703125" style="354" customWidth="1"/>
    <col min="4" max="4" width="20.703125" style="354" bestFit="1" customWidth="1"/>
    <col min="5" max="5" width="25" style="354" customWidth="1"/>
    <col min="6" max="6" width="11" style="457" customWidth="1"/>
    <col min="7" max="7" width="9.703125" style="354" customWidth="1"/>
    <col min="8" max="8" width="12" style="369" customWidth="1"/>
    <col min="9" max="9" width="11.64453125" style="369" customWidth="1"/>
    <col min="10" max="10" width="14.87890625" style="356" customWidth="1"/>
    <col min="11" max="11" width="85" style="645" customWidth="1"/>
    <col min="12" max="12" width="3.29296875" style="354" customWidth="1"/>
    <col min="13" max="13" width="10.29296875" style="354" bestFit="1" customWidth="1"/>
    <col min="14" max="16" width="9" style="354"/>
    <col min="17" max="17" width="21" style="354" customWidth="1"/>
    <col min="18" max="18" width="35.41015625" style="354" customWidth="1"/>
    <col min="19" max="16384" width="9" style="354"/>
  </cols>
  <sheetData>
    <row r="1" spans="1:18" s="631" customFormat="1" ht="88.35" customHeight="1">
      <c r="A1" s="629" t="s">
        <v>863</v>
      </c>
      <c r="B1" s="629" t="s">
        <v>713</v>
      </c>
      <c r="C1" s="629" t="s">
        <v>862</v>
      </c>
      <c r="D1" s="629" t="s">
        <v>861</v>
      </c>
      <c r="E1" s="629" t="s">
        <v>860</v>
      </c>
      <c r="F1" s="629" t="s">
        <v>65</v>
      </c>
      <c r="G1" s="629" t="s">
        <v>859</v>
      </c>
      <c r="H1" s="629" t="s">
        <v>1649</v>
      </c>
      <c r="I1" s="629" t="s">
        <v>1018</v>
      </c>
      <c r="J1" s="630" t="s">
        <v>1834</v>
      </c>
      <c r="K1" s="718" t="s">
        <v>79</v>
      </c>
      <c r="M1" s="631" t="s">
        <v>22</v>
      </c>
      <c r="Q1" s="673" t="s">
        <v>1805</v>
      </c>
      <c r="R1" s="672" t="s">
        <v>1660</v>
      </c>
    </row>
    <row r="2" spans="1:18" s="366" customFormat="1" ht="14.25" customHeight="1">
      <c r="A2" s="632">
        <v>57</v>
      </c>
      <c r="B2" s="639" t="s">
        <v>2565</v>
      </c>
      <c r="C2" s="726" t="s">
        <v>2984</v>
      </c>
      <c r="D2" s="648" t="s">
        <v>2640</v>
      </c>
      <c r="E2" s="648"/>
      <c r="F2" s="713"/>
      <c r="G2" s="715"/>
      <c r="H2" s="635"/>
      <c r="I2" s="635"/>
      <c r="J2" s="638">
        <v>896.9799999999999</v>
      </c>
      <c r="K2" s="646" t="s">
        <v>3334</v>
      </c>
      <c r="L2" s="652"/>
      <c r="M2" s="560"/>
    </row>
    <row r="3" spans="1:18" s="366" customFormat="1" ht="14.25" customHeight="1">
      <c r="A3" s="632">
        <v>54</v>
      </c>
      <c r="B3" s="637" t="s">
        <v>2565</v>
      </c>
      <c r="C3" s="646" t="s">
        <v>3054</v>
      </c>
      <c r="D3" s="648" t="s">
        <v>2640</v>
      </c>
      <c r="E3" s="648"/>
      <c r="F3" s="713"/>
      <c r="G3" s="715"/>
      <c r="H3" s="637"/>
      <c r="I3" s="637"/>
      <c r="J3" s="638">
        <v>1153.2599999999998</v>
      </c>
      <c r="K3" s="646" t="s">
        <v>3055</v>
      </c>
      <c r="L3" s="652"/>
      <c r="M3" s="560"/>
    </row>
    <row r="4" spans="1:18" s="366" customFormat="1" ht="14.25" customHeight="1">
      <c r="A4" s="632">
        <v>65</v>
      </c>
      <c r="B4" s="639" t="s">
        <v>2565</v>
      </c>
      <c r="C4" s="836" t="s">
        <v>3277</v>
      </c>
      <c r="D4" s="648" t="s">
        <v>850</v>
      </c>
      <c r="E4" s="648"/>
      <c r="F4" s="713"/>
      <c r="G4" s="713"/>
      <c r="H4" s="635"/>
      <c r="I4" s="635"/>
      <c r="J4" s="638">
        <v>2434.66</v>
      </c>
      <c r="K4" s="646" t="s">
        <v>3335</v>
      </c>
      <c r="L4" s="652"/>
      <c r="M4" s="560"/>
    </row>
    <row r="5" spans="1:18" s="366" customFormat="1" ht="14.25" customHeight="1">
      <c r="A5" s="632">
        <v>66</v>
      </c>
      <c r="B5" s="639" t="s">
        <v>2565</v>
      </c>
      <c r="C5" s="836" t="s">
        <v>3296</v>
      </c>
      <c r="D5" s="648" t="s">
        <v>850</v>
      </c>
      <c r="E5" s="648" t="s">
        <v>3332</v>
      </c>
      <c r="F5" s="713"/>
      <c r="G5" s="713"/>
      <c r="H5" s="635"/>
      <c r="I5" s="635"/>
      <c r="J5" s="638">
        <v>1537.6799999999998</v>
      </c>
      <c r="K5" s="646" t="s">
        <v>3321</v>
      </c>
      <c r="L5" s="652"/>
      <c r="M5" s="560"/>
    </row>
    <row r="6" spans="1:18" s="366" customFormat="1" ht="14.25" customHeight="1">
      <c r="A6" s="632">
        <v>67</v>
      </c>
      <c r="B6" s="639" t="s">
        <v>2565</v>
      </c>
      <c r="C6" s="366" t="s">
        <v>3297</v>
      </c>
      <c r="D6" s="648" t="s">
        <v>850</v>
      </c>
      <c r="E6" s="648" t="s">
        <v>3332</v>
      </c>
      <c r="F6" s="713"/>
      <c r="G6" s="713"/>
      <c r="H6" s="635"/>
      <c r="I6" s="635"/>
      <c r="J6" s="638">
        <v>1819.54</v>
      </c>
      <c r="K6" s="646" t="s">
        <v>3322</v>
      </c>
      <c r="L6" s="652"/>
      <c r="M6" s="560"/>
    </row>
    <row r="7" spans="1:18" s="366" customFormat="1" ht="14.25" customHeight="1">
      <c r="A7" s="632">
        <v>68</v>
      </c>
      <c r="B7" s="639" t="s">
        <v>2565</v>
      </c>
      <c r="C7" s="836" t="s">
        <v>3268</v>
      </c>
      <c r="D7" s="648" t="s">
        <v>850</v>
      </c>
      <c r="E7" s="648" t="s">
        <v>3332</v>
      </c>
      <c r="F7" s="713"/>
      <c r="G7" s="713"/>
      <c r="H7" s="635"/>
      <c r="I7" s="635"/>
      <c r="J7" s="638">
        <v>768.84</v>
      </c>
      <c r="K7" s="646" t="s">
        <v>3323</v>
      </c>
      <c r="L7" s="652"/>
      <c r="M7" s="560"/>
    </row>
    <row r="8" spans="1:18" s="366" customFormat="1" ht="14.25" customHeight="1">
      <c r="A8" s="632">
        <v>69</v>
      </c>
      <c r="B8" s="639" t="s">
        <v>2565</v>
      </c>
      <c r="C8" s="836" t="s">
        <v>3281</v>
      </c>
      <c r="D8" s="648" t="s">
        <v>850</v>
      </c>
      <c r="E8" s="648"/>
      <c r="F8" s="713"/>
      <c r="G8" s="713"/>
      <c r="H8" s="635"/>
      <c r="I8" s="635"/>
      <c r="J8" s="638">
        <v>961.05</v>
      </c>
      <c r="K8" s="646" t="s">
        <v>3276</v>
      </c>
      <c r="L8" s="652"/>
      <c r="M8" s="560"/>
    </row>
    <row r="9" spans="1:18" s="366" customFormat="1" ht="14.25" customHeight="1">
      <c r="A9" s="632">
        <v>70</v>
      </c>
      <c r="B9" s="639" t="s">
        <v>2565</v>
      </c>
      <c r="C9" s="836" t="s">
        <v>3280</v>
      </c>
      <c r="D9" s="648" t="s">
        <v>850</v>
      </c>
      <c r="E9" s="648"/>
      <c r="F9" s="713"/>
      <c r="G9" s="713"/>
      <c r="H9" s="635"/>
      <c r="I9" s="635"/>
      <c r="J9" s="638">
        <v>962.81299999999999</v>
      </c>
      <c r="K9" s="646" t="s">
        <v>3267</v>
      </c>
      <c r="L9" s="652"/>
      <c r="M9" s="560"/>
    </row>
    <row r="10" spans="1:18" s="366" customFormat="1" ht="14.25" customHeight="1">
      <c r="A10" s="632">
        <v>71</v>
      </c>
      <c r="B10" s="639" t="s">
        <v>2565</v>
      </c>
      <c r="C10" s="836" t="s">
        <v>3275</v>
      </c>
      <c r="D10" s="648" t="s">
        <v>850</v>
      </c>
      <c r="E10" s="648" t="s">
        <v>3332</v>
      </c>
      <c r="F10" s="713"/>
      <c r="G10" s="713"/>
      <c r="H10" s="635"/>
      <c r="I10" s="635"/>
      <c r="J10" s="638">
        <v>962.81299999999999</v>
      </c>
      <c r="K10" s="646" t="s">
        <v>3324</v>
      </c>
      <c r="L10" s="652"/>
      <c r="M10" s="560"/>
    </row>
    <row r="11" spans="1:18" s="366" customFormat="1" ht="14" customHeight="1">
      <c r="A11" s="632">
        <v>72</v>
      </c>
      <c r="B11" s="639" t="s">
        <v>2565</v>
      </c>
      <c r="C11" s="836" t="s">
        <v>3278</v>
      </c>
      <c r="D11" s="648" t="s">
        <v>850</v>
      </c>
      <c r="E11" s="648"/>
      <c r="F11" s="713"/>
      <c r="G11" s="713"/>
      <c r="H11" s="635"/>
      <c r="I11" s="635"/>
      <c r="J11" s="638">
        <v>2947.22</v>
      </c>
      <c r="K11" s="646" t="s">
        <v>3276</v>
      </c>
      <c r="L11" s="652"/>
      <c r="M11" s="560"/>
    </row>
    <row r="12" spans="1:18" s="366" customFormat="1" ht="14.25" customHeight="1">
      <c r="A12" s="632">
        <v>73</v>
      </c>
      <c r="B12" s="639" t="s">
        <v>2565</v>
      </c>
      <c r="C12" s="836" t="s">
        <v>3272</v>
      </c>
      <c r="D12" s="648" t="s">
        <v>850</v>
      </c>
      <c r="E12" s="648" t="s">
        <v>3332</v>
      </c>
      <c r="F12" s="713"/>
      <c r="G12" s="713"/>
      <c r="H12" s="635"/>
      <c r="I12" s="635"/>
      <c r="J12" s="638">
        <v>3655.39</v>
      </c>
      <c r="K12" s="646" t="s">
        <v>3323</v>
      </c>
      <c r="L12" s="652"/>
      <c r="M12" s="560"/>
    </row>
    <row r="13" spans="1:18" s="366" customFormat="1" ht="14.25" customHeight="1">
      <c r="A13" s="632">
        <v>74</v>
      </c>
      <c r="B13" s="639" t="s">
        <v>2565</v>
      </c>
      <c r="C13" s="836" t="s">
        <v>3287</v>
      </c>
      <c r="D13" s="648" t="s">
        <v>850</v>
      </c>
      <c r="E13" s="648"/>
      <c r="F13" s="713"/>
      <c r="G13" s="713"/>
      <c r="H13" s="635"/>
      <c r="I13" s="635"/>
      <c r="J13" s="638">
        <v>1422.33</v>
      </c>
      <c r="K13" s="646" t="s">
        <v>3288</v>
      </c>
      <c r="L13" s="652"/>
      <c r="M13" s="560"/>
    </row>
    <row r="14" spans="1:18" s="366" customFormat="1" ht="14.25" customHeight="1">
      <c r="A14" s="632">
        <v>75</v>
      </c>
      <c r="B14" s="639" t="s">
        <v>2565</v>
      </c>
      <c r="C14" s="836" t="s">
        <v>3269</v>
      </c>
      <c r="D14" s="648" t="s">
        <v>850</v>
      </c>
      <c r="E14" s="648"/>
      <c r="F14" s="713"/>
      <c r="G14" s="713"/>
      <c r="H14" s="635"/>
      <c r="I14" s="635"/>
      <c r="J14" s="638">
        <v>11144.61</v>
      </c>
      <c r="K14" s="646" t="s">
        <v>3335</v>
      </c>
      <c r="L14" s="652"/>
      <c r="M14" s="560"/>
    </row>
    <row r="15" spans="1:18" s="366" customFormat="1" ht="14.25" customHeight="1">
      <c r="A15" s="632">
        <v>76</v>
      </c>
      <c r="B15" s="639" t="s">
        <v>2565</v>
      </c>
      <c r="C15" s="836" t="s">
        <v>3319</v>
      </c>
      <c r="D15" s="648" t="s">
        <v>850</v>
      </c>
      <c r="E15" s="648"/>
      <c r="F15" s="713"/>
      <c r="G15" s="713"/>
      <c r="H15" s="635"/>
      <c r="I15" s="635"/>
      <c r="J15" s="638">
        <v>3799.81</v>
      </c>
      <c r="K15" s="646" t="s">
        <v>3320</v>
      </c>
      <c r="L15" s="652"/>
      <c r="M15" s="560"/>
    </row>
    <row r="16" spans="1:18" s="366" customFormat="1" ht="14.25" customHeight="1">
      <c r="A16" s="632">
        <v>77</v>
      </c>
      <c r="B16" s="639" t="s">
        <v>2565</v>
      </c>
      <c r="C16" s="836" t="s">
        <v>3294</v>
      </c>
      <c r="D16" s="648" t="s">
        <v>850</v>
      </c>
      <c r="E16" s="648" t="s">
        <v>3332</v>
      </c>
      <c r="F16" s="713"/>
      <c r="G16" s="713"/>
      <c r="H16" s="635"/>
      <c r="I16" s="635"/>
      <c r="J16" s="638">
        <v>4389.9072857142855</v>
      </c>
      <c r="K16" s="646" t="s">
        <v>3321</v>
      </c>
      <c r="L16" s="652"/>
      <c r="M16" s="560"/>
    </row>
    <row r="17" spans="1:13" s="366" customFormat="1" ht="14.25" customHeight="1">
      <c r="A17" s="632">
        <v>78</v>
      </c>
      <c r="B17" s="639" t="s">
        <v>2565</v>
      </c>
      <c r="C17" s="836" t="s">
        <v>3295</v>
      </c>
      <c r="D17" s="648" t="s">
        <v>850</v>
      </c>
      <c r="E17" s="648" t="s">
        <v>3333</v>
      </c>
      <c r="F17" s="636">
        <v>43291</v>
      </c>
      <c r="G17" s="636">
        <v>43293</v>
      </c>
      <c r="H17" s="635">
        <f>G17-F17</f>
        <v>2</v>
      </c>
      <c r="I17" s="635"/>
      <c r="J17" s="638"/>
      <c r="K17" s="646" t="s">
        <v>3312</v>
      </c>
      <c r="L17" s="652"/>
      <c r="M17" s="560"/>
    </row>
    <row r="18" spans="1:13" s="366" customFormat="1" ht="14.25" customHeight="1">
      <c r="A18" s="632">
        <v>79</v>
      </c>
      <c r="B18" s="639" t="s">
        <v>2565</v>
      </c>
      <c r="C18" s="836" t="s">
        <v>3266</v>
      </c>
      <c r="D18" s="648" t="s">
        <v>850</v>
      </c>
      <c r="E18" s="648" t="s">
        <v>3332</v>
      </c>
      <c r="F18" s="713"/>
      <c r="G18" s="713"/>
      <c r="H18" s="635"/>
      <c r="I18" s="635"/>
      <c r="J18" s="638">
        <v>1409.54</v>
      </c>
      <c r="K18" s="646" t="s">
        <v>3323</v>
      </c>
      <c r="L18" s="652"/>
      <c r="M18" s="560"/>
    </row>
    <row r="19" spans="1:13" s="366" customFormat="1" ht="14.25" customHeight="1">
      <c r="A19" s="632">
        <v>80</v>
      </c>
      <c r="B19" s="639" t="s">
        <v>2565</v>
      </c>
      <c r="C19" s="836" t="s">
        <v>3299</v>
      </c>
      <c r="D19" s="648" t="s">
        <v>850</v>
      </c>
      <c r="E19" s="648"/>
      <c r="F19" s="713"/>
      <c r="G19" s="713"/>
      <c r="H19" s="635"/>
      <c r="I19" s="635"/>
      <c r="J19" s="638">
        <v>1153.26</v>
      </c>
      <c r="K19" s="646" t="s">
        <v>3298</v>
      </c>
      <c r="L19" s="652"/>
      <c r="M19" s="560"/>
    </row>
    <row r="20" spans="1:13" s="366" customFormat="1" ht="14.25" customHeight="1">
      <c r="A20" s="632">
        <v>81</v>
      </c>
      <c r="B20" s="639" t="s">
        <v>2565</v>
      </c>
      <c r="C20" s="836" t="s">
        <v>3270</v>
      </c>
      <c r="D20" s="648" t="s">
        <v>850</v>
      </c>
      <c r="E20" s="648" t="s">
        <v>3332</v>
      </c>
      <c r="F20" s="713"/>
      <c r="G20" s="713"/>
      <c r="H20" s="635"/>
      <c r="I20" s="635"/>
      <c r="J20" s="638">
        <v>512.55999999999995</v>
      </c>
      <c r="K20" s="646" t="s">
        <v>3313</v>
      </c>
      <c r="L20" s="652"/>
      <c r="M20" s="560"/>
    </row>
    <row r="21" spans="1:13" s="366" customFormat="1" ht="14.25" customHeight="1">
      <c r="A21" s="632">
        <v>82</v>
      </c>
      <c r="B21" s="639" t="s">
        <v>2565</v>
      </c>
      <c r="C21" s="836" t="s">
        <v>3317</v>
      </c>
      <c r="D21" s="648" t="s">
        <v>850</v>
      </c>
      <c r="E21" s="648" t="s">
        <v>3332</v>
      </c>
      <c r="F21" s="713"/>
      <c r="G21" s="713"/>
      <c r="H21" s="635"/>
      <c r="I21" s="635"/>
      <c r="J21" s="638">
        <v>3651.99</v>
      </c>
      <c r="K21" s="646" t="s">
        <v>3318</v>
      </c>
      <c r="L21" s="652"/>
      <c r="M21" s="560"/>
    </row>
    <row r="22" spans="1:13" s="366" customFormat="1" ht="14.25" customHeight="1">
      <c r="A22" s="632"/>
      <c r="B22" s="639"/>
      <c r="C22" s="836"/>
      <c r="D22" s="648"/>
      <c r="E22" s="648"/>
      <c r="F22" s="713"/>
      <c r="G22" s="713"/>
      <c r="H22" s="635"/>
      <c r="I22" s="635"/>
      <c r="J22" s="638"/>
      <c r="K22" s="646"/>
      <c r="L22" s="652"/>
      <c r="M22" s="560"/>
    </row>
    <row r="23" spans="1:13" s="366" customFormat="1" ht="14.25" customHeight="1">
      <c r="A23" s="632"/>
      <c r="B23" s="639"/>
      <c r="C23" s="836"/>
      <c r="D23" s="648"/>
      <c r="E23" s="648"/>
      <c r="F23" s="713"/>
      <c r="G23" s="713"/>
      <c r="H23" s="635"/>
      <c r="I23" s="635"/>
      <c r="J23" s="638"/>
      <c r="K23" s="646"/>
      <c r="L23" s="652"/>
      <c r="M23" s="560"/>
    </row>
    <row r="24" spans="1:13" s="366" customFormat="1" ht="14.25" customHeight="1">
      <c r="A24" s="632"/>
      <c r="B24" s="639"/>
      <c r="C24" s="836"/>
      <c r="D24" s="648"/>
      <c r="E24" s="648"/>
      <c r="F24" s="713"/>
      <c r="G24" s="713"/>
      <c r="H24" s="635"/>
      <c r="I24" s="635"/>
      <c r="J24" s="638"/>
      <c r="K24" s="646"/>
      <c r="L24" s="652"/>
      <c r="M24" s="560"/>
    </row>
    <row r="25" spans="1:13" s="366" customFormat="1" ht="14.25" customHeight="1">
      <c r="A25" s="632"/>
      <c r="B25" s="639"/>
      <c r="C25" s="836"/>
      <c r="D25" s="648"/>
      <c r="E25" s="648"/>
      <c r="F25" s="713"/>
      <c r="G25" s="713"/>
      <c r="H25" s="635"/>
      <c r="I25" s="635"/>
      <c r="J25" s="638"/>
      <c r="K25" s="646"/>
      <c r="L25" s="652"/>
      <c r="M25" s="560"/>
    </row>
    <row r="26" spans="1:13" s="366" customFormat="1" ht="14.25" customHeight="1">
      <c r="A26" s="632"/>
      <c r="B26" s="639"/>
      <c r="C26" s="836"/>
      <c r="D26" s="648"/>
      <c r="E26" s="648"/>
      <c r="F26" s="713"/>
      <c r="G26" s="713"/>
      <c r="H26" s="635"/>
      <c r="I26" s="635"/>
      <c r="J26" s="638"/>
      <c r="K26" s="646"/>
      <c r="L26" s="652"/>
      <c r="M26" s="560"/>
    </row>
    <row r="27" spans="1:13" s="366" customFormat="1" ht="14.25" customHeight="1">
      <c r="A27" s="632"/>
      <c r="B27" s="639"/>
      <c r="C27" s="836"/>
      <c r="D27" s="648"/>
      <c r="E27" s="648"/>
      <c r="F27" s="713"/>
      <c r="G27" s="713"/>
      <c r="H27" s="635"/>
      <c r="I27" s="635"/>
      <c r="J27" s="638"/>
      <c r="K27" s="646"/>
      <c r="L27" s="652"/>
      <c r="M27" s="560"/>
    </row>
    <row r="28" spans="1:13" s="366" customFormat="1" ht="14.25" customHeight="1">
      <c r="A28" s="632"/>
      <c r="B28" s="639"/>
      <c r="C28" s="836"/>
      <c r="D28" s="648"/>
      <c r="E28" s="648"/>
      <c r="F28" s="713"/>
      <c r="G28" s="713"/>
      <c r="H28" s="635"/>
      <c r="I28" s="635"/>
      <c r="J28" s="638"/>
      <c r="K28" s="646"/>
      <c r="L28" s="652"/>
      <c r="M28" s="560"/>
    </row>
    <row r="29" spans="1:13" s="366" customFormat="1" ht="14.25" customHeight="1">
      <c r="A29" s="632">
        <v>83</v>
      </c>
      <c r="B29" s="637"/>
      <c r="C29" s="836"/>
      <c r="D29" s="648"/>
      <c r="E29" s="648"/>
      <c r="F29" s="713"/>
      <c r="G29" s="713"/>
      <c r="H29" s="635"/>
      <c r="I29" s="635"/>
      <c r="J29" s="638"/>
      <c r="K29" s="646"/>
      <c r="L29" s="652"/>
      <c r="M29" s="560"/>
    </row>
    <row r="30" spans="1:13" s="366" customFormat="1" ht="14.25" customHeight="1">
      <c r="A30" s="632">
        <v>84</v>
      </c>
      <c r="B30" s="637"/>
      <c r="C30" s="836"/>
      <c r="D30" s="648"/>
      <c r="E30" s="648"/>
      <c r="F30" s="713"/>
      <c r="G30" s="713"/>
      <c r="H30" s="635"/>
      <c r="I30" s="635"/>
      <c r="J30" s="638"/>
      <c r="K30" s="646"/>
      <c r="L30" s="652"/>
      <c r="M30" s="560"/>
    </row>
    <row r="31" spans="1:13" s="366" customFormat="1" ht="14.25" customHeight="1">
      <c r="A31" s="632">
        <v>85</v>
      </c>
      <c r="B31" s="635"/>
      <c r="C31" s="648"/>
      <c r="D31" s="648"/>
      <c r="E31" s="648"/>
      <c r="F31" s="713"/>
      <c r="G31" s="715"/>
      <c r="H31" s="635"/>
      <c r="I31" s="635"/>
      <c r="J31" s="638"/>
      <c r="K31" s="716"/>
      <c r="L31" s="652"/>
      <c r="M31" s="714"/>
    </row>
    <row r="32" spans="1:13">
      <c r="I32" s="659"/>
      <c r="J32" s="717">
        <f>SUBTOTAL(9,J2:J31)</f>
        <v>45584.253285714287</v>
      </c>
    </row>
    <row r="45" spans="3:18" s="369" customFormat="1">
      <c r="C45" s="354"/>
      <c r="D45" s="354"/>
      <c r="E45" s="354"/>
      <c r="F45" s="457"/>
      <c r="G45" s="354" t="s">
        <v>16</v>
      </c>
      <c r="J45" s="356"/>
      <c r="K45" s="645"/>
      <c r="L45" s="354"/>
      <c r="M45" s="354"/>
      <c r="N45" s="354"/>
      <c r="O45" s="354"/>
      <c r="P45" s="354"/>
      <c r="Q45" s="354"/>
      <c r="R45" s="354"/>
    </row>
  </sheetData>
  <autoFilter ref="A1:K31">
    <sortState ref="A2:K25">
      <sortCondition ref="C1:C66"/>
    </sortState>
  </autoFilter>
  <pageMargins left="0.7" right="0.7" top="0.75" bottom="0.75" header="0.3" footer="0.3"/>
  <pageSetup paperSize="9" scale="4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2"/>
  <sheetViews>
    <sheetView zoomScale="80" zoomScaleNormal="80" workbookViewId="0">
      <selection activeCell="H17" sqref="H17"/>
    </sheetView>
  </sheetViews>
  <sheetFormatPr defaultRowHeight="14.35"/>
  <cols>
    <col min="1" max="1" width="39.52734375" customWidth="1"/>
    <col min="2" max="2" width="13.41015625" bestFit="1" customWidth="1"/>
    <col min="3" max="3" width="10.87890625" bestFit="1" customWidth="1"/>
    <col min="4" max="4" width="11.5859375" bestFit="1" customWidth="1"/>
    <col min="5" max="11" width="11.87890625" bestFit="1" customWidth="1"/>
    <col min="12" max="14" width="10.87890625" bestFit="1" customWidth="1"/>
    <col min="18" max="18" width="0" hidden="1" customWidth="1"/>
    <col min="19" max="19" width="10.87890625" hidden="1" customWidth="1"/>
    <col min="20" max="21" width="0" hidden="1" customWidth="1"/>
    <col min="22" max="22" width="19.8203125" customWidth="1"/>
    <col min="23" max="23" width="15.05859375" customWidth="1"/>
    <col min="24" max="24" width="18.703125" customWidth="1"/>
    <col min="25" max="25" width="10.234375" customWidth="1"/>
    <col min="26" max="26" width="10.17578125" customWidth="1"/>
    <col min="27" max="27" width="11.3515625" customWidth="1"/>
    <col min="28" max="28" width="10.17578125" customWidth="1"/>
    <col min="29" max="29" width="19.3515625" bestFit="1" customWidth="1"/>
    <col min="30" max="30" width="12.5859375" bestFit="1" customWidth="1"/>
    <col min="31" max="31" width="6.703125" customWidth="1"/>
    <col min="32" max="32" width="15.17578125" bestFit="1" customWidth="1"/>
    <col min="33" max="33" width="6.41015625" customWidth="1"/>
    <col min="34" max="34" width="10.17578125" bestFit="1" customWidth="1"/>
  </cols>
  <sheetData>
    <row r="1" spans="1:34">
      <c r="A1" s="7"/>
      <c r="B1" s="7"/>
      <c r="C1" s="26">
        <v>42947</v>
      </c>
      <c r="D1" s="26">
        <v>42978</v>
      </c>
      <c r="E1" s="26">
        <v>43008</v>
      </c>
      <c r="F1" s="26">
        <v>43039</v>
      </c>
      <c r="G1" s="26">
        <v>43069</v>
      </c>
      <c r="H1" s="26">
        <v>43100</v>
      </c>
      <c r="I1" s="26">
        <v>43131</v>
      </c>
      <c r="J1" s="26">
        <v>43159</v>
      </c>
      <c r="K1" s="26">
        <v>43190</v>
      </c>
      <c r="L1" s="26">
        <v>43220</v>
      </c>
      <c r="M1" s="26">
        <v>43251</v>
      </c>
      <c r="N1" s="26">
        <v>43281</v>
      </c>
      <c r="V1" s="5" t="s">
        <v>920</v>
      </c>
      <c r="W1" s="5" t="s">
        <v>35</v>
      </c>
    </row>
    <row r="2" spans="1:34">
      <c r="A2" s="7" t="s">
        <v>36</v>
      </c>
      <c r="B2" s="22" t="e">
        <f>SUM(C2:N2)</f>
        <v>#REF!</v>
      </c>
      <c r="C2" s="23">
        <f>'Cash Flow'!B22</f>
        <v>63172.078690000002</v>
      </c>
      <c r="D2" s="23">
        <f>'Cash Flow'!C22</f>
        <v>789.36000000000013</v>
      </c>
      <c r="E2" s="23">
        <f>'Cash Flow'!D22</f>
        <v>0</v>
      </c>
      <c r="F2" s="23">
        <f>'Cash Flow'!E22</f>
        <v>0</v>
      </c>
      <c r="G2" s="23">
        <f>'Cash Flow'!F22</f>
        <v>0</v>
      </c>
      <c r="H2" s="23" t="e">
        <f>SUM('Cash Flow'!G22,'Cash Flow'!#REF!,'Cash Flow'!#REF!)</f>
        <v>#REF!</v>
      </c>
      <c r="I2" s="23" t="e">
        <f>SUM('Cash Flow'!H22,'Cash Flow'!#REF!,'Cash Flow'!#REF!)</f>
        <v>#REF!</v>
      </c>
      <c r="J2" s="23">
        <f>'Cash Flow'!I22</f>
        <v>0</v>
      </c>
      <c r="K2" s="23">
        <f>'Cash Flow'!J22</f>
        <v>0</v>
      </c>
      <c r="L2" s="23">
        <f>'Cash Flow'!K22</f>
        <v>0</v>
      </c>
      <c r="M2" s="23">
        <f>'Cash Flow'!L22</f>
        <v>0</v>
      </c>
      <c r="N2" s="23">
        <f>'Cash Flow'!M22</f>
        <v>0</v>
      </c>
      <c r="V2" s="5" t="s">
        <v>29</v>
      </c>
      <c r="W2" s="600" t="s">
        <v>715</v>
      </c>
      <c r="X2" s="600" t="s">
        <v>714</v>
      </c>
      <c r="Y2" s="600" t="s">
        <v>28</v>
      </c>
    </row>
    <row r="3" spans="1:34">
      <c r="A3" s="135"/>
      <c r="B3" s="135"/>
      <c r="C3" s="135"/>
      <c r="D3" s="535"/>
      <c r="E3" s="535"/>
      <c r="F3" s="535"/>
      <c r="G3" s="535"/>
      <c r="H3" s="535"/>
      <c r="I3" s="535"/>
      <c r="J3" s="535"/>
      <c r="K3" s="535"/>
      <c r="L3" s="535"/>
      <c r="M3" s="535"/>
      <c r="N3" s="535"/>
      <c r="V3" s="6" t="s">
        <v>916</v>
      </c>
      <c r="W3" s="4">
        <v>3</v>
      </c>
      <c r="X3" s="4">
        <v>6</v>
      </c>
      <c r="Y3" s="4">
        <v>9</v>
      </c>
    </row>
    <row r="4" spans="1:34" s="561" customFormat="1">
      <c r="A4" s="7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V4" s="6" t="s">
        <v>917</v>
      </c>
      <c r="W4" s="4">
        <v>9</v>
      </c>
      <c r="X4" s="4">
        <v>12</v>
      </c>
      <c r="Y4" s="4">
        <v>21</v>
      </c>
    </row>
    <row r="5" spans="1:34">
      <c r="A5" s="7" t="s">
        <v>47</v>
      </c>
      <c r="C5" s="27">
        <f t="shared" ref="C5:N5" si="0">SUM(C6:C10)</f>
        <v>0.99999999999999989</v>
      </c>
      <c r="D5" s="27">
        <f t="shared" si="0"/>
        <v>0.99999999999999989</v>
      </c>
      <c r="E5" s="27">
        <f t="shared" si="0"/>
        <v>1.0099999999999998</v>
      </c>
      <c r="F5" s="27">
        <f t="shared" si="0"/>
        <v>1</v>
      </c>
      <c r="G5" s="27">
        <f t="shared" si="0"/>
        <v>1</v>
      </c>
      <c r="H5" s="27">
        <f t="shared" si="0"/>
        <v>1</v>
      </c>
      <c r="I5" s="27">
        <f t="shared" si="0"/>
        <v>1</v>
      </c>
      <c r="J5" s="27">
        <f t="shared" si="0"/>
        <v>0</v>
      </c>
      <c r="K5" s="27">
        <f t="shared" si="0"/>
        <v>0</v>
      </c>
      <c r="L5" s="27">
        <f t="shared" si="0"/>
        <v>0</v>
      </c>
      <c r="M5" s="27">
        <f t="shared" si="0"/>
        <v>0</v>
      </c>
      <c r="N5" s="27">
        <f t="shared" si="0"/>
        <v>0</v>
      </c>
      <c r="V5" s="6" t="s">
        <v>918</v>
      </c>
      <c r="W5" s="4">
        <v>9</v>
      </c>
      <c r="X5" s="4">
        <v>6</v>
      </c>
      <c r="Y5" s="4">
        <v>15</v>
      </c>
    </row>
    <row r="6" spans="1:34">
      <c r="A6" s="118" t="s">
        <v>48</v>
      </c>
      <c r="B6" s="313">
        <f>AVERAGE(C6:N6)</f>
        <v>3.3333333333333335E-3</v>
      </c>
      <c r="C6" s="124">
        <v>0</v>
      </c>
      <c r="D6" s="124">
        <v>0</v>
      </c>
      <c r="E6" s="124">
        <v>0.01</v>
      </c>
      <c r="F6" s="124">
        <v>0.01</v>
      </c>
      <c r="G6" s="124">
        <v>0.01</v>
      </c>
      <c r="H6" s="124">
        <v>0.01</v>
      </c>
      <c r="I6" s="124">
        <v>0</v>
      </c>
      <c r="J6" s="124">
        <v>0</v>
      </c>
      <c r="K6" s="124">
        <v>0</v>
      </c>
      <c r="L6" s="124">
        <v>0</v>
      </c>
      <c r="M6" s="124">
        <v>0</v>
      </c>
      <c r="N6" s="124">
        <v>0</v>
      </c>
      <c r="V6" s="6" t="s">
        <v>719</v>
      </c>
      <c r="W6" s="4">
        <v>9</v>
      </c>
      <c r="X6" s="4">
        <v>2</v>
      </c>
      <c r="Y6" s="4">
        <v>11</v>
      </c>
    </row>
    <row r="7" spans="1:34">
      <c r="A7" s="118" t="s">
        <v>712</v>
      </c>
      <c r="B7" s="313">
        <f>AVERAGE(C7:N7)</f>
        <v>0.20208333333333331</v>
      </c>
      <c r="C7" s="124">
        <v>0.3</v>
      </c>
      <c r="D7" s="124">
        <v>0.3</v>
      </c>
      <c r="E7" s="124">
        <v>0.3</v>
      </c>
      <c r="F7" s="124">
        <v>0.35</v>
      </c>
      <c r="G7" s="124">
        <v>0.35</v>
      </c>
      <c r="H7" s="124">
        <v>0.4</v>
      </c>
      <c r="I7" s="124">
        <v>0.42499999999999999</v>
      </c>
      <c r="J7" s="124">
        <v>0</v>
      </c>
      <c r="K7" s="124">
        <v>0</v>
      </c>
      <c r="L7" s="124">
        <v>0</v>
      </c>
      <c r="M7" s="124">
        <v>0</v>
      </c>
      <c r="N7" s="124">
        <v>0</v>
      </c>
      <c r="V7" s="6" t="s">
        <v>919</v>
      </c>
      <c r="W7" s="4">
        <v>2</v>
      </c>
      <c r="X7" s="4">
        <v>5</v>
      </c>
      <c r="Y7" s="4">
        <v>7</v>
      </c>
    </row>
    <row r="8" spans="1:34">
      <c r="A8" s="118" t="s">
        <v>711</v>
      </c>
      <c r="B8" s="313">
        <f>AVERAGE(C8:N8)</f>
        <v>0.23708333333333331</v>
      </c>
      <c r="C8" s="124">
        <v>0.35</v>
      </c>
      <c r="D8" s="124">
        <v>0.35</v>
      </c>
      <c r="E8" s="124">
        <v>0.35</v>
      </c>
      <c r="F8" s="124">
        <v>0.44</v>
      </c>
      <c r="G8" s="124">
        <v>0.44</v>
      </c>
      <c r="H8" s="124">
        <v>0.49</v>
      </c>
      <c r="I8" s="124">
        <v>0.42499999999999999</v>
      </c>
      <c r="J8" s="124">
        <v>0</v>
      </c>
      <c r="K8" s="124">
        <v>0</v>
      </c>
      <c r="L8" s="124">
        <v>0</v>
      </c>
      <c r="M8" s="124">
        <v>0</v>
      </c>
      <c r="N8" s="124">
        <v>0</v>
      </c>
      <c r="V8" s="6" t="s">
        <v>1102</v>
      </c>
      <c r="W8" s="4">
        <v>1</v>
      </c>
      <c r="X8" s="4">
        <v>2</v>
      </c>
      <c r="Y8" s="4">
        <v>3</v>
      </c>
    </row>
    <row r="9" spans="1:34">
      <c r="A9" s="118" t="s">
        <v>156</v>
      </c>
      <c r="B9" s="313">
        <f>AVERAGE(C9:N9)</f>
        <v>6.25E-2</v>
      </c>
      <c r="C9" s="124">
        <v>0.1</v>
      </c>
      <c r="D9" s="124">
        <v>0.1</v>
      </c>
      <c r="E9" s="124">
        <v>0.1</v>
      </c>
      <c r="F9" s="124">
        <v>0.1</v>
      </c>
      <c r="G9" s="124">
        <v>0.1</v>
      </c>
      <c r="H9" s="124">
        <v>0.1</v>
      </c>
      <c r="I9" s="124">
        <v>0.15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V9" s="6" t="s">
        <v>1101</v>
      </c>
      <c r="W9" s="4"/>
      <c r="X9" s="4">
        <v>1</v>
      </c>
      <c r="Y9" s="4">
        <v>1</v>
      </c>
    </row>
    <row r="10" spans="1:34">
      <c r="A10" s="580" t="s">
        <v>913</v>
      </c>
      <c r="B10" s="313">
        <f>AVERAGE(C10:N10)</f>
        <v>7.9166666666666663E-2</v>
      </c>
      <c r="C10" s="124">
        <v>0.25</v>
      </c>
      <c r="D10" s="124">
        <v>0.25</v>
      </c>
      <c r="E10" s="124">
        <v>0.25</v>
      </c>
      <c r="F10" s="124">
        <v>0.1</v>
      </c>
      <c r="G10" s="124">
        <v>0.1</v>
      </c>
      <c r="H10" s="124">
        <v>0</v>
      </c>
      <c r="I10" s="124">
        <v>0</v>
      </c>
      <c r="J10" s="124">
        <v>0</v>
      </c>
      <c r="K10" s="124">
        <v>0</v>
      </c>
      <c r="L10" s="124">
        <v>0</v>
      </c>
      <c r="M10" s="124">
        <v>0</v>
      </c>
      <c r="N10" s="124">
        <v>0</v>
      </c>
      <c r="R10" t="s">
        <v>141</v>
      </c>
      <c r="V10" s="6" t="s">
        <v>1786</v>
      </c>
      <c r="W10" s="4"/>
      <c r="X10" s="4">
        <v>1</v>
      </c>
      <c r="Y10" s="4">
        <v>1</v>
      </c>
    </row>
    <row r="11" spans="1:34" s="175" customFormat="1">
      <c r="A11" s="1"/>
      <c r="B11" s="272">
        <f>SUM(B6:B9)</f>
        <v>0.50499999999999989</v>
      </c>
      <c r="C11" s="269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V11" s="6" t="s">
        <v>1787</v>
      </c>
      <c r="W11" s="4">
        <v>1</v>
      </c>
      <c r="X11" s="4">
        <v>3</v>
      </c>
      <c r="Y11" s="4">
        <v>4</v>
      </c>
      <c r="Z11"/>
      <c r="AA11"/>
      <c r="AB11"/>
      <c r="AC11"/>
      <c r="AD11"/>
      <c r="AE11"/>
      <c r="AF11"/>
      <c r="AG11"/>
      <c r="AH11"/>
    </row>
    <row r="12" spans="1:34">
      <c r="A12" s="175"/>
      <c r="B12" s="28"/>
      <c r="C12" s="269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R12" t="s">
        <v>140</v>
      </c>
      <c r="S12" s="2">
        <v>20891.669999999998</v>
      </c>
      <c r="T12" s="123" t="e">
        <f>S12/N2</f>
        <v>#DIV/0!</v>
      </c>
      <c r="V12" s="6" t="s">
        <v>28</v>
      </c>
      <c r="W12" s="4">
        <v>34</v>
      </c>
      <c r="X12" s="4">
        <v>38</v>
      </c>
      <c r="Y12" s="4">
        <v>72</v>
      </c>
    </row>
    <row r="13" spans="1:34" s="175" customFormat="1">
      <c r="A13" s="118" t="s">
        <v>48</v>
      </c>
      <c r="B13" s="274">
        <f>SUM(C13:L13)</f>
        <v>0</v>
      </c>
      <c r="C13" s="273">
        <f t="shared" ref="C13:N13" si="1">C6*C$4</f>
        <v>0</v>
      </c>
      <c r="D13" s="273">
        <f t="shared" si="1"/>
        <v>0</v>
      </c>
      <c r="E13" s="273">
        <f t="shared" si="1"/>
        <v>0</v>
      </c>
      <c r="F13" s="273">
        <f t="shared" si="1"/>
        <v>0</v>
      </c>
      <c r="G13" s="273">
        <f t="shared" si="1"/>
        <v>0</v>
      </c>
      <c r="H13" s="273">
        <f t="shared" si="1"/>
        <v>0</v>
      </c>
      <c r="I13" s="273">
        <f t="shared" si="1"/>
        <v>0</v>
      </c>
      <c r="J13" s="273">
        <f t="shared" si="1"/>
        <v>0</v>
      </c>
      <c r="K13" s="273">
        <f t="shared" si="1"/>
        <v>0</v>
      </c>
      <c r="L13" s="273">
        <f t="shared" si="1"/>
        <v>0</v>
      </c>
      <c r="M13" s="273">
        <f t="shared" si="1"/>
        <v>0</v>
      </c>
      <c r="N13" s="273">
        <f t="shared" si="1"/>
        <v>0</v>
      </c>
      <c r="R13" s="175" t="s">
        <v>142</v>
      </c>
      <c r="S13" s="2">
        <v>11103.33</v>
      </c>
      <c r="T13" s="123" t="e">
        <f>S13/$N$2</f>
        <v>#DIV/0!</v>
      </c>
      <c r="V13"/>
      <c r="W13"/>
      <c r="X13"/>
      <c r="Y13"/>
      <c r="Z13"/>
      <c r="AA13"/>
      <c r="AB13"/>
      <c r="AC13"/>
      <c r="AD13"/>
      <c r="AE13"/>
      <c r="AF13"/>
      <c r="AG13"/>
      <c r="AH13"/>
    </row>
    <row r="14" spans="1:34" s="175" customFormat="1">
      <c r="A14" s="118" t="s">
        <v>712</v>
      </c>
      <c r="B14" s="274">
        <f>SUM(C14:L14)</f>
        <v>0</v>
      </c>
      <c r="C14" s="273">
        <f t="shared" ref="C14:N14" si="2">C7*C$4</f>
        <v>0</v>
      </c>
      <c r="D14" s="273">
        <f t="shared" si="2"/>
        <v>0</v>
      </c>
      <c r="E14" s="273">
        <f t="shared" si="2"/>
        <v>0</v>
      </c>
      <c r="F14" s="273">
        <f t="shared" si="2"/>
        <v>0</v>
      </c>
      <c r="G14" s="273">
        <f t="shared" si="2"/>
        <v>0</v>
      </c>
      <c r="H14" s="273">
        <f t="shared" si="2"/>
        <v>0</v>
      </c>
      <c r="I14" s="273">
        <f t="shared" si="2"/>
        <v>0</v>
      </c>
      <c r="J14" s="273">
        <f t="shared" si="2"/>
        <v>0</v>
      </c>
      <c r="K14" s="273">
        <f t="shared" si="2"/>
        <v>0</v>
      </c>
      <c r="L14" s="273">
        <f t="shared" si="2"/>
        <v>0</v>
      </c>
      <c r="M14" s="273">
        <f t="shared" si="2"/>
        <v>0</v>
      </c>
      <c r="N14" s="273">
        <f t="shared" si="2"/>
        <v>0</v>
      </c>
      <c r="R14" s="175" t="s">
        <v>143</v>
      </c>
      <c r="S14" s="2">
        <v>10437.67</v>
      </c>
      <c r="T14" s="123" t="e">
        <f>S14/$N$2</f>
        <v>#DIV/0!</v>
      </c>
      <c r="V14"/>
      <c r="W14"/>
      <c r="X14"/>
      <c r="Y14"/>
      <c r="Z14"/>
      <c r="AA14"/>
      <c r="AB14"/>
      <c r="AC14"/>
      <c r="AD14"/>
      <c r="AE14"/>
      <c r="AF14"/>
      <c r="AG14"/>
      <c r="AH14"/>
    </row>
    <row r="15" spans="1:34" s="561" customFormat="1">
      <c r="A15" s="118" t="s">
        <v>711</v>
      </c>
      <c r="B15" s="274">
        <f>SUM(C15:L15)</f>
        <v>0</v>
      </c>
      <c r="C15" s="273">
        <f t="shared" ref="C15:N15" si="3">C8*C$4</f>
        <v>0</v>
      </c>
      <c r="D15" s="273">
        <f t="shared" si="3"/>
        <v>0</v>
      </c>
      <c r="E15" s="273">
        <f t="shared" si="3"/>
        <v>0</v>
      </c>
      <c r="F15" s="273">
        <f t="shared" si="3"/>
        <v>0</v>
      </c>
      <c r="G15" s="273">
        <f t="shared" si="3"/>
        <v>0</v>
      </c>
      <c r="H15" s="273">
        <f t="shared" si="3"/>
        <v>0</v>
      </c>
      <c r="I15" s="273">
        <f t="shared" si="3"/>
        <v>0</v>
      </c>
      <c r="J15" s="273">
        <f t="shared" si="3"/>
        <v>0</v>
      </c>
      <c r="K15" s="273">
        <f t="shared" si="3"/>
        <v>0</v>
      </c>
      <c r="L15" s="273">
        <f t="shared" si="3"/>
        <v>0</v>
      </c>
      <c r="M15" s="273">
        <f t="shared" si="3"/>
        <v>0</v>
      </c>
      <c r="N15" s="273">
        <f t="shared" si="3"/>
        <v>0</v>
      </c>
      <c r="S15" s="2"/>
      <c r="T15" s="123"/>
      <c r="V15"/>
      <c r="W15"/>
      <c r="X15"/>
      <c r="Y15"/>
      <c r="Z15"/>
      <c r="AA15"/>
      <c r="AB15"/>
      <c r="AC15"/>
      <c r="AD15"/>
      <c r="AE15"/>
      <c r="AF15"/>
      <c r="AG15"/>
      <c r="AH15"/>
    </row>
    <row r="16" spans="1:34" s="175" customFormat="1">
      <c r="A16" s="118" t="s">
        <v>156</v>
      </c>
      <c r="B16" s="274">
        <f>SUM(C16:L16)</f>
        <v>0</v>
      </c>
      <c r="C16" s="273">
        <f t="shared" ref="C16:N16" si="4">C9*C$4</f>
        <v>0</v>
      </c>
      <c r="D16" s="273">
        <f t="shared" si="4"/>
        <v>0</v>
      </c>
      <c r="E16" s="273">
        <f t="shared" si="4"/>
        <v>0</v>
      </c>
      <c r="F16" s="273">
        <f t="shared" si="4"/>
        <v>0</v>
      </c>
      <c r="G16" s="273">
        <f t="shared" si="4"/>
        <v>0</v>
      </c>
      <c r="H16" s="273">
        <f t="shared" si="4"/>
        <v>0</v>
      </c>
      <c r="I16" s="273">
        <f t="shared" si="4"/>
        <v>0</v>
      </c>
      <c r="J16" s="273">
        <f t="shared" si="4"/>
        <v>0</v>
      </c>
      <c r="K16" s="273">
        <f t="shared" si="4"/>
        <v>0</v>
      </c>
      <c r="L16" s="273">
        <f t="shared" si="4"/>
        <v>0</v>
      </c>
      <c r="M16" s="273">
        <f t="shared" si="4"/>
        <v>0</v>
      </c>
      <c r="N16" s="273">
        <f t="shared" si="4"/>
        <v>0</v>
      </c>
      <c r="S16" s="2"/>
      <c r="T16" s="123"/>
      <c r="V16"/>
      <c r="W16"/>
      <c r="X16"/>
      <c r="Y16"/>
      <c r="Z16"/>
      <c r="AA16"/>
      <c r="AB16"/>
      <c r="AC16"/>
      <c r="AD16"/>
      <c r="AE16"/>
      <c r="AF16"/>
      <c r="AG16"/>
      <c r="AH16"/>
    </row>
    <row r="17" spans="1:34">
      <c r="A17" s="580" t="s">
        <v>781</v>
      </c>
      <c r="B17" s="274">
        <f>SUM(C17:L17)</f>
        <v>0</v>
      </c>
      <c r="C17" s="273">
        <f t="shared" ref="C17:N17" si="5">C10*C$4</f>
        <v>0</v>
      </c>
      <c r="D17" s="273">
        <f t="shared" si="5"/>
        <v>0</v>
      </c>
      <c r="E17" s="273">
        <f t="shared" si="5"/>
        <v>0</v>
      </c>
      <c r="F17" s="273">
        <f t="shared" si="5"/>
        <v>0</v>
      </c>
      <c r="G17" s="273">
        <f t="shared" si="5"/>
        <v>0</v>
      </c>
      <c r="H17" s="273">
        <f t="shared" si="5"/>
        <v>0</v>
      </c>
      <c r="I17" s="273">
        <f t="shared" si="5"/>
        <v>0</v>
      </c>
      <c r="J17" s="273">
        <f t="shared" si="5"/>
        <v>0</v>
      </c>
      <c r="K17" s="273">
        <f t="shared" si="5"/>
        <v>0</v>
      </c>
      <c r="L17" s="273">
        <f t="shared" si="5"/>
        <v>0</v>
      </c>
      <c r="M17" s="273">
        <f t="shared" si="5"/>
        <v>0</v>
      </c>
      <c r="N17" s="273">
        <f t="shared" si="5"/>
        <v>0</v>
      </c>
      <c r="R17" t="s">
        <v>144</v>
      </c>
      <c r="S17" s="2">
        <v>8135</v>
      </c>
      <c r="T17" s="123" t="e">
        <f>S17/$N$2</f>
        <v>#DIV/0!</v>
      </c>
    </row>
    <row r="18" spans="1:34" s="175" customFormat="1">
      <c r="A18"/>
      <c r="B18" s="31">
        <f>SUM(B13:B16)</f>
        <v>0</v>
      </c>
      <c r="C18" s="22">
        <f t="shared" ref="C18:N18" si="6">SUM(C13:C17)</f>
        <v>0</v>
      </c>
      <c r="D18" s="22">
        <f t="shared" si="6"/>
        <v>0</v>
      </c>
      <c r="E18" s="22">
        <f t="shared" si="6"/>
        <v>0</v>
      </c>
      <c r="F18" s="22">
        <f t="shared" si="6"/>
        <v>0</v>
      </c>
      <c r="G18" s="22">
        <f t="shared" si="6"/>
        <v>0</v>
      </c>
      <c r="H18" s="22">
        <f t="shared" si="6"/>
        <v>0</v>
      </c>
      <c r="I18" s="22">
        <f t="shared" si="6"/>
        <v>0</v>
      </c>
      <c r="J18" s="22">
        <f t="shared" si="6"/>
        <v>0</v>
      </c>
      <c r="K18" s="22">
        <f t="shared" si="6"/>
        <v>0</v>
      </c>
      <c r="L18" s="22">
        <f t="shared" si="6"/>
        <v>0</v>
      </c>
      <c r="M18" s="22">
        <f t="shared" si="6"/>
        <v>0</v>
      </c>
      <c r="N18" s="22">
        <f t="shared" si="6"/>
        <v>0</v>
      </c>
      <c r="S18" s="2"/>
      <c r="T18" s="123"/>
      <c r="V18"/>
      <c r="W18"/>
      <c r="X18"/>
      <c r="Y18"/>
      <c r="Z18"/>
      <c r="AA18"/>
      <c r="AB18"/>
      <c r="AC18"/>
      <c r="AD18"/>
      <c r="AE18"/>
      <c r="AF18"/>
      <c r="AG18"/>
      <c r="AH18"/>
    </row>
    <row r="19" spans="1:34" s="175" customFormat="1">
      <c r="A19"/>
      <c r="B19" s="31"/>
      <c r="C19"/>
      <c r="D19"/>
      <c r="E19"/>
      <c r="F19"/>
      <c r="G19"/>
      <c r="H19"/>
      <c r="I19"/>
      <c r="J19"/>
      <c r="K19"/>
      <c r="L19"/>
      <c r="M19"/>
      <c r="N19"/>
      <c r="S19" s="2"/>
      <c r="T19" s="123"/>
      <c r="V19"/>
      <c r="W19"/>
      <c r="X19"/>
      <c r="Y19"/>
      <c r="Z19"/>
      <c r="AA19"/>
      <c r="AB19"/>
      <c r="AC19"/>
      <c r="AD19"/>
      <c r="AE19"/>
      <c r="AF19"/>
      <c r="AG19"/>
      <c r="AH19"/>
    </row>
    <row r="20" spans="1:34" s="175" customFormat="1">
      <c r="A20"/>
      <c r="B20" s="31"/>
      <c r="C20"/>
      <c r="D20"/>
      <c r="E20"/>
      <c r="F20"/>
      <c r="G20"/>
      <c r="H20"/>
      <c r="I20"/>
      <c r="J20"/>
      <c r="K20"/>
      <c r="L20"/>
      <c r="M20"/>
      <c r="N20"/>
      <c r="S20" s="2"/>
      <c r="T20" s="123"/>
      <c r="V20"/>
      <c r="W20"/>
      <c r="X20"/>
      <c r="Y20"/>
      <c r="Z20"/>
      <c r="AA20"/>
      <c r="AB20"/>
      <c r="AC20"/>
      <c r="AD20"/>
      <c r="AE20"/>
      <c r="AF20"/>
      <c r="AG20"/>
      <c r="AH20"/>
    </row>
    <row r="21" spans="1:34" s="175" customFormat="1">
      <c r="A21"/>
      <c r="B21" s="31"/>
      <c r="C21"/>
      <c r="D21"/>
      <c r="E21"/>
      <c r="F21"/>
      <c r="G21"/>
      <c r="H21"/>
      <c r="I21"/>
      <c r="J21"/>
      <c r="K21"/>
      <c r="L21"/>
      <c r="M21"/>
      <c r="N21"/>
      <c r="S21" s="2"/>
      <c r="T21" s="123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s="331" customFormat="1">
      <c r="A22"/>
      <c r="B22" s="2"/>
      <c r="C22"/>
      <c r="D22"/>
      <c r="E22"/>
      <c r="F22"/>
      <c r="G22"/>
      <c r="H22"/>
      <c r="I22"/>
      <c r="J22"/>
      <c r="K22"/>
      <c r="L22"/>
      <c r="M22"/>
      <c r="N22"/>
      <c r="S22" s="2"/>
      <c r="T22" s="123"/>
      <c r="Z22"/>
      <c r="AA22"/>
      <c r="AB22"/>
      <c r="AC22"/>
      <c r="AD22"/>
      <c r="AE22"/>
      <c r="AF22"/>
      <c r="AG22"/>
      <c r="AH22"/>
    </row>
    <row r="23" spans="1:34" s="175" customFormat="1">
      <c r="A23" s="331"/>
      <c r="B23" s="31"/>
      <c r="C23"/>
      <c r="D23"/>
      <c r="E23"/>
      <c r="F23"/>
      <c r="G23"/>
      <c r="H23"/>
      <c r="I23"/>
      <c r="J23"/>
      <c r="K23"/>
      <c r="L23"/>
      <c r="M23"/>
      <c r="N23"/>
      <c r="S23" s="2"/>
      <c r="T23" s="123"/>
      <c r="Z23"/>
      <c r="AA23"/>
      <c r="AB23"/>
      <c r="AC23"/>
      <c r="AD23"/>
      <c r="AE23"/>
      <c r="AF23"/>
      <c r="AG23"/>
      <c r="AH23"/>
    </row>
    <row r="24" spans="1:34" s="561" customFormat="1">
      <c r="A24" s="331"/>
      <c r="B24" s="31"/>
      <c r="C24"/>
      <c r="D24"/>
      <c r="E24"/>
      <c r="F24"/>
      <c r="G24"/>
      <c r="H24"/>
      <c r="I24"/>
      <c r="J24"/>
      <c r="K24"/>
      <c r="L24"/>
      <c r="M24"/>
      <c r="N24"/>
      <c r="S24" s="2"/>
      <c r="T24" s="123"/>
      <c r="V24"/>
      <c r="W24"/>
      <c r="X24"/>
      <c r="Y24"/>
      <c r="Z24"/>
      <c r="AA24"/>
      <c r="AB24"/>
      <c r="AC24"/>
      <c r="AD24"/>
      <c r="AE24"/>
      <c r="AF24"/>
      <c r="AG24"/>
      <c r="AH24"/>
    </row>
    <row r="25" spans="1:34" s="600" customFormat="1">
      <c r="A25"/>
      <c r="B25"/>
      <c r="C25" s="582">
        <f t="shared" ref="C25:N25" si="7">C1</f>
        <v>42947</v>
      </c>
      <c r="D25" s="582">
        <f t="shared" si="7"/>
        <v>42978</v>
      </c>
      <c r="E25" s="582">
        <f t="shared" si="7"/>
        <v>43008</v>
      </c>
      <c r="F25" s="582">
        <f t="shared" si="7"/>
        <v>43039</v>
      </c>
      <c r="G25" s="582">
        <f t="shared" si="7"/>
        <v>43069</v>
      </c>
      <c r="H25" s="582">
        <f t="shared" si="7"/>
        <v>43100</v>
      </c>
      <c r="I25" s="582">
        <f t="shared" si="7"/>
        <v>43131</v>
      </c>
      <c r="J25" s="582">
        <f t="shared" si="7"/>
        <v>43159</v>
      </c>
      <c r="K25" s="582">
        <f t="shared" si="7"/>
        <v>43190</v>
      </c>
      <c r="L25" s="582">
        <f t="shared" si="7"/>
        <v>43220</v>
      </c>
      <c r="M25" s="582">
        <f t="shared" si="7"/>
        <v>43251</v>
      </c>
      <c r="N25" s="582">
        <f t="shared" si="7"/>
        <v>43281</v>
      </c>
      <c r="S25" s="2"/>
      <c r="T25" s="123"/>
      <c r="V25"/>
      <c r="W25"/>
      <c r="X25"/>
      <c r="Y25"/>
      <c r="Z25"/>
      <c r="AA25"/>
      <c r="AB25"/>
      <c r="AC25"/>
      <c r="AD25"/>
      <c r="AE25"/>
      <c r="AF25"/>
      <c r="AG25"/>
      <c r="AH25"/>
    </row>
    <row r="26" spans="1:34" s="175" customFormat="1">
      <c r="A26"/>
      <c r="B26"/>
      <c r="C26" s="22">
        <f t="shared" ref="C26:N26" si="8">C14</f>
        <v>0</v>
      </c>
      <c r="D26" s="22">
        <f t="shared" si="8"/>
        <v>0</v>
      </c>
      <c r="E26" s="22">
        <f t="shared" si="8"/>
        <v>0</v>
      </c>
      <c r="F26" s="22">
        <f t="shared" si="8"/>
        <v>0</v>
      </c>
      <c r="G26" s="22">
        <f t="shared" si="8"/>
        <v>0</v>
      </c>
      <c r="H26" s="22">
        <f t="shared" si="8"/>
        <v>0</v>
      </c>
      <c r="I26" s="22">
        <f t="shared" si="8"/>
        <v>0</v>
      </c>
      <c r="J26" s="22">
        <f t="shared" si="8"/>
        <v>0</v>
      </c>
      <c r="K26" s="22">
        <f t="shared" si="8"/>
        <v>0</v>
      </c>
      <c r="L26" s="22">
        <f t="shared" si="8"/>
        <v>0</v>
      </c>
      <c r="M26" s="22">
        <f t="shared" si="8"/>
        <v>0</v>
      </c>
      <c r="N26" s="22">
        <f t="shared" si="8"/>
        <v>0</v>
      </c>
      <c r="S26" s="2"/>
      <c r="T26" s="123"/>
      <c r="V26"/>
      <c r="W26"/>
      <c r="X26"/>
      <c r="Y26"/>
      <c r="Z26"/>
      <c r="AA26"/>
      <c r="AB26"/>
      <c r="AC26"/>
      <c r="AD26"/>
      <c r="AE26"/>
      <c r="AF26"/>
      <c r="AG26"/>
      <c r="AH26"/>
    </row>
    <row r="27" spans="1:34" s="175" customFormat="1">
      <c r="A27"/>
      <c r="B27" s="584" t="s">
        <v>766</v>
      </c>
      <c r="C27" t="e">
        <f>GETPIVOTDATA("Total Revenue",$V$1,"Month Claimed","Jul-16")</f>
        <v>#REF!</v>
      </c>
      <c r="D27">
        <f>0</f>
        <v>0</v>
      </c>
      <c r="E27" t="e">
        <f>GETPIVOTDATA("Total Revenue",$V$1,"Month Claimed","Sep-16")</f>
        <v>#REF!</v>
      </c>
      <c r="F27" t="e">
        <f>GETPIVOTDATA("Total Revenue",$V$1,"Month Claimed","Oct-16")</f>
        <v>#REF!</v>
      </c>
      <c r="G27" t="e">
        <f>GETPIVOTDATA("Total Revenue",$V$1,"Month Claimed","Nov-16")</f>
        <v>#REF!</v>
      </c>
      <c r="H27" t="e">
        <f>GETPIVOTDATA("Total Revenue",$V$1,"Month Claimed","Dec-16")</f>
        <v>#REF!</v>
      </c>
      <c r="I27" t="e">
        <f>GETPIVOTDATA("Total Revenue",$V$1,"Month Claimed","Jan-17")</f>
        <v>#REF!</v>
      </c>
      <c r="J27">
        <v>0</v>
      </c>
      <c r="K27" t="e">
        <f>GETPIVOTDATA("Total Revenue",$V$1,"Month Claimed","Mar-17")</f>
        <v>#REF!</v>
      </c>
      <c r="L27" t="e">
        <f>GETPIVOTDATA("Total Revenue",$V$1,"Month Claimed","Apr-17")</f>
        <v>#REF!</v>
      </c>
      <c r="M27">
        <f>GETPIVOTDATA("Total Revenue",$V$1,"Month Claimed","May-17")</f>
        <v>11</v>
      </c>
      <c r="N27">
        <f>GETPIVOTDATA("Total Revenue",$V$1,"Month Claimed","Jul-17")</f>
        <v>21</v>
      </c>
      <c r="S27" s="2"/>
      <c r="T27" s="123"/>
      <c r="V27"/>
      <c r="W27"/>
      <c r="X27"/>
      <c r="Y27"/>
      <c r="Z27"/>
      <c r="AA27"/>
      <c r="AB27"/>
      <c r="AC27"/>
      <c r="AD27"/>
      <c r="AE27"/>
      <c r="AF27"/>
      <c r="AG27"/>
      <c r="AH27"/>
    </row>
    <row r="28" spans="1:34" ht="14.7" thickBot="1">
      <c r="C28" s="583" t="e">
        <f>C26/C27</f>
        <v>#REF!</v>
      </c>
      <c r="D28" s="583">
        <f>D26</f>
        <v>0</v>
      </c>
      <c r="E28" s="583" t="e">
        <f t="shared" ref="E28:N28" si="9">E26/E27</f>
        <v>#REF!</v>
      </c>
      <c r="F28" s="583" t="e">
        <f t="shared" si="9"/>
        <v>#REF!</v>
      </c>
      <c r="G28" s="583" t="e">
        <f t="shared" si="9"/>
        <v>#REF!</v>
      </c>
      <c r="H28" s="583" t="e">
        <f t="shared" si="9"/>
        <v>#REF!</v>
      </c>
      <c r="I28" s="583" t="e">
        <f t="shared" si="9"/>
        <v>#REF!</v>
      </c>
      <c r="J28" s="583">
        <f>J26</f>
        <v>0</v>
      </c>
      <c r="K28" s="583" t="e">
        <f t="shared" si="9"/>
        <v>#REF!</v>
      </c>
      <c r="L28" s="583" t="e">
        <f t="shared" si="9"/>
        <v>#REF!</v>
      </c>
      <c r="M28" s="583">
        <f t="shared" si="9"/>
        <v>0</v>
      </c>
      <c r="N28" s="583">
        <f t="shared" si="9"/>
        <v>0</v>
      </c>
    </row>
    <row r="29" spans="1:34" ht="14.7" thickTop="1"/>
    <row r="30" spans="1:34">
      <c r="C30" s="22">
        <f t="shared" ref="C30:N30" si="10">C16</f>
        <v>0</v>
      </c>
      <c r="D30" s="22">
        <f t="shared" si="10"/>
        <v>0</v>
      </c>
      <c r="E30" s="22">
        <f t="shared" si="10"/>
        <v>0</v>
      </c>
      <c r="F30" s="22">
        <f t="shared" si="10"/>
        <v>0</v>
      </c>
      <c r="G30" s="22">
        <f t="shared" si="10"/>
        <v>0</v>
      </c>
      <c r="H30" s="22">
        <f t="shared" si="10"/>
        <v>0</v>
      </c>
      <c r="I30" s="22">
        <f t="shared" si="10"/>
        <v>0</v>
      </c>
      <c r="J30" s="22">
        <f t="shared" si="10"/>
        <v>0</v>
      </c>
      <c r="K30" s="22">
        <f t="shared" si="10"/>
        <v>0</v>
      </c>
      <c r="L30" s="22">
        <f t="shared" si="10"/>
        <v>0</v>
      </c>
      <c r="M30" s="22">
        <f t="shared" si="10"/>
        <v>0</v>
      </c>
      <c r="N30" s="22">
        <f t="shared" si="10"/>
        <v>0</v>
      </c>
    </row>
    <row r="31" spans="1:34">
      <c r="B31" s="584" t="s">
        <v>767</v>
      </c>
      <c r="C31">
        <f>0</f>
        <v>0</v>
      </c>
      <c r="D31">
        <v>0</v>
      </c>
      <c r="E31" t="e">
        <f>GETPIVOTDATA("Total Revenue",$V$46,"Month Claimed","Sep-16")</f>
        <v>#REF!</v>
      </c>
      <c r="F31" t="e">
        <f>GETPIVOTDATA("Total Revenue",$V$46,"Month Claimed","Oct-16")</f>
        <v>#REF!</v>
      </c>
      <c r="G31" t="e">
        <f>GETPIVOTDATA("Total Revenue",$V$46,"Month Claimed","Nov-16")</f>
        <v>#REF!</v>
      </c>
      <c r="H31" t="e">
        <f>GETPIVOTDATA("Total Revenue",$V$46,"Month Claimed","Dec-16")</f>
        <v>#REF!</v>
      </c>
      <c r="I31" t="e">
        <f>GETPIVOTDATA("Total Revenue",$V$46,"Month Claimed","Jan-17")</f>
        <v>#REF!</v>
      </c>
      <c r="J31" t="e">
        <f>GETPIVOTDATA("Total Revenue",$V$46,"Month Claimed","Feb-17")</f>
        <v>#REF!</v>
      </c>
      <c r="K31" t="e">
        <f>GETPIVOTDATA("Total Revenue",$V$46,"Month Claimed","Mar-17")</f>
        <v>#REF!</v>
      </c>
      <c r="L31" t="e">
        <f>GETPIVOTDATA("Total Revenue",$V$46,"Month Claimed","Apr-17")</f>
        <v>#REF!</v>
      </c>
      <c r="M31">
        <f>GETPIVOTDATA("Total Revenue",$V$46,"Month Claimed","May-17")</f>
        <v>3</v>
      </c>
      <c r="N31">
        <f>GETPIVOTDATA("Total Revenue",$V$46,"Month Claimed","Jun-17")</f>
        <v>1</v>
      </c>
    </row>
    <row r="32" spans="1:34" ht="14.7" thickBot="1">
      <c r="C32" s="585">
        <f>C30</f>
        <v>0</v>
      </c>
      <c r="D32" s="615">
        <v>0</v>
      </c>
      <c r="E32" s="585" t="e">
        <f>E30/E31</f>
        <v>#REF!</v>
      </c>
      <c r="F32" s="585" t="e">
        <f t="shared" ref="F32:N32" si="11">F30/F31</f>
        <v>#REF!</v>
      </c>
      <c r="G32" s="585" t="e">
        <f t="shared" si="11"/>
        <v>#REF!</v>
      </c>
      <c r="H32" s="585" t="e">
        <f t="shared" si="11"/>
        <v>#REF!</v>
      </c>
      <c r="I32" s="585" t="e">
        <f t="shared" si="11"/>
        <v>#REF!</v>
      </c>
      <c r="J32" s="585" t="e">
        <f t="shared" si="11"/>
        <v>#REF!</v>
      </c>
      <c r="K32" s="585" t="e">
        <f t="shared" si="11"/>
        <v>#REF!</v>
      </c>
      <c r="L32" s="585" t="e">
        <f t="shared" si="11"/>
        <v>#REF!</v>
      </c>
      <c r="M32" s="585">
        <f t="shared" si="11"/>
        <v>0</v>
      </c>
      <c r="N32" s="585">
        <f t="shared" si="11"/>
        <v>0</v>
      </c>
    </row>
    <row r="33" spans="1:25" s="175" customFormat="1" ht="14.7" thickTop="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V33"/>
      <c r="W33"/>
    </row>
    <row r="35" spans="1:25" s="175" customFormat="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Y35"/>
    </row>
    <row r="37" spans="1:25" s="561" customFormat="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Y37"/>
    </row>
    <row r="38" spans="1:25" s="175" customFormat="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Y38"/>
    </row>
    <row r="42" spans="1:25" s="175" customFormat="1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Y42"/>
    </row>
    <row r="43" spans="1:25" s="175" customFormat="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Y43"/>
    </row>
    <row r="44" spans="1:25" s="175" customFormat="1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Y44"/>
    </row>
    <row r="45" spans="1:25" s="331" customFormat="1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V45" s="7" t="s">
        <v>151</v>
      </c>
      <c r="Y45"/>
    </row>
    <row r="46" spans="1:25" s="175" customFormat="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V46" s="5" t="s">
        <v>920</v>
      </c>
      <c r="W46" s="5" t="s">
        <v>35</v>
      </c>
      <c r="X46"/>
      <c r="Y46"/>
    </row>
    <row r="47" spans="1:25" s="561" customFormat="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V47" s="5" t="s">
        <v>29</v>
      </c>
      <c r="W47" s="600" t="s">
        <v>716</v>
      </c>
      <c r="X47" s="600" t="s">
        <v>28</v>
      </c>
      <c r="Y47"/>
    </row>
    <row r="48" spans="1:25" s="600" customFormat="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V48" s="6" t="s">
        <v>916</v>
      </c>
      <c r="W48" s="4">
        <v>2</v>
      </c>
      <c r="X48" s="4">
        <v>2</v>
      </c>
      <c r="Y48"/>
    </row>
    <row r="49" spans="22:26">
      <c r="V49" s="6" t="s">
        <v>918</v>
      </c>
      <c r="W49" s="4">
        <v>1</v>
      </c>
      <c r="X49" s="4">
        <v>1</v>
      </c>
    </row>
    <row r="50" spans="22:26">
      <c r="V50" s="6" t="s">
        <v>719</v>
      </c>
      <c r="W50" s="4">
        <v>3</v>
      </c>
      <c r="X50" s="4">
        <v>3</v>
      </c>
    </row>
    <row r="51" spans="22:26">
      <c r="V51" s="6" t="s">
        <v>919</v>
      </c>
      <c r="W51" s="4">
        <v>1</v>
      </c>
      <c r="X51" s="4">
        <v>1</v>
      </c>
    </row>
    <row r="52" spans="22:26">
      <c r="V52" s="6" t="s">
        <v>1102</v>
      </c>
      <c r="W52" s="4">
        <v>1</v>
      </c>
      <c r="X52" s="4">
        <v>1</v>
      </c>
    </row>
    <row r="53" spans="22:26">
      <c r="V53" s="6" t="s">
        <v>1786</v>
      </c>
      <c r="W53" s="4">
        <v>1</v>
      </c>
      <c r="X53" s="4">
        <v>1</v>
      </c>
    </row>
    <row r="54" spans="22:26">
      <c r="V54" s="6" t="s">
        <v>1787</v>
      </c>
      <c r="W54" s="4">
        <v>1</v>
      </c>
      <c r="X54" s="4">
        <v>1</v>
      </c>
    </row>
    <row r="55" spans="22:26">
      <c r="V55" s="6" t="s">
        <v>28</v>
      </c>
      <c r="W55" s="4">
        <v>10</v>
      </c>
      <c r="X55" s="4">
        <v>10</v>
      </c>
    </row>
    <row r="57" spans="22:26">
      <c r="Y57" s="561"/>
      <c r="Z57" s="561"/>
    </row>
    <row r="58" spans="22:26">
      <c r="Y58" s="4"/>
      <c r="Z58" s="4"/>
    </row>
    <row r="59" spans="22:26">
      <c r="Y59" s="4"/>
      <c r="Z59" s="4"/>
    </row>
    <row r="60" spans="22:26">
      <c r="Y60" s="4"/>
      <c r="Z60" s="4"/>
    </row>
    <row r="61" spans="22:26">
      <c r="Y61" s="4"/>
      <c r="Z61" s="4"/>
    </row>
    <row r="62" spans="22:26">
      <c r="X62" s="4"/>
      <c r="Y62" s="4"/>
      <c r="Z62" s="4"/>
    </row>
    <row r="63" spans="22:26">
      <c r="X63" s="4"/>
      <c r="Y63" s="4"/>
      <c r="Z63" s="4"/>
    </row>
    <row r="64" spans="22:26">
      <c r="X64" s="4"/>
      <c r="Y64" s="4"/>
      <c r="Z64" s="4"/>
    </row>
    <row r="65" spans="24:26">
      <c r="X65" s="4"/>
      <c r="Y65" s="4"/>
      <c r="Z65" s="4"/>
    </row>
    <row r="66" spans="24:26">
      <c r="X66" s="4"/>
      <c r="Y66" s="4"/>
      <c r="Z66" s="4"/>
    </row>
    <row r="67" spans="24:26">
      <c r="X67" s="4"/>
      <c r="Y67" s="4"/>
      <c r="Z67" s="4"/>
    </row>
    <row r="68" spans="24:26">
      <c r="X68" s="4"/>
      <c r="Y68" s="4"/>
      <c r="Z68" s="4"/>
    </row>
    <row r="69" spans="24:26">
      <c r="X69" s="4"/>
      <c r="Y69" s="4"/>
      <c r="Z69" s="4"/>
    </row>
    <row r="70" spans="24:26">
      <c r="X70" s="4"/>
      <c r="Y70" s="4"/>
      <c r="Z70" s="4"/>
    </row>
    <row r="71" spans="24:26">
      <c r="X71" s="4"/>
      <c r="Y71" s="4"/>
      <c r="Z71" s="4"/>
    </row>
    <row r="72" spans="24:26">
      <c r="X72" s="4"/>
      <c r="Y72" s="4"/>
      <c r="Z72" s="4"/>
    </row>
  </sheetData>
  <conditionalFormatting sqref="L11:N12 C11:D12 C5:N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1:K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3"/>
  <sheetViews>
    <sheetView topLeftCell="R46" zoomScale="90" zoomScaleNormal="90" workbookViewId="0">
      <selection activeCell="AH63" sqref="AH63"/>
    </sheetView>
  </sheetViews>
  <sheetFormatPr defaultRowHeight="14.35"/>
  <cols>
    <col min="1" max="1" width="13.234375" customWidth="1"/>
    <col min="2" max="2" width="12.52734375" customWidth="1"/>
    <col min="3" max="3" width="63.87890625" customWidth="1"/>
    <col min="4" max="4" width="7.76171875" customWidth="1"/>
    <col min="5" max="5" width="7.29296875" customWidth="1"/>
    <col min="6" max="6" width="7.05859375" customWidth="1"/>
    <col min="11" max="12" width="8.9375" style="704"/>
    <col min="13" max="13" width="9.52734375" style="704" customWidth="1"/>
    <col min="14" max="14" width="9.46875" customWidth="1"/>
    <col min="15" max="15" width="10.234375" customWidth="1"/>
    <col min="17" max="17" width="8.9375" style="704"/>
    <col min="18" max="18" width="11.3515625" customWidth="1"/>
    <col min="25" max="25" width="8.703125" customWidth="1"/>
    <col min="33" max="33" width="61.5859375" bestFit="1" customWidth="1"/>
    <col min="34" max="34" width="15" customWidth="1"/>
  </cols>
  <sheetData>
    <row r="1" spans="1:31" ht="14.7" thickBot="1"/>
    <row r="2" spans="1:31" s="37" customFormat="1" ht="43.7" thickTop="1" thickBot="1">
      <c r="A2" s="782" t="s">
        <v>2846</v>
      </c>
      <c r="B2" s="782" t="s">
        <v>22</v>
      </c>
      <c r="C2" s="782" t="s">
        <v>2837</v>
      </c>
      <c r="D2" s="782" t="s">
        <v>2838</v>
      </c>
      <c r="E2" s="782" t="s">
        <v>2839</v>
      </c>
      <c r="F2" s="782" t="s">
        <v>2840</v>
      </c>
      <c r="G2" s="782" t="s">
        <v>604</v>
      </c>
      <c r="H2" s="782" t="s">
        <v>2841</v>
      </c>
      <c r="I2" s="782" t="s">
        <v>2842</v>
      </c>
      <c r="J2" s="782" t="s">
        <v>2843</v>
      </c>
      <c r="K2" s="782" t="s">
        <v>2866</v>
      </c>
      <c r="L2" s="782" t="s">
        <v>1989</v>
      </c>
      <c r="M2" s="782" t="s">
        <v>2879</v>
      </c>
      <c r="N2" s="782" t="s">
        <v>2844</v>
      </c>
      <c r="O2" s="782" t="s">
        <v>2845</v>
      </c>
      <c r="P2" s="782" t="s">
        <v>2860</v>
      </c>
      <c r="Q2" s="782" t="s">
        <v>2861</v>
      </c>
      <c r="R2" s="782" t="s">
        <v>2857</v>
      </c>
      <c r="S2" s="782" t="s">
        <v>2858</v>
      </c>
      <c r="T2" s="782" t="s">
        <v>2859</v>
      </c>
      <c r="U2" s="782" t="s">
        <v>38</v>
      </c>
      <c r="Y2" s="36" t="s">
        <v>2862</v>
      </c>
      <c r="Z2" s="36" t="s">
        <v>2873</v>
      </c>
      <c r="AA2" s="36" t="s">
        <v>2874</v>
      </c>
      <c r="AB2" s="36" t="s">
        <v>2875</v>
      </c>
      <c r="AC2" s="36" t="s">
        <v>2876</v>
      </c>
      <c r="AD2" s="36" t="s">
        <v>2877</v>
      </c>
      <c r="AE2" s="36" t="s">
        <v>2878</v>
      </c>
    </row>
    <row r="3" spans="1:31" s="704" customFormat="1" ht="14.7" thickBot="1">
      <c r="A3" s="783" t="s">
        <v>2847</v>
      </c>
      <c r="B3" s="784">
        <v>43252</v>
      </c>
      <c r="C3" s="783" t="s">
        <v>2674</v>
      </c>
      <c r="D3" s="792">
        <v>0.22916666666666666</v>
      </c>
      <c r="E3" s="792">
        <v>0.625</v>
      </c>
      <c r="F3" s="783">
        <v>0.5</v>
      </c>
      <c r="G3" s="787">
        <f t="shared" ref="G3:G8" si="0">(E3-D3)*24-F3</f>
        <v>9</v>
      </c>
      <c r="H3" s="783">
        <v>7.5</v>
      </c>
      <c r="I3" s="783">
        <v>1.5</v>
      </c>
      <c r="J3" s="783"/>
      <c r="K3" s="789">
        <f>H3*$Y$3+I3*$Y$4+J3*$Y$5</f>
        <v>309.46499999999997</v>
      </c>
      <c r="L3" s="790">
        <f>(H3*$Y$3)*9.5%</f>
        <v>22.614749999999997</v>
      </c>
      <c r="M3" s="790">
        <v>5.98</v>
      </c>
      <c r="N3" s="790"/>
      <c r="O3" s="790">
        <v>15.34</v>
      </c>
      <c r="P3" s="791">
        <f>833/20</f>
        <v>41.65</v>
      </c>
      <c r="Q3" s="791">
        <v>20</v>
      </c>
      <c r="R3" s="791">
        <f>902/20</f>
        <v>45.1</v>
      </c>
      <c r="S3" s="791">
        <f>18.31/5</f>
        <v>3.6619999999999999</v>
      </c>
      <c r="T3" s="791">
        <f>23.08/5</f>
        <v>4.6159999999999997</v>
      </c>
      <c r="U3" s="791">
        <f>SUM(K3:T3)</f>
        <v>468.42774999999995</v>
      </c>
      <c r="X3" t="s">
        <v>2863</v>
      </c>
      <c r="Y3" s="781">
        <v>31.74</v>
      </c>
      <c r="Z3" s="13"/>
      <c r="AA3" s="13"/>
      <c r="AB3" s="13"/>
      <c r="AC3" s="781">
        <v>20</v>
      </c>
      <c r="AD3" s="781">
        <v>20</v>
      </c>
      <c r="AE3" s="781">
        <v>20</v>
      </c>
    </row>
    <row r="4" spans="1:31" s="704" customFormat="1" ht="14.7" thickBot="1">
      <c r="A4" s="783" t="s">
        <v>2847</v>
      </c>
      <c r="B4" s="784">
        <v>43255</v>
      </c>
      <c r="C4" s="783" t="s">
        <v>3036</v>
      </c>
      <c r="D4" s="792">
        <v>0.29166666666666669</v>
      </c>
      <c r="E4" s="792">
        <v>0.625</v>
      </c>
      <c r="F4" s="783">
        <v>0.5</v>
      </c>
      <c r="G4" s="787">
        <f t="shared" si="0"/>
        <v>7.5</v>
      </c>
      <c r="H4" s="783">
        <v>7.5</v>
      </c>
      <c r="I4" s="783"/>
      <c r="J4" s="783"/>
      <c r="K4" s="789">
        <f>H4*$Y$3+I4*$Y$4+J4*$Y$5</f>
        <v>238.04999999999998</v>
      </c>
      <c r="L4" s="790">
        <f>(H4*$Y$3)*9.5%</f>
        <v>22.614749999999997</v>
      </c>
      <c r="M4" s="790">
        <v>3.49</v>
      </c>
      <c r="N4" s="783"/>
      <c r="O4" s="783"/>
      <c r="P4" s="791">
        <f>833/20</f>
        <v>41.65</v>
      </c>
      <c r="Q4" s="791">
        <v>21</v>
      </c>
      <c r="R4" s="791">
        <f>902/20</f>
        <v>45.1</v>
      </c>
      <c r="S4" s="791">
        <f>18.31/5</f>
        <v>3.6619999999999999</v>
      </c>
      <c r="T4" s="791">
        <f>23.08/5</f>
        <v>4.6159999999999997</v>
      </c>
      <c r="U4" s="791">
        <f>SUM(K4:T4)</f>
        <v>380.18274999999994</v>
      </c>
      <c r="X4" t="s">
        <v>2864</v>
      </c>
      <c r="Y4" s="781">
        <f>Y3*1.5</f>
        <v>47.61</v>
      </c>
      <c r="Z4" s="13"/>
      <c r="AA4" s="13"/>
      <c r="AB4" s="13"/>
      <c r="AC4" s="781">
        <v>30</v>
      </c>
      <c r="AD4" s="781">
        <v>30</v>
      </c>
      <c r="AE4" s="781">
        <v>30</v>
      </c>
    </row>
    <row r="5" spans="1:31" s="704" customFormat="1" ht="14.7" thickBot="1">
      <c r="A5" s="783" t="s">
        <v>2847</v>
      </c>
      <c r="B5" s="784">
        <v>43256</v>
      </c>
      <c r="C5" s="783" t="s">
        <v>2652</v>
      </c>
      <c r="D5" s="792">
        <v>0.29166666666666669</v>
      </c>
      <c r="E5" s="792">
        <v>0.625</v>
      </c>
      <c r="F5" s="783">
        <v>0.5</v>
      </c>
      <c r="G5" s="787">
        <f t="shared" si="0"/>
        <v>7.5</v>
      </c>
      <c r="H5" s="783">
        <v>7.5</v>
      </c>
      <c r="I5" s="783"/>
      <c r="J5" s="783"/>
      <c r="K5" s="789">
        <f t="shared" ref="K5:K7" si="1">H5*$Y$3+I5*$Y$4+J5*$Y$5</f>
        <v>238.04999999999998</v>
      </c>
      <c r="L5" s="790">
        <f t="shared" ref="L5:L7" si="2">(H5*$Y$3)*9.5%</f>
        <v>22.614749999999997</v>
      </c>
      <c r="M5" s="790">
        <v>3.49</v>
      </c>
      <c r="N5" s="783"/>
      <c r="O5" s="783"/>
      <c r="P5" s="791">
        <f t="shared" ref="P5:P7" si="3">833/20</f>
        <v>41.65</v>
      </c>
      <c r="Q5" s="791">
        <v>21</v>
      </c>
      <c r="R5" s="791">
        <f t="shared" ref="R5:R7" si="4">902/20</f>
        <v>45.1</v>
      </c>
      <c r="S5" s="791">
        <f t="shared" ref="S5:S7" si="5">18.31/5</f>
        <v>3.6619999999999999</v>
      </c>
      <c r="T5" s="791">
        <f t="shared" ref="T5:T7" si="6">23.08/5</f>
        <v>4.6159999999999997</v>
      </c>
      <c r="U5" s="791">
        <f t="shared" ref="U5:U7" si="7">SUM(K5:T5)</f>
        <v>380.18274999999994</v>
      </c>
      <c r="X5" t="s">
        <v>2865</v>
      </c>
      <c r="Y5" s="781">
        <f>Y3*2</f>
        <v>63.48</v>
      </c>
      <c r="Z5" s="13"/>
      <c r="AA5" s="13"/>
      <c r="AB5" s="13"/>
      <c r="AC5" s="781">
        <v>40</v>
      </c>
      <c r="AD5" s="781">
        <v>40</v>
      </c>
      <c r="AE5" s="781">
        <v>40</v>
      </c>
    </row>
    <row r="6" spans="1:31" s="704" customFormat="1" ht="14.7" thickBot="1">
      <c r="A6" s="783" t="s">
        <v>2847</v>
      </c>
      <c r="B6" s="784">
        <v>43257</v>
      </c>
      <c r="C6" s="783" t="s">
        <v>2652</v>
      </c>
      <c r="D6" s="792">
        <v>0.29166666666666669</v>
      </c>
      <c r="E6" s="792">
        <v>0.63541666666666663</v>
      </c>
      <c r="F6" s="783">
        <v>0.5</v>
      </c>
      <c r="G6" s="787">
        <f t="shared" si="0"/>
        <v>7.7499999999999982</v>
      </c>
      <c r="H6" s="783">
        <v>7.5</v>
      </c>
      <c r="I6" s="783">
        <v>0.25</v>
      </c>
      <c r="J6" s="783"/>
      <c r="K6" s="789">
        <f t="shared" si="1"/>
        <v>249.95249999999999</v>
      </c>
      <c r="L6" s="790">
        <f t="shared" si="2"/>
        <v>22.614749999999997</v>
      </c>
      <c r="M6" s="790">
        <v>3.49</v>
      </c>
      <c r="N6" s="783"/>
      <c r="O6" s="783"/>
      <c r="P6" s="791">
        <f t="shared" si="3"/>
        <v>41.65</v>
      </c>
      <c r="Q6" s="791">
        <v>21</v>
      </c>
      <c r="R6" s="791">
        <f t="shared" si="4"/>
        <v>45.1</v>
      </c>
      <c r="S6" s="791">
        <f t="shared" si="5"/>
        <v>3.6619999999999999</v>
      </c>
      <c r="T6" s="791">
        <f t="shared" si="6"/>
        <v>4.6159999999999997</v>
      </c>
      <c r="U6" s="791">
        <f t="shared" si="7"/>
        <v>392.08524999999997</v>
      </c>
    </row>
    <row r="7" spans="1:31" s="704" customFormat="1" ht="14.7" thickBot="1">
      <c r="A7" s="783" t="s">
        <v>2847</v>
      </c>
      <c r="B7" s="784">
        <v>43258</v>
      </c>
      <c r="C7" s="783" t="s">
        <v>2652</v>
      </c>
      <c r="D7" s="792">
        <v>0.29166666666666669</v>
      </c>
      <c r="E7" s="792">
        <v>0.67708333333333304</v>
      </c>
      <c r="F7" s="783">
        <v>0.5</v>
      </c>
      <c r="G7" s="787">
        <f t="shared" si="0"/>
        <v>8.7499999999999929</v>
      </c>
      <c r="H7" s="783">
        <v>7.5</v>
      </c>
      <c r="I7" s="783">
        <v>1.25</v>
      </c>
      <c r="J7" s="783"/>
      <c r="K7" s="789">
        <f t="shared" si="1"/>
        <v>297.5625</v>
      </c>
      <c r="L7" s="790">
        <f t="shared" si="2"/>
        <v>22.614749999999997</v>
      </c>
      <c r="M7" s="790">
        <v>3.49</v>
      </c>
      <c r="N7" s="783"/>
      <c r="O7" s="783"/>
      <c r="P7" s="791">
        <f t="shared" si="3"/>
        <v>41.65</v>
      </c>
      <c r="Q7" s="791">
        <v>21</v>
      </c>
      <c r="R7" s="791">
        <f t="shared" si="4"/>
        <v>45.1</v>
      </c>
      <c r="S7" s="791">
        <f t="shared" si="5"/>
        <v>3.6619999999999999</v>
      </c>
      <c r="T7" s="791">
        <f t="shared" si="6"/>
        <v>4.6159999999999997</v>
      </c>
      <c r="U7" s="791">
        <f t="shared" si="7"/>
        <v>439.69524999999999</v>
      </c>
    </row>
    <row r="8" spans="1:31" s="704" customFormat="1" ht="14.7" thickBot="1">
      <c r="A8" s="783" t="s">
        <v>2847</v>
      </c>
      <c r="B8" s="784">
        <v>43259</v>
      </c>
      <c r="C8" s="783" t="s">
        <v>2674</v>
      </c>
      <c r="D8" s="792">
        <v>0.25</v>
      </c>
      <c r="E8" s="792">
        <v>0.65625</v>
      </c>
      <c r="F8" s="783">
        <v>0.5</v>
      </c>
      <c r="G8" s="787">
        <f t="shared" si="0"/>
        <v>9.25</v>
      </c>
      <c r="H8" s="783">
        <v>7.5</v>
      </c>
      <c r="I8" s="783">
        <v>1.75</v>
      </c>
      <c r="J8" s="783"/>
      <c r="K8" s="789">
        <f>H8*$Y$3+I8*$Y$4+J8*$Y$5</f>
        <v>321.36749999999995</v>
      </c>
      <c r="L8" s="790">
        <f>(H8*$Y$3)*9.5%</f>
        <v>22.614749999999997</v>
      </c>
      <c r="M8" s="790">
        <v>5.98</v>
      </c>
      <c r="N8" s="790"/>
      <c r="O8" s="790">
        <v>15.34</v>
      </c>
      <c r="P8" s="791">
        <f>833/20</f>
        <v>41.65</v>
      </c>
      <c r="Q8" s="791">
        <v>20</v>
      </c>
      <c r="R8" s="791">
        <f>902/20</f>
        <v>45.1</v>
      </c>
      <c r="S8" s="791">
        <f>18.31/5</f>
        <v>3.6619999999999999</v>
      </c>
      <c r="T8" s="791">
        <f>23.08/5</f>
        <v>4.6159999999999997</v>
      </c>
      <c r="U8" s="791">
        <f>SUM(K8:T8)</f>
        <v>480.33024999999992</v>
      </c>
    </row>
    <row r="9" spans="1:31" s="704" customFormat="1" ht="14.7" thickBot="1">
      <c r="A9" s="783" t="s">
        <v>2847</v>
      </c>
      <c r="B9" s="784">
        <v>43262</v>
      </c>
      <c r="C9" s="783" t="s">
        <v>3238</v>
      </c>
      <c r="D9" s="792">
        <v>0.29166666666666669</v>
      </c>
      <c r="E9" s="792">
        <v>0.625</v>
      </c>
      <c r="F9" s="783">
        <v>0.5</v>
      </c>
      <c r="G9" s="787">
        <f t="shared" ref="G9:G13" si="8">(E9-D9)*24-F9</f>
        <v>7.5</v>
      </c>
      <c r="H9" s="783">
        <v>7.5</v>
      </c>
      <c r="I9" s="783"/>
      <c r="J9" s="783"/>
      <c r="K9" s="789">
        <f>H9*$Y$3+I9*$Y$4+J9*$Y$5</f>
        <v>238.04999999999998</v>
      </c>
      <c r="L9" s="790">
        <f>(H9*$Y$3)*9.5%</f>
        <v>22.614749999999997</v>
      </c>
      <c r="M9" s="790"/>
      <c r="N9" s="790"/>
      <c r="O9" s="790"/>
      <c r="P9" s="791">
        <f>833/20</f>
        <v>41.65</v>
      </c>
      <c r="Q9" s="791"/>
      <c r="R9" s="791">
        <f>902/20</f>
        <v>45.1</v>
      </c>
      <c r="S9" s="791">
        <f>18.31/5</f>
        <v>3.6619999999999999</v>
      </c>
      <c r="T9" s="791">
        <f>23.08/5</f>
        <v>4.6159999999999997</v>
      </c>
      <c r="U9" s="791">
        <f>SUM(K9:T9)</f>
        <v>355.69274999999993</v>
      </c>
    </row>
    <row r="10" spans="1:31" s="704" customFormat="1" ht="14.7" thickBot="1">
      <c r="A10" s="783" t="s">
        <v>2847</v>
      </c>
      <c r="B10" s="784">
        <v>43263</v>
      </c>
      <c r="C10" s="783" t="s">
        <v>2674</v>
      </c>
      <c r="D10" s="792">
        <v>0.25</v>
      </c>
      <c r="E10" s="792">
        <v>0.65625</v>
      </c>
      <c r="F10" s="783">
        <v>0.5</v>
      </c>
      <c r="G10" s="787">
        <f t="shared" si="8"/>
        <v>9.25</v>
      </c>
      <c r="H10" s="783">
        <v>7.5</v>
      </c>
      <c r="I10" s="783">
        <v>1.75</v>
      </c>
      <c r="J10" s="783"/>
      <c r="K10" s="789">
        <f>H10*$Y$3+I10*$Y$4+J10*$Y$5</f>
        <v>321.36749999999995</v>
      </c>
      <c r="L10" s="790">
        <f>(H10*$Y$3)*9.5%</f>
        <v>22.614749999999997</v>
      </c>
      <c r="M10" s="790">
        <v>5.98</v>
      </c>
      <c r="N10" s="790"/>
      <c r="O10" s="790">
        <v>15.34</v>
      </c>
      <c r="P10" s="791">
        <f>833/20</f>
        <v>41.65</v>
      </c>
      <c r="Q10" s="791">
        <v>20</v>
      </c>
      <c r="R10" s="791">
        <f>902/20</f>
        <v>45.1</v>
      </c>
      <c r="S10" s="791">
        <f>18.31/5</f>
        <v>3.6619999999999999</v>
      </c>
      <c r="T10" s="791">
        <f>23.08/5</f>
        <v>4.6159999999999997</v>
      </c>
      <c r="U10" s="791">
        <f>SUM(K10:T10)</f>
        <v>480.33024999999992</v>
      </c>
    </row>
    <row r="11" spans="1:31" s="704" customFormat="1" ht="14.7" thickBot="1">
      <c r="A11" s="783" t="s">
        <v>2847</v>
      </c>
      <c r="B11" s="784">
        <v>43264</v>
      </c>
      <c r="C11" s="783" t="s">
        <v>3088</v>
      </c>
      <c r="D11" s="792">
        <v>0.29166666666666669</v>
      </c>
      <c r="E11" s="792">
        <v>0.63541666666666663</v>
      </c>
      <c r="F11" s="783">
        <v>0.5</v>
      </c>
      <c r="G11" s="787">
        <f t="shared" si="8"/>
        <v>7.7499999999999982</v>
      </c>
      <c r="H11" s="783">
        <v>7.5</v>
      </c>
      <c r="I11" s="783">
        <v>0.25</v>
      </c>
      <c r="J11" s="783"/>
      <c r="K11" s="789">
        <f t="shared" ref="K11:K13" si="9">H11*$Y$3+I11*$Y$4+J11*$Y$5</f>
        <v>249.95249999999999</v>
      </c>
      <c r="L11" s="790">
        <f t="shared" ref="L11:L13" si="10">(H11*$Y$3)*9.5%</f>
        <v>22.614749999999997</v>
      </c>
      <c r="M11" s="790">
        <v>3.49</v>
      </c>
      <c r="N11" s="783"/>
      <c r="O11" s="783"/>
      <c r="P11" s="791">
        <f t="shared" ref="P11:P46" si="11">833/20</f>
        <v>41.65</v>
      </c>
      <c r="Q11" s="791">
        <v>21</v>
      </c>
      <c r="R11" s="791">
        <f t="shared" ref="R11:R46" si="12">902/20</f>
        <v>45.1</v>
      </c>
      <c r="S11" s="791">
        <f t="shared" ref="S11:S46" si="13">18.31/5</f>
        <v>3.6619999999999999</v>
      </c>
      <c r="T11" s="791">
        <f t="shared" ref="T11:T46" si="14">23.08/5</f>
        <v>4.6159999999999997</v>
      </c>
      <c r="U11" s="791">
        <f t="shared" ref="U11:U13" si="15">SUM(K11:T11)</f>
        <v>392.08524999999997</v>
      </c>
    </row>
    <row r="12" spans="1:31" s="704" customFormat="1" ht="14.7" thickBot="1">
      <c r="A12" s="783" t="s">
        <v>2847</v>
      </c>
      <c r="B12" s="784">
        <v>43265</v>
      </c>
      <c r="C12" s="783" t="s">
        <v>3088</v>
      </c>
      <c r="D12" s="792">
        <v>0.29166666666666669</v>
      </c>
      <c r="E12" s="792">
        <v>0.625</v>
      </c>
      <c r="F12" s="783">
        <v>0.5</v>
      </c>
      <c r="G12" s="787">
        <f t="shared" si="8"/>
        <v>7.5</v>
      </c>
      <c r="H12" s="783">
        <v>7.5</v>
      </c>
      <c r="I12" s="783"/>
      <c r="J12" s="783"/>
      <c r="K12" s="789">
        <f t="shared" si="9"/>
        <v>238.04999999999998</v>
      </c>
      <c r="L12" s="790">
        <f t="shared" si="10"/>
        <v>22.614749999999997</v>
      </c>
      <c r="M12" s="790">
        <v>3.49</v>
      </c>
      <c r="N12" s="783"/>
      <c r="O12" s="783"/>
      <c r="P12" s="791">
        <f t="shared" si="11"/>
        <v>41.65</v>
      </c>
      <c r="Q12" s="791">
        <v>21</v>
      </c>
      <c r="R12" s="791">
        <f t="shared" si="12"/>
        <v>45.1</v>
      </c>
      <c r="S12" s="791">
        <f t="shared" si="13"/>
        <v>3.6619999999999999</v>
      </c>
      <c r="T12" s="791">
        <f t="shared" si="14"/>
        <v>4.6159999999999997</v>
      </c>
      <c r="U12" s="791">
        <f t="shared" si="15"/>
        <v>380.18274999999994</v>
      </c>
    </row>
    <row r="13" spans="1:31" s="704" customFormat="1" ht="14.7" thickBot="1">
      <c r="A13" s="783" t="s">
        <v>2847</v>
      </c>
      <c r="B13" s="784">
        <v>43266</v>
      </c>
      <c r="C13" s="783" t="s">
        <v>3088</v>
      </c>
      <c r="D13" s="792">
        <v>0.29166666666666669</v>
      </c>
      <c r="E13" s="792">
        <v>0.64583333333333337</v>
      </c>
      <c r="F13" s="783">
        <v>0.5</v>
      </c>
      <c r="G13" s="787">
        <f t="shared" si="8"/>
        <v>8</v>
      </c>
      <c r="H13" s="783">
        <v>7.5</v>
      </c>
      <c r="I13" s="783">
        <v>0.5</v>
      </c>
      <c r="J13" s="783"/>
      <c r="K13" s="789">
        <f t="shared" si="9"/>
        <v>261.85499999999996</v>
      </c>
      <c r="L13" s="790">
        <f t="shared" si="10"/>
        <v>22.614749999999997</v>
      </c>
      <c r="M13" s="790">
        <v>3.49</v>
      </c>
      <c r="N13" s="783"/>
      <c r="O13" s="783"/>
      <c r="P13" s="791">
        <f t="shared" si="11"/>
        <v>41.65</v>
      </c>
      <c r="Q13" s="791">
        <v>21</v>
      </c>
      <c r="R13" s="791">
        <f t="shared" si="12"/>
        <v>45.1</v>
      </c>
      <c r="S13" s="791">
        <f t="shared" si="13"/>
        <v>3.6619999999999999</v>
      </c>
      <c r="T13" s="791">
        <f t="shared" si="14"/>
        <v>4.6159999999999997</v>
      </c>
      <c r="U13" s="791">
        <f t="shared" si="15"/>
        <v>403.98774999999995</v>
      </c>
    </row>
    <row r="14" spans="1:31" s="704" customFormat="1" ht="14.7" thickBot="1">
      <c r="A14" s="783" t="s">
        <v>2847</v>
      </c>
      <c r="B14" s="784">
        <v>43269</v>
      </c>
      <c r="C14" s="783" t="s">
        <v>3088</v>
      </c>
      <c r="D14" s="792">
        <v>0.29166666666666669</v>
      </c>
      <c r="E14" s="792">
        <v>0.6875</v>
      </c>
      <c r="F14" s="783">
        <v>0.5</v>
      </c>
      <c r="G14" s="787">
        <f t="shared" ref="G14" si="16">(E14-D14)*24-F14</f>
        <v>9</v>
      </c>
      <c r="H14" s="783">
        <v>7.5</v>
      </c>
      <c r="I14" s="783">
        <v>1.5</v>
      </c>
      <c r="J14" s="783"/>
      <c r="K14" s="789">
        <f t="shared" ref="K14" si="17">H14*$Y$3+I14*$Y$4+J14*$Y$5</f>
        <v>309.46499999999997</v>
      </c>
      <c r="L14" s="790">
        <f t="shared" ref="L14" si="18">(H14*$Y$3)*9.5%</f>
        <v>22.614749999999997</v>
      </c>
      <c r="M14" s="790">
        <v>3.49</v>
      </c>
      <c r="N14" s="783"/>
      <c r="O14" s="783"/>
      <c r="P14" s="791">
        <f t="shared" si="11"/>
        <v>41.65</v>
      </c>
      <c r="Q14" s="791">
        <v>21</v>
      </c>
      <c r="R14" s="791">
        <f t="shared" si="12"/>
        <v>45.1</v>
      </c>
      <c r="S14" s="791">
        <f t="shared" si="13"/>
        <v>3.6619999999999999</v>
      </c>
      <c r="T14" s="791">
        <f t="shared" si="14"/>
        <v>4.6159999999999997</v>
      </c>
      <c r="U14" s="791">
        <f t="shared" ref="U14" si="19">SUM(K14:T14)</f>
        <v>451.59774999999996</v>
      </c>
    </row>
    <row r="15" spans="1:31" s="704" customFormat="1" ht="14.7" thickBot="1">
      <c r="A15" s="783" t="s">
        <v>2847</v>
      </c>
      <c r="B15" s="784">
        <v>43270</v>
      </c>
      <c r="C15" s="783" t="s">
        <v>2186</v>
      </c>
      <c r="D15" s="792">
        <v>0.29166666666666669</v>
      </c>
      <c r="E15" s="792">
        <v>0.6875</v>
      </c>
      <c r="F15" s="783">
        <v>0.5</v>
      </c>
      <c r="G15" s="787">
        <f t="shared" ref="G15" si="20">(E15-D15)*24-F15</f>
        <v>9</v>
      </c>
      <c r="H15" s="783">
        <v>7.5</v>
      </c>
      <c r="I15" s="783">
        <v>1.5</v>
      </c>
      <c r="J15" s="783"/>
      <c r="K15" s="789">
        <f t="shared" ref="K15" si="21">H15*$Y$3+I15*$Y$4+J15*$Y$5</f>
        <v>309.46499999999997</v>
      </c>
      <c r="L15" s="790">
        <f t="shared" ref="L15" si="22">(H15*$Y$3)*9.5%</f>
        <v>22.614749999999997</v>
      </c>
      <c r="M15" s="790">
        <v>3.49</v>
      </c>
      <c r="N15" s="783"/>
      <c r="O15" s="783"/>
      <c r="P15" s="791">
        <f t="shared" si="11"/>
        <v>41.65</v>
      </c>
      <c r="Q15" s="791">
        <v>21</v>
      </c>
      <c r="R15" s="791">
        <f t="shared" si="12"/>
        <v>45.1</v>
      </c>
      <c r="S15" s="791">
        <f t="shared" si="13"/>
        <v>3.6619999999999999</v>
      </c>
      <c r="T15" s="791">
        <f t="shared" si="14"/>
        <v>4.6159999999999997</v>
      </c>
      <c r="U15" s="791">
        <f t="shared" ref="U15" si="23">SUM(K15:T15)</f>
        <v>451.59774999999996</v>
      </c>
    </row>
    <row r="16" spans="1:31" s="704" customFormat="1" ht="14.7" thickBot="1">
      <c r="A16" s="783" t="s">
        <v>2847</v>
      </c>
      <c r="B16" s="784">
        <v>43271</v>
      </c>
      <c r="C16" s="783" t="s">
        <v>2186</v>
      </c>
      <c r="D16" s="792">
        <v>0.29166666666666669</v>
      </c>
      <c r="E16" s="792">
        <v>0.6875</v>
      </c>
      <c r="F16" s="783">
        <v>0.5</v>
      </c>
      <c r="G16" s="787">
        <f t="shared" ref="G16" si="24">(E16-D16)*24-F16</f>
        <v>9</v>
      </c>
      <c r="H16" s="783">
        <v>7.5</v>
      </c>
      <c r="I16" s="783">
        <v>1.5</v>
      </c>
      <c r="J16" s="783"/>
      <c r="K16" s="789">
        <f t="shared" ref="K16" si="25">H16*$Y$3+I16*$Y$4+J16*$Y$5</f>
        <v>309.46499999999997</v>
      </c>
      <c r="L16" s="790">
        <f t="shared" ref="L16" si="26">(H16*$Y$3)*9.5%</f>
        <v>22.614749999999997</v>
      </c>
      <c r="M16" s="790">
        <v>3.49</v>
      </c>
      <c r="N16" s="783"/>
      <c r="O16" s="783"/>
      <c r="P16" s="791">
        <f t="shared" si="11"/>
        <v>41.65</v>
      </c>
      <c r="Q16" s="791">
        <v>21</v>
      </c>
      <c r="R16" s="791">
        <f t="shared" si="12"/>
        <v>45.1</v>
      </c>
      <c r="S16" s="791">
        <f t="shared" si="13"/>
        <v>3.6619999999999999</v>
      </c>
      <c r="T16" s="791">
        <f t="shared" si="14"/>
        <v>4.6159999999999997</v>
      </c>
      <c r="U16" s="791">
        <f t="shared" ref="U16" si="27">SUM(K16:T16)</f>
        <v>451.59774999999996</v>
      </c>
    </row>
    <row r="17" spans="1:21" s="704" customFormat="1" ht="14.7" thickBot="1">
      <c r="A17" s="783" t="s">
        <v>2847</v>
      </c>
      <c r="B17" s="784">
        <v>43272</v>
      </c>
      <c r="C17" s="783" t="s">
        <v>2501</v>
      </c>
      <c r="D17" s="792">
        <v>0.29166666666666669</v>
      </c>
      <c r="E17" s="792">
        <v>0.6875</v>
      </c>
      <c r="F17" s="783">
        <v>0.5</v>
      </c>
      <c r="G17" s="787">
        <f t="shared" ref="G17" si="28">(E17-D17)*24-F17</f>
        <v>9</v>
      </c>
      <c r="H17" s="783">
        <v>7.5</v>
      </c>
      <c r="I17" s="783">
        <v>1.5</v>
      </c>
      <c r="J17" s="783"/>
      <c r="K17" s="789">
        <f t="shared" ref="K17" si="29">H17*$Y$3+I17*$Y$4+J17*$Y$5</f>
        <v>309.46499999999997</v>
      </c>
      <c r="L17" s="790">
        <f t="shared" ref="L17" si="30">(H17*$Y$3)*9.5%</f>
        <v>22.614749999999997</v>
      </c>
      <c r="M17" s="790">
        <v>3.49</v>
      </c>
      <c r="N17" s="783"/>
      <c r="O17" s="783"/>
      <c r="P17" s="791">
        <f t="shared" si="11"/>
        <v>41.65</v>
      </c>
      <c r="Q17" s="791">
        <v>21</v>
      </c>
      <c r="R17" s="791">
        <f t="shared" si="12"/>
        <v>45.1</v>
      </c>
      <c r="S17" s="791">
        <f t="shared" si="13"/>
        <v>3.6619999999999999</v>
      </c>
      <c r="T17" s="791">
        <f t="shared" si="14"/>
        <v>4.6159999999999997</v>
      </c>
      <c r="U17" s="791">
        <f t="shared" ref="U17" si="31">SUM(K17:T17)</f>
        <v>451.59774999999996</v>
      </c>
    </row>
    <row r="18" spans="1:21" s="704" customFormat="1" ht="14.7" thickBot="1">
      <c r="A18" s="783" t="s">
        <v>2847</v>
      </c>
      <c r="B18" s="784">
        <v>43273</v>
      </c>
      <c r="C18" s="783" t="s">
        <v>3130</v>
      </c>
      <c r="D18" s="792">
        <v>0.29166666666666669</v>
      </c>
      <c r="E18" s="792">
        <v>0.71875</v>
      </c>
      <c r="F18" s="783">
        <v>0.5</v>
      </c>
      <c r="G18" s="787">
        <f t="shared" ref="G18:G24" si="32">(E18-D18)*24-F18</f>
        <v>9.75</v>
      </c>
      <c r="H18" s="783">
        <v>7.5</v>
      </c>
      <c r="I18" s="783">
        <v>2.25</v>
      </c>
      <c r="J18" s="783"/>
      <c r="K18" s="789">
        <f t="shared" ref="K18:K24" si="33">H18*$Y$3+I18*$Y$4+J18*$Y$5</f>
        <v>345.17250000000001</v>
      </c>
      <c r="L18" s="790">
        <f t="shared" ref="L18:L24" si="34">(H18*$Y$3)*9.5%</f>
        <v>22.614749999999997</v>
      </c>
      <c r="M18" s="790">
        <v>3.49</v>
      </c>
      <c r="N18" s="783"/>
      <c r="O18" s="783"/>
      <c r="P18" s="791">
        <f t="shared" si="11"/>
        <v>41.65</v>
      </c>
      <c r="Q18" s="791">
        <v>21</v>
      </c>
      <c r="R18" s="791">
        <f t="shared" si="12"/>
        <v>45.1</v>
      </c>
      <c r="S18" s="791">
        <f t="shared" si="13"/>
        <v>3.6619999999999999</v>
      </c>
      <c r="T18" s="791">
        <f t="shared" si="14"/>
        <v>4.6159999999999997</v>
      </c>
      <c r="U18" s="791">
        <f t="shared" ref="U18:U24" si="35">SUM(K18:T18)</f>
        <v>487.30525</v>
      </c>
    </row>
    <row r="19" spans="1:21" s="704" customFormat="1" ht="14.7" thickBot="1">
      <c r="A19" s="783" t="s">
        <v>2847</v>
      </c>
      <c r="B19" s="784">
        <v>43276</v>
      </c>
      <c r="C19" s="783" t="s">
        <v>3239</v>
      </c>
      <c r="D19" s="792">
        <v>0.29166666666666669</v>
      </c>
      <c r="E19" s="792">
        <v>0.6875</v>
      </c>
      <c r="F19" s="783">
        <v>0.5</v>
      </c>
      <c r="G19" s="787">
        <f t="shared" si="32"/>
        <v>9</v>
      </c>
      <c r="H19" s="783">
        <v>7.5</v>
      </c>
      <c r="I19" s="783">
        <v>2.5</v>
      </c>
      <c r="J19" s="783"/>
      <c r="K19" s="789">
        <f t="shared" si="33"/>
        <v>357.07499999999999</v>
      </c>
      <c r="L19" s="790">
        <f t="shared" si="34"/>
        <v>22.614749999999997</v>
      </c>
      <c r="M19" s="790">
        <v>5.98</v>
      </c>
      <c r="N19" s="790"/>
      <c r="O19" s="790">
        <v>15.34</v>
      </c>
      <c r="P19" s="791">
        <f t="shared" si="11"/>
        <v>41.65</v>
      </c>
      <c r="Q19" s="791">
        <v>20</v>
      </c>
      <c r="R19" s="791">
        <f t="shared" si="12"/>
        <v>45.1</v>
      </c>
      <c r="S19" s="791">
        <f t="shared" si="13"/>
        <v>3.6619999999999999</v>
      </c>
      <c r="T19" s="791">
        <f t="shared" si="14"/>
        <v>4.6159999999999997</v>
      </c>
      <c r="U19" s="791">
        <f t="shared" si="35"/>
        <v>516.03774999999996</v>
      </c>
    </row>
    <row r="20" spans="1:21" s="704" customFormat="1" ht="14.7" thickBot="1">
      <c r="A20" s="783" t="s">
        <v>2847</v>
      </c>
      <c r="B20" s="784">
        <v>43277</v>
      </c>
      <c r="C20" s="783" t="s">
        <v>3239</v>
      </c>
      <c r="D20" s="792">
        <v>0.29166666666666669</v>
      </c>
      <c r="E20" s="792">
        <v>0.71875</v>
      </c>
      <c r="F20" s="783">
        <v>0.5</v>
      </c>
      <c r="G20" s="787">
        <f t="shared" si="32"/>
        <v>9.75</v>
      </c>
      <c r="H20" s="783">
        <v>7.5</v>
      </c>
      <c r="I20" s="783">
        <v>3</v>
      </c>
      <c r="J20" s="783">
        <v>0.25</v>
      </c>
      <c r="K20" s="789">
        <f t="shared" si="33"/>
        <v>396.75</v>
      </c>
      <c r="L20" s="790">
        <f t="shared" si="34"/>
        <v>22.614749999999997</v>
      </c>
      <c r="M20" s="790">
        <v>5.98</v>
      </c>
      <c r="N20" s="790"/>
      <c r="O20" s="790">
        <v>15.34</v>
      </c>
      <c r="P20" s="791">
        <f t="shared" si="11"/>
        <v>41.65</v>
      </c>
      <c r="Q20" s="791">
        <v>20</v>
      </c>
      <c r="R20" s="791">
        <f t="shared" si="12"/>
        <v>45.1</v>
      </c>
      <c r="S20" s="791">
        <f t="shared" si="13"/>
        <v>3.6619999999999999</v>
      </c>
      <c r="T20" s="791">
        <f t="shared" si="14"/>
        <v>4.6159999999999997</v>
      </c>
      <c r="U20" s="791">
        <f t="shared" si="35"/>
        <v>555.71275000000003</v>
      </c>
    </row>
    <row r="21" spans="1:21" s="704" customFormat="1" ht="14.7" thickBot="1">
      <c r="A21" s="783" t="s">
        <v>2847</v>
      </c>
      <c r="B21" s="784">
        <v>43278</v>
      </c>
      <c r="C21" s="783" t="s">
        <v>3239</v>
      </c>
      <c r="D21" s="792">
        <v>0.22916666666666666</v>
      </c>
      <c r="E21" s="792">
        <v>0.67708333333333304</v>
      </c>
      <c r="F21" s="783">
        <v>0.5</v>
      </c>
      <c r="G21" s="787">
        <f t="shared" si="32"/>
        <v>10.249999999999993</v>
      </c>
      <c r="H21" s="783">
        <v>7.5</v>
      </c>
      <c r="I21" s="783">
        <v>3</v>
      </c>
      <c r="J21" s="783">
        <v>0.75</v>
      </c>
      <c r="K21" s="789">
        <f t="shared" si="33"/>
        <v>428.49</v>
      </c>
      <c r="L21" s="790">
        <f t="shared" si="34"/>
        <v>22.614749999999997</v>
      </c>
      <c r="M21" s="790">
        <v>5.98</v>
      </c>
      <c r="N21" s="790"/>
      <c r="O21" s="790">
        <v>15.34</v>
      </c>
      <c r="P21" s="791">
        <f t="shared" si="11"/>
        <v>41.65</v>
      </c>
      <c r="Q21" s="791">
        <v>20</v>
      </c>
      <c r="R21" s="791">
        <f t="shared" si="12"/>
        <v>45.1</v>
      </c>
      <c r="S21" s="791">
        <f t="shared" si="13"/>
        <v>3.6619999999999999</v>
      </c>
      <c r="T21" s="791">
        <f t="shared" si="14"/>
        <v>4.6159999999999997</v>
      </c>
      <c r="U21" s="791">
        <f t="shared" si="35"/>
        <v>587.45275000000004</v>
      </c>
    </row>
    <row r="22" spans="1:21" s="704" customFormat="1" ht="14.7" thickBot="1">
      <c r="A22" s="783" t="s">
        <v>2847</v>
      </c>
      <c r="B22" s="784">
        <v>43279</v>
      </c>
      <c r="C22" s="783" t="s">
        <v>3239</v>
      </c>
      <c r="D22" s="792">
        <v>0.21875</v>
      </c>
      <c r="E22" s="792">
        <v>0.67708333333333304</v>
      </c>
      <c r="F22" s="783">
        <v>0.5</v>
      </c>
      <c r="G22" s="787">
        <f t="shared" si="32"/>
        <v>10.499999999999993</v>
      </c>
      <c r="H22" s="783">
        <v>7.5</v>
      </c>
      <c r="I22" s="783">
        <v>3</v>
      </c>
      <c r="J22" s="783">
        <v>1.1499999999999999</v>
      </c>
      <c r="K22" s="789">
        <f t="shared" si="33"/>
        <v>453.88200000000001</v>
      </c>
      <c r="L22" s="790">
        <f t="shared" si="34"/>
        <v>22.614749999999997</v>
      </c>
      <c r="M22" s="790">
        <v>5.98</v>
      </c>
      <c r="N22" s="790"/>
      <c r="O22" s="790">
        <v>15.34</v>
      </c>
      <c r="P22" s="791">
        <f t="shared" si="11"/>
        <v>41.65</v>
      </c>
      <c r="Q22" s="791">
        <v>20</v>
      </c>
      <c r="R22" s="791">
        <f t="shared" si="12"/>
        <v>45.1</v>
      </c>
      <c r="S22" s="791">
        <f t="shared" si="13"/>
        <v>3.6619999999999999</v>
      </c>
      <c r="T22" s="791">
        <f t="shared" si="14"/>
        <v>4.6159999999999997</v>
      </c>
      <c r="U22" s="791">
        <f t="shared" si="35"/>
        <v>612.84475000000009</v>
      </c>
    </row>
    <row r="23" spans="1:21" s="704" customFormat="1" ht="14.7" thickBot="1">
      <c r="A23" s="783" t="s">
        <v>2847</v>
      </c>
      <c r="B23" s="784">
        <v>43280</v>
      </c>
      <c r="C23" s="783" t="s">
        <v>3239</v>
      </c>
      <c r="D23" s="792">
        <v>0.23958333333333334</v>
      </c>
      <c r="E23" s="792">
        <v>0.66666666666666663</v>
      </c>
      <c r="F23" s="783">
        <v>0.5</v>
      </c>
      <c r="G23" s="787">
        <f t="shared" si="32"/>
        <v>9.7499999999999982</v>
      </c>
      <c r="H23" s="783">
        <v>7.5</v>
      </c>
      <c r="I23" s="783">
        <v>2.25</v>
      </c>
      <c r="J23" s="783"/>
      <c r="K23" s="789">
        <f t="shared" si="33"/>
        <v>345.17250000000001</v>
      </c>
      <c r="L23" s="790">
        <f t="shared" si="34"/>
        <v>22.614749999999997</v>
      </c>
      <c r="M23" s="790">
        <v>5.98</v>
      </c>
      <c r="N23" s="790"/>
      <c r="O23" s="790">
        <v>15.34</v>
      </c>
      <c r="P23" s="791">
        <f t="shared" si="11"/>
        <v>41.65</v>
      </c>
      <c r="Q23" s="791">
        <v>20</v>
      </c>
      <c r="R23" s="791">
        <f t="shared" si="12"/>
        <v>45.1</v>
      </c>
      <c r="S23" s="791">
        <f t="shared" si="13"/>
        <v>3.6619999999999999</v>
      </c>
      <c r="T23" s="791">
        <f t="shared" si="14"/>
        <v>4.6159999999999997</v>
      </c>
      <c r="U23" s="791">
        <f t="shared" si="35"/>
        <v>504.13524999999998</v>
      </c>
    </row>
    <row r="24" spans="1:21" s="704" customFormat="1" ht="14.7" thickBot="1">
      <c r="A24" s="783" t="s">
        <v>2847</v>
      </c>
      <c r="B24" s="784">
        <v>43221</v>
      </c>
      <c r="C24" s="783" t="s">
        <v>3010</v>
      </c>
      <c r="D24" s="792">
        <v>0.29166666666666669</v>
      </c>
      <c r="E24" s="792">
        <v>0.63541666666666663</v>
      </c>
      <c r="F24" s="783">
        <v>0.5</v>
      </c>
      <c r="G24" s="787">
        <f t="shared" si="32"/>
        <v>7.7499999999999982</v>
      </c>
      <c r="H24" s="783">
        <v>7.5</v>
      </c>
      <c r="I24" s="783">
        <v>0.25</v>
      </c>
      <c r="J24" s="783"/>
      <c r="K24" s="789">
        <f t="shared" si="33"/>
        <v>249.95249999999999</v>
      </c>
      <c r="L24" s="790">
        <f t="shared" si="34"/>
        <v>22.614749999999997</v>
      </c>
      <c r="M24" s="790">
        <v>3.49</v>
      </c>
      <c r="N24" s="783"/>
      <c r="O24" s="783"/>
      <c r="P24" s="791">
        <f t="shared" si="11"/>
        <v>41.65</v>
      </c>
      <c r="Q24" s="791">
        <v>21</v>
      </c>
      <c r="R24" s="791">
        <f t="shared" si="12"/>
        <v>45.1</v>
      </c>
      <c r="S24" s="791">
        <f t="shared" si="13"/>
        <v>3.6619999999999999</v>
      </c>
      <c r="T24" s="791">
        <f t="shared" si="14"/>
        <v>4.6159999999999997</v>
      </c>
      <c r="U24" s="791">
        <f t="shared" si="35"/>
        <v>392.08524999999997</v>
      </c>
    </row>
    <row r="25" spans="1:21" s="704" customFormat="1" ht="14.7" thickBot="1">
      <c r="A25" s="783" t="s">
        <v>2847</v>
      </c>
      <c r="B25" s="784">
        <v>43222</v>
      </c>
      <c r="C25" s="783" t="s">
        <v>3010</v>
      </c>
      <c r="D25" s="792">
        <v>0.29166666666666669</v>
      </c>
      <c r="E25" s="792">
        <v>0.625</v>
      </c>
      <c r="F25" s="783">
        <v>0.5</v>
      </c>
      <c r="G25" s="787">
        <f t="shared" ref="G25" si="36">(E25-D25)*24-F25</f>
        <v>7.5</v>
      </c>
      <c r="H25" s="783">
        <v>7.5</v>
      </c>
      <c r="I25" s="783"/>
      <c r="J25" s="783"/>
      <c r="K25" s="789">
        <f t="shared" ref="K25" si="37">H25*$Y$3+I25*$Y$4+J25*$Y$5</f>
        <v>238.04999999999998</v>
      </c>
      <c r="L25" s="790">
        <f t="shared" ref="L25" si="38">(H25*$Y$3)*9.5%</f>
        <v>22.614749999999997</v>
      </c>
      <c r="M25" s="790">
        <v>3.49</v>
      </c>
      <c r="N25" s="783"/>
      <c r="O25" s="783"/>
      <c r="P25" s="791">
        <f t="shared" si="11"/>
        <v>41.65</v>
      </c>
      <c r="Q25" s="791">
        <v>21</v>
      </c>
      <c r="R25" s="791">
        <f t="shared" si="12"/>
        <v>45.1</v>
      </c>
      <c r="S25" s="791">
        <f t="shared" si="13"/>
        <v>3.6619999999999999</v>
      </c>
      <c r="T25" s="791">
        <f t="shared" si="14"/>
        <v>4.6159999999999997</v>
      </c>
      <c r="U25" s="791">
        <f t="shared" ref="U25" si="39">SUM(K25:T25)</f>
        <v>380.18274999999994</v>
      </c>
    </row>
    <row r="26" spans="1:21" s="704" customFormat="1" ht="14.7" thickBot="1">
      <c r="A26" s="783" t="s">
        <v>2847</v>
      </c>
      <c r="B26" s="784">
        <v>43223</v>
      </c>
      <c r="C26" s="783" t="s">
        <v>2535</v>
      </c>
      <c r="D26" s="792">
        <v>0.29166666666666669</v>
      </c>
      <c r="E26" s="792">
        <v>0.625</v>
      </c>
      <c r="F26" s="783">
        <v>0.5</v>
      </c>
      <c r="G26" s="787">
        <f t="shared" ref="G26" si="40">(E26-D26)*24-F26</f>
        <v>7.5</v>
      </c>
      <c r="H26" s="783">
        <v>7.5</v>
      </c>
      <c r="I26" s="783"/>
      <c r="J26" s="783"/>
      <c r="K26" s="789">
        <f t="shared" ref="K26" si="41">H26*$Y$3+I26*$Y$4+J26*$Y$5</f>
        <v>238.04999999999998</v>
      </c>
      <c r="L26" s="790">
        <f t="shared" ref="L26" si="42">(H26*$Y$3)*9.5%</f>
        <v>22.614749999999997</v>
      </c>
      <c r="M26" s="790">
        <v>3.49</v>
      </c>
      <c r="N26" s="783"/>
      <c r="O26" s="783"/>
      <c r="P26" s="791">
        <f t="shared" si="11"/>
        <v>41.65</v>
      </c>
      <c r="Q26" s="791">
        <v>21</v>
      </c>
      <c r="R26" s="791">
        <f t="shared" si="12"/>
        <v>45.1</v>
      </c>
      <c r="S26" s="791">
        <f t="shared" si="13"/>
        <v>3.6619999999999999</v>
      </c>
      <c r="T26" s="791">
        <f t="shared" si="14"/>
        <v>4.6159999999999997</v>
      </c>
      <c r="U26" s="791">
        <f t="shared" ref="U26" si="43">SUM(K26:T26)</f>
        <v>380.18274999999994</v>
      </c>
    </row>
    <row r="27" spans="1:21" s="704" customFormat="1" ht="14.7" thickBot="1">
      <c r="A27" s="783" t="s">
        <v>2847</v>
      </c>
      <c r="B27" s="784">
        <v>43224</v>
      </c>
      <c r="C27" s="783" t="s">
        <v>2561</v>
      </c>
      <c r="D27" s="792">
        <v>0.29166666666666669</v>
      </c>
      <c r="E27" s="792">
        <v>0.625</v>
      </c>
      <c r="F27" s="783">
        <v>0.5</v>
      </c>
      <c r="G27" s="787">
        <f t="shared" ref="G27:G28" si="44">(E27-D27)*24-F27</f>
        <v>7.5</v>
      </c>
      <c r="H27" s="783">
        <v>7.5</v>
      </c>
      <c r="I27" s="783"/>
      <c r="J27" s="783"/>
      <c r="K27" s="789">
        <f t="shared" ref="K27:K28" si="45">H27*$Y$3+I27*$Y$4+J27*$Y$5</f>
        <v>238.04999999999998</v>
      </c>
      <c r="L27" s="790">
        <f t="shared" ref="L27:L28" si="46">(H27*$Y$3)*9.5%</f>
        <v>22.614749999999997</v>
      </c>
      <c r="M27" s="790">
        <v>3.49</v>
      </c>
      <c r="N27" s="783"/>
      <c r="O27" s="783"/>
      <c r="P27" s="791">
        <f t="shared" si="11"/>
        <v>41.65</v>
      </c>
      <c r="Q27" s="791">
        <v>21</v>
      </c>
      <c r="R27" s="791">
        <f t="shared" si="12"/>
        <v>45.1</v>
      </c>
      <c r="S27" s="791">
        <f t="shared" si="13"/>
        <v>3.6619999999999999</v>
      </c>
      <c r="T27" s="791">
        <f t="shared" si="14"/>
        <v>4.6159999999999997</v>
      </c>
      <c r="U27" s="791">
        <f t="shared" ref="U27:U28" si="47">SUM(K27:T27)</f>
        <v>380.18274999999994</v>
      </c>
    </row>
    <row r="28" spans="1:21" s="704" customFormat="1" ht="14.7" thickBot="1">
      <c r="A28" s="783" t="s">
        <v>2847</v>
      </c>
      <c r="B28" s="784">
        <v>43227</v>
      </c>
      <c r="C28" s="783" t="s">
        <v>3010</v>
      </c>
      <c r="D28" s="792">
        <v>0.29166666666666669</v>
      </c>
      <c r="E28" s="792">
        <v>0.63541666666666663</v>
      </c>
      <c r="F28" s="783">
        <v>0.5</v>
      </c>
      <c r="G28" s="787">
        <f t="shared" si="44"/>
        <v>7.7499999999999982</v>
      </c>
      <c r="H28" s="783">
        <v>7.5</v>
      </c>
      <c r="I28" s="783">
        <v>0.25</v>
      </c>
      <c r="J28" s="783"/>
      <c r="K28" s="789">
        <f t="shared" si="45"/>
        <v>249.95249999999999</v>
      </c>
      <c r="L28" s="790">
        <f t="shared" si="46"/>
        <v>22.614749999999997</v>
      </c>
      <c r="M28" s="790">
        <v>3.49</v>
      </c>
      <c r="N28" s="783"/>
      <c r="O28" s="783"/>
      <c r="P28" s="791">
        <f t="shared" si="11"/>
        <v>41.65</v>
      </c>
      <c r="Q28" s="791">
        <v>21</v>
      </c>
      <c r="R28" s="791">
        <f t="shared" si="12"/>
        <v>45.1</v>
      </c>
      <c r="S28" s="791">
        <f t="shared" si="13"/>
        <v>3.6619999999999999</v>
      </c>
      <c r="T28" s="791">
        <f t="shared" si="14"/>
        <v>4.6159999999999997</v>
      </c>
      <c r="U28" s="791">
        <f t="shared" si="47"/>
        <v>392.08524999999997</v>
      </c>
    </row>
    <row r="29" spans="1:21" s="704" customFormat="1" ht="14.7" thickBot="1">
      <c r="A29" s="783" t="s">
        <v>2847</v>
      </c>
      <c r="B29" s="784">
        <v>43228</v>
      </c>
      <c r="C29" s="783" t="s">
        <v>3010</v>
      </c>
      <c r="D29" s="792">
        <v>0.29166666666666669</v>
      </c>
      <c r="E29" s="792">
        <v>0.63541666666666663</v>
      </c>
      <c r="F29" s="783">
        <v>0.5</v>
      </c>
      <c r="G29" s="787">
        <f t="shared" ref="G29:G32" si="48">(E29-D29)*24-F29</f>
        <v>7.7499999999999982</v>
      </c>
      <c r="H29" s="783">
        <v>7.5</v>
      </c>
      <c r="I29" s="783">
        <v>0.25</v>
      </c>
      <c r="J29" s="783"/>
      <c r="K29" s="789">
        <f t="shared" ref="K29:K32" si="49">H29*$Y$3+I29*$Y$4+J29*$Y$5</f>
        <v>249.95249999999999</v>
      </c>
      <c r="L29" s="790">
        <f t="shared" ref="L29:L32" si="50">(H29*$Y$3)*9.5%</f>
        <v>22.614749999999997</v>
      </c>
      <c r="M29" s="790">
        <v>3.49</v>
      </c>
      <c r="N29" s="783"/>
      <c r="O29" s="783"/>
      <c r="P29" s="791">
        <f t="shared" si="11"/>
        <v>41.65</v>
      </c>
      <c r="Q29" s="791">
        <v>21</v>
      </c>
      <c r="R29" s="791">
        <f t="shared" si="12"/>
        <v>45.1</v>
      </c>
      <c r="S29" s="791">
        <f t="shared" si="13"/>
        <v>3.6619999999999999</v>
      </c>
      <c r="T29" s="791">
        <f t="shared" si="14"/>
        <v>4.6159999999999997</v>
      </c>
      <c r="U29" s="791">
        <f t="shared" ref="U29:U32" si="51">SUM(K29:T29)</f>
        <v>392.08524999999997</v>
      </c>
    </row>
    <row r="30" spans="1:21" s="704" customFormat="1" ht="14.7" thickBot="1">
      <c r="A30" s="783" t="s">
        <v>2847</v>
      </c>
      <c r="B30" s="784">
        <v>43229</v>
      </c>
      <c r="C30" s="783" t="s">
        <v>3010</v>
      </c>
      <c r="D30" s="792">
        <v>0.29166666666666669</v>
      </c>
      <c r="E30" s="792">
        <v>0.63541666666666663</v>
      </c>
      <c r="F30" s="783">
        <v>0.5</v>
      </c>
      <c r="G30" s="787">
        <f t="shared" si="48"/>
        <v>7.7499999999999982</v>
      </c>
      <c r="H30" s="783">
        <v>7.5</v>
      </c>
      <c r="I30" s="783">
        <v>0.25</v>
      </c>
      <c r="J30" s="783"/>
      <c r="K30" s="789">
        <f t="shared" si="49"/>
        <v>249.95249999999999</v>
      </c>
      <c r="L30" s="790">
        <f t="shared" si="50"/>
        <v>22.614749999999997</v>
      </c>
      <c r="M30" s="790">
        <v>3.49</v>
      </c>
      <c r="N30" s="783"/>
      <c r="O30" s="783"/>
      <c r="P30" s="791">
        <f t="shared" si="11"/>
        <v>41.65</v>
      </c>
      <c r="Q30" s="791">
        <v>21</v>
      </c>
      <c r="R30" s="791">
        <f t="shared" si="12"/>
        <v>45.1</v>
      </c>
      <c r="S30" s="791">
        <f t="shared" si="13"/>
        <v>3.6619999999999999</v>
      </c>
      <c r="T30" s="791">
        <f t="shared" si="14"/>
        <v>4.6159999999999997</v>
      </c>
      <c r="U30" s="791">
        <f t="shared" si="51"/>
        <v>392.08524999999997</v>
      </c>
    </row>
    <row r="31" spans="1:21" s="704" customFormat="1" ht="14.7" thickBot="1">
      <c r="A31" s="783" t="s">
        <v>2847</v>
      </c>
      <c r="B31" s="784">
        <v>43230</v>
      </c>
      <c r="C31" s="783" t="s">
        <v>3010</v>
      </c>
      <c r="D31" s="792">
        <v>0.29166666666666669</v>
      </c>
      <c r="E31" s="792">
        <v>0.625</v>
      </c>
      <c r="F31" s="783">
        <v>0.5</v>
      </c>
      <c r="G31" s="787">
        <f t="shared" si="48"/>
        <v>7.5</v>
      </c>
      <c r="H31" s="783">
        <v>7.5</v>
      </c>
      <c r="I31" s="783"/>
      <c r="J31" s="783"/>
      <c r="K31" s="789">
        <f t="shared" si="49"/>
        <v>238.04999999999998</v>
      </c>
      <c r="L31" s="790">
        <f t="shared" si="50"/>
        <v>22.614749999999997</v>
      </c>
      <c r="M31" s="790">
        <v>3.49</v>
      </c>
      <c r="N31" s="783"/>
      <c r="O31" s="783"/>
      <c r="P31" s="791">
        <f t="shared" si="11"/>
        <v>41.65</v>
      </c>
      <c r="Q31" s="791">
        <v>21</v>
      </c>
      <c r="R31" s="791">
        <f t="shared" si="12"/>
        <v>45.1</v>
      </c>
      <c r="S31" s="791">
        <f t="shared" si="13"/>
        <v>3.6619999999999999</v>
      </c>
      <c r="T31" s="791">
        <f t="shared" si="14"/>
        <v>4.6159999999999997</v>
      </c>
      <c r="U31" s="791">
        <f t="shared" si="51"/>
        <v>380.18274999999994</v>
      </c>
    </row>
    <row r="32" spans="1:21" s="704" customFormat="1" ht="14.7" thickBot="1">
      <c r="A32" s="783" t="s">
        <v>2847</v>
      </c>
      <c r="B32" s="784">
        <v>43231</v>
      </c>
      <c r="C32" s="783" t="s">
        <v>3010</v>
      </c>
      <c r="D32" s="792">
        <v>0.29166666666666669</v>
      </c>
      <c r="E32" s="792">
        <v>0.625</v>
      </c>
      <c r="F32" s="783">
        <v>0.5</v>
      </c>
      <c r="G32" s="787">
        <f t="shared" si="48"/>
        <v>7.5</v>
      </c>
      <c r="H32" s="783">
        <v>7.5</v>
      </c>
      <c r="I32" s="783"/>
      <c r="J32" s="783"/>
      <c r="K32" s="789">
        <f t="shared" si="49"/>
        <v>238.04999999999998</v>
      </c>
      <c r="L32" s="790">
        <f t="shared" si="50"/>
        <v>22.614749999999997</v>
      </c>
      <c r="M32" s="790">
        <v>3.49</v>
      </c>
      <c r="N32" s="783"/>
      <c r="O32" s="783"/>
      <c r="P32" s="791">
        <f t="shared" si="11"/>
        <v>41.65</v>
      </c>
      <c r="Q32" s="791">
        <v>21</v>
      </c>
      <c r="R32" s="791">
        <f t="shared" si="12"/>
        <v>45.1</v>
      </c>
      <c r="S32" s="791">
        <f t="shared" si="13"/>
        <v>3.6619999999999999</v>
      </c>
      <c r="T32" s="791">
        <f t="shared" si="14"/>
        <v>4.6159999999999997</v>
      </c>
      <c r="U32" s="791">
        <f t="shared" si="51"/>
        <v>380.18274999999994</v>
      </c>
    </row>
    <row r="33" spans="1:34" s="704" customFormat="1" ht="14.7" thickBot="1">
      <c r="A33" s="783" t="s">
        <v>2847</v>
      </c>
      <c r="B33" s="784">
        <v>43234</v>
      </c>
      <c r="C33" s="783" t="s">
        <v>3010</v>
      </c>
      <c r="D33" s="792">
        <v>0.29166666666666669</v>
      </c>
      <c r="E33" s="792">
        <v>0.625</v>
      </c>
      <c r="F33" s="783">
        <v>0.5</v>
      </c>
      <c r="G33" s="787">
        <f t="shared" ref="G33:G34" si="52">(E33-D33)*24-F33</f>
        <v>7.5</v>
      </c>
      <c r="H33" s="783">
        <v>7.5</v>
      </c>
      <c r="I33" s="783"/>
      <c r="J33" s="783"/>
      <c r="K33" s="789">
        <f t="shared" ref="K33:K34" si="53">H33*$Y$3+I33*$Y$4+J33*$Y$5</f>
        <v>238.04999999999998</v>
      </c>
      <c r="L33" s="790">
        <f t="shared" ref="L33:L34" si="54">(H33*$Y$3)*9.5%</f>
        <v>22.614749999999997</v>
      </c>
      <c r="M33" s="790">
        <v>3.49</v>
      </c>
      <c r="N33" s="783"/>
      <c r="O33" s="783"/>
      <c r="P33" s="791">
        <f t="shared" si="11"/>
        <v>41.65</v>
      </c>
      <c r="Q33" s="791">
        <v>21</v>
      </c>
      <c r="R33" s="791">
        <f t="shared" si="12"/>
        <v>45.1</v>
      </c>
      <c r="S33" s="791">
        <f t="shared" si="13"/>
        <v>3.6619999999999999</v>
      </c>
      <c r="T33" s="791">
        <f t="shared" si="14"/>
        <v>4.6159999999999997</v>
      </c>
      <c r="U33" s="791">
        <f t="shared" ref="U33:U34" si="55">SUM(K33:T33)</f>
        <v>380.18274999999994</v>
      </c>
    </row>
    <row r="34" spans="1:34" s="704" customFormat="1" ht="14.7" thickBot="1">
      <c r="A34" s="783" t="s">
        <v>2847</v>
      </c>
      <c r="B34" s="784">
        <v>43235</v>
      </c>
      <c r="C34" s="783" t="s">
        <v>3010</v>
      </c>
      <c r="D34" s="792">
        <v>0.29166666666666669</v>
      </c>
      <c r="E34" s="792">
        <v>0.63541666666666663</v>
      </c>
      <c r="F34" s="783">
        <v>0.5</v>
      </c>
      <c r="G34" s="787">
        <f t="shared" si="52"/>
        <v>7.7499999999999982</v>
      </c>
      <c r="H34" s="783">
        <v>7.5</v>
      </c>
      <c r="I34" s="783">
        <v>0.25</v>
      </c>
      <c r="J34" s="783"/>
      <c r="K34" s="789">
        <f t="shared" si="53"/>
        <v>249.95249999999999</v>
      </c>
      <c r="L34" s="790">
        <f t="shared" si="54"/>
        <v>22.614749999999997</v>
      </c>
      <c r="M34" s="790">
        <v>3.49</v>
      </c>
      <c r="N34" s="783"/>
      <c r="O34" s="783"/>
      <c r="P34" s="791">
        <f t="shared" si="11"/>
        <v>41.65</v>
      </c>
      <c r="Q34" s="791">
        <v>21</v>
      </c>
      <c r="R34" s="791">
        <f t="shared" si="12"/>
        <v>45.1</v>
      </c>
      <c r="S34" s="791">
        <f t="shared" si="13"/>
        <v>3.6619999999999999</v>
      </c>
      <c r="T34" s="791">
        <f t="shared" si="14"/>
        <v>4.6159999999999997</v>
      </c>
      <c r="U34" s="791">
        <f t="shared" si="55"/>
        <v>392.08524999999997</v>
      </c>
    </row>
    <row r="35" spans="1:34" s="704" customFormat="1" ht="14.7" thickBot="1">
      <c r="A35" s="783" t="s">
        <v>2847</v>
      </c>
      <c r="B35" s="784">
        <v>43236</v>
      </c>
      <c r="C35" s="783" t="s">
        <v>3010</v>
      </c>
      <c r="D35" s="792">
        <v>0.29166666666666669</v>
      </c>
      <c r="E35" s="792">
        <v>0.625</v>
      </c>
      <c r="F35" s="783">
        <v>0.5</v>
      </c>
      <c r="G35" s="787">
        <f t="shared" ref="G35:G37" si="56">(E35-D35)*24-F35</f>
        <v>7.5</v>
      </c>
      <c r="H35" s="783">
        <v>7.5</v>
      </c>
      <c r="I35" s="783"/>
      <c r="J35" s="783"/>
      <c r="K35" s="789">
        <f t="shared" ref="K35:K38" si="57">H35*$Y$3+I35*$Y$4+J35*$Y$5</f>
        <v>238.04999999999998</v>
      </c>
      <c r="L35" s="790">
        <f t="shared" ref="L35:L36" si="58">(H35*$Y$3)*9.5%</f>
        <v>22.614749999999997</v>
      </c>
      <c r="M35" s="790">
        <v>3.49</v>
      </c>
      <c r="N35" s="783"/>
      <c r="O35" s="783"/>
      <c r="P35" s="791">
        <f t="shared" si="11"/>
        <v>41.65</v>
      </c>
      <c r="Q35" s="791">
        <v>21</v>
      </c>
      <c r="R35" s="791">
        <f t="shared" si="12"/>
        <v>45.1</v>
      </c>
      <c r="S35" s="791">
        <f t="shared" si="13"/>
        <v>3.6619999999999999</v>
      </c>
      <c r="T35" s="791">
        <f t="shared" si="14"/>
        <v>4.6159999999999997</v>
      </c>
      <c r="U35" s="791">
        <f t="shared" ref="U35:U36" si="59">SUM(K35:T35)</f>
        <v>380.18274999999994</v>
      </c>
    </row>
    <row r="36" spans="1:34" s="704" customFormat="1" ht="14.7" thickBot="1">
      <c r="A36" s="783" t="s">
        <v>2847</v>
      </c>
      <c r="B36" s="784">
        <v>43237</v>
      </c>
      <c r="C36" s="783" t="s">
        <v>2539</v>
      </c>
      <c r="D36" s="792">
        <v>0.29166666666666669</v>
      </c>
      <c r="E36" s="792">
        <v>0.63541666666666663</v>
      </c>
      <c r="F36" s="783">
        <v>0.5</v>
      </c>
      <c r="G36" s="787">
        <f t="shared" si="56"/>
        <v>7.7499999999999982</v>
      </c>
      <c r="H36" s="783">
        <v>7.5</v>
      </c>
      <c r="I36" s="783">
        <v>0.25</v>
      </c>
      <c r="J36" s="783"/>
      <c r="K36" s="789">
        <f t="shared" si="57"/>
        <v>249.95249999999999</v>
      </c>
      <c r="L36" s="790">
        <f t="shared" si="58"/>
        <v>22.614749999999997</v>
      </c>
      <c r="M36" s="790">
        <v>3.49</v>
      </c>
      <c r="N36" s="783"/>
      <c r="O36" s="783"/>
      <c r="P36" s="791">
        <f t="shared" si="11"/>
        <v>41.65</v>
      </c>
      <c r="Q36" s="791">
        <v>21</v>
      </c>
      <c r="R36" s="791">
        <f t="shared" si="12"/>
        <v>45.1</v>
      </c>
      <c r="S36" s="791">
        <f t="shared" si="13"/>
        <v>3.6619999999999999</v>
      </c>
      <c r="T36" s="791">
        <f t="shared" si="14"/>
        <v>4.6159999999999997</v>
      </c>
      <c r="U36" s="791">
        <f t="shared" si="59"/>
        <v>392.08524999999997</v>
      </c>
    </row>
    <row r="37" spans="1:34" s="704" customFormat="1" ht="14.7" thickBot="1">
      <c r="A37" s="783" t="s">
        <v>2847</v>
      </c>
      <c r="B37" s="784">
        <v>43238</v>
      </c>
      <c r="C37" s="783" t="s">
        <v>2539</v>
      </c>
      <c r="D37" s="792">
        <v>0.29166666666666669</v>
      </c>
      <c r="E37" s="792">
        <v>0.66666666666666663</v>
      </c>
      <c r="F37" s="783">
        <v>0.5</v>
      </c>
      <c r="G37" s="787">
        <f t="shared" si="56"/>
        <v>8.4999999999999982</v>
      </c>
      <c r="H37" s="783">
        <v>7.5</v>
      </c>
      <c r="I37" s="783">
        <v>1</v>
      </c>
      <c r="J37" s="783"/>
      <c r="K37" s="789">
        <f>H37*$Y$3+I37*$Y$4+J37*$Y$5</f>
        <v>285.65999999999997</v>
      </c>
      <c r="L37" s="790">
        <f t="shared" ref="L37:L38" si="60">(H37*$Y$3)*9.5%</f>
        <v>22.614749999999997</v>
      </c>
      <c r="M37" s="790">
        <v>3.49</v>
      </c>
      <c r="N37" s="783"/>
      <c r="O37" s="783"/>
      <c r="P37" s="791">
        <f t="shared" si="11"/>
        <v>41.65</v>
      </c>
      <c r="Q37" s="791">
        <v>21</v>
      </c>
      <c r="R37" s="791">
        <f t="shared" si="12"/>
        <v>45.1</v>
      </c>
      <c r="S37" s="791">
        <f t="shared" si="13"/>
        <v>3.6619999999999999</v>
      </c>
      <c r="T37" s="791">
        <f t="shared" si="14"/>
        <v>4.6159999999999997</v>
      </c>
      <c r="U37" s="791">
        <f t="shared" ref="U37:U38" si="61">SUM(K37:T37)</f>
        <v>427.79274999999996</v>
      </c>
    </row>
    <row r="38" spans="1:34" s="704" customFormat="1" ht="14.7" thickBot="1">
      <c r="A38" s="783" t="s">
        <v>2847</v>
      </c>
      <c r="B38" s="784">
        <v>43241</v>
      </c>
      <c r="C38" s="783" t="s">
        <v>2539</v>
      </c>
      <c r="D38" s="792">
        <v>0.29166666666666669</v>
      </c>
      <c r="E38" s="792">
        <v>0.625</v>
      </c>
      <c r="F38" s="783">
        <v>0.5</v>
      </c>
      <c r="G38" s="787">
        <f t="shared" ref="G38" si="62">(E38-D38)*24-F38</f>
        <v>7.5</v>
      </c>
      <c r="H38" s="783">
        <v>7.5</v>
      </c>
      <c r="I38" s="783"/>
      <c r="J38" s="783"/>
      <c r="K38" s="789">
        <f t="shared" si="57"/>
        <v>238.04999999999998</v>
      </c>
      <c r="L38" s="790">
        <f t="shared" si="60"/>
        <v>22.614749999999997</v>
      </c>
      <c r="M38" s="790">
        <v>3.49</v>
      </c>
      <c r="N38" s="783"/>
      <c r="O38" s="783"/>
      <c r="P38" s="791">
        <f t="shared" si="11"/>
        <v>41.65</v>
      </c>
      <c r="Q38" s="791">
        <v>21</v>
      </c>
      <c r="R38" s="791">
        <f t="shared" si="12"/>
        <v>45.1</v>
      </c>
      <c r="S38" s="791">
        <f t="shared" si="13"/>
        <v>3.6619999999999999</v>
      </c>
      <c r="T38" s="791">
        <f t="shared" si="14"/>
        <v>4.6159999999999997</v>
      </c>
      <c r="U38" s="791">
        <f t="shared" si="61"/>
        <v>380.18274999999994</v>
      </c>
    </row>
    <row r="39" spans="1:34" s="704" customFormat="1" ht="14.7" thickBot="1">
      <c r="A39" s="783" t="s">
        <v>2847</v>
      </c>
      <c r="B39" s="784">
        <v>43242</v>
      </c>
      <c r="C39" s="783" t="s">
        <v>2770</v>
      </c>
      <c r="D39" s="792">
        <v>0.29166666666666669</v>
      </c>
      <c r="E39" s="792">
        <v>0.625</v>
      </c>
      <c r="F39" s="783">
        <v>0.5</v>
      </c>
      <c r="G39" s="787">
        <f t="shared" ref="G39:G40" si="63">(E39-D39)*24-F39</f>
        <v>7.5</v>
      </c>
      <c r="H39" s="783">
        <v>7.5</v>
      </c>
      <c r="I39" s="783"/>
      <c r="J39" s="783"/>
      <c r="K39" s="789">
        <f t="shared" ref="K39:K40" si="64">H39*$Y$3+I39*$Y$4+J39*$Y$5</f>
        <v>238.04999999999998</v>
      </c>
      <c r="L39" s="790">
        <f t="shared" ref="L39:L40" si="65">(H39*$Y$3)*9.5%</f>
        <v>22.614749999999997</v>
      </c>
      <c r="M39" s="790">
        <v>3.49</v>
      </c>
      <c r="N39" s="783"/>
      <c r="O39" s="783"/>
      <c r="P39" s="791">
        <f t="shared" si="11"/>
        <v>41.65</v>
      </c>
      <c r="Q39" s="791">
        <v>21</v>
      </c>
      <c r="R39" s="791">
        <f t="shared" si="12"/>
        <v>45.1</v>
      </c>
      <c r="S39" s="791">
        <f t="shared" si="13"/>
        <v>3.6619999999999999</v>
      </c>
      <c r="T39" s="791">
        <f t="shared" si="14"/>
        <v>4.6159999999999997</v>
      </c>
      <c r="U39" s="791">
        <f t="shared" ref="U39:U40" si="66">SUM(K39:T39)</f>
        <v>380.18274999999994</v>
      </c>
    </row>
    <row r="40" spans="1:34" s="704" customFormat="1" ht="14.7" thickBot="1">
      <c r="A40" s="783" t="s">
        <v>2847</v>
      </c>
      <c r="B40" s="784">
        <v>43243</v>
      </c>
      <c r="C40" s="783" t="s">
        <v>2914</v>
      </c>
      <c r="D40" s="792">
        <v>0.29166666666666669</v>
      </c>
      <c r="E40" s="792">
        <v>0.70833333333333337</v>
      </c>
      <c r="F40" s="783">
        <v>0.5</v>
      </c>
      <c r="G40" s="787">
        <f t="shared" si="63"/>
        <v>9.5</v>
      </c>
      <c r="H40" s="783">
        <v>7.5</v>
      </c>
      <c r="I40" s="783">
        <v>2</v>
      </c>
      <c r="J40" s="783"/>
      <c r="K40" s="789">
        <f t="shared" si="64"/>
        <v>333.27</v>
      </c>
      <c r="L40" s="790">
        <f t="shared" si="65"/>
        <v>22.614749999999997</v>
      </c>
      <c r="M40" s="790">
        <v>5.98</v>
      </c>
      <c r="N40" s="790"/>
      <c r="O40" s="790">
        <v>15.34</v>
      </c>
      <c r="P40" s="791">
        <f t="shared" si="11"/>
        <v>41.65</v>
      </c>
      <c r="Q40" s="791">
        <v>20</v>
      </c>
      <c r="R40" s="791">
        <f t="shared" si="12"/>
        <v>45.1</v>
      </c>
      <c r="S40" s="791">
        <f t="shared" si="13"/>
        <v>3.6619999999999999</v>
      </c>
      <c r="T40" s="791">
        <f t="shared" si="14"/>
        <v>4.6159999999999997</v>
      </c>
      <c r="U40" s="791">
        <f t="shared" si="66"/>
        <v>492.23274999999995</v>
      </c>
    </row>
    <row r="41" spans="1:34" s="704" customFormat="1" ht="14.7" thickBot="1">
      <c r="A41" s="783" t="s">
        <v>2847</v>
      </c>
      <c r="B41" s="784">
        <v>43244</v>
      </c>
      <c r="C41" s="783" t="s">
        <v>2914</v>
      </c>
      <c r="D41" s="792">
        <v>0.29166666666666669</v>
      </c>
      <c r="E41" s="792">
        <v>0.70833333333333337</v>
      </c>
      <c r="F41" s="783">
        <v>0.5</v>
      </c>
      <c r="G41" s="787">
        <f t="shared" ref="G41:G43" si="67">(E41-D41)*24-F41</f>
        <v>9.5</v>
      </c>
      <c r="H41" s="783">
        <v>7.5</v>
      </c>
      <c r="I41" s="783">
        <v>2</v>
      </c>
      <c r="J41" s="783"/>
      <c r="K41" s="789">
        <f t="shared" ref="K41:K43" si="68">H41*$Y$3+I41*$Y$4+J41*$Y$5</f>
        <v>333.27</v>
      </c>
      <c r="L41" s="790">
        <f t="shared" ref="L41:L43" si="69">(H41*$Y$3)*9.5%</f>
        <v>22.614749999999997</v>
      </c>
      <c r="M41" s="790">
        <v>5.98</v>
      </c>
      <c r="N41" s="790"/>
      <c r="O41" s="790">
        <v>15.34</v>
      </c>
      <c r="P41" s="791">
        <f t="shared" si="11"/>
        <v>41.65</v>
      </c>
      <c r="Q41" s="791">
        <v>20</v>
      </c>
      <c r="R41" s="791">
        <f t="shared" si="12"/>
        <v>45.1</v>
      </c>
      <c r="S41" s="791">
        <f t="shared" si="13"/>
        <v>3.6619999999999999</v>
      </c>
      <c r="T41" s="791">
        <f t="shared" si="14"/>
        <v>4.6159999999999997</v>
      </c>
      <c r="U41" s="791">
        <f t="shared" ref="U41:U43" si="70">SUM(K41:T41)</f>
        <v>492.23274999999995</v>
      </c>
    </row>
    <row r="42" spans="1:34" s="704" customFormat="1" ht="14.7" thickBot="1">
      <c r="A42" s="783" t="s">
        <v>2847</v>
      </c>
      <c r="B42" s="784">
        <v>43245</v>
      </c>
      <c r="C42" s="783" t="s">
        <v>2914</v>
      </c>
      <c r="D42" s="792">
        <v>0.29166666666666669</v>
      </c>
      <c r="E42" s="792">
        <v>0.70833333333333337</v>
      </c>
      <c r="F42" s="783">
        <v>0.5</v>
      </c>
      <c r="G42" s="787">
        <f t="shared" si="67"/>
        <v>9.5</v>
      </c>
      <c r="H42" s="783">
        <v>7.5</v>
      </c>
      <c r="I42" s="783">
        <v>2</v>
      </c>
      <c r="J42" s="783"/>
      <c r="K42" s="789">
        <f t="shared" si="68"/>
        <v>333.27</v>
      </c>
      <c r="L42" s="790">
        <f t="shared" si="69"/>
        <v>22.614749999999997</v>
      </c>
      <c r="M42" s="790">
        <v>5.98</v>
      </c>
      <c r="N42" s="790"/>
      <c r="O42" s="790">
        <v>15.34</v>
      </c>
      <c r="P42" s="791">
        <f t="shared" si="11"/>
        <v>41.65</v>
      </c>
      <c r="Q42" s="791">
        <v>20</v>
      </c>
      <c r="R42" s="791">
        <f t="shared" si="12"/>
        <v>45.1</v>
      </c>
      <c r="S42" s="791">
        <f t="shared" si="13"/>
        <v>3.6619999999999999</v>
      </c>
      <c r="T42" s="791">
        <f t="shared" si="14"/>
        <v>4.6159999999999997</v>
      </c>
      <c r="U42" s="791">
        <f t="shared" si="70"/>
        <v>492.23274999999995</v>
      </c>
    </row>
    <row r="43" spans="1:34" s="704" customFormat="1" ht="14.7" thickBot="1">
      <c r="A43" s="783" t="s">
        <v>2847</v>
      </c>
      <c r="B43" s="784">
        <v>43248</v>
      </c>
      <c r="C43" s="783" t="s">
        <v>2914</v>
      </c>
      <c r="D43" s="792">
        <v>0.25</v>
      </c>
      <c r="E43" s="792">
        <v>0.77083333333333337</v>
      </c>
      <c r="F43" s="783">
        <v>0.5</v>
      </c>
      <c r="G43" s="787">
        <f t="shared" si="67"/>
        <v>12</v>
      </c>
      <c r="H43" s="783">
        <v>7.5</v>
      </c>
      <c r="I43" s="783">
        <v>3</v>
      </c>
      <c r="J43" s="783">
        <v>1.5</v>
      </c>
      <c r="K43" s="789">
        <f t="shared" si="68"/>
        <v>476.1</v>
      </c>
      <c r="L43" s="790">
        <f t="shared" si="69"/>
        <v>22.614749999999997</v>
      </c>
      <c r="M43" s="790">
        <v>5.98</v>
      </c>
      <c r="N43" s="790"/>
      <c r="O43" s="790">
        <v>15.34</v>
      </c>
      <c r="P43" s="791">
        <f t="shared" si="11"/>
        <v>41.65</v>
      </c>
      <c r="Q43" s="791">
        <v>20</v>
      </c>
      <c r="R43" s="791">
        <f t="shared" si="12"/>
        <v>45.1</v>
      </c>
      <c r="S43" s="791">
        <f t="shared" si="13"/>
        <v>3.6619999999999999</v>
      </c>
      <c r="T43" s="791">
        <f t="shared" si="14"/>
        <v>4.6159999999999997</v>
      </c>
      <c r="U43" s="791">
        <f t="shared" si="70"/>
        <v>635.06275000000005</v>
      </c>
    </row>
    <row r="44" spans="1:34" s="704" customFormat="1" ht="14.7" thickBot="1">
      <c r="A44" s="783" t="s">
        <v>2847</v>
      </c>
      <c r="B44" s="784">
        <v>43249</v>
      </c>
      <c r="C44" s="783" t="s">
        <v>2914</v>
      </c>
      <c r="D44" s="792">
        <v>0.25</v>
      </c>
      <c r="E44" s="792">
        <v>0.8125</v>
      </c>
      <c r="F44" s="783">
        <v>0.5</v>
      </c>
      <c r="G44" s="787">
        <f>(E44-D44)*24-F44</f>
        <v>13</v>
      </c>
      <c r="H44" s="783">
        <v>7.5</v>
      </c>
      <c r="I44" s="783">
        <v>3</v>
      </c>
      <c r="J44" s="783">
        <v>2.5</v>
      </c>
      <c r="K44" s="789">
        <f>H44*$Y$3+I44*$Y$4+J44*$Y$5</f>
        <v>539.57999999999993</v>
      </c>
      <c r="L44" s="790">
        <f t="shared" ref="L44" si="71">(H44*$Y$3)*9.5%</f>
        <v>22.614749999999997</v>
      </c>
      <c r="M44" s="790">
        <v>5.98</v>
      </c>
      <c r="N44" s="790"/>
      <c r="O44" s="790">
        <v>15.34</v>
      </c>
      <c r="P44" s="791">
        <f t="shared" si="11"/>
        <v>41.65</v>
      </c>
      <c r="Q44" s="791">
        <v>20</v>
      </c>
      <c r="R44" s="791">
        <f t="shared" si="12"/>
        <v>45.1</v>
      </c>
      <c r="S44" s="791">
        <f t="shared" si="13"/>
        <v>3.6619999999999999</v>
      </c>
      <c r="T44" s="791">
        <f t="shared" si="14"/>
        <v>4.6159999999999997</v>
      </c>
      <c r="U44" s="791">
        <f t="shared" ref="U44" si="72">SUM(K44:T44)</f>
        <v>698.54274999999996</v>
      </c>
    </row>
    <row r="45" spans="1:34" s="704" customFormat="1" ht="14.7" thickBot="1">
      <c r="A45" s="783" t="s">
        <v>2847</v>
      </c>
      <c r="B45" s="784">
        <v>43250</v>
      </c>
      <c r="C45" s="783" t="s">
        <v>2914</v>
      </c>
      <c r="D45" s="792">
        <v>0.22916666666666666</v>
      </c>
      <c r="E45" s="792">
        <v>0.69791666666666663</v>
      </c>
      <c r="F45" s="783">
        <v>0.5</v>
      </c>
      <c r="G45" s="787">
        <f t="shared" ref="G45:G46" si="73">(E45-D45)*24-F45</f>
        <v>10.75</v>
      </c>
      <c r="H45" s="783">
        <v>7.5</v>
      </c>
      <c r="I45" s="783">
        <v>3</v>
      </c>
      <c r="J45" s="783">
        <v>0.25</v>
      </c>
      <c r="K45" s="789">
        <f t="shared" ref="K45:K46" si="74">H45*$Y$3+I45*$Y$4+J45*$Y$5</f>
        <v>396.75</v>
      </c>
      <c r="L45" s="790">
        <f t="shared" ref="L45:L46" si="75">(H45*$Y$3)*9.5%</f>
        <v>22.614749999999997</v>
      </c>
      <c r="M45" s="790">
        <v>5.98</v>
      </c>
      <c r="N45" s="790"/>
      <c r="O45" s="790">
        <v>15.34</v>
      </c>
      <c r="P45" s="791">
        <f t="shared" si="11"/>
        <v>41.65</v>
      </c>
      <c r="Q45" s="791">
        <v>20</v>
      </c>
      <c r="R45" s="791">
        <f t="shared" si="12"/>
        <v>45.1</v>
      </c>
      <c r="S45" s="791">
        <f t="shared" si="13"/>
        <v>3.6619999999999999</v>
      </c>
      <c r="T45" s="791">
        <f t="shared" si="14"/>
        <v>4.6159999999999997</v>
      </c>
      <c r="U45" s="791">
        <f t="shared" ref="U45:U46" si="76">SUM(K45:T45)</f>
        <v>555.71275000000003</v>
      </c>
    </row>
    <row r="46" spans="1:34" s="704" customFormat="1" ht="14.7" thickBot="1">
      <c r="A46" s="783" t="s">
        <v>2847</v>
      </c>
      <c r="B46" s="784">
        <v>43251</v>
      </c>
      <c r="C46" s="783" t="s">
        <v>2914</v>
      </c>
      <c r="D46" s="792">
        <v>0.25</v>
      </c>
      <c r="E46" s="792">
        <v>0.70833333333333337</v>
      </c>
      <c r="F46" s="783">
        <v>0.5</v>
      </c>
      <c r="G46" s="787">
        <f t="shared" si="73"/>
        <v>10.5</v>
      </c>
      <c r="H46" s="783">
        <v>7.5</v>
      </c>
      <c r="I46" s="783">
        <v>3</v>
      </c>
      <c r="J46" s="783"/>
      <c r="K46" s="789">
        <f t="shared" si="74"/>
        <v>380.88</v>
      </c>
      <c r="L46" s="790">
        <f t="shared" si="75"/>
        <v>22.614749999999997</v>
      </c>
      <c r="M46" s="790">
        <v>5.98</v>
      </c>
      <c r="N46" s="790"/>
      <c r="O46" s="790">
        <v>15.34</v>
      </c>
      <c r="P46" s="791">
        <f t="shared" si="11"/>
        <v>41.65</v>
      </c>
      <c r="Q46" s="791">
        <v>20</v>
      </c>
      <c r="R46" s="791">
        <f t="shared" si="12"/>
        <v>45.1</v>
      </c>
      <c r="S46" s="791">
        <f t="shared" si="13"/>
        <v>3.6619999999999999</v>
      </c>
      <c r="T46" s="791">
        <f t="shared" si="14"/>
        <v>4.6159999999999997</v>
      </c>
      <c r="U46" s="791">
        <f t="shared" si="76"/>
        <v>539.84275000000002</v>
      </c>
    </row>
    <row r="47" spans="1:34" ht="14.7" thickBot="1">
      <c r="A47" s="783" t="s">
        <v>2847</v>
      </c>
      <c r="B47" s="784">
        <v>43242</v>
      </c>
      <c r="C47" s="783" t="s">
        <v>2770</v>
      </c>
      <c r="D47" s="785">
        <v>0.29166666666666669</v>
      </c>
      <c r="E47" s="785">
        <v>0.625</v>
      </c>
      <c r="F47" s="786">
        <v>0.5</v>
      </c>
      <c r="G47" s="787">
        <f t="shared" ref="G47" si="77">(E47-D47)*24-F47</f>
        <v>7.5</v>
      </c>
      <c r="H47" s="786">
        <v>7.5</v>
      </c>
      <c r="I47" s="786"/>
      <c r="J47" s="788"/>
      <c r="K47" s="789">
        <f>H47*$Y$3+I47*$Y$4+J47*$Y$5</f>
        <v>238.04999999999998</v>
      </c>
      <c r="L47" s="790">
        <f>(H47*$Y$3)*9.5%</f>
        <v>22.614749999999997</v>
      </c>
      <c r="M47" s="790">
        <v>5.98</v>
      </c>
      <c r="N47" s="791"/>
      <c r="O47" s="790">
        <v>15.34</v>
      </c>
      <c r="P47" s="791">
        <f>833/20</f>
        <v>41.65</v>
      </c>
      <c r="Q47" s="791">
        <v>20</v>
      </c>
      <c r="R47" s="791">
        <f>902/20</f>
        <v>45.1</v>
      </c>
      <c r="S47" s="791">
        <f>18.31/5</f>
        <v>3.6619999999999999</v>
      </c>
      <c r="T47" s="791">
        <f>23.08/5</f>
        <v>4.6159999999999997</v>
      </c>
      <c r="U47" s="791">
        <f>SUM(K47:T47)</f>
        <v>397.01274999999993</v>
      </c>
      <c r="AG47" s="5" t="s">
        <v>29</v>
      </c>
      <c r="AH47" t="s">
        <v>232</v>
      </c>
    </row>
    <row r="48" spans="1:34" ht="14.7" thickBot="1">
      <c r="A48" s="783" t="s">
        <v>2867</v>
      </c>
      <c r="B48" s="784">
        <v>43242</v>
      </c>
      <c r="C48" s="783"/>
      <c r="D48" s="783"/>
      <c r="E48" s="783"/>
      <c r="F48" s="783"/>
      <c r="G48" s="783"/>
      <c r="H48" s="783"/>
      <c r="I48" s="783"/>
      <c r="J48" s="783"/>
      <c r="K48" s="783"/>
      <c r="L48" s="783"/>
      <c r="M48" s="783"/>
      <c r="N48" s="783"/>
      <c r="O48" s="783"/>
      <c r="P48" s="783"/>
      <c r="Q48" s="783"/>
      <c r="R48" s="783"/>
      <c r="S48" s="783"/>
      <c r="T48" s="783"/>
      <c r="U48" s="783"/>
      <c r="AG48" s="6" t="s">
        <v>2770</v>
      </c>
      <c r="AH48" s="31">
        <v>777.19549999999981</v>
      </c>
    </row>
    <row r="49" spans="1:34" ht="14.7" thickBot="1">
      <c r="A49" s="783" t="s">
        <v>2868</v>
      </c>
      <c r="B49" s="784">
        <v>43242</v>
      </c>
      <c r="C49" s="783"/>
      <c r="D49" s="783"/>
      <c r="E49" s="783"/>
      <c r="F49" s="783"/>
      <c r="G49" s="783"/>
      <c r="H49" s="783"/>
      <c r="I49" s="783"/>
      <c r="J49" s="783"/>
      <c r="K49" s="783"/>
      <c r="L49" s="783"/>
      <c r="M49" s="783"/>
      <c r="N49" s="783"/>
      <c r="O49" s="783"/>
      <c r="P49" s="783"/>
      <c r="Q49" s="783"/>
      <c r="R49" s="783"/>
      <c r="S49" s="783"/>
      <c r="T49" s="783"/>
      <c r="U49" s="783"/>
      <c r="AG49" s="6" t="s">
        <v>27</v>
      </c>
      <c r="AH49" s="31">
        <v>195.09</v>
      </c>
    </row>
    <row r="50" spans="1:34" ht="14.7" thickBot="1">
      <c r="A50" s="783" t="s">
        <v>2869</v>
      </c>
      <c r="B50" s="784">
        <v>43242</v>
      </c>
      <c r="C50" s="783"/>
      <c r="D50" s="783"/>
      <c r="E50" s="783"/>
      <c r="F50" s="783"/>
      <c r="G50" s="783"/>
      <c r="H50" s="783"/>
      <c r="I50" s="783"/>
      <c r="J50" s="783"/>
      <c r="K50" s="783"/>
      <c r="L50" s="783"/>
      <c r="M50" s="783"/>
      <c r="N50" s="783"/>
      <c r="O50" s="783"/>
      <c r="P50" s="783"/>
      <c r="Q50" s="783"/>
      <c r="R50" s="783"/>
      <c r="S50" s="783"/>
      <c r="T50" s="783"/>
      <c r="U50" s="783"/>
      <c r="AG50" s="6" t="s">
        <v>2674</v>
      </c>
      <c r="AH50" s="31">
        <v>2043.8035299999997</v>
      </c>
    </row>
    <row r="51" spans="1:34" ht="14.7" thickBot="1">
      <c r="A51" s="783" t="s">
        <v>2870</v>
      </c>
      <c r="B51" s="784">
        <v>43242</v>
      </c>
      <c r="C51" s="783"/>
      <c r="D51" s="783"/>
      <c r="E51" s="783"/>
      <c r="F51" s="783"/>
      <c r="G51" s="783"/>
      <c r="H51" s="783"/>
      <c r="I51" s="783"/>
      <c r="J51" s="783"/>
      <c r="K51" s="783"/>
      <c r="L51" s="783"/>
      <c r="M51" s="783"/>
      <c r="N51" s="783"/>
      <c r="O51" s="783"/>
      <c r="P51" s="783"/>
      <c r="Q51" s="783"/>
      <c r="R51" s="783"/>
      <c r="S51" s="783"/>
      <c r="T51" s="783"/>
      <c r="U51" s="783"/>
      <c r="AG51" s="6" t="s">
        <v>3036</v>
      </c>
      <c r="AH51" s="31">
        <v>380.18274999999994</v>
      </c>
    </row>
    <row r="52" spans="1:34" ht="14.7" thickBot="1">
      <c r="A52" s="783" t="s">
        <v>2871</v>
      </c>
      <c r="B52" s="784">
        <v>43242</v>
      </c>
      <c r="C52" s="783"/>
      <c r="D52" s="783"/>
      <c r="E52" s="783"/>
      <c r="F52" s="783"/>
      <c r="G52" s="783"/>
      <c r="H52" s="783"/>
      <c r="I52" s="783"/>
      <c r="J52" s="783"/>
      <c r="K52" s="783"/>
      <c r="L52" s="783"/>
      <c r="M52" s="783"/>
      <c r="N52" s="783"/>
      <c r="O52" s="783"/>
      <c r="P52" s="783"/>
      <c r="Q52" s="783"/>
      <c r="R52" s="783"/>
      <c r="S52" s="783"/>
      <c r="T52" s="783"/>
      <c r="U52" s="783"/>
      <c r="AG52" s="6" t="s">
        <v>2652</v>
      </c>
      <c r="AH52" s="31">
        <v>1211.9632499999998</v>
      </c>
    </row>
    <row r="53" spans="1:34" ht="14.7" thickBot="1">
      <c r="A53" s="783" t="s">
        <v>2872</v>
      </c>
      <c r="B53" s="784">
        <v>43242</v>
      </c>
      <c r="C53" s="783"/>
      <c r="D53" s="783"/>
      <c r="E53" s="783"/>
      <c r="F53" s="783"/>
      <c r="G53" s="783"/>
      <c r="H53" s="783"/>
      <c r="I53" s="783"/>
      <c r="J53" s="783"/>
      <c r="K53" s="783"/>
      <c r="L53" s="783"/>
      <c r="M53" s="783"/>
      <c r="N53" s="783"/>
      <c r="O53" s="783"/>
      <c r="P53" s="783"/>
      <c r="Q53" s="783"/>
      <c r="R53" s="783"/>
      <c r="S53" s="783"/>
      <c r="T53" s="783"/>
      <c r="U53" s="783"/>
      <c r="AG53" s="6" t="s">
        <v>3238</v>
      </c>
      <c r="AH53" s="31">
        <v>355.69274999999993</v>
      </c>
    </row>
    <row r="54" spans="1:34" ht="14.7" thickBot="1">
      <c r="A54" s="783"/>
      <c r="B54" s="783"/>
      <c r="C54" s="783"/>
      <c r="D54" s="783"/>
      <c r="E54" s="783"/>
      <c r="F54" s="783"/>
      <c r="G54" s="783"/>
      <c r="H54" s="783"/>
      <c r="I54" s="783"/>
      <c r="J54" s="783"/>
      <c r="K54" s="783"/>
      <c r="L54" s="783"/>
      <c r="M54" s="783"/>
      <c r="N54" s="783"/>
      <c r="O54" s="783"/>
      <c r="P54" s="783"/>
      <c r="Q54" s="783"/>
      <c r="R54" s="783"/>
      <c r="S54" s="783"/>
      <c r="T54" s="783"/>
      <c r="U54" s="783"/>
      <c r="AG54" s="6" t="s">
        <v>3088</v>
      </c>
      <c r="AH54" s="31">
        <v>1627.8534999999997</v>
      </c>
    </row>
    <row r="55" spans="1:34" ht="14.7" thickBot="1">
      <c r="A55" s="783"/>
      <c r="B55" s="783"/>
      <c r="C55" s="783"/>
      <c r="D55" s="783"/>
      <c r="E55" s="783"/>
      <c r="F55" s="783"/>
      <c r="G55" s="783"/>
      <c r="H55" s="783"/>
      <c r="I55" s="783"/>
      <c r="J55" s="783"/>
      <c r="K55" s="783"/>
      <c r="L55" s="783"/>
      <c r="M55" s="783"/>
      <c r="N55" s="783"/>
      <c r="O55" s="783"/>
      <c r="P55" s="783"/>
      <c r="Q55" s="783"/>
      <c r="R55" s="783"/>
      <c r="S55" s="783"/>
      <c r="T55" s="783"/>
      <c r="U55" s="783"/>
      <c r="AG55" s="6" t="s">
        <v>2186</v>
      </c>
      <c r="AH55" s="31">
        <v>903.19549999999992</v>
      </c>
    </row>
    <row r="56" spans="1:34" ht="14.7" thickBot="1">
      <c r="A56" s="783" t="s">
        <v>2847</v>
      </c>
      <c r="B56" s="784">
        <v>43243</v>
      </c>
      <c r="C56" s="783" t="s">
        <v>2674</v>
      </c>
      <c r="D56" s="785">
        <v>0.29166666666666669</v>
      </c>
      <c r="E56" s="785">
        <v>0.70833333333333337</v>
      </c>
      <c r="F56" s="783">
        <v>0.5</v>
      </c>
      <c r="G56" s="787">
        <f t="shared" ref="G56:G59" si="78">(E56-D56)*24-F56</f>
        <v>9.5</v>
      </c>
      <c r="H56" s="783">
        <v>7.6</v>
      </c>
      <c r="I56" s="783">
        <v>1.9</v>
      </c>
      <c r="J56" s="783"/>
      <c r="K56" s="789">
        <f>H56*$Y$3+I56*$Y$4+J56*$Y$5</f>
        <v>331.68299999999999</v>
      </c>
      <c r="L56" s="790">
        <f>(H56*$Y$3)*9.5%</f>
        <v>22.91628</v>
      </c>
      <c r="M56" s="790"/>
      <c r="N56" s="791">
        <v>15.03</v>
      </c>
      <c r="O56" s="783"/>
      <c r="P56" s="791">
        <f>833/20</f>
        <v>41.65</v>
      </c>
      <c r="Q56" s="791">
        <v>20</v>
      </c>
      <c r="R56" s="791">
        <f>902/20</f>
        <v>45.1</v>
      </c>
      <c r="S56" s="791">
        <f>18.31/5</f>
        <v>3.6619999999999999</v>
      </c>
      <c r="T56" s="791">
        <f>23.08/5</f>
        <v>4.6159999999999997</v>
      </c>
      <c r="U56" s="791">
        <f>SUM(K56:T56)</f>
        <v>484.65727999999996</v>
      </c>
      <c r="AG56" s="6" t="s">
        <v>2501</v>
      </c>
      <c r="AH56" s="31">
        <v>451.59774999999996</v>
      </c>
    </row>
    <row r="57" spans="1:34" ht="14.7" thickBot="1">
      <c r="A57" s="783" t="s">
        <v>2847</v>
      </c>
      <c r="B57" s="784">
        <v>43244</v>
      </c>
      <c r="C57" s="783" t="s">
        <v>2674</v>
      </c>
      <c r="D57" s="785">
        <v>0.29166666666666669</v>
      </c>
      <c r="E57" s="783"/>
      <c r="F57" s="783"/>
      <c r="G57" s="787">
        <f t="shared" si="78"/>
        <v>-7</v>
      </c>
      <c r="H57" s="783"/>
      <c r="I57" s="783"/>
      <c r="J57" s="783"/>
      <c r="K57" s="789">
        <f>H57*$Y$3+I57*$Y$4+J57*$Y$5</f>
        <v>0</v>
      </c>
      <c r="L57" s="790">
        <f>(H57*$Y$3)*9.5%</f>
        <v>0</v>
      </c>
      <c r="M57" s="790"/>
      <c r="N57" s="791">
        <v>15.03</v>
      </c>
      <c r="O57" s="783"/>
      <c r="P57" s="791">
        <f>833/20</f>
        <v>41.65</v>
      </c>
      <c r="Q57" s="791">
        <v>20</v>
      </c>
      <c r="R57" s="791">
        <f>902/20</f>
        <v>45.1</v>
      </c>
      <c r="S57" s="791">
        <f>18.31/5</f>
        <v>3.6619999999999999</v>
      </c>
      <c r="T57" s="791">
        <f>23.08/5</f>
        <v>4.6159999999999997</v>
      </c>
      <c r="U57" s="791">
        <f>SUM(K57:T57)</f>
        <v>130.05799999999999</v>
      </c>
      <c r="AG57" s="6" t="s">
        <v>3130</v>
      </c>
      <c r="AH57" s="31">
        <v>487.30525</v>
      </c>
    </row>
    <row r="58" spans="1:34" ht="14.7" thickBot="1">
      <c r="A58" s="783"/>
      <c r="B58" s="783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83"/>
      <c r="N58" s="783"/>
      <c r="O58" s="783"/>
      <c r="P58" s="783"/>
      <c r="Q58" s="783"/>
      <c r="R58" s="783"/>
      <c r="S58" s="783"/>
      <c r="T58" s="783"/>
      <c r="U58" s="783"/>
      <c r="AG58" s="6" t="s">
        <v>3239</v>
      </c>
      <c r="AH58" s="31">
        <v>2776.18325</v>
      </c>
    </row>
    <row r="59" spans="1:34" ht="14.7" thickBot="1">
      <c r="A59" s="783" t="s">
        <v>2871</v>
      </c>
      <c r="B59" s="784">
        <v>43243</v>
      </c>
      <c r="C59" s="783"/>
      <c r="D59" s="792">
        <v>0.29166666666666669</v>
      </c>
      <c r="E59" s="792">
        <v>0.65625</v>
      </c>
      <c r="F59" s="783">
        <v>0.5</v>
      </c>
      <c r="G59" s="787">
        <f t="shared" si="78"/>
        <v>8.25</v>
      </c>
      <c r="H59" s="783">
        <v>7.6</v>
      </c>
      <c r="I59" s="793">
        <f>G59-H59</f>
        <v>0.65000000000000036</v>
      </c>
      <c r="J59" s="783"/>
      <c r="K59" s="789">
        <f>H59*$AD$3+I59*$AD$4+J59*$AD$5</f>
        <v>171.5</v>
      </c>
      <c r="L59" s="790">
        <f>(H59*$AD$3)*9.5%</f>
        <v>14.44</v>
      </c>
      <c r="M59" s="790">
        <v>9.15</v>
      </c>
      <c r="N59" s="783"/>
      <c r="O59" s="783"/>
      <c r="P59" s="783"/>
      <c r="Q59" s="783"/>
      <c r="R59" s="783"/>
      <c r="S59" s="783"/>
      <c r="T59" s="783"/>
      <c r="U59" s="791">
        <f>SUM(K59:T59)</f>
        <v>195.09</v>
      </c>
      <c r="AG59" s="6" t="s">
        <v>3010</v>
      </c>
      <c r="AH59" s="31">
        <v>3861.3399999999997</v>
      </c>
    </row>
    <row r="60" spans="1:34" ht="14.7" thickBot="1">
      <c r="A60" s="783"/>
      <c r="B60" s="783"/>
      <c r="C60" s="783"/>
      <c r="D60" s="783"/>
      <c r="E60" s="783"/>
      <c r="F60" s="783"/>
      <c r="G60" s="783"/>
      <c r="H60" s="783"/>
      <c r="I60" s="783"/>
      <c r="J60" s="783"/>
      <c r="K60" s="783"/>
      <c r="L60" s="783"/>
      <c r="M60" s="783"/>
      <c r="N60" s="783"/>
      <c r="O60" s="783"/>
      <c r="P60" s="783"/>
      <c r="Q60" s="783"/>
      <c r="R60" s="783"/>
      <c r="S60" s="783"/>
      <c r="T60" s="783"/>
      <c r="U60" s="783"/>
      <c r="AG60" s="6" t="s">
        <v>2535</v>
      </c>
      <c r="AH60" s="31">
        <v>380.18274999999994</v>
      </c>
    </row>
    <row r="61" spans="1:34" s="704" customFormat="1" ht="14.7" thickBot="1">
      <c r="A61" s="783"/>
      <c r="B61" s="783"/>
      <c r="C61" s="783"/>
      <c r="D61" s="783"/>
      <c r="E61" s="783"/>
      <c r="F61" s="783"/>
      <c r="G61" s="783"/>
      <c r="H61" s="783"/>
      <c r="I61" s="783"/>
      <c r="J61" s="783"/>
      <c r="K61" s="783"/>
      <c r="L61" s="783"/>
      <c r="M61" s="783"/>
      <c r="N61" s="783"/>
      <c r="O61" s="783"/>
      <c r="P61" s="783"/>
      <c r="Q61" s="783"/>
      <c r="R61" s="783"/>
      <c r="S61" s="783"/>
      <c r="T61" s="783"/>
      <c r="U61" s="783"/>
      <c r="AG61" s="6" t="s">
        <v>2561</v>
      </c>
      <c r="AH61" s="31">
        <v>380.18274999999994</v>
      </c>
    </row>
    <row r="62" spans="1:34" s="704" customFormat="1" ht="14.7" thickBot="1">
      <c r="A62" s="783"/>
      <c r="B62" s="783"/>
      <c r="C62" s="783"/>
      <c r="D62" s="783"/>
      <c r="E62" s="783"/>
      <c r="F62" s="783"/>
      <c r="G62" s="783"/>
      <c r="H62" s="783"/>
      <c r="I62" s="783"/>
      <c r="J62" s="783"/>
      <c r="K62" s="783"/>
      <c r="L62" s="783"/>
      <c r="M62" s="783"/>
      <c r="N62" s="783"/>
      <c r="O62" s="783"/>
      <c r="P62" s="783"/>
      <c r="Q62" s="783"/>
      <c r="R62" s="783"/>
      <c r="S62" s="783"/>
      <c r="T62" s="783"/>
      <c r="U62" s="783"/>
      <c r="AG62" s="6" t="s">
        <v>2539</v>
      </c>
      <c r="AH62" s="31">
        <v>1200.0607499999999</v>
      </c>
    </row>
    <row r="63" spans="1:34" s="704" customFormat="1" ht="14.7" thickBot="1">
      <c r="A63" s="783"/>
      <c r="B63" s="783"/>
      <c r="C63" s="783"/>
      <c r="D63" s="783"/>
      <c r="E63" s="783"/>
      <c r="F63" s="783"/>
      <c r="G63" s="783"/>
      <c r="H63" s="783"/>
      <c r="I63" s="783"/>
      <c r="J63" s="783"/>
      <c r="K63" s="783"/>
      <c r="L63" s="783"/>
      <c r="M63" s="783"/>
      <c r="N63" s="783"/>
      <c r="O63" s="783"/>
      <c r="P63" s="783"/>
      <c r="Q63" s="783"/>
      <c r="R63" s="783"/>
      <c r="S63" s="783"/>
      <c r="T63" s="783"/>
      <c r="U63" s="783"/>
      <c r="AG63" s="6" t="s">
        <v>2914</v>
      </c>
      <c r="AH63" s="31">
        <v>3905.8592500000004</v>
      </c>
    </row>
    <row r="64" spans="1:34" s="704" customFormat="1" ht="14.7" thickBot="1">
      <c r="A64" s="783"/>
      <c r="B64" s="783"/>
      <c r="C64" s="783"/>
      <c r="D64" s="783"/>
      <c r="E64" s="783"/>
      <c r="F64" s="783"/>
      <c r="G64" s="783"/>
      <c r="H64" s="783"/>
      <c r="I64" s="783"/>
      <c r="J64" s="783"/>
      <c r="K64" s="783"/>
      <c r="L64" s="783"/>
      <c r="M64" s="783"/>
      <c r="N64" s="783"/>
      <c r="O64" s="783"/>
      <c r="P64" s="783"/>
      <c r="Q64" s="783"/>
      <c r="R64" s="783"/>
      <c r="S64" s="783"/>
      <c r="T64" s="783"/>
      <c r="U64" s="783"/>
      <c r="AG64" s="6" t="s">
        <v>28</v>
      </c>
      <c r="AH64" s="31">
        <v>20937.688529999999</v>
      </c>
    </row>
    <row r="65" spans="1:21" s="704" customFormat="1" ht="14.7" thickBot="1">
      <c r="A65" s="783"/>
      <c r="B65" s="783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83"/>
      <c r="N65" s="783"/>
      <c r="O65" s="783"/>
      <c r="P65" s="783"/>
      <c r="Q65" s="783"/>
      <c r="R65" s="783"/>
      <c r="S65" s="783"/>
      <c r="T65" s="783"/>
      <c r="U65" s="783"/>
    </row>
    <row r="66" spans="1:21" s="704" customFormat="1" ht="14.7" thickBot="1">
      <c r="A66" s="783"/>
      <c r="B66" s="783"/>
      <c r="C66" s="783"/>
      <c r="D66" s="783"/>
      <c r="E66" s="783"/>
      <c r="F66" s="783"/>
      <c r="G66" s="783"/>
      <c r="H66" s="783"/>
      <c r="I66" s="783"/>
      <c r="J66" s="783"/>
      <c r="K66" s="783"/>
      <c r="L66" s="783"/>
      <c r="M66" s="783"/>
      <c r="N66" s="783"/>
      <c r="O66" s="783"/>
      <c r="P66" s="783"/>
      <c r="Q66" s="783"/>
      <c r="R66" s="783"/>
      <c r="S66" s="783"/>
      <c r="T66" s="783"/>
      <c r="U66" s="783"/>
    </row>
    <row r="67" spans="1:21" s="704" customFormat="1" ht="14.7" thickBot="1">
      <c r="A67" s="783"/>
      <c r="B67" s="783"/>
      <c r="C67" s="783"/>
      <c r="D67" s="783"/>
      <c r="E67" s="783"/>
      <c r="F67" s="783"/>
      <c r="G67" s="783"/>
      <c r="H67" s="783"/>
      <c r="I67" s="783"/>
      <c r="J67" s="783"/>
      <c r="K67" s="783"/>
      <c r="L67" s="783"/>
      <c r="M67" s="783"/>
      <c r="N67" s="783"/>
      <c r="O67" s="783"/>
      <c r="P67" s="783"/>
      <c r="Q67" s="783"/>
      <c r="R67" s="783"/>
      <c r="S67" s="783"/>
      <c r="T67" s="783"/>
      <c r="U67" s="783"/>
    </row>
    <row r="68" spans="1:21" s="704" customFormat="1" ht="14.7" thickBot="1">
      <c r="A68" s="783"/>
      <c r="B68" s="783"/>
      <c r="C68" s="783"/>
      <c r="D68" s="783"/>
      <c r="E68" s="783"/>
      <c r="F68" s="783"/>
      <c r="G68" s="783"/>
      <c r="H68" s="783"/>
      <c r="I68" s="783"/>
      <c r="J68" s="783"/>
      <c r="K68" s="783"/>
      <c r="L68" s="783"/>
      <c r="M68" s="783"/>
      <c r="N68" s="783"/>
      <c r="O68" s="783"/>
      <c r="P68" s="783"/>
      <c r="Q68" s="783"/>
      <c r="R68" s="783"/>
      <c r="S68" s="783"/>
      <c r="T68" s="783"/>
      <c r="U68" s="783"/>
    </row>
    <row r="69" spans="1:21" s="704" customFormat="1" ht="14.7" thickBot="1">
      <c r="A69" s="783"/>
      <c r="B69" s="783"/>
      <c r="C69" s="783"/>
      <c r="D69" s="783"/>
      <c r="E69" s="783"/>
      <c r="F69" s="783"/>
      <c r="G69" s="783"/>
      <c r="H69" s="783"/>
      <c r="I69" s="783"/>
      <c r="J69" s="783"/>
      <c r="K69" s="783"/>
      <c r="L69" s="783"/>
      <c r="M69" s="783"/>
      <c r="N69" s="783"/>
      <c r="O69" s="783"/>
      <c r="P69" s="783"/>
      <c r="Q69" s="783"/>
      <c r="R69" s="783"/>
      <c r="S69" s="783"/>
      <c r="T69" s="783"/>
      <c r="U69" s="783"/>
    </row>
    <row r="70" spans="1:21" s="704" customFormat="1" ht="14.7" thickBot="1">
      <c r="A70" s="783"/>
      <c r="B70" s="783"/>
      <c r="C70" s="783"/>
      <c r="D70" s="783"/>
      <c r="E70" s="783"/>
      <c r="F70" s="783"/>
      <c r="G70" s="783"/>
      <c r="H70" s="783"/>
      <c r="I70" s="783"/>
      <c r="J70" s="783"/>
      <c r="K70" s="783"/>
      <c r="L70" s="783"/>
      <c r="M70" s="783"/>
      <c r="N70" s="783"/>
      <c r="O70" s="783"/>
      <c r="P70" s="783"/>
      <c r="Q70" s="783"/>
      <c r="R70" s="783"/>
      <c r="S70" s="783"/>
      <c r="T70" s="783"/>
      <c r="U70" s="783"/>
    </row>
    <row r="71" spans="1:21" s="704" customFormat="1" ht="14.7" thickBot="1">
      <c r="A71" s="783"/>
      <c r="B71" s="783"/>
      <c r="C71" s="783"/>
      <c r="D71" s="783"/>
      <c r="E71" s="783"/>
      <c r="F71" s="783"/>
      <c r="G71" s="783"/>
      <c r="H71" s="783"/>
      <c r="I71" s="783"/>
      <c r="J71" s="783"/>
      <c r="K71" s="783"/>
      <c r="L71" s="783"/>
      <c r="M71" s="783"/>
      <c r="N71" s="783"/>
      <c r="O71" s="783"/>
      <c r="P71" s="783"/>
      <c r="Q71" s="783"/>
      <c r="R71" s="783"/>
      <c r="S71" s="783"/>
      <c r="T71" s="783"/>
      <c r="U71" s="783"/>
    </row>
    <row r="72" spans="1:21" s="704" customFormat="1" ht="14.7" thickBot="1">
      <c r="A72" s="783"/>
      <c r="B72" s="783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83"/>
      <c r="N72" s="783"/>
      <c r="O72" s="783"/>
      <c r="P72" s="783"/>
      <c r="Q72" s="783"/>
      <c r="R72" s="783"/>
      <c r="S72" s="783"/>
      <c r="T72" s="783"/>
      <c r="U72" s="783"/>
    </row>
    <row r="73" spans="1:21" s="704" customFormat="1" ht="14.7" thickBot="1">
      <c r="A73" s="783"/>
      <c r="B73" s="783"/>
      <c r="C73" s="783"/>
      <c r="D73" s="783"/>
      <c r="E73" s="783"/>
      <c r="F73" s="783"/>
      <c r="G73" s="783"/>
      <c r="H73" s="783"/>
      <c r="I73" s="783"/>
      <c r="J73" s="783"/>
      <c r="K73" s="783"/>
      <c r="L73" s="783"/>
      <c r="M73" s="783"/>
      <c r="N73" s="783"/>
      <c r="O73" s="783"/>
      <c r="P73" s="783"/>
      <c r="Q73" s="783"/>
      <c r="R73" s="783"/>
      <c r="S73" s="783"/>
      <c r="T73" s="783"/>
      <c r="U73" s="783"/>
    </row>
    <row r="74" spans="1:21" s="704" customFormat="1" ht="14.7" thickBot="1">
      <c r="A74" s="783"/>
      <c r="B74" s="783"/>
      <c r="C74" s="783"/>
      <c r="D74" s="783"/>
      <c r="E74" s="783"/>
      <c r="F74" s="783"/>
      <c r="G74" s="783"/>
      <c r="H74" s="783"/>
      <c r="I74" s="783"/>
      <c r="J74" s="783"/>
      <c r="K74" s="783"/>
      <c r="L74" s="783"/>
      <c r="M74" s="783"/>
      <c r="N74" s="783"/>
      <c r="O74" s="783"/>
      <c r="P74" s="783"/>
      <c r="Q74" s="783"/>
      <c r="R74" s="783"/>
      <c r="S74" s="783"/>
      <c r="T74" s="783"/>
      <c r="U74" s="783"/>
    </row>
    <row r="75" spans="1:21" s="704" customFormat="1" ht="14.7" thickBot="1">
      <c r="A75" s="783"/>
      <c r="B75" s="783"/>
      <c r="C75" s="783"/>
      <c r="D75" s="783"/>
      <c r="E75" s="783"/>
      <c r="F75" s="783"/>
      <c r="G75" s="783"/>
      <c r="H75" s="783"/>
      <c r="I75" s="783"/>
      <c r="J75" s="783"/>
      <c r="K75" s="783"/>
      <c r="L75" s="783"/>
      <c r="M75" s="783"/>
      <c r="N75" s="783"/>
      <c r="O75" s="783"/>
      <c r="P75" s="783"/>
      <c r="Q75" s="783"/>
      <c r="R75" s="783"/>
      <c r="S75" s="783"/>
      <c r="T75" s="783"/>
      <c r="U75" s="783"/>
    </row>
    <row r="76" spans="1:21" s="704" customFormat="1" ht="14.7" thickBot="1">
      <c r="A76" s="783"/>
      <c r="B76" s="783"/>
      <c r="C76" s="783"/>
      <c r="D76" s="783"/>
      <c r="E76" s="783"/>
      <c r="F76" s="783"/>
      <c r="G76" s="783"/>
      <c r="H76" s="783"/>
      <c r="I76" s="783"/>
      <c r="J76" s="783"/>
      <c r="K76" s="783"/>
      <c r="L76" s="783"/>
      <c r="M76" s="783"/>
      <c r="N76" s="783"/>
      <c r="O76" s="783"/>
      <c r="P76" s="783"/>
      <c r="Q76" s="783"/>
      <c r="R76" s="783"/>
      <c r="S76" s="783"/>
      <c r="T76" s="783"/>
      <c r="U76" s="783"/>
    </row>
    <row r="77" spans="1:21" s="704" customFormat="1" ht="14.7" thickBot="1">
      <c r="A77" s="783"/>
      <c r="B77" s="783"/>
      <c r="C77" s="783"/>
      <c r="D77" s="783"/>
      <c r="E77" s="783"/>
      <c r="F77" s="783"/>
      <c r="G77" s="783"/>
      <c r="H77" s="783"/>
      <c r="I77" s="783"/>
      <c r="J77" s="783"/>
      <c r="K77" s="783"/>
      <c r="L77" s="783"/>
      <c r="M77" s="783"/>
      <c r="N77" s="783"/>
      <c r="O77" s="783"/>
      <c r="P77" s="783"/>
      <c r="Q77" s="783"/>
      <c r="R77" s="783"/>
      <c r="S77" s="783"/>
      <c r="T77" s="783"/>
      <c r="U77" s="783"/>
    </row>
    <row r="78" spans="1:21" ht="14.7" thickBot="1">
      <c r="A78" s="783"/>
      <c r="B78" s="783"/>
      <c r="C78" s="783"/>
      <c r="D78" s="783"/>
      <c r="E78" s="783"/>
      <c r="F78" s="783"/>
      <c r="G78" s="783"/>
      <c r="H78" s="783"/>
      <c r="I78" s="783"/>
      <c r="J78" s="783"/>
      <c r="K78" s="783"/>
      <c r="L78" s="783"/>
      <c r="M78" s="783"/>
      <c r="N78" s="783"/>
      <c r="O78" s="783"/>
      <c r="P78" s="783"/>
      <c r="Q78" s="783"/>
      <c r="R78" s="783"/>
      <c r="S78" s="783"/>
      <c r="T78" s="783"/>
      <c r="U78" s="783"/>
    </row>
    <row r="79" spans="1:21" ht="14.7" thickBot="1">
      <c r="A79" s="783"/>
      <c r="B79" s="783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83"/>
      <c r="N79" s="783"/>
      <c r="O79" s="783"/>
      <c r="P79" s="783"/>
      <c r="Q79" s="783"/>
      <c r="R79" s="783"/>
      <c r="S79" s="783"/>
      <c r="T79" s="783"/>
      <c r="U79" s="783"/>
    </row>
    <row r="80" spans="1:21" ht="14.7" thickBot="1">
      <c r="A80" s="783"/>
      <c r="B80" s="783"/>
      <c r="C80" s="783"/>
      <c r="D80" s="783"/>
      <c r="E80" s="783"/>
      <c r="F80" s="783"/>
      <c r="G80" s="783"/>
      <c r="H80" s="783"/>
      <c r="I80" s="783"/>
      <c r="J80" s="783"/>
      <c r="K80" s="783"/>
      <c r="L80" s="783"/>
      <c r="M80" s="783"/>
      <c r="N80" s="783"/>
      <c r="O80" s="783"/>
      <c r="P80" s="783"/>
      <c r="Q80" s="783"/>
      <c r="R80" s="783"/>
      <c r="S80" s="783"/>
      <c r="T80" s="783"/>
      <c r="U80" s="783"/>
    </row>
    <row r="81" spans="1:21" ht="14.7" thickBot="1">
      <c r="A81" s="783"/>
      <c r="B81" s="783"/>
      <c r="C81" s="783"/>
      <c r="D81" s="783"/>
      <c r="E81" s="783"/>
      <c r="F81" s="783"/>
      <c r="G81" s="783"/>
      <c r="H81" s="783"/>
      <c r="I81" s="783"/>
      <c r="J81" s="783"/>
      <c r="K81" s="783"/>
      <c r="L81" s="783"/>
      <c r="M81" s="783"/>
      <c r="N81" s="783"/>
      <c r="O81" s="783"/>
      <c r="P81" s="783"/>
      <c r="Q81" s="783"/>
      <c r="R81" s="783"/>
      <c r="S81" s="783"/>
      <c r="T81" s="783"/>
      <c r="U81" s="783"/>
    </row>
    <row r="82" spans="1:21" ht="14.7" thickBot="1">
      <c r="A82" s="783"/>
      <c r="B82" s="783"/>
      <c r="C82" s="783"/>
      <c r="D82" s="783"/>
      <c r="E82" s="783"/>
      <c r="F82" s="783"/>
      <c r="G82" s="783"/>
      <c r="H82" s="783"/>
      <c r="I82" s="783"/>
      <c r="J82" s="783"/>
      <c r="K82" s="783"/>
      <c r="L82" s="783"/>
      <c r="M82" s="783"/>
      <c r="N82" s="783"/>
      <c r="O82" s="783"/>
      <c r="P82" s="783"/>
      <c r="Q82" s="783"/>
      <c r="R82" s="783"/>
      <c r="S82" s="783"/>
      <c r="T82" s="783"/>
      <c r="U82" s="783"/>
    </row>
    <row r="83" spans="1:21" ht="14.7" thickBot="1">
      <c r="A83" s="783"/>
      <c r="B83" s="783"/>
      <c r="C83" s="783"/>
      <c r="D83" s="783"/>
      <c r="E83" s="783"/>
      <c r="F83" s="783"/>
      <c r="G83" s="783"/>
      <c r="H83" s="783"/>
      <c r="I83" s="783"/>
      <c r="J83" s="783"/>
      <c r="K83" s="783"/>
      <c r="L83" s="783"/>
      <c r="M83" s="783"/>
      <c r="N83" s="783"/>
      <c r="O83" s="783"/>
      <c r="P83" s="783"/>
      <c r="Q83" s="783"/>
      <c r="R83" s="783"/>
      <c r="S83" s="783"/>
      <c r="T83" s="783"/>
      <c r="U83" s="783"/>
    </row>
    <row r="84" spans="1:21" ht="14.7" thickBot="1">
      <c r="A84" s="783"/>
      <c r="B84" s="783"/>
      <c r="C84" s="783"/>
      <c r="D84" s="783"/>
      <c r="E84" s="783"/>
      <c r="F84" s="783"/>
      <c r="G84" s="783"/>
      <c r="H84" s="783"/>
      <c r="I84" s="783"/>
      <c r="J84" s="783"/>
      <c r="K84" s="783"/>
      <c r="L84" s="783"/>
      <c r="M84" s="783"/>
      <c r="N84" s="783"/>
      <c r="O84" s="783"/>
      <c r="P84" s="783"/>
      <c r="Q84" s="783"/>
      <c r="R84" s="783"/>
      <c r="S84" s="783"/>
      <c r="T84" s="783"/>
      <c r="U84" s="783"/>
    </row>
    <row r="85" spans="1:21" ht="14.7" thickBot="1">
      <c r="A85" s="783"/>
      <c r="B85" s="783"/>
      <c r="C85" s="783"/>
      <c r="D85" s="783"/>
      <c r="E85" s="783"/>
      <c r="F85" s="783"/>
      <c r="G85" s="783"/>
      <c r="H85" s="783"/>
      <c r="I85" s="783"/>
      <c r="J85" s="783"/>
      <c r="K85" s="783"/>
      <c r="L85" s="783"/>
      <c r="M85" s="783"/>
      <c r="N85" s="783"/>
      <c r="O85" s="783"/>
      <c r="P85" s="783"/>
      <c r="Q85" s="783"/>
      <c r="R85" s="783"/>
      <c r="S85" s="783"/>
      <c r="T85" s="783"/>
      <c r="U85" s="783"/>
    </row>
    <row r="86" spans="1:21" ht="14.7" thickBot="1">
      <c r="A86" s="783"/>
      <c r="B86" s="783"/>
      <c r="C86" s="783"/>
      <c r="D86" s="783"/>
      <c r="E86" s="783"/>
      <c r="F86" s="783"/>
      <c r="G86" s="783"/>
      <c r="H86" s="783"/>
      <c r="I86" s="783"/>
      <c r="J86" s="783"/>
      <c r="K86" s="783"/>
      <c r="L86" s="783"/>
      <c r="M86" s="783"/>
      <c r="N86" s="783"/>
      <c r="O86" s="783"/>
      <c r="P86" s="783"/>
      <c r="Q86" s="783"/>
      <c r="R86" s="783"/>
      <c r="S86" s="783"/>
      <c r="T86" s="783"/>
      <c r="U86" s="783"/>
    </row>
    <row r="87" spans="1:21" ht="14.7" thickBot="1">
      <c r="A87" s="783"/>
      <c r="B87" s="783"/>
      <c r="C87" s="783"/>
      <c r="D87" s="783"/>
      <c r="E87" s="783"/>
      <c r="F87" s="783"/>
      <c r="G87" s="783"/>
      <c r="H87" s="783"/>
      <c r="I87" s="783"/>
      <c r="J87" s="783"/>
      <c r="K87" s="783"/>
      <c r="L87" s="783"/>
      <c r="M87" s="783"/>
      <c r="N87" s="783"/>
      <c r="O87" s="783"/>
      <c r="P87" s="783"/>
      <c r="Q87" s="783"/>
      <c r="R87" s="783"/>
      <c r="S87" s="783"/>
      <c r="T87" s="783"/>
      <c r="U87" s="783"/>
    </row>
    <row r="88" spans="1:21" ht="14.7" thickBot="1">
      <c r="A88" s="783"/>
      <c r="B88" s="783"/>
      <c r="C88" s="783"/>
      <c r="D88" s="783"/>
      <c r="E88" s="783"/>
      <c r="F88" s="783"/>
      <c r="G88" s="783"/>
      <c r="H88" s="783"/>
      <c r="I88" s="783"/>
      <c r="J88" s="783"/>
      <c r="K88" s="783"/>
      <c r="L88" s="783"/>
      <c r="M88" s="783"/>
      <c r="N88" s="783"/>
      <c r="O88" s="783"/>
      <c r="P88" s="783"/>
      <c r="Q88" s="783"/>
      <c r="R88" s="783"/>
      <c r="S88" s="783"/>
      <c r="T88" s="783"/>
      <c r="U88" s="783"/>
    </row>
    <row r="89" spans="1:21" ht="14.7" thickBot="1">
      <c r="A89" s="783"/>
      <c r="B89" s="783"/>
      <c r="C89" s="783"/>
      <c r="D89" s="783"/>
      <c r="E89" s="783"/>
      <c r="F89" s="783"/>
      <c r="G89" s="783"/>
      <c r="H89" s="783"/>
      <c r="I89" s="783"/>
      <c r="J89" s="783"/>
      <c r="K89" s="783"/>
      <c r="L89" s="783"/>
      <c r="M89" s="783"/>
      <c r="N89" s="783"/>
      <c r="O89" s="783"/>
      <c r="P89" s="783"/>
      <c r="Q89" s="783"/>
      <c r="R89" s="783"/>
      <c r="S89" s="783"/>
      <c r="T89" s="783"/>
      <c r="U89" s="783"/>
    </row>
    <row r="90" spans="1:21" ht="14.7" thickBot="1">
      <c r="A90" s="783"/>
      <c r="B90" s="783"/>
      <c r="C90" s="783"/>
      <c r="D90" s="783"/>
      <c r="E90" s="783"/>
      <c r="F90" s="783"/>
      <c r="G90" s="783"/>
      <c r="H90" s="783"/>
      <c r="I90" s="783"/>
      <c r="J90" s="783"/>
      <c r="K90" s="783"/>
      <c r="L90" s="783"/>
      <c r="M90" s="783"/>
      <c r="N90" s="783"/>
      <c r="O90" s="783"/>
      <c r="P90" s="783"/>
      <c r="Q90" s="783"/>
      <c r="R90" s="783"/>
      <c r="S90" s="783"/>
      <c r="T90" s="783"/>
      <c r="U90" s="783"/>
    </row>
    <row r="91" spans="1:21" ht="14.7" thickBot="1">
      <c r="A91" s="783"/>
      <c r="B91" s="783"/>
      <c r="C91" s="783"/>
      <c r="D91" s="783"/>
      <c r="E91" s="783"/>
      <c r="F91" s="783"/>
      <c r="G91" s="783"/>
      <c r="H91" s="783"/>
      <c r="I91" s="783"/>
      <c r="J91" s="783"/>
      <c r="K91" s="783"/>
      <c r="L91" s="783"/>
      <c r="M91" s="783"/>
      <c r="N91" s="783"/>
      <c r="O91" s="783"/>
      <c r="P91" s="783"/>
      <c r="Q91" s="783"/>
      <c r="R91" s="783"/>
      <c r="S91" s="783"/>
      <c r="T91" s="783"/>
      <c r="U91" s="783"/>
    </row>
    <row r="92" spans="1:21" ht="14.7" thickBot="1">
      <c r="A92" s="783"/>
      <c r="B92" s="783"/>
      <c r="C92" s="783"/>
      <c r="D92" s="783"/>
      <c r="E92" s="783"/>
      <c r="F92" s="783"/>
      <c r="G92" s="783"/>
      <c r="H92" s="783"/>
      <c r="I92" s="783"/>
      <c r="J92" s="783"/>
      <c r="K92" s="783"/>
      <c r="L92" s="783"/>
      <c r="M92" s="783"/>
      <c r="N92" s="783"/>
      <c r="O92" s="783"/>
      <c r="P92" s="783"/>
      <c r="Q92" s="783"/>
      <c r="R92" s="783"/>
      <c r="S92" s="783"/>
      <c r="T92" s="783"/>
      <c r="U92" s="783"/>
    </row>
    <row r="93" spans="1:21" ht="14.7" thickBot="1">
      <c r="A93" s="783"/>
      <c r="B93" s="783"/>
      <c r="C93" s="783"/>
      <c r="D93" s="783"/>
      <c r="E93" s="783"/>
      <c r="F93" s="783"/>
      <c r="G93" s="783"/>
      <c r="H93" s="783"/>
      <c r="I93" s="783"/>
      <c r="J93" s="783"/>
      <c r="K93" s="783"/>
      <c r="L93" s="783"/>
      <c r="M93" s="783"/>
      <c r="N93" s="783"/>
      <c r="O93" s="783"/>
      <c r="P93" s="783"/>
      <c r="Q93" s="783"/>
      <c r="R93" s="783"/>
      <c r="S93" s="783"/>
      <c r="T93" s="783"/>
      <c r="U93" s="783"/>
    </row>
  </sheetData>
  <conditionalFormatting sqref="G47">
    <cfRule type="cellIs" dxfId="32" priority="33" operator="equal">
      <formula>0</formula>
    </cfRule>
  </conditionalFormatting>
  <conditionalFormatting sqref="G56:G57">
    <cfRule type="cellIs" dxfId="31" priority="32" operator="equal">
      <formula>0</formula>
    </cfRule>
  </conditionalFormatting>
  <conditionalFormatting sqref="G59">
    <cfRule type="cellIs" dxfId="30" priority="31" operator="equal">
      <formula>0</formula>
    </cfRule>
  </conditionalFormatting>
  <conditionalFormatting sqref="G3:G8">
    <cfRule type="cellIs" dxfId="29" priority="30" operator="equal">
      <formula>0</formula>
    </cfRule>
  </conditionalFormatting>
  <conditionalFormatting sqref="G9">
    <cfRule type="cellIs" dxfId="28" priority="29" operator="equal">
      <formula>0</formula>
    </cfRule>
  </conditionalFormatting>
  <conditionalFormatting sqref="G10">
    <cfRule type="cellIs" dxfId="27" priority="28" operator="equal">
      <formula>0</formula>
    </cfRule>
  </conditionalFormatting>
  <conditionalFormatting sqref="G11">
    <cfRule type="cellIs" dxfId="26" priority="27" operator="equal">
      <formula>0</formula>
    </cfRule>
  </conditionalFormatting>
  <conditionalFormatting sqref="G12">
    <cfRule type="cellIs" dxfId="25" priority="26" operator="equal">
      <formula>0</formula>
    </cfRule>
  </conditionalFormatting>
  <conditionalFormatting sqref="G13">
    <cfRule type="cellIs" dxfId="24" priority="25" operator="equal">
      <formula>0</formula>
    </cfRule>
  </conditionalFormatting>
  <conditionalFormatting sqref="G14">
    <cfRule type="cellIs" dxfId="23" priority="24" operator="equal">
      <formula>0</formula>
    </cfRule>
  </conditionalFormatting>
  <conditionalFormatting sqref="G15">
    <cfRule type="cellIs" dxfId="22" priority="23" operator="equal">
      <formula>0</formula>
    </cfRule>
  </conditionalFormatting>
  <conditionalFormatting sqref="G16">
    <cfRule type="cellIs" dxfId="21" priority="22" operator="equal">
      <formula>0</formula>
    </cfRule>
  </conditionalFormatting>
  <conditionalFormatting sqref="G17">
    <cfRule type="cellIs" dxfId="20" priority="21" operator="equal">
      <formula>0</formula>
    </cfRule>
  </conditionalFormatting>
  <conditionalFormatting sqref="G18:G25">
    <cfRule type="cellIs" dxfId="19" priority="20" operator="equal">
      <formula>0</formula>
    </cfRule>
  </conditionalFormatting>
  <conditionalFormatting sqref="G26">
    <cfRule type="cellIs" dxfId="18" priority="19" operator="equal">
      <formula>0</formula>
    </cfRule>
  </conditionalFormatting>
  <conditionalFormatting sqref="G27">
    <cfRule type="cellIs" dxfId="17" priority="18" operator="equal">
      <formula>0</formula>
    </cfRule>
  </conditionalFormatting>
  <conditionalFormatting sqref="G28">
    <cfRule type="cellIs" dxfId="16" priority="17" operator="equal">
      <formula>0</formula>
    </cfRule>
  </conditionalFormatting>
  <conditionalFormatting sqref="G29">
    <cfRule type="cellIs" dxfId="15" priority="16" operator="equal">
      <formula>0</formula>
    </cfRule>
  </conditionalFormatting>
  <conditionalFormatting sqref="G30">
    <cfRule type="cellIs" dxfId="14" priority="15" operator="equal">
      <formula>0</formula>
    </cfRule>
  </conditionalFormatting>
  <conditionalFormatting sqref="G31">
    <cfRule type="cellIs" dxfId="13" priority="14" operator="equal">
      <formula>0</formula>
    </cfRule>
  </conditionalFormatting>
  <conditionalFormatting sqref="G45:G46">
    <cfRule type="cellIs" dxfId="12" priority="1" operator="equal">
      <formula>0</formula>
    </cfRule>
  </conditionalFormatting>
  <conditionalFormatting sqref="G32">
    <cfRule type="cellIs" dxfId="11" priority="13" operator="equal">
      <formula>0</formula>
    </cfRule>
  </conditionalFormatting>
  <conditionalFormatting sqref="G33">
    <cfRule type="cellIs" dxfId="10" priority="12" operator="equal">
      <formula>0</formula>
    </cfRule>
  </conditionalFormatting>
  <conditionalFormatting sqref="G34">
    <cfRule type="cellIs" dxfId="9" priority="11" operator="equal">
      <formula>0</formula>
    </cfRule>
  </conditionalFormatting>
  <conditionalFormatting sqref="G35">
    <cfRule type="cellIs" dxfId="8" priority="10" operator="equal">
      <formula>0</formula>
    </cfRule>
  </conditionalFormatting>
  <conditionalFormatting sqref="G36:G37">
    <cfRule type="cellIs" dxfId="7" priority="9" operator="equal">
      <formula>0</formula>
    </cfRule>
  </conditionalFormatting>
  <conditionalFormatting sqref="G38">
    <cfRule type="cellIs" dxfId="6" priority="8" operator="equal">
      <formula>0</formula>
    </cfRule>
  </conditionalFormatting>
  <conditionalFormatting sqref="G39">
    <cfRule type="cellIs" dxfId="5" priority="7" operator="equal">
      <formula>0</formula>
    </cfRule>
  </conditionalFormatting>
  <conditionalFormatting sqref="G40">
    <cfRule type="cellIs" dxfId="4" priority="6" operator="equal">
      <formula>0</formula>
    </cfRule>
  </conditionalFormatting>
  <conditionalFormatting sqref="G41">
    <cfRule type="cellIs" dxfId="3" priority="5" operator="equal">
      <formula>0</formula>
    </cfRule>
  </conditionalFormatting>
  <conditionalFormatting sqref="G42">
    <cfRule type="cellIs" dxfId="2" priority="4" operator="equal">
      <formula>0</formula>
    </cfRule>
  </conditionalFormatting>
  <conditionalFormatting sqref="G43">
    <cfRule type="cellIs" dxfId="1" priority="3" operator="equal">
      <formula>0</formula>
    </cfRule>
  </conditionalFormatting>
  <conditionalFormatting sqref="G44">
    <cfRule type="cellIs" dxfId="0" priority="2" operator="equal">
      <formula>0</formula>
    </cfRule>
  </conditionalFormatting>
  <pageMargins left="0.7" right="0.7" top="0.75" bottom="0.75" header="0.3" footer="0.3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87"/>
  <sheetViews>
    <sheetView topLeftCell="A16" workbookViewId="0">
      <selection activeCell="O9" sqref="O9"/>
    </sheetView>
  </sheetViews>
  <sheetFormatPr defaultRowHeight="14.35"/>
  <cols>
    <col min="2" max="2" width="14.1171875" customWidth="1"/>
    <col min="3" max="3" width="15.234375" customWidth="1"/>
    <col min="4" max="4" width="12.1171875" bestFit="1" customWidth="1"/>
    <col min="5" max="5" width="11" bestFit="1" customWidth="1"/>
    <col min="8" max="8" width="9.703125" bestFit="1" customWidth="1"/>
    <col min="10" max="10" width="9.703125" bestFit="1" customWidth="1"/>
  </cols>
  <sheetData>
    <row r="2" spans="2:8" s="331" customFormat="1"/>
    <row r="3" spans="2:8" ht="21" thickBot="1">
      <c r="B3" s="504" t="s">
        <v>599</v>
      </c>
      <c r="C3" s="505"/>
      <c r="D3" s="6"/>
      <c r="E3" s="6"/>
      <c r="F3" s="6"/>
      <c r="G3" s="6"/>
      <c r="H3" s="6"/>
    </row>
    <row r="4" spans="2:8" ht="15" thickTop="1" thickBot="1">
      <c r="B4" s="506" t="s">
        <v>600</v>
      </c>
      <c r="C4" s="506" t="s">
        <v>601</v>
      </c>
      <c r="D4" s="506" t="s">
        <v>602</v>
      </c>
      <c r="E4" s="506" t="s">
        <v>603</v>
      </c>
      <c r="F4" s="506" t="s">
        <v>604</v>
      </c>
      <c r="G4" s="507" t="s">
        <v>605</v>
      </c>
      <c r="H4" s="507" t="s">
        <v>534</v>
      </c>
    </row>
    <row r="5" spans="2:8">
      <c r="B5" s="508">
        <v>42660</v>
      </c>
      <c r="C5" s="509" t="s">
        <v>606</v>
      </c>
      <c r="D5" s="510">
        <v>0.31527777777777777</v>
      </c>
      <c r="E5" s="510">
        <v>0.59375</v>
      </c>
      <c r="F5" s="511">
        <v>0</v>
      </c>
      <c r="G5" s="6">
        <v>0.5</v>
      </c>
      <c r="H5" s="512">
        <f>F5-G5</f>
        <v>-0.5</v>
      </c>
    </row>
    <row r="6" spans="2:8">
      <c r="B6" s="508">
        <v>42660</v>
      </c>
      <c r="C6" s="509" t="s">
        <v>607</v>
      </c>
      <c r="D6" s="510">
        <v>0.29166666666666669</v>
      </c>
      <c r="E6" s="510">
        <v>0.66666666666666663</v>
      </c>
      <c r="F6" s="511">
        <v>0</v>
      </c>
      <c r="G6" s="6">
        <v>0.5</v>
      </c>
      <c r="H6" s="512">
        <f t="shared" ref="H6:H72" si="0">F6-G6</f>
        <v>-0.5</v>
      </c>
    </row>
    <row r="7" spans="2:8">
      <c r="B7" s="508">
        <v>42661</v>
      </c>
      <c r="C7" s="509" t="s">
        <v>606</v>
      </c>
      <c r="D7" s="510">
        <v>0.4513888888888889</v>
      </c>
      <c r="E7" s="510">
        <v>0.625</v>
      </c>
      <c r="F7" s="511">
        <v>0</v>
      </c>
      <c r="G7" s="6">
        <v>0</v>
      </c>
      <c r="H7" s="512">
        <f t="shared" si="0"/>
        <v>0</v>
      </c>
    </row>
    <row r="8" spans="2:8">
      <c r="B8" s="508">
        <v>42661</v>
      </c>
      <c r="C8" s="509" t="s">
        <v>607</v>
      </c>
      <c r="D8" s="510">
        <v>0.39583333333333331</v>
      </c>
      <c r="E8" s="510">
        <v>0.625</v>
      </c>
      <c r="F8" s="511">
        <v>0</v>
      </c>
      <c r="G8" s="6">
        <v>0.5</v>
      </c>
      <c r="H8" s="512">
        <f t="shared" si="0"/>
        <v>-0.5</v>
      </c>
    </row>
    <row r="9" spans="2:8">
      <c r="B9" s="508">
        <v>42667</v>
      </c>
      <c r="C9" s="509" t="s">
        <v>607</v>
      </c>
      <c r="D9" s="510">
        <v>0.29166666666666669</v>
      </c>
      <c r="E9" s="510">
        <v>0.625</v>
      </c>
      <c r="F9" s="511">
        <v>0</v>
      </c>
      <c r="G9" s="6">
        <v>0.5</v>
      </c>
      <c r="H9" s="512">
        <f t="shared" si="0"/>
        <v>-0.5</v>
      </c>
    </row>
    <row r="10" spans="2:8">
      <c r="B10" s="21">
        <v>42667</v>
      </c>
      <c r="C10" s="513" t="s">
        <v>606</v>
      </c>
      <c r="D10" s="514">
        <v>0.4375</v>
      </c>
      <c r="E10" s="514">
        <v>0.5625</v>
      </c>
      <c r="F10" s="512">
        <v>0</v>
      </c>
      <c r="G10" s="6">
        <v>0</v>
      </c>
      <c r="H10" s="512">
        <f t="shared" si="0"/>
        <v>0</v>
      </c>
    </row>
    <row r="11" spans="2:8">
      <c r="B11" s="21">
        <v>42668</v>
      </c>
      <c r="C11" s="513" t="s">
        <v>606</v>
      </c>
      <c r="D11" s="514">
        <v>0.3125</v>
      </c>
      <c r="E11" s="514">
        <v>0.6875</v>
      </c>
      <c r="F11" s="512">
        <v>0</v>
      </c>
      <c r="G11" s="6">
        <v>0.5</v>
      </c>
      <c r="H11" s="512">
        <f t="shared" si="0"/>
        <v>-0.5</v>
      </c>
    </row>
    <row r="12" spans="2:8">
      <c r="B12" s="21">
        <v>42668</v>
      </c>
      <c r="C12" s="513" t="s">
        <v>607</v>
      </c>
      <c r="D12" s="514">
        <v>0.29166666666666669</v>
      </c>
      <c r="E12" s="514">
        <v>0.70833333333333337</v>
      </c>
      <c r="F12" s="512">
        <v>0</v>
      </c>
      <c r="G12" s="6">
        <v>0.5</v>
      </c>
      <c r="H12" s="512">
        <f t="shared" si="0"/>
        <v>-0.5</v>
      </c>
    </row>
    <row r="13" spans="2:8">
      <c r="B13" s="21">
        <v>42668</v>
      </c>
      <c r="C13" s="513" t="s">
        <v>608</v>
      </c>
      <c r="D13" s="514">
        <v>0.3125</v>
      </c>
      <c r="E13" s="514">
        <v>0.6875</v>
      </c>
      <c r="F13" s="512">
        <v>0</v>
      </c>
      <c r="G13" s="6">
        <v>0.5</v>
      </c>
      <c r="H13" s="512">
        <f t="shared" si="0"/>
        <v>-0.5</v>
      </c>
    </row>
    <row r="14" spans="2:8">
      <c r="B14" s="21">
        <v>42668</v>
      </c>
      <c r="C14" s="513" t="s">
        <v>609</v>
      </c>
      <c r="D14" s="514">
        <v>0.3125</v>
      </c>
      <c r="E14" s="514">
        <v>0.6875</v>
      </c>
      <c r="F14" s="512">
        <v>0</v>
      </c>
      <c r="G14" s="6">
        <v>0.5</v>
      </c>
      <c r="H14" s="512">
        <f t="shared" si="0"/>
        <v>-0.5</v>
      </c>
    </row>
    <row r="15" spans="2:8">
      <c r="B15" s="21">
        <v>42669</v>
      </c>
      <c r="C15" s="513" t="s">
        <v>608</v>
      </c>
      <c r="D15" s="514">
        <v>0.32291666666666669</v>
      </c>
      <c r="E15" s="514">
        <v>0.72916666666666663</v>
      </c>
      <c r="F15" s="512">
        <v>0</v>
      </c>
      <c r="G15" s="6">
        <v>0.5</v>
      </c>
      <c r="H15" s="512">
        <f t="shared" si="0"/>
        <v>-0.5</v>
      </c>
    </row>
    <row r="16" spans="2:8">
      <c r="B16" s="21">
        <v>42669</v>
      </c>
      <c r="C16" s="513" t="s">
        <v>606</v>
      </c>
      <c r="D16" s="514">
        <v>0.45833333333333331</v>
      </c>
      <c r="E16" s="514">
        <v>0.72916666666666663</v>
      </c>
      <c r="F16" s="512">
        <v>0</v>
      </c>
      <c r="G16" s="6">
        <v>0.5</v>
      </c>
      <c r="H16" s="512">
        <f t="shared" si="0"/>
        <v>-0.5</v>
      </c>
    </row>
    <row r="17" spans="2:8">
      <c r="B17" s="21">
        <v>42669</v>
      </c>
      <c r="C17" s="513" t="s">
        <v>609</v>
      </c>
      <c r="D17" s="514">
        <v>0.45833333333333331</v>
      </c>
      <c r="E17" s="514">
        <v>0.72916666666666663</v>
      </c>
      <c r="F17" s="512">
        <v>0</v>
      </c>
      <c r="G17" s="6">
        <v>0.5</v>
      </c>
      <c r="H17" s="512">
        <f t="shared" si="0"/>
        <v>-0.5</v>
      </c>
    </row>
    <row r="18" spans="2:8">
      <c r="B18" s="21">
        <v>42669</v>
      </c>
      <c r="C18" s="513" t="s">
        <v>607</v>
      </c>
      <c r="D18" s="514">
        <v>0.29166666666666669</v>
      </c>
      <c r="E18" s="514">
        <v>0.70833333333333337</v>
      </c>
      <c r="F18" s="512">
        <v>0</v>
      </c>
      <c r="G18" s="6">
        <v>0.5</v>
      </c>
      <c r="H18" s="512">
        <f t="shared" si="0"/>
        <v>-0.5</v>
      </c>
    </row>
    <row r="19" spans="2:8">
      <c r="B19" s="21">
        <v>42670</v>
      </c>
      <c r="C19" s="513" t="s">
        <v>609</v>
      </c>
      <c r="D19" s="514">
        <v>0.29166666666666669</v>
      </c>
      <c r="E19" s="514">
        <v>0.64583333333333337</v>
      </c>
      <c r="F19" s="512">
        <v>0</v>
      </c>
      <c r="G19" s="6">
        <v>0.5</v>
      </c>
      <c r="H19" s="512">
        <f t="shared" si="0"/>
        <v>-0.5</v>
      </c>
    </row>
    <row r="20" spans="2:8">
      <c r="B20" s="21">
        <v>42670</v>
      </c>
      <c r="C20" s="513" t="s">
        <v>608</v>
      </c>
      <c r="D20" s="514">
        <v>0.29166666666666669</v>
      </c>
      <c r="E20" s="514">
        <v>0.64583333333333337</v>
      </c>
      <c r="F20" s="512">
        <v>0</v>
      </c>
      <c r="G20" s="6">
        <v>0.5</v>
      </c>
      <c r="H20" s="512">
        <f t="shared" si="0"/>
        <v>-0.5</v>
      </c>
    </row>
    <row r="21" spans="2:8">
      <c r="B21" s="21">
        <v>42670</v>
      </c>
      <c r="C21" s="513" t="s">
        <v>607</v>
      </c>
      <c r="D21" s="514">
        <v>0.42708333333333331</v>
      </c>
      <c r="E21" s="514">
        <v>0.64583333333333337</v>
      </c>
      <c r="F21" s="512">
        <v>0</v>
      </c>
      <c r="G21" s="6">
        <v>0</v>
      </c>
      <c r="H21" s="512">
        <f t="shared" si="0"/>
        <v>0</v>
      </c>
    </row>
    <row r="22" spans="2:8">
      <c r="B22" s="21">
        <v>42671</v>
      </c>
      <c r="C22" s="513" t="s">
        <v>609</v>
      </c>
      <c r="D22" s="514">
        <v>0.29166666666666669</v>
      </c>
      <c r="E22" s="514">
        <v>0.47916666666666669</v>
      </c>
      <c r="F22" s="512">
        <v>0</v>
      </c>
      <c r="G22" s="6">
        <v>0</v>
      </c>
      <c r="H22" s="512">
        <f t="shared" si="0"/>
        <v>0</v>
      </c>
    </row>
    <row r="23" spans="2:8">
      <c r="B23" s="21">
        <v>42671</v>
      </c>
      <c r="C23" s="513" t="s">
        <v>607</v>
      </c>
      <c r="D23" s="514">
        <v>0.29166666666666669</v>
      </c>
      <c r="E23" s="514">
        <v>0.625</v>
      </c>
      <c r="F23" s="512">
        <v>0</v>
      </c>
      <c r="G23" s="6">
        <v>0.5</v>
      </c>
      <c r="H23" s="512">
        <f t="shared" si="0"/>
        <v>-0.5</v>
      </c>
    </row>
    <row r="24" spans="2:8">
      <c r="B24" s="21">
        <v>42674</v>
      </c>
      <c r="C24" s="513" t="s">
        <v>608</v>
      </c>
      <c r="D24" s="514">
        <v>0.29166666666666669</v>
      </c>
      <c r="E24" s="514">
        <v>0.72916666666666663</v>
      </c>
      <c r="F24" s="512">
        <v>0</v>
      </c>
      <c r="G24" s="6">
        <v>0.5</v>
      </c>
      <c r="H24" s="512">
        <f t="shared" si="0"/>
        <v>-0.5</v>
      </c>
    </row>
    <row r="25" spans="2:8">
      <c r="B25" s="21">
        <v>42674</v>
      </c>
      <c r="C25" s="513" t="s">
        <v>609</v>
      </c>
      <c r="D25" s="514">
        <v>0.29166666666666669</v>
      </c>
      <c r="E25" s="514">
        <v>0.72916666666666663</v>
      </c>
      <c r="F25" s="512">
        <v>0</v>
      </c>
      <c r="G25" s="6">
        <v>0.5</v>
      </c>
      <c r="H25" s="512">
        <f t="shared" si="0"/>
        <v>-0.5</v>
      </c>
    </row>
    <row r="26" spans="2:8">
      <c r="B26" s="21">
        <v>42674</v>
      </c>
      <c r="C26" s="513" t="s">
        <v>606</v>
      </c>
      <c r="D26" s="514">
        <v>0.54166666666666663</v>
      </c>
      <c r="E26" s="514">
        <v>0.72916666666666663</v>
      </c>
      <c r="F26" s="512">
        <v>0</v>
      </c>
      <c r="G26" s="6">
        <v>0</v>
      </c>
      <c r="H26" s="512">
        <f t="shared" si="0"/>
        <v>0</v>
      </c>
    </row>
    <row r="27" spans="2:8">
      <c r="B27" s="21">
        <v>42675</v>
      </c>
      <c r="C27" s="513" t="s">
        <v>609</v>
      </c>
      <c r="D27" s="514">
        <v>0.29166666666666669</v>
      </c>
      <c r="E27" s="514">
        <v>0.70833333333333337</v>
      </c>
      <c r="F27" s="512">
        <v>0</v>
      </c>
      <c r="G27" s="6">
        <v>0.5</v>
      </c>
      <c r="H27" s="512">
        <f t="shared" si="0"/>
        <v>-0.5</v>
      </c>
    </row>
    <row r="28" spans="2:8">
      <c r="B28" s="21">
        <v>42675</v>
      </c>
      <c r="C28" s="513" t="s">
        <v>607</v>
      </c>
      <c r="D28" s="514">
        <v>0.35416666666666669</v>
      </c>
      <c r="E28" s="514">
        <v>0.70833333333333337</v>
      </c>
      <c r="F28" s="512">
        <v>0</v>
      </c>
      <c r="G28" s="6">
        <v>0.5</v>
      </c>
      <c r="H28" s="512">
        <f t="shared" si="0"/>
        <v>-0.5</v>
      </c>
    </row>
    <row r="29" spans="2:8">
      <c r="B29" s="21">
        <v>42675</v>
      </c>
      <c r="C29" s="513" t="s">
        <v>608</v>
      </c>
      <c r="D29" s="514">
        <v>0.33333333333333331</v>
      </c>
      <c r="E29" s="514">
        <v>0.70833333333333337</v>
      </c>
      <c r="F29" s="512">
        <v>0</v>
      </c>
      <c r="G29" s="6">
        <v>0.5</v>
      </c>
      <c r="H29" s="512">
        <f t="shared" si="0"/>
        <v>-0.5</v>
      </c>
    </row>
    <row r="30" spans="2:8">
      <c r="B30" s="21">
        <v>42675</v>
      </c>
      <c r="C30" s="513" t="s">
        <v>606</v>
      </c>
      <c r="D30" s="514">
        <v>0.42708333333333331</v>
      </c>
      <c r="E30" s="514">
        <v>0.71875</v>
      </c>
      <c r="F30" s="512">
        <v>0</v>
      </c>
      <c r="G30" s="6">
        <v>0.5</v>
      </c>
      <c r="H30" s="512">
        <f t="shared" si="0"/>
        <v>-0.5</v>
      </c>
    </row>
    <row r="31" spans="2:8">
      <c r="B31" s="21">
        <v>42676</v>
      </c>
      <c r="C31" s="513" t="s">
        <v>607</v>
      </c>
      <c r="D31" s="514">
        <v>0.29166666666666669</v>
      </c>
      <c r="E31" s="514">
        <v>0.70833333333333337</v>
      </c>
      <c r="F31" s="512">
        <v>0</v>
      </c>
      <c r="G31" s="6">
        <v>0.5</v>
      </c>
      <c r="H31" s="512">
        <f t="shared" si="0"/>
        <v>-0.5</v>
      </c>
    </row>
    <row r="32" spans="2:8">
      <c r="B32" s="21">
        <v>42676</v>
      </c>
      <c r="C32" s="513" t="s">
        <v>609</v>
      </c>
      <c r="D32" s="514">
        <v>0.29166666666666669</v>
      </c>
      <c r="E32" s="514">
        <v>0.69444444444444453</v>
      </c>
      <c r="F32" s="512">
        <v>0</v>
      </c>
      <c r="G32" s="6">
        <v>0.5</v>
      </c>
      <c r="H32" s="512">
        <f t="shared" si="0"/>
        <v>-0.5</v>
      </c>
    </row>
    <row r="33" spans="2:8">
      <c r="B33" s="21">
        <v>42676</v>
      </c>
      <c r="C33" s="513" t="s">
        <v>608</v>
      </c>
      <c r="D33" s="514">
        <v>0.29166666666666669</v>
      </c>
      <c r="E33" s="514">
        <v>0.69444444444444453</v>
      </c>
      <c r="F33" s="512">
        <v>0</v>
      </c>
      <c r="G33" s="6">
        <v>0.5</v>
      </c>
      <c r="H33" s="512">
        <f t="shared" si="0"/>
        <v>-0.5</v>
      </c>
    </row>
    <row r="34" spans="2:8">
      <c r="B34" s="21">
        <v>42676</v>
      </c>
      <c r="C34" s="513" t="s">
        <v>606</v>
      </c>
      <c r="D34" s="514">
        <v>0.29166666666666669</v>
      </c>
      <c r="E34" s="514">
        <v>0.69444444444444453</v>
      </c>
      <c r="F34" s="512">
        <v>0</v>
      </c>
      <c r="G34" s="6">
        <v>0.5</v>
      </c>
      <c r="H34" s="512">
        <f t="shared" si="0"/>
        <v>-0.5</v>
      </c>
    </row>
    <row r="35" spans="2:8">
      <c r="B35" s="21">
        <v>42677</v>
      </c>
      <c r="C35" s="513" t="s">
        <v>607</v>
      </c>
      <c r="D35" s="514">
        <v>0.29166666666666669</v>
      </c>
      <c r="E35" s="514">
        <v>0.64583333333333337</v>
      </c>
      <c r="F35" s="512">
        <v>0</v>
      </c>
      <c r="G35" s="6">
        <v>0.5</v>
      </c>
      <c r="H35" s="512">
        <f t="shared" si="0"/>
        <v>-0.5</v>
      </c>
    </row>
    <row r="36" spans="2:8">
      <c r="B36" s="21">
        <v>42677</v>
      </c>
      <c r="C36" s="513" t="s">
        <v>606</v>
      </c>
      <c r="D36" s="514">
        <v>0.39583333333333331</v>
      </c>
      <c r="E36" s="514">
        <v>0.70833333333333337</v>
      </c>
      <c r="F36" s="512">
        <v>0</v>
      </c>
      <c r="G36" s="6">
        <v>0.5</v>
      </c>
      <c r="H36" s="512">
        <f t="shared" si="0"/>
        <v>-0.5</v>
      </c>
    </row>
    <row r="37" spans="2:8">
      <c r="B37" s="21">
        <v>42677</v>
      </c>
      <c r="C37" s="513" t="s">
        <v>609</v>
      </c>
      <c r="D37" s="514">
        <v>0.39583333333333331</v>
      </c>
      <c r="E37" s="514">
        <v>0.70833333333333337</v>
      </c>
      <c r="F37" s="512">
        <v>0</v>
      </c>
      <c r="G37" s="6">
        <v>0.5</v>
      </c>
      <c r="H37" s="512">
        <f t="shared" si="0"/>
        <v>-0.5</v>
      </c>
    </row>
    <row r="38" spans="2:8">
      <c r="B38" s="21">
        <v>42677</v>
      </c>
      <c r="C38" s="513" t="s">
        <v>608</v>
      </c>
      <c r="D38" s="514">
        <v>0.39583333333333331</v>
      </c>
      <c r="E38" s="514">
        <v>0.70833333333333337</v>
      </c>
      <c r="F38" s="512">
        <v>0</v>
      </c>
      <c r="G38" s="6">
        <v>0.5</v>
      </c>
      <c r="H38" s="512">
        <f t="shared" si="0"/>
        <v>-0.5</v>
      </c>
    </row>
    <row r="39" spans="2:8">
      <c r="B39" s="21">
        <v>42678</v>
      </c>
      <c r="C39" s="513" t="s">
        <v>608</v>
      </c>
      <c r="D39" s="514">
        <v>0.29166666666666669</v>
      </c>
      <c r="E39" s="514">
        <v>0.70833333333333337</v>
      </c>
      <c r="F39" s="512">
        <v>0</v>
      </c>
      <c r="G39" s="6">
        <v>0.5</v>
      </c>
      <c r="H39" s="512">
        <f t="shared" si="0"/>
        <v>-0.5</v>
      </c>
    </row>
    <row r="40" spans="2:8">
      <c r="B40" s="21">
        <v>42678</v>
      </c>
      <c r="C40" s="513" t="s">
        <v>607</v>
      </c>
      <c r="D40" s="514">
        <v>0.29166666666666669</v>
      </c>
      <c r="E40" s="514">
        <v>0.6875</v>
      </c>
      <c r="F40" s="512">
        <v>0</v>
      </c>
      <c r="G40" s="6">
        <v>0.5</v>
      </c>
      <c r="H40" s="512">
        <f t="shared" si="0"/>
        <v>-0.5</v>
      </c>
    </row>
    <row r="41" spans="2:8">
      <c r="B41" s="21">
        <v>42678</v>
      </c>
      <c r="C41" s="513" t="s">
        <v>609</v>
      </c>
      <c r="D41" s="514">
        <v>0.29166666666666669</v>
      </c>
      <c r="E41" s="514">
        <v>0.60416666666666663</v>
      </c>
      <c r="F41" s="512">
        <v>0</v>
      </c>
      <c r="G41" s="6">
        <v>0.5</v>
      </c>
      <c r="H41" s="512">
        <f t="shared" si="0"/>
        <v>-0.5</v>
      </c>
    </row>
    <row r="42" spans="2:8">
      <c r="B42" s="21">
        <v>42678</v>
      </c>
      <c r="C42" s="513" t="s">
        <v>606</v>
      </c>
      <c r="D42" s="514">
        <v>0.44444444444444442</v>
      </c>
      <c r="E42" s="514">
        <v>0.70833333333333337</v>
      </c>
      <c r="F42" s="512">
        <v>0</v>
      </c>
      <c r="G42" s="6">
        <v>0.5</v>
      </c>
      <c r="H42" s="512">
        <f t="shared" si="0"/>
        <v>-0.5</v>
      </c>
    </row>
    <row r="43" spans="2:8">
      <c r="B43" s="21">
        <v>42679</v>
      </c>
      <c r="C43" s="513" t="s">
        <v>608</v>
      </c>
      <c r="D43" s="514">
        <v>0.3298611111111111</v>
      </c>
      <c r="E43" s="514">
        <v>0.5</v>
      </c>
      <c r="F43" s="512">
        <v>0</v>
      </c>
      <c r="G43" s="6">
        <v>0</v>
      </c>
      <c r="H43" s="512">
        <f t="shared" si="0"/>
        <v>0</v>
      </c>
    </row>
    <row r="44" spans="2:8">
      <c r="B44" s="21">
        <v>42679</v>
      </c>
      <c r="C44" s="513" t="s">
        <v>607</v>
      </c>
      <c r="D44" s="514">
        <v>0.375</v>
      </c>
      <c r="E44" s="514">
        <v>0.58333333333333337</v>
      </c>
      <c r="F44" s="512">
        <v>0</v>
      </c>
      <c r="G44" s="6">
        <v>0</v>
      </c>
      <c r="H44" s="512">
        <f t="shared" si="0"/>
        <v>0</v>
      </c>
    </row>
    <row r="45" spans="2:8">
      <c r="B45" s="21">
        <v>42679</v>
      </c>
      <c r="C45" s="513" t="s">
        <v>606</v>
      </c>
      <c r="D45" s="514">
        <v>0.39583333333333331</v>
      </c>
      <c r="E45" s="514">
        <v>0.58333333333333337</v>
      </c>
      <c r="F45" s="512">
        <v>0</v>
      </c>
      <c r="G45" s="6">
        <v>0</v>
      </c>
      <c r="H45" s="512">
        <f t="shared" si="0"/>
        <v>0</v>
      </c>
    </row>
    <row r="46" spans="2:8">
      <c r="B46" s="21">
        <v>42681</v>
      </c>
      <c r="C46" s="513" t="s">
        <v>608</v>
      </c>
      <c r="D46" s="514">
        <v>0.29166666666666669</v>
      </c>
      <c r="E46" s="514">
        <v>0.66666666666666663</v>
      </c>
      <c r="F46" s="512">
        <v>0</v>
      </c>
      <c r="G46" s="6">
        <v>0.5</v>
      </c>
      <c r="H46" s="512">
        <f t="shared" si="0"/>
        <v>-0.5</v>
      </c>
    </row>
    <row r="47" spans="2:8">
      <c r="B47" s="21">
        <v>42681</v>
      </c>
      <c r="C47" s="513" t="s">
        <v>609</v>
      </c>
      <c r="D47" s="514">
        <v>0.29166666666666669</v>
      </c>
      <c r="E47" s="514">
        <v>0.66666666666666663</v>
      </c>
      <c r="F47" s="512">
        <v>0</v>
      </c>
      <c r="G47" s="6">
        <v>0.5</v>
      </c>
      <c r="H47" s="512">
        <f t="shared" si="0"/>
        <v>-0.5</v>
      </c>
    </row>
    <row r="48" spans="2:8">
      <c r="B48" s="21">
        <v>42681</v>
      </c>
      <c r="C48" s="513" t="s">
        <v>607</v>
      </c>
      <c r="D48" s="514">
        <v>0.29166666666666669</v>
      </c>
      <c r="E48" s="514">
        <v>0.64583333333333337</v>
      </c>
      <c r="F48" s="512">
        <v>0</v>
      </c>
      <c r="G48" s="6">
        <v>0.5</v>
      </c>
      <c r="H48" s="512">
        <f t="shared" si="0"/>
        <v>-0.5</v>
      </c>
    </row>
    <row r="49" spans="2:21">
      <c r="B49" s="21">
        <v>42682</v>
      </c>
      <c r="C49" s="513" t="s">
        <v>608</v>
      </c>
      <c r="D49" s="514">
        <v>0.28125</v>
      </c>
      <c r="E49" s="514">
        <v>0.70833333333333337</v>
      </c>
      <c r="F49" s="512">
        <v>0</v>
      </c>
      <c r="G49" s="6">
        <v>0.5</v>
      </c>
      <c r="H49" s="512">
        <f t="shared" si="0"/>
        <v>-0.5</v>
      </c>
    </row>
    <row r="50" spans="2:21">
      <c r="B50" s="21">
        <v>42682</v>
      </c>
      <c r="C50" s="513" t="s">
        <v>607</v>
      </c>
      <c r="D50" s="514">
        <v>0.29166666666666669</v>
      </c>
      <c r="E50" s="514">
        <v>0.70833333333333337</v>
      </c>
      <c r="F50" s="512">
        <v>0</v>
      </c>
      <c r="G50" s="6">
        <v>0.5</v>
      </c>
      <c r="H50" s="512">
        <f t="shared" si="0"/>
        <v>-0.5</v>
      </c>
    </row>
    <row r="51" spans="2:21">
      <c r="B51" s="21">
        <v>42683</v>
      </c>
      <c r="C51" s="513" t="s">
        <v>607</v>
      </c>
      <c r="D51" s="514">
        <v>0.29166666666666669</v>
      </c>
      <c r="E51" s="514">
        <v>0.66666666666666663</v>
      </c>
      <c r="F51" s="512">
        <v>0</v>
      </c>
      <c r="G51" s="6">
        <v>0.5</v>
      </c>
      <c r="H51" s="512">
        <f t="shared" si="0"/>
        <v>-0.5</v>
      </c>
    </row>
    <row r="52" spans="2:21">
      <c r="B52" s="21">
        <v>42683</v>
      </c>
      <c r="C52" s="513" t="s">
        <v>608</v>
      </c>
      <c r="D52" s="514">
        <v>0.3125</v>
      </c>
      <c r="E52" s="514">
        <v>0.66666666666666663</v>
      </c>
      <c r="F52" s="512">
        <v>0</v>
      </c>
      <c r="G52" s="6">
        <v>0.5</v>
      </c>
      <c r="H52" s="512">
        <f t="shared" si="0"/>
        <v>-0.5</v>
      </c>
    </row>
    <row r="53" spans="2:21">
      <c r="B53" s="21">
        <v>42684</v>
      </c>
      <c r="C53" s="513" t="s">
        <v>608</v>
      </c>
      <c r="D53" s="514">
        <v>0.29166666666666669</v>
      </c>
      <c r="E53" s="514">
        <v>0.66666666666666663</v>
      </c>
      <c r="F53" s="512">
        <v>0</v>
      </c>
      <c r="G53" s="6">
        <v>0.5</v>
      </c>
      <c r="H53" s="512">
        <f t="shared" si="0"/>
        <v>-0.5</v>
      </c>
    </row>
    <row r="54" spans="2:21">
      <c r="B54" s="21">
        <v>42684</v>
      </c>
      <c r="C54" s="513" t="s">
        <v>607</v>
      </c>
      <c r="D54" s="514">
        <v>0.29166666666666669</v>
      </c>
      <c r="E54" s="514">
        <v>0.625</v>
      </c>
      <c r="F54" s="512">
        <v>0</v>
      </c>
      <c r="G54" s="6">
        <v>0.5</v>
      </c>
      <c r="H54" s="512">
        <f t="shared" si="0"/>
        <v>-0.5</v>
      </c>
    </row>
    <row r="55" spans="2:21">
      <c r="B55" s="21">
        <v>42688</v>
      </c>
      <c r="C55" s="513" t="s">
        <v>608</v>
      </c>
      <c r="D55" s="514">
        <v>0.41666666666666669</v>
      </c>
      <c r="E55" s="514">
        <v>0.70833333333333337</v>
      </c>
      <c r="F55" s="512">
        <v>0</v>
      </c>
      <c r="G55" s="6">
        <v>0.5</v>
      </c>
      <c r="H55" s="512">
        <f t="shared" si="0"/>
        <v>-0.5</v>
      </c>
    </row>
    <row r="56" spans="2:21">
      <c r="B56" s="21">
        <v>42688</v>
      </c>
      <c r="C56" s="513" t="s">
        <v>606</v>
      </c>
      <c r="D56" s="514">
        <v>0.4236111111111111</v>
      </c>
      <c r="E56" s="514">
        <v>0.70833333333333337</v>
      </c>
      <c r="F56" s="512">
        <v>0</v>
      </c>
      <c r="G56" s="6">
        <v>0.5</v>
      </c>
      <c r="H56" s="512">
        <f t="shared" si="0"/>
        <v>-0.5</v>
      </c>
    </row>
    <row r="57" spans="2:21">
      <c r="B57" s="21">
        <v>42688</v>
      </c>
      <c r="C57" s="513" t="s">
        <v>609</v>
      </c>
      <c r="D57" s="514">
        <v>0.47569444444444442</v>
      </c>
      <c r="E57" s="514">
        <v>0.70833333333333337</v>
      </c>
      <c r="F57" s="512">
        <v>0</v>
      </c>
      <c r="G57" s="6">
        <v>0.5</v>
      </c>
      <c r="H57" s="512">
        <f t="shared" si="0"/>
        <v>-0.5</v>
      </c>
    </row>
    <row r="58" spans="2:21">
      <c r="B58" s="21">
        <v>42689</v>
      </c>
      <c r="C58" s="513" t="s">
        <v>609</v>
      </c>
      <c r="D58" s="514">
        <v>0.29166666666666669</v>
      </c>
      <c r="E58" s="514">
        <v>0.6875</v>
      </c>
      <c r="F58" s="512">
        <v>0</v>
      </c>
      <c r="G58" s="6">
        <v>0.5</v>
      </c>
      <c r="H58" s="512">
        <f t="shared" si="0"/>
        <v>-0.5</v>
      </c>
    </row>
    <row r="59" spans="2:21">
      <c r="B59" s="21">
        <v>42689</v>
      </c>
      <c r="C59" s="513" t="s">
        <v>608</v>
      </c>
      <c r="D59" s="514">
        <v>0.29166666666666669</v>
      </c>
      <c r="E59" s="514">
        <v>0.6875</v>
      </c>
      <c r="F59" s="512">
        <v>0</v>
      </c>
      <c r="G59" s="6">
        <v>0.5</v>
      </c>
      <c r="H59" s="512">
        <f t="shared" si="0"/>
        <v>-0.5</v>
      </c>
    </row>
    <row r="60" spans="2:21">
      <c r="B60" s="21">
        <v>42690</v>
      </c>
      <c r="C60" s="513" t="s">
        <v>608</v>
      </c>
      <c r="D60" s="514">
        <v>0.29166666666666669</v>
      </c>
      <c r="E60" s="514">
        <v>0.6875</v>
      </c>
      <c r="F60" s="512">
        <v>0</v>
      </c>
      <c r="G60" s="6">
        <v>0.5</v>
      </c>
      <c r="H60" s="512">
        <f t="shared" si="0"/>
        <v>-0.5</v>
      </c>
    </row>
    <row r="61" spans="2:21">
      <c r="B61" s="21">
        <v>42690</v>
      </c>
      <c r="C61" s="513" t="s">
        <v>609</v>
      </c>
      <c r="D61" s="514">
        <v>0.29166666666666669</v>
      </c>
      <c r="E61" s="514">
        <v>0.6875</v>
      </c>
      <c r="F61" s="512">
        <v>0</v>
      </c>
      <c r="G61" s="6">
        <v>0.5</v>
      </c>
      <c r="H61" s="512">
        <f t="shared" si="0"/>
        <v>-0.5</v>
      </c>
    </row>
    <row r="62" spans="2:21">
      <c r="B62" s="21">
        <v>42691</v>
      </c>
      <c r="C62" s="513" t="s">
        <v>609</v>
      </c>
      <c r="D62" s="514">
        <v>0.29166666666666669</v>
      </c>
      <c r="E62" s="514">
        <v>0.71527777777777779</v>
      </c>
      <c r="F62" s="512">
        <v>0</v>
      </c>
      <c r="G62" s="6">
        <v>0.5</v>
      </c>
      <c r="H62" s="512">
        <f t="shared" si="0"/>
        <v>-0.5</v>
      </c>
    </row>
    <row r="63" spans="2:21">
      <c r="B63" s="21">
        <v>42691</v>
      </c>
      <c r="C63" s="513" t="s">
        <v>606</v>
      </c>
      <c r="D63" s="514">
        <v>0.48958333333333331</v>
      </c>
      <c r="E63" s="514">
        <v>0.66666666666666663</v>
      </c>
      <c r="F63" s="512">
        <v>0</v>
      </c>
      <c r="G63" s="6">
        <v>0</v>
      </c>
      <c r="H63" s="512">
        <f t="shared" si="0"/>
        <v>0</v>
      </c>
      <c r="O63" s="21"/>
      <c r="P63" s="513"/>
      <c r="Q63" s="514"/>
      <c r="R63" s="514"/>
      <c r="S63" s="512"/>
      <c r="T63" s="6"/>
      <c r="U63" s="512"/>
    </row>
    <row r="64" spans="2:21">
      <c r="B64" s="21">
        <v>42691</v>
      </c>
      <c r="C64" s="513" t="s">
        <v>608</v>
      </c>
      <c r="D64" s="514">
        <v>0.29166666666666669</v>
      </c>
      <c r="E64" s="514">
        <v>0.71527777777777779</v>
      </c>
      <c r="F64" s="512">
        <v>0</v>
      </c>
      <c r="G64" s="6">
        <v>0.5</v>
      </c>
      <c r="H64" s="512">
        <f t="shared" si="0"/>
        <v>-0.5</v>
      </c>
      <c r="O64" s="21"/>
      <c r="P64" s="513"/>
      <c r="Q64" s="514"/>
      <c r="R64" s="514"/>
      <c r="S64" s="512"/>
      <c r="T64" s="6"/>
      <c r="U64" s="512"/>
    </row>
    <row r="65" spans="2:21">
      <c r="B65" s="21">
        <v>42692</v>
      </c>
      <c r="C65" s="513" t="s">
        <v>608</v>
      </c>
      <c r="D65" s="514">
        <v>0.29166666666666669</v>
      </c>
      <c r="E65" s="514">
        <v>0.64583333333333337</v>
      </c>
      <c r="F65" s="512">
        <v>0</v>
      </c>
      <c r="G65" s="6">
        <v>0.5</v>
      </c>
      <c r="H65" s="512">
        <f t="shared" si="0"/>
        <v>-0.5</v>
      </c>
      <c r="O65" s="21"/>
      <c r="P65" s="513"/>
      <c r="Q65" s="514"/>
      <c r="R65" s="514"/>
      <c r="S65" s="512"/>
      <c r="T65" s="6"/>
      <c r="U65" s="512"/>
    </row>
    <row r="66" spans="2:21">
      <c r="B66" s="21">
        <v>42692</v>
      </c>
      <c r="C66" s="513" t="s">
        <v>609</v>
      </c>
      <c r="D66" s="514">
        <v>0.29166666666666669</v>
      </c>
      <c r="E66" s="514">
        <v>0.64583333333333337</v>
      </c>
      <c r="F66" s="512">
        <v>0</v>
      </c>
      <c r="G66" s="6">
        <v>0.5</v>
      </c>
      <c r="H66" s="512">
        <f t="shared" si="0"/>
        <v>-0.5</v>
      </c>
      <c r="O66" s="21"/>
      <c r="P66" s="513"/>
      <c r="Q66" s="514"/>
      <c r="R66" s="514"/>
      <c r="S66" s="512"/>
      <c r="T66" s="6"/>
      <c r="U66" s="512"/>
    </row>
    <row r="67" spans="2:21">
      <c r="B67" s="21">
        <v>42692</v>
      </c>
      <c r="C67" s="513" t="s">
        <v>606</v>
      </c>
      <c r="D67" s="514">
        <v>0.39583333333333331</v>
      </c>
      <c r="E67" s="514">
        <v>0.64583333333333337</v>
      </c>
      <c r="F67" s="512">
        <v>0</v>
      </c>
      <c r="G67" s="6">
        <v>0.5</v>
      </c>
      <c r="H67" s="512">
        <f t="shared" si="0"/>
        <v>-0.5</v>
      </c>
      <c r="O67" s="21"/>
      <c r="P67" s="513"/>
      <c r="Q67" s="514"/>
      <c r="R67" s="514"/>
      <c r="S67" s="512"/>
      <c r="T67" s="6"/>
      <c r="U67" s="512"/>
    </row>
    <row r="68" spans="2:21" s="331" customFormat="1">
      <c r="B68" s="21">
        <v>42695</v>
      </c>
      <c r="C68" s="513" t="s">
        <v>608</v>
      </c>
      <c r="D68" s="514">
        <v>0.3125</v>
      </c>
      <c r="E68" s="514">
        <v>0.6875</v>
      </c>
      <c r="F68" s="512">
        <v>0</v>
      </c>
      <c r="G68" s="6">
        <v>0.5</v>
      </c>
      <c r="H68" s="512">
        <f t="shared" si="0"/>
        <v>-0.5</v>
      </c>
      <c r="O68" s="21"/>
      <c r="P68" s="513"/>
      <c r="Q68" s="514"/>
      <c r="R68" s="514"/>
      <c r="S68" s="512"/>
      <c r="T68" s="6"/>
      <c r="U68" s="512"/>
    </row>
    <row r="69" spans="2:21" s="331" customFormat="1">
      <c r="B69" s="21">
        <v>42695</v>
      </c>
      <c r="C69" s="513" t="s">
        <v>609</v>
      </c>
      <c r="D69" s="514">
        <v>0.41666666666666669</v>
      </c>
      <c r="E69" s="514">
        <v>0.6875</v>
      </c>
      <c r="F69" s="512">
        <v>0</v>
      </c>
      <c r="G69" s="6">
        <v>0.5</v>
      </c>
      <c r="H69" s="512">
        <f t="shared" si="0"/>
        <v>-0.5</v>
      </c>
      <c r="O69" s="21"/>
      <c r="P69" s="513"/>
      <c r="Q69" s="514"/>
      <c r="R69" s="514"/>
      <c r="S69" s="512"/>
      <c r="T69" s="6"/>
      <c r="U69" s="512"/>
    </row>
    <row r="70" spans="2:21" s="331" customFormat="1">
      <c r="B70" s="21">
        <v>42695</v>
      </c>
      <c r="C70" s="513" t="s">
        <v>607</v>
      </c>
      <c r="D70" s="514">
        <v>0.3125</v>
      </c>
      <c r="E70" s="514">
        <v>0.67708333333333337</v>
      </c>
      <c r="F70" s="512">
        <v>0</v>
      </c>
      <c r="G70" s="6">
        <v>0.5</v>
      </c>
      <c r="H70" s="512">
        <f t="shared" si="0"/>
        <v>-0.5</v>
      </c>
      <c r="O70" s="21"/>
      <c r="P70" s="513"/>
      <c r="Q70" s="514"/>
      <c r="R70" s="514"/>
      <c r="S70" s="512"/>
      <c r="T70" s="6"/>
      <c r="U70" s="512"/>
    </row>
    <row r="71" spans="2:21" s="331" customFormat="1">
      <c r="B71" s="21">
        <v>42696</v>
      </c>
      <c r="C71" s="513" t="s">
        <v>607</v>
      </c>
      <c r="D71" s="514">
        <v>0.29166666666666669</v>
      </c>
      <c r="E71" s="514">
        <v>0.70833333333333337</v>
      </c>
      <c r="F71" s="512">
        <v>0</v>
      </c>
      <c r="G71" s="6">
        <v>0.5</v>
      </c>
      <c r="H71" s="512">
        <f t="shared" si="0"/>
        <v>-0.5</v>
      </c>
      <c r="O71" s="21"/>
      <c r="P71" s="513"/>
      <c r="Q71" s="514"/>
      <c r="R71" s="514"/>
      <c r="S71" s="512"/>
      <c r="T71" s="6"/>
      <c r="U71" s="512"/>
    </row>
    <row r="72" spans="2:21" s="331" customFormat="1">
      <c r="B72" s="21">
        <v>42696</v>
      </c>
      <c r="C72" s="513" t="s">
        <v>608</v>
      </c>
      <c r="D72" s="514">
        <v>0.3125</v>
      </c>
      <c r="E72" s="514">
        <v>0.67708333333333337</v>
      </c>
      <c r="F72" s="512">
        <v>0</v>
      </c>
      <c r="G72" s="6">
        <v>0.5</v>
      </c>
      <c r="H72" s="512">
        <f t="shared" si="0"/>
        <v>-0.5</v>
      </c>
      <c r="O72" s="21"/>
      <c r="P72" s="513"/>
      <c r="Q72" s="514"/>
      <c r="R72" s="514"/>
      <c r="S72" s="512"/>
      <c r="T72" s="6"/>
      <c r="U72" s="512"/>
    </row>
    <row r="73" spans="2:21" s="331" customFormat="1">
      <c r="B73" s="21"/>
      <c r="C73" s="513"/>
      <c r="D73" s="514"/>
      <c r="E73" s="514"/>
      <c r="F73" s="512"/>
      <c r="G73" s="6"/>
      <c r="H73" s="512"/>
      <c r="O73" s="21"/>
      <c r="P73" s="513"/>
      <c r="Q73" s="514"/>
      <c r="R73" s="514"/>
      <c r="S73" s="512"/>
      <c r="T73" s="6"/>
      <c r="U73" s="512"/>
    </row>
    <row r="74" spans="2:21" s="331" customFormat="1">
      <c r="B74" s="21"/>
      <c r="C74" s="513"/>
      <c r="D74" s="514"/>
      <c r="E74" s="514"/>
      <c r="F74" s="512"/>
      <c r="G74" s="6"/>
      <c r="H74" s="512"/>
      <c r="O74" s="21"/>
      <c r="P74" s="513"/>
      <c r="Q74" s="514"/>
      <c r="R74" s="514"/>
      <c r="S74" s="512"/>
      <c r="T74" s="6"/>
      <c r="U74" s="512"/>
    </row>
    <row r="75" spans="2:21">
      <c r="B75" s="515" t="s">
        <v>534</v>
      </c>
      <c r="C75" s="513"/>
      <c r="D75" s="514"/>
      <c r="E75" s="514"/>
      <c r="F75" s="516">
        <f>SUBTOTAL(109,F5:F72)</f>
        <v>0</v>
      </c>
      <c r="G75" s="6"/>
      <c r="H75" s="516">
        <f>SUM(H5:H74)</f>
        <v>-29.5</v>
      </c>
      <c r="J75" s="31">
        <f>H75*85</f>
        <v>-2507.5</v>
      </c>
    </row>
    <row r="76" spans="2:21">
      <c r="B76" s="21"/>
      <c r="C76" s="513"/>
      <c r="D76" s="514"/>
      <c r="E76" s="514"/>
      <c r="F76" s="512"/>
      <c r="G76" s="6"/>
      <c r="H76" s="6"/>
    </row>
    <row r="77" spans="2:21">
      <c r="B77" t="s">
        <v>622</v>
      </c>
      <c r="C77" t="s">
        <v>572</v>
      </c>
      <c r="D77" s="496">
        <f>SUBTOTAL(9,H5:H11,H16,H26)</f>
        <v>-3</v>
      </c>
      <c r="E77" s="352">
        <f>D77*80</f>
        <v>-240</v>
      </c>
    </row>
    <row r="78" spans="2:21">
      <c r="C78" t="s">
        <v>615</v>
      </c>
      <c r="D78">
        <f>SUBTOTAL(9,H13:H15,H17,H19,H20,H22,H24,H25)</f>
        <v>-4</v>
      </c>
      <c r="E78" s="352">
        <f>D78*60</f>
        <v>-240</v>
      </c>
    </row>
    <row r="79" spans="2:21">
      <c r="B79" t="s">
        <v>616</v>
      </c>
      <c r="C79" t="s">
        <v>572</v>
      </c>
      <c r="D79">
        <v>57.83</v>
      </c>
      <c r="E79" s="31">
        <f>D79*80</f>
        <v>4626.3999999999996</v>
      </c>
    </row>
    <row r="80" spans="2:21">
      <c r="C80" t="s">
        <v>615</v>
      </c>
      <c r="D80">
        <f>22.75+188.42</f>
        <v>211.17</v>
      </c>
      <c r="E80" s="31">
        <f>D80*60</f>
        <v>12670.199999999999</v>
      </c>
    </row>
    <row r="81" spans="2:8">
      <c r="D81" s="182" t="s">
        <v>38</v>
      </c>
      <c r="E81" s="519">
        <f>SUM(E77:E80)</f>
        <v>16816.599999999999</v>
      </c>
    </row>
    <row r="84" spans="2:8">
      <c r="B84" t="s">
        <v>617</v>
      </c>
      <c r="C84">
        <f>113.58+17.75</f>
        <v>131.32999999999998</v>
      </c>
      <c r="D84" t="s">
        <v>618</v>
      </c>
      <c r="E84" s="31">
        <f>C84*73.38</f>
        <v>9636.995399999998</v>
      </c>
    </row>
    <row r="85" spans="2:8">
      <c r="G85" t="s">
        <v>38</v>
      </c>
      <c r="H85" s="31">
        <f>SUM(E84,E81)</f>
        <v>26453.595399999998</v>
      </c>
    </row>
    <row r="86" spans="2:8">
      <c r="G86" t="s">
        <v>62</v>
      </c>
      <c r="H86" s="518">
        <f>J75-H85</f>
        <v>-28961.095399999998</v>
      </c>
    </row>
    <row r="87" spans="2:8">
      <c r="G87" t="s">
        <v>621</v>
      </c>
      <c r="H87" s="517">
        <f>H86/J75</f>
        <v>11.549788793619141</v>
      </c>
    </row>
  </sheetData>
  <autoFilter ref="B4:H72"/>
  <dataValidations count="5">
    <dataValidation allowBlank="1" showInputMessage="1" showErrorMessage="1" prompt="This column is automatically calculated" sqref="F4:H4"/>
    <dataValidation allowBlank="1" showInputMessage="1" showErrorMessage="1" prompt="Enter the time out for the day in this column" sqref="E4"/>
    <dataValidation allowBlank="1" showInputMessage="1" showErrorMessage="1" prompt="Enter the start time in this column" sqref="D4"/>
    <dataValidation allowBlank="1" showInputMessage="1" showErrorMessage="1" prompt="Enter the dates for the time period in this column" sqref="B4:C4"/>
    <dataValidation allowBlank="1" showInputMessage="1" showErrorMessage="1" prompt="Enter the period start date and end date in this cell" sqref="B3:C3"/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</vt:i4>
      </vt:variant>
    </vt:vector>
  </HeadingPairs>
  <TitlesOfParts>
    <vt:vector size="24" baseType="lpstr">
      <vt:lpstr>Summary</vt:lpstr>
      <vt:lpstr>Invoices</vt:lpstr>
      <vt:lpstr>Cash Flow</vt:lpstr>
      <vt:lpstr>Sub Contractor Cost</vt:lpstr>
      <vt:lpstr>L1 Summary Pivot</vt:lpstr>
      <vt:lpstr>Xero Data</vt:lpstr>
      <vt:lpstr>2BLK-12</vt:lpstr>
      <vt:lpstr>NBN Minor Works Win Loss</vt:lpstr>
      <vt:lpstr>NBN NS Inv 2016-17</vt:lpstr>
      <vt:lpstr>NBN Gfields 2016-17</vt:lpstr>
      <vt:lpstr>NBN Gfields WIn  Loss</vt:lpstr>
      <vt:lpstr>SStream Inv 2016-17</vt:lpstr>
      <vt:lpstr>MWA_MWI Pivot</vt:lpstr>
      <vt:lpstr>Pipe Invoices 2016-17</vt:lpstr>
      <vt:lpstr>NBN_MWI &amp; Pipe Data</vt:lpstr>
      <vt:lpstr>FttC Costing</vt:lpstr>
      <vt:lpstr>Pivots</vt:lpstr>
      <vt:lpstr>PC &amp; Payment Dates New Devs</vt:lpstr>
      <vt:lpstr>PC &amp; Payment NBN Assurance</vt:lpstr>
      <vt:lpstr>Overhead</vt:lpstr>
      <vt:lpstr>Indirect DJC</vt:lpstr>
      <vt:lpstr>Syndeticom Hours</vt:lpstr>
      <vt:lpstr>'PC &amp; Payment Dates New Devs'!Print_Area</vt:lpstr>
      <vt:lpstr>'PC &amp; Payment NBN Assurance'!Print_Area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Damien Marov</dc:creator>
  <cp:lastModifiedBy>Damien Marov</cp:lastModifiedBy>
  <cp:lastPrinted>2017-12-13T21:55:32Z</cp:lastPrinted>
  <dcterms:created xsi:type="dcterms:W3CDTF">2015-08-06T23:39:48Z</dcterms:created>
  <dcterms:modified xsi:type="dcterms:W3CDTF">2018-07-13T00:41:28Z</dcterms:modified>
</cp:coreProperties>
</file>