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B22D6F64-FC1C-4E4D-BF63-D96EA95BB5B0}" xr6:coauthVersionLast="47" xr6:coauthVersionMax="47" xr10:uidLastSave="{00000000-0000-0000-0000-000000000000}"/>
  <bookViews>
    <workbookView xWindow="-38400" yWindow="0" windowWidth="10635" windowHeight="16200" tabRatio="851" firstSheet="99" activeTab="99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NonEmptyAttribsHalfOfEachColor" sheetId="118" r:id="rId68"/>
    <sheet name="ValidColoredAttribHalfEachColor" sheetId="117" r:id="rId69"/>
    <sheet name="NEValidColorAttrHalfEachColor" sheetId="119" r:id="rId70"/>
    <sheet name="VolumeSummaryMissing" sheetId="102" r:id="rId71"/>
    <sheet name="VolumeSummaryExtraneousChars" sheetId="108" r:id="rId72"/>
    <sheet name="SettlementFeeSummaryMissing" sheetId="103" r:id="rId73"/>
    <sheet name="SettlementFeeSummaryExtrChars" sheetId="109" r:id="rId74"/>
    <sheet name="TradingFeesSummaryMissing" sheetId="104" r:id="rId75"/>
    <sheet name="TradingFeesSummaryExtrChars" sheetId="110" r:id="rId76"/>
    <sheet name="BrokerageSummaryMissing" sheetId="105" r:id="rId77"/>
    <sheet name="BrokerageSummaryExtraneousChars" sheetId="111" r:id="rId78"/>
    <sheet name="ServiceTaxSummaryMissing" sheetId="106" r:id="rId79"/>
    <sheet name="ServiceTaxSummaryExtrChars" sheetId="112" r:id="rId80"/>
    <sheet name="IncomeTaxAtSourceSummExtrChars" sheetId="113" r:id="rId81"/>
    <sheet name="TotalSummaryMissing" sheetId="107" r:id="rId82"/>
    <sheet name="TotalSummaryExtraneousChars" sheetId="114" r:id="rId83"/>
    <sheet name="GroupWithDifferentTradingDates" sheetId="34" r:id="rId84"/>
    <sheet name="GroupWithDifferentNoteNumbers" sheetId="12" r:id="rId85"/>
    <sheet name="MultiLineGroupWithNoSummary" sheetId="25" r:id="rId86"/>
    <sheet name="LineWithDifferentFontColors" sheetId="13" r:id="rId87"/>
    <sheet name="LineWithBlackFontColor" sheetId="14" r:id="rId88"/>
    <sheet name="GroupsWithSameTradingDate&amp;Note" sheetId="7" r:id="rId89"/>
    <sheet name="GroupsWithSummary" sheetId="8" r:id="rId90"/>
    <sheet name="BuyingAndSellingOperations" sheetId="9" r:id="rId91"/>
    <sheet name="SingleLineGroups" sheetId="10" r:id="rId92"/>
    <sheet name="VolumeDoesNotMatchQtyTimesPrice" sheetId="15" r:id="rId93"/>
    <sheet name="SettlementFeeExactMatch" sheetId="16" r:id="rId94"/>
    <sheet name="SettlementFeeWithinTolerance+" sheetId="129" r:id="rId95"/>
    <sheet name="SettlementFeeWithinTolerance-" sheetId="130" r:id="rId96"/>
    <sheet name="SettlementFeeAboveTolerance" sheetId="131" r:id="rId97"/>
    <sheet name="SettlementFeeBelowTolerance" sheetId="132" r:id="rId98"/>
    <sheet name="HighlightedDTradeSettlementFee" sheetId="133" r:id="rId99"/>
    <sheet name="HDTSettlementFeeAboveTolerance" sheetId="135" r:id="rId100"/>
    <sheet name="HDTSettlementFeeBelowTolerance" sheetId="137" r:id="rId101"/>
    <sheet name="NoVisualCueDTradeSettlementFee" sheetId="134" r:id="rId102"/>
    <sheet name="TradingFeesExactMatch" sheetId="126" r:id="rId103"/>
    <sheet name="TradingFeesWithinTolerance+" sheetId="127" r:id="rId104"/>
    <sheet name="TradingFeesWithinTolerance-" sheetId="128" r:id="rId105"/>
    <sheet name="TradingFeesAboveTolerance" sheetId="17" r:id="rId106"/>
    <sheet name="TradingFeesBelowTolerance" sheetId="125" r:id="rId107"/>
    <sheet name="ServiceTaxExactMatch" sheetId="122" r:id="rId108"/>
    <sheet name="ServiceTaxWithinTolerance+" sheetId="123" r:id="rId109"/>
    <sheet name="ServiceTaxWithinTolerance-" sheetId="124" r:id="rId110"/>
    <sheet name="ServiceTaxAboveTolerance" sheetId="18" r:id="rId111"/>
    <sheet name="ServiceTaxBelowTolerance" sheetId="121" r:id="rId112"/>
    <sheet name="InvalidIncomeTaxAtSource" sheetId="19" r:id="rId113"/>
    <sheet name="_BugInGroupFormation_" sheetId="33" r:id="rId114"/>
    <sheet name="NonZeroIncomeTaxAtSourceBuying" sheetId="21" r:id="rId115"/>
    <sheet name="InvalidTotalForSelling" sheetId="22" r:id="rId116"/>
    <sheet name="InvalidTotalForBuying" sheetId="23" r:id="rId117"/>
    <sheet name="InvalidSettlementFeeSummary" sheetId="24" r:id="rId118"/>
    <sheet name="InvalidTradingFeesSummary" sheetId="27" r:id="rId119"/>
    <sheet name="InvalidBrokerageSummary" sheetId="28" r:id="rId120"/>
    <sheet name="InvalidServiceTaxSummary" sheetId="29" r:id="rId121"/>
    <sheet name="InvalidIncomeTaxAtSourceSummary" sheetId="30" r:id="rId122"/>
    <sheet name="InvalidVolumeSummaryHomogGroups" sheetId="115" r:id="rId123"/>
    <sheet name="InvalidVolumeSummaryMixedGroups" sheetId="31" r:id="rId124"/>
    <sheet name="InvalidTotalSummaryHomogGroups" sheetId="116" r:id="rId125"/>
    <sheet name="InvalidTotalSummaryMixedGroups" sheetId="32" r:id="rId126"/>
    <sheet name="MultipleErrors" sheetId="120" r:id="rId1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37" l="1"/>
  <c r="K4" i="137"/>
  <c r="I4" i="137"/>
  <c r="J3" i="137"/>
  <c r="F3" i="137"/>
  <c r="H3" i="137" s="1"/>
  <c r="J2" i="137"/>
  <c r="J4" i="137" s="1"/>
  <c r="F2" i="137"/>
  <c r="F4" i="137" s="1"/>
  <c r="G2" i="131"/>
  <c r="L2" i="131"/>
  <c r="G2" i="135"/>
  <c r="K4" i="135"/>
  <c r="I4" i="135"/>
  <c r="J3" i="135"/>
  <c r="H3" i="135"/>
  <c r="G3" i="135"/>
  <c r="F3" i="135"/>
  <c r="L3" i="135" s="1"/>
  <c r="J2" i="135"/>
  <c r="J4" i="135" s="1"/>
  <c r="F2" i="135"/>
  <c r="H2" i="135" s="1"/>
  <c r="H4" i="135" s="1"/>
  <c r="K4" i="134"/>
  <c r="I4" i="134"/>
  <c r="F4" i="134"/>
  <c r="J3" i="134"/>
  <c r="F3" i="134"/>
  <c r="H3" i="134" s="1"/>
  <c r="J2" i="134"/>
  <c r="J4" i="134" s="1"/>
  <c r="H2" i="134"/>
  <c r="H4" i="134" s="1"/>
  <c r="G2" i="134"/>
  <c r="L2" i="134" s="1"/>
  <c r="F2" i="134"/>
  <c r="L3" i="133"/>
  <c r="L2" i="133"/>
  <c r="L4" i="133"/>
  <c r="F4" i="133"/>
  <c r="G2" i="133"/>
  <c r="G4" i="133" s="1"/>
  <c r="K4" i="133"/>
  <c r="I4" i="133"/>
  <c r="J3" i="133"/>
  <c r="H3" i="133"/>
  <c r="G3" i="133"/>
  <c r="F3" i="133"/>
  <c r="J2" i="133"/>
  <c r="J4" i="133" s="1"/>
  <c r="H2" i="133"/>
  <c r="H4" i="133" s="1"/>
  <c r="F2" i="133"/>
  <c r="G2" i="132"/>
  <c r="K4" i="132"/>
  <c r="I4" i="132"/>
  <c r="F4" i="132"/>
  <c r="J3" i="132"/>
  <c r="F3" i="132"/>
  <c r="H3" i="132" s="1"/>
  <c r="J2" i="132"/>
  <c r="J4" i="132" s="1"/>
  <c r="H2" i="132"/>
  <c r="H4" i="132" s="1"/>
  <c r="L2" i="132"/>
  <c r="F2" i="132"/>
  <c r="K4" i="131"/>
  <c r="I4" i="131"/>
  <c r="F4" i="131"/>
  <c r="J3" i="131"/>
  <c r="F3" i="131"/>
  <c r="H3" i="131" s="1"/>
  <c r="J2" i="131"/>
  <c r="J4" i="131" s="1"/>
  <c r="H2" i="131"/>
  <c r="H4" i="131" s="1"/>
  <c r="F2" i="131"/>
  <c r="G2" i="130"/>
  <c r="K4" i="130"/>
  <c r="I4" i="130"/>
  <c r="J3" i="130"/>
  <c r="F3" i="130"/>
  <c r="H3" i="130" s="1"/>
  <c r="H4" i="130" s="1"/>
  <c r="J2" i="130"/>
  <c r="J4" i="130" s="1"/>
  <c r="H2" i="130"/>
  <c r="L2" i="130"/>
  <c r="F2" i="130"/>
  <c r="G2" i="129"/>
  <c r="K4" i="129"/>
  <c r="I4" i="129"/>
  <c r="J3" i="129"/>
  <c r="F3" i="129"/>
  <c r="H3" i="129" s="1"/>
  <c r="H4" i="129" s="1"/>
  <c r="J2" i="129"/>
  <c r="J4" i="129" s="1"/>
  <c r="H2" i="129"/>
  <c r="L2" i="129"/>
  <c r="F2" i="129"/>
  <c r="F4" i="129" s="1"/>
  <c r="G2" i="16"/>
  <c r="H2" i="128"/>
  <c r="K4" i="128"/>
  <c r="I4" i="128"/>
  <c r="F4" i="128"/>
  <c r="J3" i="128"/>
  <c r="F3" i="128"/>
  <c r="H3" i="128" s="1"/>
  <c r="J2" i="128"/>
  <c r="J4" i="128" s="1"/>
  <c r="H4" i="128"/>
  <c r="G2" i="128"/>
  <c r="F2" i="128"/>
  <c r="H2" i="127"/>
  <c r="K4" i="127"/>
  <c r="J4" i="127"/>
  <c r="I4" i="127"/>
  <c r="J3" i="127"/>
  <c r="F3" i="127"/>
  <c r="H3" i="127" s="1"/>
  <c r="J2" i="127"/>
  <c r="H4" i="127"/>
  <c r="G2" i="127"/>
  <c r="L2" i="127" s="1"/>
  <c r="F2" i="127"/>
  <c r="H2" i="126"/>
  <c r="K4" i="126"/>
  <c r="I4" i="126"/>
  <c r="J3" i="126"/>
  <c r="F3" i="126"/>
  <c r="H3" i="126" s="1"/>
  <c r="J2" i="126"/>
  <c r="J4" i="126" s="1"/>
  <c r="G2" i="126"/>
  <c r="L2" i="126" s="1"/>
  <c r="F2" i="126"/>
  <c r="F4" i="126" s="1"/>
  <c r="H2" i="125"/>
  <c r="K4" i="125"/>
  <c r="I4" i="125"/>
  <c r="F4" i="125"/>
  <c r="J3" i="125"/>
  <c r="G3" i="125"/>
  <c r="F3" i="125"/>
  <c r="H3" i="125" s="1"/>
  <c r="L3" i="125" s="1"/>
  <c r="J2" i="125"/>
  <c r="J4" i="125" s="1"/>
  <c r="H4" i="125"/>
  <c r="G2" i="125"/>
  <c r="F2" i="125"/>
  <c r="H2" i="17"/>
  <c r="J2" i="124"/>
  <c r="K4" i="124"/>
  <c r="I4" i="124"/>
  <c r="F4" i="124"/>
  <c r="J3" i="124"/>
  <c r="G3" i="124"/>
  <c r="F3" i="124"/>
  <c r="H3" i="124" s="1"/>
  <c r="L3" i="124" s="1"/>
  <c r="J4" i="124"/>
  <c r="H2" i="124"/>
  <c r="H4" i="124" s="1"/>
  <c r="G2" i="124"/>
  <c r="F2" i="124"/>
  <c r="J2" i="123"/>
  <c r="J4" i="123" s="1"/>
  <c r="K4" i="123"/>
  <c r="I4" i="123"/>
  <c r="J3" i="123"/>
  <c r="H3" i="123"/>
  <c r="F3" i="123"/>
  <c r="G3" i="123" s="1"/>
  <c r="L3" i="123" s="1"/>
  <c r="G2" i="123"/>
  <c r="F2" i="123"/>
  <c r="F4" i="123" s="1"/>
  <c r="J2" i="122"/>
  <c r="J4" i="122"/>
  <c r="K4" i="122"/>
  <c r="I4" i="122"/>
  <c r="J3" i="122"/>
  <c r="F3" i="122"/>
  <c r="H3" i="122" s="1"/>
  <c r="L2" i="122"/>
  <c r="H2" i="122"/>
  <c r="H4" i="122" s="1"/>
  <c r="G2" i="122"/>
  <c r="F2" i="122"/>
  <c r="J2" i="121"/>
  <c r="J2" i="18"/>
  <c r="K4" i="121"/>
  <c r="J4" i="121"/>
  <c r="I4" i="121"/>
  <c r="J3" i="121"/>
  <c r="F3" i="121"/>
  <c r="H3" i="121" s="1"/>
  <c r="H2" i="121"/>
  <c r="F2" i="121"/>
  <c r="H51" i="120"/>
  <c r="H50" i="120"/>
  <c r="H47" i="120"/>
  <c r="H46" i="120"/>
  <c r="H44" i="120"/>
  <c r="H43" i="120"/>
  <c r="H40" i="120"/>
  <c r="H39" i="120"/>
  <c r="H36" i="120"/>
  <c r="H35" i="120"/>
  <c r="H33" i="120"/>
  <c r="H32" i="120"/>
  <c r="H31" i="120"/>
  <c r="H28" i="120"/>
  <c r="H27" i="120"/>
  <c r="H26" i="120"/>
  <c r="H23" i="120"/>
  <c r="H22" i="120"/>
  <c r="H19" i="120"/>
  <c r="H18" i="120"/>
  <c r="H17" i="120"/>
  <c r="H14" i="120"/>
  <c r="H11" i="120"/>
  <c r="H8" i="120"/>
  <c r="H6" i="120"/>
  <c r="H4" i="120"/>
  <c r="J51" i="120"/>
  <c r="J50" i="120"/>
  <c r="J47" i="120"/>
  <c r="J46" i="120"/>
  <c r="J44" i="120"/>
  <c r="J43" i="120"/>
  <c r="J40" i="120"/>
  <c r="J39" i="120"/>
  <c r="J36" i="120"/>
  <c r="J35" i="120"/>
  <c r="J32" i="120"/>
  <c r="J31" i="120"/>
  <c r="J28" i="120"/>
  <c r="J27" i="120"/>
  <c r="J26" i="120"/>
  <c r="J23" i="120"/>
  <c r="J22" i="120"/>
  <c r="H3" i="32"/>
  <c r="G3" i="32"/>
  <c r="H2" i="32"/>
  <c r="G2" i="32"/>
  <c r="H3" i="116"/>
  <c r="G3" i="116"/>
  <c r="H2" i="116"/>
  <c r="G2" i="116"/>
  <c r="H3" i="31"/>
  <c r="G3" i="31"/>
  <c r="H2" i="31"/>
  <c r="G2" i="31"/>
  <c r="H3" i="115"/>
  <c r="G3" i="115"/>
  <c r="H2" i="115"/>
  <c r="G2" i="115"/>
  <c r="H4" i="30"/>
  <c r="G4" i="30"/>
  <c r="H3" i="30"/>
  <c r="G3" i="30"/>
  <c r="H2" i="30"/>
  <c r="G2" i="30"/>
  <c r="H3" i="29"/>
  <c r="G3" i="29"/>
  <c r="H2" i="29"/>
  <c r="G2" i="29"/>
  <c r="H3" i="28"/>
  <c r="G3" i="28"/>
  <c r="H2" i="28"/>
  <c r="G2" i="28"/>
  <c r="H3" i="27"/>
  <c r="G3" i="27"/>
  <c r="H2" i="27"/>
  <c r="G2" i="27"/>
  <c r="H3" i="24"/>
  <c r="G3" i="24"/>
  <c r="H2" i="24"/>
  <c r="G2" i="24"/>
  <c r="H3" i="23"/>
  <c r="G3" i="23"/>
  <c r="H2" i="23"/>
  <c r="G2" i="23"/>
  <c r="J4" i="30"/>
  <c r="J3" i="30"/>
  <c r="J2" i="30"/>
  <c r="J3" i="29"/>
  <c r="J2" i="29"/>
  <c r="J3" i="28"/>
  <c r="J2" i="28"/>
  <c r="J3" i="27"/>
  <c r="J2" i="27"/>
  <c r="J3" i="24"/>
  <c r="J2" i="24"/>
  <c r="J3" i="23"/>
  <c r="J2" i="23"/>
  <c r="J4" i="22"/>
  <c r="J3" i="22"/>
  <c r="J2" i="22"/>
  <c r="J3" i="21"/>
  <c r="J2" i="21"/>
  <c r="J4" i="33"/>
  <c r="J3" i="33"/>
  <c r="J2" i="33"/>
  <c r="J4" i="19"/>
  <c r="J3" i="19"/>
  <c r="J2" i="19"/>
  <c r="J3" i="18"/>
  <c r="J3" i="17"/>
  <c r="J2" i="17"/>
  <c r="J3" i="16"/>
  <c r="J2" i="16"/>
  <c r="J4" i="15"/>
  <c r="J3" i="15"/>
  <c r="J2" i="15"/>
  <c r="J2" i="10"/>
  <c r="J4" i="10"/>
  <c r="J6" i="10"/>
  <c r="J2" i="8"/>
  <c r="J3" i="8"/>
  <c r="J4" i="8"/>
  <c r="J7" i="8"/>
  <c r="J8" i="8"/>
  <c r="J9" i="8"/>
  <c r="J13" i="7"/>
  <c r="J11" i="7"/>
  <c r="J8" i="7"/>
  <c r="J7" i="7"/>
  <c r="J4" i="7"/>
  <c r="J3" i="7"/>
  <c r="J2" i="7"/>
  <c r="J4" i="14"/>
  <c r="J3" i="14"/>
  <c r="J2" i="14"/>
  <c r="J4" i="13"/>
  <c r="J3" i="13"/>
  <c r="J2" i="13"/>
  <c r="J3" i="25"/>
  <c r="J2" i="25"/>
  <c r="J13" i="12"/>
  <c r="J11" i="12"/>
  <c r="J8" i="12"/>
  <c r="J7" i="12"/>
  <c r="J4" i="12"/>
  <c r="J3" i="12"/>
  <c r="J2" i="12"/>
  <c r="J13" i="34"/>
  <c r="J11" i="34"/>
  <c r="J8" i="34"/>
  <c r="J7" i="34"/>
  <c r="J4" i="34"/>
  <c r="J3" i="34"/>
  <c r="J2" i="34"/>
  <c r="J4" i="114"/>
  <c r="J3" i="114"/>
  <c r="J2" i="114"/>
  <c r="J4" i="107"/>
  <c r="J3" i="107"/>
  <c r="J2" i="107"/>
  <c r="J4" i="113"/>
  <c r="J3" i="113"/>
  <c r="J2" i="113"/>
  <c r="J4" i="112"/>
  <c r="J3" i="112"/>
  <c r="J2" i="112"/>
  <c r="J4" i="106"/>
  <c r="J3" i="106"/>
  <c r="J2" i="106"/>
  <c r="J4" i="111"/>
  <c r="J3" i="111"/>
  <c r="J2" i="111"/>
  <c r="J4" i="105"/>
  <c r="J3" i="105"/>
  <c r="J2" i="105"/>
  <c r="J4" i="110"/>
  <c r="J3" i="110"/>
  <c r="J2" i="110"/>
  <c r="J4" i="104"/>
  <c r="J3" i="104"/>
  <c r="J2" i="104"/>
  <c r="J4" i="109"/>
  <c r="J3" i="109"/>
  <c r="J2" i="109"/>
  <c r="J4" i="103"/>
  <c r="J3" i="103"/>
  <c r="J2" i="103"/>
  <c r="J4" i="108"/>
  <c r="J3" i="108"/>
  <c r="J2" i="108"/>
  <c r="J4" i="102"/>
  <c r="J3" i="102"/>
  <c r="J2" i="102"/>
  <c r="J2" i="119"/>
  <c r="J2" i="117"/>
  <c r="J2" i="118"/>
  <c r="J2" i="76"/>
  <c r="J2" i="101"/>
  <c r="J2" i="100"/>
  <c r="J2" i="72"/>
  <c r="J2" i="71"/>
  <c r="J2" i="70"/>
  <c r="J2" i="99"/>
  <c r="J2" i="98"/>
  <c r="J2" i="69"/>
  <c r="J2" i="68"/>
  <c r="J2" i="97"/>
  <c r="J2" i="96"/>
  <c r="J2" i="67"/>
  <c r="J2" i="65"/>
  <c r="J2" i="95"/>
  <c r="J2" i="94"/>
  <c r="J2" i="62"/>
  <c r="J2" i="61"/>
  <c r="J2" i="63"/>
  <c r="J2" i="60"/>
  <c r="J2" i="93"/>
  <c r="J2" i="92"/>
  <c r="J2" i="59"/>
  <c r="J2" i="58"/>
  <c r="J2" i="57"/>
  <c r="J2" i="91"/>
  <c r="J2" i="90"/>
  <c r="J2" i="56"/>
  <c r="J2" i="55"/>
  <c r="J2" i="54"/>
  <c r="J2" i="89"/>
  <c r="J2" i="88"/>
  <c r="J2" i="53"/>
  <c r="J2" i="52"/>
  <c r="J2" i="51"/>
  <c r="J2" i="87"/>
  <c r="J2" i="86"/>
  <c r="J2" i="50"/>
  <c r="J2" i="49"/>
  <c r="J2" i="48"/>
  <c r="J2" i="47"/>
  <c r="J2" i="85"/>
  <c r="J2" i="84"/>
  <c r="J2" i="46"/>
  <c r="J2" i="45"/>
  <c r="J2" i="44"/>
  <c r="J2" i="43"/>
  <c r="J2" i="83"/>
  <c r="J2" i="82"/>
  <c r="J2" i="42"/>
  <c r="J2" i="41"/>
  <c r="J2" i="81"/>
  <c r="J2" i="80"/>
  <c r="J2" i="40"/>
  <c r="J2" i="39"/>
  <c r="J2" i="38"/>
  <c r="J2" i="37"/>
  <c r="J2" i="79"/>
  <c r="J2" i="78"/>
  <c r="J2" i="36"/>
  <c r="J2" i="75"/>
  <c r="J2" i="74"/>
  <c r="J2" i="73"/>
  <c r="J2" i="35"/>
  <c r="J2" i="2"/>
  <c r="H4" i="22"/>
  <c r="G4" i="22"/>
  <c r="H3" i="22"/>
  <c r="G3" i="22"/>
  <c r="H2" i="22"/>
  <c r="G2" i="22"/>
  <c r="H3" i="21"/>
  <c r="G3" i="21"/>
  <c r="H2" i="21"/>
  <c r="G2" i="21"/>
  <c r="H4" i="33"/>
  <c r="G4" i="33"/>
  <c r="H3" i="33"/>
  <c r="G3" i="33"/>
  <c r="H2" i="33"/>
  <c r="G2" i="33"/>
  <c r="H4" i="19"/>
  <c r="G4" i="19"/>
  <c r="H3" i="19"/>
  <c r="G3" i="19"/>
  <c r="H2" i="19"/>
  <c r="G2" i="19"/>
  <c r="H3" i="18"/>
  <c r="G3" i="18"/>
  <c r="H2" i="18"/>
  <c r="G2" i="18"/>
  <c r="H3" i="17"/>
  <c r="G3" i="17"/>
  <c r="G2" i="17"/>
  <c r="H2" i="16"/>
  <c r="H3" i="16"/>
  <c r="G3" i="16"/>
  <c r="H4" i="15"/>
  <c r="G4" i="15"/>
  <c r="H3" i="15"/>
  <c r="G3" i="15"/>
  <c r="H2" i="15"/>
  <c r="G2" i="15"/>
  <c r="H6" i="10"/>
  <c r="G6" i="10"/>
  <c r="H4" i="10"/>
  <c r="G4" i="10"/>
  <c r="H2" i="10"/>
  <c r="G2" i="10"/>
  <c r="H18" i="9"/>
  <c r="G18" i="9"/>
  <c r="H17" i="9"/>
  <c r="G17" i="9"/>
  <c r="H14" i="9"/>
  <c r="G14" i="9"/>
  <c r="H13" i="9"/>
  <c r="G13" i="9"/>
  <c r="H12" i="9"/>
  <c r="G12" i="9"/>
  <c r="H9" i="9"/>
  <c r="G9" i="9"/>
  <c r="H8" i="9"/>
  <c r="G8" i="9"/>
  <c r="H7" i="9"/>
  <c r="G7" i="9"/>
  <c r="H4" i="9"/>
  <c r="G4" i="9"/>
  <c r="H3" i="9"/>
  <c r="G3" i="9"/>
  <c r="H2" i="9"/>
  <c r="G2" i="9"/>
  <c r="H9" i="8"/>
  <c r="G9" i="8"/>
  <c r="H8" i="8"/>
  <c r="G8" i="8"/>
  <c r="H7" i="8"/>
  <c r="G7" i="8"/>
  <c r="H4" i="8"/>
  <c r="G4" i="8"/>
  <c r="H3" i="8"/>
  <c r="G3" i="8"/>
  <c r="H2" i="8"/>
  <c r="G2" i="8"/>
  <c r="H8" i="7"/>
  <c r="G8" i="7"/>
  <c r="H13" i="7"/>
  <c r="G13" i="7"/>
  <c r="H11" i="7"/>
  <c r="G11" i="7"/>
  <c r="H7" i="7"/>
  <c r="G7" i="7"/>
  <c r="H4" i="7"/>
  <c r="G4" i="7"/>
  <c r="H3" i="7"/>
  <c r="G3" i="7"/>
  <c r="H2" i="7"/>
  <c r="G2" i="7"/>
  <c r="H4" i="14"/>
  <c r="G4" i="14"/>
  <c r="H3" i="14"/>
  <c r="G3" i="14"/>
  <c r="H2" i="14"/>
  <c r="G2" i="14"/>
  <c r="H4" i="13"/>
  <c r="G4" i="13"/>
  <c r="H3" i="13"/>
  <c r="G3" i="13"/>
  <c r="H2" i="13"/>
  <c r="G2" i="13"/>
  <c r="H3" i="25"/>
  <c r="G3" i="25"/>
  <c r="H2" i="25"/>
  <c r="G2" i="25"/>
  <c r="H13" i="12"/>
  <c r="G13" i="12"/>
  <c r="H11" i="12"/>
  <c r="G11" i="12"/>
  <c r="H8" i="12"/>
  <c r="G8" i="12"/>
  <c r="H7" i="12"/>
  <c r="G7" i="12"/>
  <c r="H4" i="12"/>
  <c r="G4" i="12"/>
  <c r="H3" i="12"/>
  <c r="G3" i="12"/>
  <c r="H2" i="12"/>
  <c r="G2" i="12"/>
  <c r="H13" i="34"/>
  <c r="G13" i="34"/>
  <c r="H11" i="34"/>
  <c r="G11" i="34"/>
  <c r="H8" i="34"/>
  <c r="G8" i="34"/>
  <c r="H7" i="34"/>
  <c r="G7" i="34"/>
  <c r="H4" i="34"/>
  <c r="G4" i="34"/>
  <c r="H3" i="34"/>
  <c r="G3" i="34"/>
  <c r="H2" i="34"/>
  <c r="G2" i="34"/>
  <c r="H4" i="114"/>
  <c r="G4" i="114"/>
  <c r="H3" i="114"/>
  <c r="G3" i="114"/>
  <c r="H2" i="114"/>
  <c r="G2" i="114"/>
  <c r="H4" i="107"/>
  <c r="G4" i="107"/>
  <c r="H3" i="107"/>
  <c r="G3" i="107"/>
  <c r="H2" i="107"/>
  <c r="G2" i="107"/>
  <c r="H4" i="113"/>
  <c r="G4" i="113"/>
  <c r="H3" i="113"/>
  <c r="G3" i="113"/>
  <c r="H2" i="113"/>
  <c r="G2" i="113"/>
  <c r="H4" i="112"/>
  <c r="G4" i="112"/>
  <c r="H3" i="112"/>
  <c r="G3" i="112"/>
  <c r="H2" i="112"/>
  <c r="G2" i="112"/>
  <c r="H4" i="106"/>
  <c r="G4" i="106"/>
  <c r="H3" i="106"/>
  <c r="G3" i="106"/>
  <c r="H2" i="106"/>
  <c r="G2" i="106"/>
  <c r="H4" i="111"/>
  <c r="G4" i="111"/>
  <c r="H3" i="111"/>
  <c r="G3" i="111"/>
  <c r="H2" i="111"/>
  <c r="G2" i="111"/>
  <c r="H4" i="105"/>
  <c r="G4" i="105"/>
  <c r="H3" i="105"/>
  <c r="G3" i="105"/>
  <c r="H2" i="105"/>
  <c r="G2" i="105"/>
  <c r="H4" i="110"/>
  <c r="G4" i="110"/>
  <c r="H3" i="110"/>
  <c r="G3" i="110"/>
  <c r="H2" i="110"/>
  <c r="G2" i="110"/>
  <c r="H4" i="104"/>
  <c r="G4" i="104"/>
  <c r="H3" i="104"/>
  <c r="G3" i="104"/>
  <c r="H2" i="104"/>
  <c r="G2" i="104"/>
  <c r="G4" i="109"/>
  <c r="H4" i="109"/>
  <c r="F2" i="104"/>
  <c r="F3" i="104"/>
  <c r="F4" i="104"/>
  <c r="F2" i="110"/>
  <c r="F3" i="110"/>
  <c r="F4" i="110"/>
  <c r="H3" i="109"/>
  <c r="G3" i="109"/>
  <c r="H2" i="109"/>
  <c r="G2" i="109"/>
  <c r="H4" i="103"/>
  <c r="G4" i="103"/>
  <c r="H3" i="103"/>
  <c r="G3" i="103"/>
  <c r="H2" i="103"/>
  <c r="G2" i="103"/>
  <c r="H4" i="108"/>
  <c r="G4" i="108"/>
  <c r="H3" i="108"/>
  <c r="G3" i="108"/>
  <c r="H2" i="108"/>
  <c r="G2" i="108"/>
  <c r="H4" i="102"/>
  <c r="G4" i="102"/>
  <c r="H3" i="102"/>
  <c r="G3" i="102"/>
  <c r="H2" i="102"/>
  <c r="G2" i="102"/>
  <c r="H2" i="119"/>
  <c r="G2" i="119"/>
  <c r="H2" i="117"/>
  <c r="G2" i="117"/>
  <c r="H2" i="118"/>
  <c r="G2" i="118"/>
  <c r="H2" i="76"/>
  <c r="G2" i="76"/>
  <c r="H2" i="101"/>
  <c r="G2" i="101"/>
  <c r="H2" i="100"/>
  <c r="G2" i="100"/>
  <c r="H2" i="72"/>
  <c r="G2" i="72"/>
  <c r="H2" i="71"/>
  <c r="G2" i="71"/>
  <c r="H2" i="70"/>
  <c r="G2" i="70"/>
  <c r="H2" i="99"/>
  <c r="G2" i="99"/>
  <c r="H2" i="98"/>
  <c r="G2" i="98"/>
  <c r="H2" i="69"/>
  <c r="G2" i="69"/>
  <c r="H2" i="68"/>
  <c r="G2" i="68"/>
  <c r="H2" i="97"/>
  <c r="G2" i="97"/>
  <c r="H2" i="96"/>
  <c r="G2" i="96"/>
  <c r="H2" i="67"/>
  <c r="G2" i="67"/>
  <c r="H2" i="66"/>
  <c r="G2" i="66"/>
  <c r="H2" i="65"/>
  <c r="G2" i="65"/>
  <c r="H2" i="64"/>
  <c r="G2" i="64"/>
  <c r="H2" i="95"/>
  <c r="G2" i="95"/>
  <c r="H2" i="94"/>
  <c r="G2" i="94"/>
  <c r="H2" i="62"/>
  <c r="G2" i="62"/>
  <c r="H2" i="61"/>
  <c r="G2" i="61"/>
  <c r="H2" i="63"/>
  <c r="G2" i="63"/>
  <c r="H2" i="60"/>
  <c r="G2" i="60"/>
  <c r="H2" i="93"/>
  <c r="G2" i="93"/>
  <c r="H2" i="92"/>
  <c r="G2" i="92"/>
  <c r="H2" i="59"/>
  <c r="G2" i="59"/>
  <c r="G2" i="57"/>
  <c r="H2" i="91"/>
  <c r="G2" i="91"/>
  <c r="H2" i="90"/>
  <c r="G2" i="90"/>
  <c r="H2" i="56"/>
  <c r="G2" i="56"/>
  <c r="H2" i="55"/>
  <c r="H2" i="54"/>
  <c r="H2" i="89"/>
  <c r="G2" i="89"/>
  <c r="H2" i="88"/>
  <c r="G2" i="88"/>
  <c r="H2" i="53"/>
  <c r="G2" i="53"/>
  <c r="H2" i="52"/>
  <c r="G2" i="52"/>
  <c r="H2" i="51"/>
  <c r="G2" i="51"/>
  <c r="H2" i="87"/>
  <c r="G2" i="87"/>
  <c r="H2" i="86"/>
  <c r="G2" i="86"/>
  <c r="H2" i="50"/>
  <c r="G2" i="50"/>
  <c r="H2" i="49"/>
  <c r="G2" i="49"/>
  <c r="H2" i="48"/>
  <c r="G2" i="48"/>
  <c r="H2" i="47"/>
  <c r="G2" i="47"/>
  <c r="H2" i="84"/>
  <c r="G2" i="84"/>
  <c r="H2" i="46"/>
  <c r="G2" i="46"/>
  <c r="H2" i="45"/>
  <c r="G2" i="45"/>
  <c r="H2" i="44"/>
  <c r="G2" i="44"/>
  <c r="H2" i="43"/>
  <c r="G2" i="43"/>
  <c r="H2" i="83"/>
  <c r="G2" i="83"/>
  <c r="H2" i="82"/>
  <c r="G2" i="82"/>
  <c r="H2" i="42"/>
  <c r="G2" i="42"/>
  <c r="H2" i="41"/>
  <c r="G2" i="41"/>
  <c r="H2" i="81"/>
  <c r="G2" i="81"/>
  <c r="H2" i="80"/>
  <c r="G2" i="80"/>
  <c r="H2" i="40"/>
  <c r="G2" i="40"/>
  <c r="H2" i="39"/>
  <c r="G2" i="39"/>
  <c r="H2" i="38"/>
  <c r="G2" i="38"/>
  <c r="H2" i="37"/>
  <c r="G2" i="37"/>
  <c r="H2" i="79"/>
  <c r="G2" i="79"/>
  <c r="H2" i="78"/>
  <c r="G2" i="78"/>
  <c r="H2" i="36"/>
  <c r="G2" i="36"/>
  <c r="H2" i="75"/>
  <c r="G2" i="75"/>
  <c r="H2" i="74"/>
  <c r="G2" i="74"/>
  <c r="H2" i="73"/>
  <c r="G2" i="73"/>
  <c r="H2" i="35"/>
  <c r="G2" i="35"/>
  <c r="G2" i="2"/>
  <c r="H2" i="2"/>
  <c r="F52" i="120"/>
  <c r="G52" i="120"/>
  <c r="H52" i="120"/>
  <c r="I52" i="120"/>
  <c r="J52" i="120"/>
  <c r="K52" i="120"/>
  <c r="F51" i="120"/>
  <c r="G50" i="120"/>
  <c r="F50" i="120"/>
  <c r="L50" i="120" s="1"/>
  <c r="G47" i="120"/>
  <c r="F47" i="120"/>
  <c r="L47" i="120" s="1"/>
  <c r="F46" i="120"/>
  <c r="J8" i="120"/>
  <c r="F2" i="120"/>
  <c r="G2" i="120" s="1"/>
  <c r="J2" i="120"/>
  <c r="F4" i="120"/>
  <c r="J4" i="120"/>
  <c r="F6" i="120"/>
  <c r="F8" i="120"/>
  <c r="G8" i="120" s="1"/>
  <c r="F10" i="120"/>
  <c r="G10" i="120" s="1"/>
  <c r="J10" i="120"/>
  <c r="G11" i="120"/>
  <c r="H12" i="120"/>
  <c r="J11" i="120"/>
  <c r="I12" i="120"/>
  <c r="K12" i="120"/>
  <c r="F14" i="120"/>
  <c r="J14" i="120"/>
  <c r="F16" i="120"/>
  <c r="G16" i="120" s="1"/>
  <c r="J16" i="120"/>
  <c r="J17" i="120"/>
  <c r="F18" i="120"/>
  <c r="G18" i="120" s="1"/>
  <c r="L18" i="120"/>
  <c r="F19" i="120"/>
  <c r="G19" i="120" s="1"/>
  <c r="J19" i="120"/>
  <c r="A20" i="120"/>
  <c r="B20" i="120"/>
  <c r="D20" i="120"/>
  <c r="E20" i="120"/>
  <c r="I20" i="120"/>
  <c r="K20" i="120"/>
  <c r="F22" i="120"/>
  <c r="G22" i="120" s="1"/>
  <c r="F23" i="120"/>
  <c r="G23" i="120" s="1"/>
  <c r="F26" i="120"/>
  <c r="F27" i="120"/>
  <c r="G27" i="120"/>
  <c r="F28" i="120"/>
  <c r="G28" i="120" s="1"/>
  <c r="I29" i="120"/>
  <c r="J29" i="120"/>
  <c r="K29" i="120"/>
  <c r="F31" i="120"/>
  <c r="G31" i="120" s="1"/>
  <c r="F32" i="120"/>
  <c r="G32" i="120" s="1"/>
  <c r="F33" i="120"/>
  <c r="G33" i="120"/>
  <c r="I33" i="120"/>
  <c r="J33" i="120"/>
  <c r="K33" i="120"/>
  <c r="L33" i="120"/>
  <c r="F35" i="120"/>
  <c r="G35" i="120" s="1"/>
  <c r="F36" i="120"/>
  <c r="I37" i="120"/>
  <c r="J37" i="120"/>
  <c r="K37" i="120"/>
  <c r="F39" i="120"/>
  <c r="G39" i="120" s="1"/>
  <c r="F40" i="120"/>
  <c r="G40" i="120" s="1"/>
  <c r="I41" i="120"/>
  <c r="J41" i="120"/>
  <c r="K41" i="120"/>
  <c r="F43" i="120"/>
  <c r="G43" i="120"/>
  <c r="F44" i="120"/>
  <c r="G44" i="120" s="1"/>
  <c r="L2" i="137" l="1"/>
  <c r="L4" i="137" s="1"/>
  <c r="H2" i="137"/>
  <c r="H4" i="137" s="1"/>
  <c r="G3" i="137"/>
  <c r="L3" i="137" s="1"/>
  <c r="G4" i="135"/>
  <c r="F4" i="135"/>
  <c r="L2" i="135"/>
  <c r="L4" i="135" s="1"/>
  <c r="G3" i="134"/>
  <c r="L3" i="134" s="1"/>
  <c r="L4" i="134" s="1"/>
  <c r="G3" i="132"/>
  <c r="L3" i="132" s="1"/>
  <c r="L4" i="132" s="1"/>
  <c r="G4" i="131"/>
  <c r="G3" i="131"/>
  <c r="L3" i="131" s="1"/>
  <c r="L4" i="131" s="1"/>
  <c r="F4" i="130"/>
  <c r="G3" i="130"/>
  <c r="L4" i="129"/>
  <c r="G3" i="129"/>
  <c r="L3" i="129" s="1"/>
  <c r="L2" i="128"/>
  <c r="G3" i="128"/>
  <c r="L3" i="128" s="1"/>
  <c r="L4" i="128" s="1"/>
  <c r="F4" i="127"/>
  <c r="G3" i="127"/>
  <c r="L3" i="127" s="1"/>
  <c r="L4" i="127" s="1"/>
  <c r="H4" i="126"/>
  <c r="G3" i="126"/>
  <c r="L3" i="126" s="1"/>
  <c r="L4" i="126" s="1"/>
  <c r="L2" i="125"/>
  <c r="L4" i="125"/>
  <c r="G4" i="125"/>
  <c r="L2" i="124"/>
  <c r="L4" i="124"/>
  <c r="G4" i="124"/>
  <c r="L2" i="123"/>
  <c r="L4" i="123" s="1"/>
  <c r="H2" i="123"/>
  <c r="H4" i="123" s="1"/>
  <c r="G4" i="123"/>
  <c r="F4" i="122"/>
  <c r="G3" i="122"/>
  <c r="G4" i="122" s="1"/>
  <c r="H4" i="121"/>
  <c r="G2" i="121"/>
  <c r="F4" i="121"/>
  <c r="G3" i="121"/>
  <c r="L3" i="121" s="1"/>
  <c r="L51" i="120"/>
  <c r="G51" i="120"/>
  <c r="G46" i="120"/>
  <c r="L2" i="120"/>
  <c r="F37" i="120"/>
  <c r="L35" i="120"/>
  <c r="L44" i="120"/>
  <c r="L32" i="120"/>
  <c r="F12" i="120"/>
  <c r="L17" i="120"/>
  <c r="F29" i="120"/>
  <c r="J20" i="120"/>
  <c r="J12" i="120"/>
  <c r="L23" i="120"/>
  <c r="G12" i="120"/>
  <c r="H37" i="120"/>
  <c r="G36" i="120"/>
  <c r="G37" i="120" s="1"/>
  <c r="L31" i="120"/>
  <c r="L27" i="120"/>
  <c r="L16" i="120"/>
  <c r="G20" i="120"/>
  <c r="G41" i="120"/>
  <c r="L14" i="120"/>
  <c r="L43" i="120"/>
  <c r="L28" i="120"/>
  <c r="L22" i="120"/>
  <c r="L11" i="120"/>
  <c r="L12" i="120" s="1"/>
  <c r="L8" i="120"/>
  <c r="G26" i="120"/>
  <c r="G29" i="120" s="1"/>
  <c r="F20" i="120"/>
  <c r="G4" i="120"/>
  <c r="H20" i="120"/>
  <c r="L6" i="120"/>
  <c r="F41" i="120"/>
  <c r="L40" i="120"/>
  <c r="G4" i="137" l="1"/>
  <c r="G4" i="134"/>
  <c r="G4" i="132"/>
  <c r="G4" i="130"/>
  <c r="L3" i="130"/>
  <c r="L4" i="130" s="1"/>
  <c r="G4" i="129"/>
  <c r="G4" i="128"/>
  <c r="G4" i="127"/>
  <c r="G4" i="126"/>
  <c r="L3" i="122"/>
  <c r="L4" i="122" s="1"/>
  <c r="G4" i="121"/>
  <c r="L2" i="121"/>
  <c r="L4" i="121" s="1"/>
  <c r="L46" i="120"/>
  <c r="L48" i="120" s="1"/>
  <c r="H41" i="120"/>
  <c r="L20" i="120"/>
  <c r="L26" i="120"/>
  <c r="L29" i="120" s="1"/>
  <c r="L39" i="120"/>
  <c r="L41" i="120" s="1"/>
  <c r="L4" i="120"/>
  <c r="L36" i="120"/>
  <c r="L37" i="120" s="1"/>
  <c r="H29" i="120"/>
  <c r="F2" i="119" l="1"/>
  <c r="L2" i="119" s="1"/>
  <c r="F2" i="118"/>
  <c r="F2" i="117"/>
  <c r="F4" i="116"/>
  <c r="K4" i="116"/>
  <c r="J4" i="116"/>
  <c r="I4" i="116"/>
  <c r="J3" i="116"/>
  <c r="L3" i="116"/>
  <c r="F3" i="116"/>
  <c r="J2" i="116"/>
  <c r="F2" i="116"/>
  <c r="G4" i="116" s="1"/>
  <c r="F4" i="115"/>
  <c r="K4" i="115"/>
  <c r="I4" i="115"/>
  <c r="J3" i="115"/>
  <c r="F3" i="115"/>
  <c r="J2" i="115"/>
  <c r="J4" i="115" s="1"/>
  <c r="F2" i="115"/>
  <c r="F5" i="114"/>
  <c r="F5" i="112"/>
  <c r="I5" i="112"/>
  <c r="F5" i="113"/>
  <c r="F5" i="111"/>
  <c r="H5" i="111"/>
  <c r="F5" i="110"/>
  <c r="F5" i="109"/>
  <c r="K5" i="114"/>
  <c r="J5" i="114"/>
  <c r="I5" i="114"/>
  <c r="F4" i="114"/>
  <c r="L4" i="114" s="1"/>
  <c r="F3" i="114"/>
  <c r="F2" i="114"/>
  <c r="J5" i="113"/>
  <c r="I5" i="113"/>
  <c r="F4" i="113"/>
  <c r="L4" i="113" s="1"/>
  <c r="F3" i="113"/>
  <c r="F2" i="113"/>
  <c r="H5" i="112"/>
  <c r="K5" i="112"/>
  <c r="F4" i="112"/>
  <c r="L4" i="112" s="1"/>
  <c r="F3" i="112"/>
  <c r="F2" i="112"/>
  <c r="K5" i="111"/>
  <c r="J5" i="111"/>
  <c r="F4" i="111"/>
  <c r="F3" i="111"/>
  <c r="F2" i="111"/>
  <c r="G5" i="110"/>
  <c r="K5" i="110"/>
  <c r="J5" i="110"/>
  <c r="I5" i="110"/>
  <c r="L4" i="110"/>
  <c r="L2" i="110"/>
  <c r="K5" i="109"/>
  <c r="J5" i="109"/>
  <c r="I5" i="109"/>
  <c r="L4" i="109"/>
  <c r="F4" i="109"/>
  <c r="F3" i="109"/>
  <c r="L2" i="109"/>
  <c r="F2" i="109"/>
  <c r="K5" i="108"/>
  <c r="J5" i="108"/>
  <c r="I5" i="108"/>
  <c r="F4" i="108"/>
  <c r="L4" i="108" s="1"/>
  <c r="F3" i="108"/>
  <c r="L2" i="108"/>
  <c r="F2" i="108"/>
  <c r="L2" i="118" l="1"/>
  <c r="L2" i="117"/>
  <c r="H4" i="116"/>
  <c r="H4" i="115"/>
  <c r="L3" i="115"/>
  <c r="L2" i="114"/>
  <c r="H5" i="114"/>
  <c r="L3" i="114"/>
  <c r="L2" i="113"/>
  <c r="H5" i="113"/>
  <c r="G5" i="113"/>
  <c r="L2" i="112"/>
  <c r="L3" i="112"/>
  <c r="L4" i="111"/>
  <c r="G5" i="111"/>
  <c r="L3" i="111"/>
  <c r="L3" i="110"/>
  <c r="L5" i="110" s="1"/>
  <c r="H5" i="109"/>
  <c r="L3" i="109"/>
  <c r="L5" i="109" s="1"/>
  <c r="G5" i="108"/>
  <c r="H5" i="108"/>
  <c r="L3" i="108"/>
  <c r="L5" i="108" s="1"/>
  <c r="L2" i="116" l="1"/>
  <c r="L4" i="116" s="1"/>
  <c r="L2" i="115"/>
  <c r="L4" i="115" s="1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F3" i="107"/>
  <c r="F2" i="107"/>
  <c r="K5" i="106"/>
  <c r="I5" i="106"/>
  <c r="F4" i="106"/>
  <c r="L4" i="106" s="1"/>
  <c r="F3" i="106"/>
  <c r="F2" i="106"/>
  <c r="K5" i="105"/>
  <c r="J5" i="105"/>
  <c r="F4" i="105"/>
  <c r="L4" i="105" s="1"/>
  <c r="F3" i="105"/>
  <c r="F2" i="105"/>
  <c r="K5" i="104"/>
  <c r="J5" i="104"/>
  <c r="I5" i="104"/>
  <c r="L4" i="104"/>
  <c r="K5" i="103"/>
  <c r="J5" i="103"/>
  <c r="I5" i="103"/>
  <c r="F4" i="103"/>
  <c r="F3" i="103"/>
  <c r="L3" i="103" s="1"/>
  <c r="F2" i="103"/>
  <c r="L4" i="107" l="1"/>
  <c r="L3" i="107"/>
  <c r="G5" i="106"/>
  <c r="L2" i="106"/>
  <c r="H5" i="106"/>
  <c r="L3" i="106"/>
  <c r="L3" i="105"/>
  <c r="G5" i="105"/>
  <c r="L2" i="105"/>
  <c r="H5" i="105"/>
  <c r="L2" i="104"/>
  <c r="G5" i="104"/>
  <c r="L3" i="104"/>
  <c r="L2" i="103"/>
  <c r="L4" i="103"/>
  <c r="K5" i="102"/>
  <c r="J5" i="102"/>
  <c r="I5" i="102"/>
  <c r="L4" i="102"/>
  <c r="F4" i="102"/>
  <c r="F3" i="102"/>
  <c r="F2" i="102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F2" i="85"/>
  <c r="F2" i="84"/>
  <c r="F2" i="83"/>
  <c r="L2" i="82"/>
  <c r="F2" i="82"/>
  <c r="L2" i="80"/>
  <c r="F2" i="81"/>
  <c r="F2" i="80"/>
  <c r="F2" i="79"/>
  <c r="F2" i="78"/>
  <c r="F2" i="76"/>
  <c r="F2" i="75"/>
  <c r="F2" i="74"/>
  <c r="F2" i="73"/>
  <c r="F2" i="72"/>
  <c r="F2" i="71"/>
  <c r="F2" i="70"/>
  <c r="F2" i="69"/>
  <c r="F2" i="68"/>
  <c r="F2" i="67"/>
  <c r="F2" i="66"/>
  <c r="F2" i="65"/>
  <c r="L2" i="65" s="1"/>
  <c r="F2" i="64"/>
  <c r="L2" i="64" s="1"/>
  <c r="F2" i="63"/>
  <c r="F2" i="62"/>
  <c r="L2" i="62" s="1"/>
  <c r="F2" i="61"/>
  <c r="L2" i="61" s="1"/>
  <c r="F2" i="60"/>
  <c r="L2" i="60" s="1"/>
  <c r="F2" i="59"/>
  <c r="F2" i="58"/>
  <c r="G2" i="58" s="1"/>
  <c r="L2" i="58" s="1"/>
  <c r="F2" i="57"/>
  <c r="H2" i="85" l="1"/>
  <c r="G2" i="85"/>
  <c r="L5" i="104"/>
  <c r="H5" i="107"/>
  <c r="G5" i="107"/>
  <c r="L2" i="107"/>
  <c r="L5" i="106"/>
  <c r="L5" i="105"/>
  <c r="L5" i="103"/>
  <c r="H5" i="103"/>
  <c r="L2" i="102"/>
  <c r="L3" i="102"/>
  <c r="L2" i="101"/>
  <c r="L2" i="100"/>
  <c r="L2" i="99"/>
  <c r="L2" i="98"/>
  <c r="L2" i="97"/>
  <c r="L2" i="96"/>
  <c r="L2" i="95"/>
  <c r="L2" i="94"/>
  <c r="L2" i="93"/>
  <c r="L2" i="92"/>
  <c r="L2" i="91"/>
  <c r="L2" i="90"/>
  <c r="L2" i="89"/>
  <c r="L2" i="88"/>
  <c r="L2" i="87"/>
  <c r="L2" i="86"/>
  <c r="L2" i="85"/>
  <c r="L2" i="84"/>
  <c r="L2" i="83"/>
  <c r="L2" i="81"/>
  <c r="L2" i="79"/>
  <c r="L2" i="78"/>
  <c r="L2" i="76"/>
  <c r="L2" i="75"/>
  <c r="L2" i="74"/>
  <c r="L2" i="73"/>
  <c r="L2" i="72"/>
  <c r="L2" i="69"/>
  <c r="L2" i="68"/>
  <c r="L2" i="67"/>
  <c r="L2" i="66"/>
  <c r="L2" i="63"/>
  <c r="L2" i="59"/>
  <c r="L2" i="57"/>
  <c r="F2" i="56"/>
  <c r="F2" i="55"/>
  <c r="F2" i="54"/>
  <c r="F2" i="53"/>
  <c r="F2" i="50"/>
  <c r="F2" i="49"/>
  <c r="F2" i="48"/>
  <c r="F2" i="47"/>
  <c r="F2" i="46"/>
  <c r="F2" i="45"/>
  <c r="F2" i="44"/>
  <c r="F2" i="43"/>
  <c r="L2" i="42"/>
  <c r="F2" i="42"/>
  <c r="F2" i="41"/>
  <c r="F2" i="40"/>
  <c r="F2" i="39"/>
  <c r="F2" i="38"/>
  <c r="L2" i="38" s="1"/>
  <c r="F2" i="37"/>
  <c r="F2" i="36"/>
  <c r="F2" i="35"/>
  <c r="L2" i="35"/>
  <c r="F13" i="12"/>
  <c r="F11" i="12"/>
  <c r="K9" i="12"/>
  <c r="J9" i="12"/>
  <c r="I9" i="12"/>
  <c r="F8" i="12"/>
  <c r="F7" i="12"/>
  <c r="K5" i="12"/>
  <c r="J5" i="12"/>
  <c r="I5" i="12"/>
  <c r="F4" i="12"/>
  <c r="L4" i="12" s="1"/>
  <c r="F3" i="12"/>
  <c r="F2" i="12"/>
  <c r="F13" i="34"/>
  <c r="F11" i="34"/>
  <c r="K9" i="34"/>
  <c r="J9" i="34"/>
  <c r="I9" i="34"/>
  <c r="L8" i="34"/>
  <c r="F8" i="34"/>
  <c r="F7" i="34"/>
  <c r="H9" i="34" s="1"/>
  <c r="K5" i="34"/>
  <c r="J5" i="34"/>
  <c r="I5" i="34"/>
  <c r="F4" i="34"/>
  <c r="L4" i="34" s="1"/>
  <c r="F3" i="34"/>
  <c r="F2" i="34"/>
  <c r="L3" i="14"/>
  <c r="L4" i="14"/>
  <c r="L2" i="14"/>
  <c r="L11" i="7"/>
  <c r="L6" i="10"/>
  <c r="L4" i="10"/>
  <c r="L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F4" i="33"/>
  <c r="F3" i="33"/>
  <c r="H5" i="33"/>
  <c r="F2" i="33"/>
  <c r="F4" i="32"/>
  <c r="K4" i="32"/>
  <c r="I4" i="32"/>
  <c r="J3" i="32"/>
  <c r="F3" i="32"/>
  <c r="H4" i="32" s="1"/>
  <c r="J2" i="32"/>
  <c r="J4" i="32" s="1"/>
  <c r="L2" i="32"/>
  <c r="F2" i="32"/>
  <c r="F10" i="9"/>
  <c r="F5" i="9"/>
  <c r="F10" i="8"/>
  <c r="F5" i="8"/>
  <c r="F9" i="7"/>
  <c r="F5" i="7"/>
  <c r="F4" i="29"/>
  <c r="F4" i="28"/>
  <c r="F4" i="27"/>
  <c r="F4" i="24"/>
  <c r="F4" i="23"/>
  <c r="F4" i="21"/>
  <c r="F4" i="18"/>
  <c r="F4" i="17"/>
  <c r="F4" i="16"/>
  <c r="F5" i="13"/>
  <c r="H5" i="102" l="1"/>
  <c r="L5" i="102"/>
  <c r="L2" i="56"/>
  <c r="L2" i="55"/>
  <c r="L2" i="53"/>
  <c r="L2" i="52"/>
  <c r="L2" i="51"/>
  <c r="L2" i="50"/>
  <c r="L2" i="48"/>
  <c r="L2" i="47"/>
  <c r="L2" i="46"/>
  <c r="L2" i="45"/>
  <c r="L2" i="44"/>
  <c r="L2" i="43"/>
  <c r="L2" i="41"/>
  <c r="L2" i="40"/>
  <c r="L2" i="39"/>
  <c r="L2" i="37"/>
  <c r="L2" i="36"/>
  <c r="G5" i="12"/>
  <c r="L2" i="12"/>
  <c r="F9" i="12"/>
  <c r="L11" i="12"/>
  <c r="F5" i="12"/>
  <c r="H5" i="12"/>
  <c r="L3" i="12"/>
  <c r="L13" i="12"/>
  <c r="H9" i="12"/>
  <c r="L8" i="12"/>
  <c r="L2" i="34"/>
  <c r="L7" i="34"/>
  <c r="L9" i="34" s="1"/>
  <c r="F9" i="34"/>
  <c r="F5" i="34"/>
  <c r="G9" i="34"/>
  <c r="G5" i="34"/>
  <c r="L11" i="34"/>
  <c r="H5" i="34"/>
  <c r="L13" i="34"/>
  <c r="L2" i="33"/>
  <c r="G5" i="33"/>
  <c r="K4" i="33"/>
  <c r="L4" i="33" s="1"/>
  <c r="K3" i="33"/>
  <c r="L3" i="32"/>
  <c r="L4" i="32" s="1"/>
  <c r="K5" i="33" l="1"/>
  <c r="L2" i="54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J2" i="31"/>
  <c r="F2" i="31"/>
  <c r="L4" i="31" l="1"/>
  <c r="J4" i="31"/>
  <c r="H4" i="31"/>
  <c r="G4" i="31" l="1"/>
  <c r="K10" i="9" l="1"/>
  <c r="K5" i="9"/>
  <c r="K10" i="8"/>
  <c r="K5" i="8"/>
  <c r="K9" i="7"/>
  <c r="K5" i="7"/>
  <c r="K5" i="15"/>
  <c r="K5" i="14"/>
  <c r="K5" i="13"/>
  <c r="L2" i="30"/>
  <c r="J5" i="30"/>
  <c r="I5" i="30"/>
  <c r="L4" i="30"/>
  <c r="K4" i="30"/>
  <c r="F4" i="30"/>
  <c r="F3" i="30"/>
  <c r="F2" i="30"/>
  <c r="J4" i="29"/>
  <c r="I4" i="29"/>
  <c r="K4" i="29"/>
  <c r="F3" i="29"/>
  <c r="L3" i="29" s="1"/>
  <c r="F2" i="29"/>
  <c r="I4" i="28"/>
  <c r="H4" i="28"/>
  <c r="K4" i="28"/>
  <c r="L3" i="28"/>
  <c r="F3" i="28"/>
  <c r="J4" i="28"/>
  <c r="G4" i="28"/>
  <c r="F2" i="28"/>
  <c r="H4" i="27"/>
  <c r="G4" i="27"/>
  <c r="K4" i="27"/>
  <c r="I4" i="27"/>
  <c r="F3" i="27"/>
  <c r="L3" i="27" s="1"/>
  <c r="J4" i="27"/>
  <c r="F2" i="27"/>
  <c r="F3" i="25"/>
  <c r="F2" i="25"/>
  <c r="G4" i="24"/>
  <c r="L2" i="24"/>
  <c r="K4" i="24"/>
  <c r="I4" i="24"/>
  <c r="F3" i="24"/>
  <c r="L3" i="24" s="1"/>
  <c r="J4" i="24"/>
  <c r="F2" i="24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F3" i="23"/>
  <c r="L3" i="23" s="1"/>
  <c r="L4" i="23" s="1"/>
  <c r="J4" i="23"/>
  <c r="F2" i="23"/>
  <c r="L18" i="9"/>
  <c r="L17" i="9"/>
  <c r="L13" i="9"/>
  <c r="L14" i="9"/>
  <c r="L12" i="9"/>
  <c r="L3" i="22"/>
  <c r="L4" i="22"/>
  <c r="J5" i="22"/>
  <c r="I5" i="22"/>
  <c r="F5" i="22"/>
  <c r="F4" i="22"/>
  <c r="K3" i="22"/>
  <c r="F3" i="22"/>
  <c r="F2" i="22"/>
  <c r="K4" i="21"/>
  <c r="I4" i="21"/>
  <c r="L3" i="21"/>
  <c r="F3" i="21"/>
  <c r="J4" i="21"/>
  <c r="H4" i="21"/>
  <c r="G4" i="21"/>
  <c r="F2" i="21"/>
  <c r="L2" i="21" s="1"/>
  <c r="K18" i="9"/>
  <c r="K4" i="19"/>
  <c r="F2" i="19"/>
  <c r="J5" i="19"/>
  <c r="I5" i="19"/>
  <c r="F4" i="19"/>
  <c r="F3" i="19"/>
  <c r="K4" i="18"/>
  <c r="I4" i="18"/>
  <c r="H4" i="18"/>
  <c r="F3" i="18"/>
  <c r="L3" i="18" s="1"/>
  <c r="J4" i="18"/>
  <c r="F2" i="18"/>
  <c r="G4" i="18" s="1"/>
  <c r="K4" i="17"/>
  <c r="I4" i="17"/>
  <c r="G4" i="17"/>
  <c r="L3" i="17"/>
  <c r="F3" i="17"/>
  <c r="J4" i="17"/>
  <c r="F2" i="17"/>
  <c r="H4" i="17" s="1"/>
  <c r="K4" i="16"/>
  <c r="I4" i="16"/>
  <c r="F3" i="16"/>
  <c r="J4" i="16"/>
  <c r="F2" i="16"/>
  <c r="L4" i="24" l="1"/>
  <c r="L5" i="8"/>
  <c r="L5" i="9"/>
  <c r="L9" i="7"/>
  <c r="L4" i="21"/>
  <c r="L10" i="9"/>
  <c r="L10" i="8"/>
  <c r="L5" i="7"/>
  <c r="L5" i="13"/>
  <c r="K3" i="19"/>
  <c r="K5" i="19" s="1"/>
  <c r="K2" i="30"/>
  <c r="G5" i="30"/>
  <c r="H5" i="30"/>
  <c r="F5" i="30"/>
  <c r="K3" i="30"/>
  <c r="G4" i="29"/>
  <c r="H4" i="29"/>
  <c r="L2" i="29"/>
  <c r="L4" i="29" s="1"/>
  <c r="L2" i="27"/>
  <c r="L4" i="27" s="1"/>
  <c r="L3" i="25"/>
  <c r="G4" i="23"/>
  <c r="H4" i="23"/>
  <c r="K2" i="22"/>
  <c r="L4" i="19"/>
  <c r="L2" i="19"/>
  <c r="F5" i="19"/>
  <c r="H5" i="19"/>
  <c r="L2" i="18"/>
  <c r="L4" i="18" s="1"/>
  <c r="H5" i="7"/>
  <c r="L2" i="17"/>
  <c r="L4" i="17" s="1"/>
  <c r="H4" i="16"/>
  <c r="L3" i="16"/>
  <c r="K5" i="30" l="1"/>
  <c r="L3" i="30"/>
  <c r="L5" i="30" s="1"/>
  <c r="L2" i="28"/>
  <c r="L4" i="28" s="1"/>
  <c r="L2" i="25"/>
  <c r="H5" i="22"/>
  <c r="K4" i="22"/>
  <c r="L5" i="22" s="1"/>
  <c r="G5" i="22"/>
  <c r="G5" i="19"/>
  <c r="L3" i="19"/>
  <c r="L5" i="19" s="1"/>
  <c r="G4" i="16"/>
  <c r="L2" i="16"/>
  <c r="L4" i="16" s="1"/>
  <c r="K5" i="22" l="1"/>
  <c r="J5" i="15"/>
  <c r="I5" i="15"/>
  <c r="F4" i="15"/>
  <c r="F3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L13" i="7" l="1"/>
  <c r="K12" i="9"/>
  <c r="H5" i="9"/>
  <c r="G5" i="9"/>
  <c r="K17" i="9"/>
  <c r="K19" i="9" s="1"/>
  <c r="L4" i="15"/>
  <c r="F5" i="15"/>
  <c r="L3" i="15"/>
  <c r="H5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<sst xmlns="http://schemas.openxmlformats.org/spreadsheetml/2006/main" count="1811" uniqueCount="48">
  <si>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</si>
  <si>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</si>
  <si>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</si>
  <si>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</si>
  <si>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</si>
  <si>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</si>
  <si>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</si>
  <si>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</si>
  <si>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</si>
  <si>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</si>
  <si>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</si>
  <si>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</si>
  <si>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</si>
  <si>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</si>
  <si>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</si>
  <si>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</si>
  <si>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</si>
  <si>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</si>
  <si>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</si>
  <si>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</si>
  <si>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</si>
  <si>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</si>
  <si>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</si>
  <si>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</si>
  <si>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</si>
  <si>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</si>
  <si>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</si>
  <si>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</si>
  <si>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</si>
  <si>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</si>
  <si>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l5,99</t>
  </si>
  <si>
    <t>R$ O,8O</t>
  </si>
  <si>
    <t>R$ O,OO</t>
  </si>
  <si>
    <t>R$ l551,32</t>
  </si>
  <si>
    <t>-R$ 9.322,OO</t>
  </si>
  <si>
    <t>R$ 2,S6</t>
  </si>
  <si>
    <t>R$ O,65</t>
  </si>
  <si>
    <t>R$ 4T,97</t>
  </si>
  <si>
    <t>R$ 2,4O</t>
  </si>
  <si>
    <t>-R$ 9.37S,S9</t>
  </si>
  <si>
    <t>BVMF3</t>
  </si>
  <si>
    <t>LAME4</t>
  </si>
  <si>
    <t>R$ O,87</t>
  </si>
  <si>
    <t>S00</t>
  </si>
  <si>
    <t>II62</t>
  </si>
  <si>
    <t>3O/12/2009</t>
  </si>
  <si>
    <t>30/13/2009</t>
  </si>
  <si>
    <t>R$ O,44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</si>
</sst>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1"/>
      <color rgb="FF5B9BD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0" fillId="0" borderId="0" xfId="0"/>
    <xf numFmtId="0" fontId="4" fillId="2" borderId="0" xfId="0" applyFont="1" applyFill="1"/>
    <xf numFmtId="0" fontId="4" fillId="0" borderId="0" xfId="0" applyFont="1"/>
    <xf numFmtId="0" fontId="0" fillId="0" borderId="0" xfId="0"/>
    <xf numFmtId="8" fontId="7" fillId="0" borderId="0" xfId="0" applyNumberFormat="1" applyFont="1"/>
    <xf numFmtId="0" fontId="7" fillId="0" borderId="0" xfId="0" applyFont="1"/>
    <xf numFmtId="0" fontId="4" fillId="0" borderId="0" xfId="0" applyFont="1"/>
    <xf numFmtId="8" fontId="2" fillId="0" borderId="0" xfId="0" quotePrefix="1" applyNumberFormat="1" applyFont="1"/>
    <xf numFmtId="14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/>
    <xf numFmtId="2" fontId="2" fillId="0" borderId="0" xfId="0" applyNumberFormat="1" applyFont="1"/>
    <xf numFmtId="0" fontId="10" fillId="0" borderId="0" xfId="0" applyFont="1"/>
    <xf numFmtId="8" fontId="10" fillId="0" borderId="0" xfId="0" applyNumberFormat="1" applyFont="1"/>
    <xf numFmtId="14" fontId="10" fillId="0" borderId="0" xfId="0" applyNumberFormat="1" applyFont="1"/>
    <xf numFmtId="0" fontId="10" fillId="0" borderId="0" xfId="0" applyNumberFormat="1" applyFont="1"/>
    <xf numFmtId="8" fontId="11" fillId="0" borderId="0" xfId="0" applyNumberFormat="1" applyFont="1"/>
    <xf numFmtId="7" fontId="10" fillId="0" borderId="0" xfId="0" applyNumberFormat="1" applyFont="1"/>
    <xf numFmtId="2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4" fontId="11" fillId="0" borderId="0" xfId="0" applyNumberFormat="1" applyFont="1"/>
    <xf numFmtId="8" fontId="1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L2" s="12">
        <f>F2+G2+H2+I2</f>
        <v>1550.8490400000001</v>
      </c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4E5B-561C-43BE-BF9C-5E6212150331}">
  <dimension ref="A1:AB4"/>
  <sheetViews>
    <sheetView tabSelected="1"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F2*0.02%+0.02</f>
        <v>2.2200000000000002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10992.5555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5.41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238B-9A95-421A-B265-79C240179AD5}">
  <dimension ref="A1:AB4"/>
  <sheetViews>
    <sheetView workbookViewId="0">
      <pane ySplit="1" topLeftCell="A2" activePane="bottomLeft" state="frozen"/>
      <selection activeCell="G2" sqref="G2"/>
      <selection pane="bottomLeft" activeCell="G1" sqref="G1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F2*0.02%-0.02</f>
        <v>2.1800000000000002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10992.595499999999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5.370000000000001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22584.01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8026-48D2-4059-B4FF-3E3A07E3D6DF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29">
        <f>F2*0.02%</f>
        <v>2.2000000000000002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10992.575499999999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5.3900000000000006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22583.989999999998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0828-6462-4C9B-A7C7-CF6DDB19A24A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5476-BACF-4718-B3D9-09EC9FCE7B5E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F2*0.0285%+0.01</f>
        <v>3.1449999999999996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6.4509999999999996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C26C-67AD-4E69-A2C8-A026930167EB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F2*0.0285%-0.01</f>
        <v>3.125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6.431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F2*0.0285%+0.02</f>
        <v>3.1549999999999998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6.4610000000000003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E523-602B-474B-BD42-7F4DF8FF963D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F2*0.0285%-0.02</f>
        <v>3.1149999999999998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6.4209999999999994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69E1-FA28-4716-9C12-9F06B073E8C8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9924-00BD-496F-A6B0-9BCFD1206771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I2*5%+0.01</f>
        <v>0.1095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0.20900000000000002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8BF3-ABEF-4D9A-BFA1-F1BA340E2449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I2*5%-0.01</f>
        <v>8.950000000000001E-2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0.189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I2*5%+0.02</f>
        <v>0.11950000000000001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0.21900000000000003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BF64-8BB9-4F73-8E2D-F5F3B34CC152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I2*5%-0.02</f>
        <v>7.9500000000000001E-2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0.17899999999999999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8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8">
        <f>N8+E9</f>
        <v>100</v>
      </c>
    </row>
    <row r="10" spans="1:29" x14ac:dyDescent="0.25">
      <c r="E10" s="18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1">F10-G10-H10-I10-J10</f>
        <v>5921.1399999999994</v>
      </c>
      <c r="L10" s="1">
        <f>L9+K10</f>
        <v>8653.39</v>
      </c>
      <c r="N10" s="18">
        <f>N9+E10</f>
        <v>300</v>
      </c>
    </row>
    <row r="11" spans="1:29" x14ac:dyDescent="0.25">
      <c r="E11" s="18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1"/>
        <v>6610.9299999999994</v>
      </c>
      <c r="L11" s="1">
        <f>L10+((L10/N10)*E11)</f>
        <v>2884.4633333333331</v>
      </c>
      <c r="N11" s="18">
        <f>N10+E11</f>
        <v>100</v>
      </c>
    </row>
    <row r="12" spans="1:29" x14ac:dyDescent="0.25">
      <c r="E12" s="18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1"/>
        <v>6381.01</v>
      </c>
      <c r="L12" s="19">
        <f>L11+K12</f>
        <v>9265.4733333333334</v>
      </c>
      <c r="N12" s="20">
        <f>N11+E12</f>
        <v>300</v>
      </c>
      <c r="O12" s="1">
        <f>L12/N12</f>
        <v>30.884911111111112</v>
      </c>
    </row>
    <row r="13" spans="1:29" x14ac:dyDescent="0.25">
      <c r="E13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0.01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0.01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v>7009.25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ref="L3:L4" si="0">F3-G3-H3-I3-J3</f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 t="shared" si="1"/>
        <v>7.6818046999999987E-2</v>
      </c>
      <c r="L5" s="32">
        <f t="shared" si="1"/>
        <v>20064.337240000001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v>11008.22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-22616.805500000002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6.245000000000001</v>
      </c>
      <c r="H4" s="7">
        <f t="shared" ref="H4:K4" si="1">SUM(H2:H3)</f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 - 0.03</f>
        <v>6.4109999999999996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17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 - 0.03</f>
        <v>3.95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</f>
        <v>3.98</v>
      </c>
      <c r="J4" s="7">
        <f>SUM(J2:J3) + 0.03</f>
        <v>0.22900000000000001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f t="shared" ref="L2:L4" si="0">F2-G2-H2-I2-J2</f>
        <v>7009.2736999999997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si="0"/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>SUM(K2:K4) - 0.03</f>
        <v>4.6818046999999988E-2</v>
      </c>
      <c r="L5" s="32">
        <f t="shared" si="1"/>
        <v>20064.360939999999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A077-C6CF-4445-BC4A-493B69C7FE0B}">
  <dimension ref="A1:AB52"/>
  <sheetViews>
    <sheetView zoomScaleNormal="100" workbookViewId="0">
      <pane ySplit="1" topLeftCell="A2" activePane="bottomLeft" state="frozen"/>
      <selection activeCell="Q108" sqref="Q108"/>
      <selection pane="bottomLeft" activeCell="L24" sqref="L24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" bestFit="1" customWidth="1"/>
    <col min="6" max="6" width="12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85546875" style="1" bestFit="1" customWidth="1"/>
    <col min="11" max="11" width="8.5703125" style="1" bestFit="1" customWidth="1"/>
    <col min="12" max="12" width="12.7109375" style="1" bestFit="1" customWidth="1"/>
    <col min="13" max="13" width="3.140625" style="2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7109375" style="1" bestFit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2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N1" s="1"/>
      <c r="O1" s="1"/>
      <c r="P1" s="1"/>
      <c r="Q1" s="1"/>
      <c r="T1" s="26"/>
      <c r="U1" s="18"/>
      <c r="V1" s="18"/>
      <c r="W1" s="18"/>
      <c r="X1" s="18"/>
      <c r="Y1" s="18"/>
      <c r="Z1" s="18"/>
      <c r="AA1" s="18"/>
      <c r="AB1" s="18"/>
    </row>
    <row r="2" spans="1:28" s="4" customFormat="1" x14ac:dyDescent="0.25">
      <c r="A2" s="5"/>
      <c r="B2" s="4" t="s">
        <v>44</v>
      </c>
      <c r="C2" s="4" t="s">
        <v>2</v>
      </c>
      <c r="D2" s="4">
        <v>-100</v>
      </c>
      <c r="E2" s="3">
        <v>15.34</v>
      </c>
      <c r="F2" s="33">
        <f>D2*E2</f>
        <v>-1534</v>
      </c>
      <c r="G2" s="25">
        <f>F2*0.0275%</f>
        <v>-0.42185</v>
      </c>
      <c r="H2" s="3">
        <v>-0.44</v>
      </c>
      <c r="I2" s="3">
        <v>15.99</v>
      </c>
      <c r="J2" s="3">
        <f>I2*5%+0.3</f>
        <v>1.0995000000000001</v>
      </c>
      <c r="K2" s="3"/>
      <c r="L2" s="3">
        <f>F2+G2+H2+I2+J2+0.3</f>
        <v>-1517.47235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/>
      <c r="E3" s="3"/>
      <c r="F3" s="3"/>
      <c r="G3" s="3"/>
      <c r="H3" s="3"/>
      <c r="I3" s="3"/>
      <c r="J3" s="3"/>
      <c r="K3" s="3"/>
      <c r="L3" s="3"/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4">
        <v>40177</v>
      </c>
      <c r="C4" s="4" t="s">
        <v>1</v>
      </c>
      <c r="D4" s="4" t="s">
        <v>43</v>
      </c>
      <c r="E4" s="3">
        <v>25.19</v>
      </c>
      <c r="F4" s="3" t="e">
        <f>D4*E4</f>
        <v>#VALUE!</v>
      </c>
      <c r="G4" s="3" t="e">
        <f>F4*0.0275%</f>
        <v>#VALUE!</v>
      </c>
      <c r="H4" s="3" t="e">
        <f>F4*0.0285%</f>
        <v>#VALUE!</v>
      </c>
      <c r="I4" s="29">
        <v>15.99</v>
      </c>
      <c r="J4" s="3">
        <f>I4*5%</f>
        <v>0.7995000000000001</v>
      </c>
      <c r="K4" s="3"/>
      <c r="L4" s="3" t="e">
        <f>F4+G4+H4+I4+J4</f>
        <v>#VALUE!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E5" s="3"/>
      <c r="F5" s="3"/>
      <c r="G5" s="3"/>
      <c r="H5" s="3"/>
      <c r="I5" s="3"/>
      <c r="J5" s="3"/>
      <c r="K5" s="3"/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x14ac:dyDescent="0.25">
      <c r="A6" s="5" t="s">
        <v>45</v>
      </c>
      <c r="B6" s="4">
        <v>-1662</v>
      </c>
      <c r="D6" s="28">
        <v>100</v>
      </c>
      <c r="E6" s="25">
        <v>27.5</v>
      </c>
      <c r="F6" s="25">
        <f>D6*E6</f>
        <v>2750</v>
      </c>
      <c r="G6" s="3">
        <v>0.76</v>
      </c>
      <c r="H6" s="29">
        <f>F6*0.0285%+0.3</f>
        <v>1.08375</v>
      </c>
      <c r="I6" s="3" t="s">
        <v>30</v>
      </c>
      <c r="J6" s="3" t="s">
        <v>31</v>
      </c>
      <c r="K6" s="3"/>
      <c r="L6" s="4" t="e">
        <f>F6+G6+H6+I6+J6</f>
        <v>#VALUE!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x14ac:dyDescent="0.25">
      <c r="A7" s="5"/>
      <c r="E7" s="3"/>
      <c r="F7" s="7"/>
      <c r="G7" s="7"/>
      <c r="H7" s="7"/>
      <c r="I7" s="7"/>
      <c r="J7" s="7"/>
      <c r="K7" s="7"/>
      <c r="L7" s="7"/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x14ac:dyDescent="0.25">
      <c r="A8" s="5">
        <v>-40177</v>
      </c>
      <c r="B8" s="4">
        <v>1344</v>
      </c>
      <c r="C8" s="28" t="s">
        <v>7</v>
      </c>
      <c r="E8" s="3">
        <v>2.68</v>
      </c>
      <c r="F8" s="3">
        <f>D8*E8</f>
        <v>0</v>
      </c>
      <c r="G8" s="3">
        <f>F8*0.0275%</f>
        <v>0</v>
      </c>
      <c r="H8" s="24">
        <f>F8*0.0285%</f>
        <v>0</v>
      </c>
      <c r="I8" s="3">
        <v>-15.99</v>
      </c>
      <c r="J8" s="3">
        <f>I8*5%</f>
        <v>-0.7995000000000001</v>
      </c>
      <c r="K8" s="3"/>
      <c r="L8" s="33">
        <f>F8+G8+H8+I8+J8</f>
        <v>-16.7895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x14ac:dyDescent="0.25">
      <c r="A9" s="5"/>
      <c r="E9" s="3"/>
      <c r="F9" s="3"/>
      <c r="G9" s="3"/>
      <c r="H9" s="3"/>
      <c r="I9" s="3"/>
      <c r="J9" s="3"/>
      <c r="K9" s="3"/>
      <c r="L9" s="3"/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x14ac:dyDescent="0.25">
      <c r="A10" s="5">
        <v>40177</v>
      </c>
      <c r="B10" s="28">
        <v>1344</v>
      </c>
      <c r="C10" s="4" t="s">
        <v>0</v>
      </c>
      <c r="D10" s="4">
        <v>100</v>
      </c>
      <c r="E10" s="3"/>
      <c r="F10" s="3">
        <f>D10*E10</f>
        <v>0</v>
      </c>
      <c r="G10" s="29">
        <f>F10*0.0275%</f>
        <v>0</v>
      </c>
      <c r="H10" s="3" t="s">
        <v>32</v>
      </c>
      <c r="I10" s="24">
        <v>15.99</v>
      </c>
      <c r="J10" s="3">
        <f>I10*5%</f>
        <v>0.7995000000000001</v>
      </c>
      <c r="K10" s="3">
        <v>0.01</v>
      </c>
      <c r="L10" s="3">
        <v>16.899999999999999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x14ac:dyDescent="0.25">
      <c r="A11" s="5">
        <v>40178</v>
      </c>
      <c r="B11" s="4">
        <v>1345</v>
      </c>
      <c r="C11" s="4" t="s">
        <v>3</v>
      </c>
      <c r="D11" s="4">
        <v>100</v>
      </c>
      <c r="E11" s="29">
        <v>7.69</v>
      </c>
      <c r="F11" s="3"/>
      <c r="G11" s="3">
        <f>F11*0.0275%</f>
        <v>0</v>
      </c>
      <c r="H11" s="3">
        <f>F11*0.0285%</f>
        <v>0</v>
      </c>
      <c r="I11" s="3">
        <v>15.99</v>
      </c>
      <c r="J11" s="29">
        <f>I11*5%</f>
        <v>0.7995000000000001</v>
      </c>
      <c r="K11" s="29">
        <v>0</v>
      </c>
      <c r="L11" s="25">
        <f>F11+G11+H11+I11+J11</f>
        <v>16.7895</v>
      </c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x14ac:dyDescent="0.25">
      <c r="A12" s="5"/>
      <c r="E12" s="3"/>
      <c r="F12" s="7">
        <f t="shared" ref="F12:L12" si="0">SUM(F10:F11)+0.3</f>
        <v>0.3</v>
      </c>
      <c r="G12" s="7">
        <f t="shared" si="0"/>
        <v>0.3</v>
      </c>
      <c r="H12" s="7">
        <f t="shared" si="0"/>
        <v>0.3</v>
      </c>
      <c r="I12" s="7">
        <f t="shared" si="0"/>
        <v>32.28</v>
      </c>
      <c r="J12" s="7">
        <f t="shared" si="0"/>
        <v>1.8990000000000002</v>
      </c>
      <c r="K12" s="7">
        <f t="shared" si="0"/>
        <v>0.31</v>
      </c>
      <c r="L12" s="7">
        <f t="shared" si="0"/>
        <v>33.989499999999992</v>
      </c>
      <c r="M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x14ac:dyDescent="0.25">
      <c r="A13" s="5"/>
      <c r="E13" s="3"/>
      <c r="F13" s="7"/>
      <c r="G13" s="7"/>
      <c r="H13" s="7"/>
      <c r="I13" s="7"/>
      <c r="J13" s="7"/>
      <c r="K13" s="7"/>
      <c r="L13" s="7"/>
      <c r="M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x14ac:dyDescent="0.25">
      <c r="A14" s="30">
        <v>40177</v>
      </c>
      <c r="B14" s="4">
        <v>1344</v>
      </c>
      <c r="C14" s="4" t="s">
        <v>0</v>
      </c>
      <c r="D14" s="4">
        <v>100</v>
      </c>
      <c r="E14" s="3" t="s">
        <v>27</v>
      </c>
      <c r="F14" s="3" t="e">
        <f>D14*E14</f>
        <v>#VALUE!</v>
      </c>
      <c r="G14" s="3"/>
      <c r="H14" s="3" t="e">
        <f>F14*0.0285%</f>
        <v>#VALUE!</v>
      </c>
      <c r="I14" s="3">
        <v>15.99</v>
      </c>
      <c r="J14" s="3">
        <f>I14*5%</f>
        <v>0.7995000000000001</v>
      </c>
      <c r="K14" s="3"/>
      <c r="L14" s="3" t="e">
        <f>F14+G14+H14+I14+J14</f>
        <v>#VALUE!</v>
      </c>
      <c r="M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x14ac:dyDescent="0.25">
      <c r="A15" s="5"/>
      <c r="E15" s="3"/>
      <c r="F15" s="7"/>
      <c r="G15" s="7"/>
      <c r="H15" s="7"/>
      <c r="I15" s="7"/>
      <c r="J15" s="7"/>
      <c r="K15" s="7"/>
      <c r="L15" s="7"/>
      <c r="M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9" customFormat="1" x14ac:dyDescent="0.25">
      <c r="A16" s="5">
        <v>40177</v>
      </c>
      <c r="B16" s="28">
        <v>1319</v>
      </c>
      <c r="C16" s="28" t="s">
        <v>4</v>
      </c>
      <c r="D16" s="4">
        <v>100</v>
      </c>
      <c r="E16" s="33">
        <v>-31.5</v>
      </c>
      <c r="F16" s="33">
        <f>ABS(D16*E16)</f>
        <v>3150</v>
      </c>
      <c r="G16" s="3">
        <f>F16*0.0275%+0.3</f>
        <v>1.16625</v>
      </c>
      <c r="H16" s="8"/>
      <c r="I16" s="29">
        <v>15.99</v>
      </c>
      <c r="J16" s="28">
        <f>I16*5%</f>
        <v>0.7995000000000001</v>
      </c>
      <c r="K16" s="28">
        <v>0</v>
      </c>
      <c r="L16" s="33">
        <f>F16-G16-H16-I16-J16+0.3</f>
        <v>3132.3442500000001</v>
      </c>
      <c r="M16" s="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9" customFormat="1" x14ac:dyDescent="0.25">
      <c r="A17" s="30">
        <v>40177</v>
      </c>
      <c r="B17" s="4">
        <v>1319</v>
      </c>
      <c r="C17" s="28" t="s">
        <v>4</v>
      </c>
      <c r="D17" s="28">
        <v>100</v>
      </c>
      <c r="E17" s="3">
        <v>31.5</v>
      </c>
      <c r="F17" s="29">
        <v>3150</v>
      </c>
      <c r="G17" s="29" t="s">
        <v>42</v>
      </c>
      <c r="H17" s="3">
        <f>F17*0.0285%</f>
        <v>0.89774999999999994</v>
      </c>
      <c r="I17" s="8"/>
      <c r="J17" s="29">
        <f>I17*5%</f>
        <v>0</v>
      </c>
      <c r="K17" s="29" t="s">
        <v>32</v>
      </c>
      <c r="L17" s="3" t="e">
        <f>F17-G17-H17-I17-J17</f>
        <v>#VALUE!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1319</v>
      </c>
      <c r="C18" s="4" t="s">
        <v>2</v>
      </c>
      <c r="D18" s="28">
        <v>100</v>
      </c>
      <c r="E18" s="29">
        <v>17.7</v>
      </c>
      <c r="F18" s="4" t="str">
        <f>_xlfn.CONCAT("R$ ",D18*E18,",OO")</f>
        <v>R$ 1770,OO</v>
      </c>
      <c r="G18" s="29" t="e">
        <f>F18*0.0275%</f>
        <v>#VALUE!</v>
      </c>
      <c r="H18" s="29" t="e">
        <f>F18*0.0285%</f>
        <v>#VALUE!</v>
      </c>
      <c r="I18" s="3">
        <v>15.99</v>
      </c>
      <c r="J18" s="8"/>
      <c r="K18" s="33">
        <v>-0.5</v>
      </c>
      <c r="L18" s="29" t="str">
        <f>_xlfn.CONCAT("R$ ","l.753,43")</f>
        <v>R$ l.753,43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>
        <v>40177</v>
      </c>
      <c r="B19" s="28">
        <v>1319</v>
      </c>
      <c r="C19" s="28" t="s">
        <v>1</v>
      </c>
      <c r="D19" s="28">
        <v>200</v>
      </c>
      <c r="E19" s="29">
        <v>26.1</v>
      </c>
      <c r="F19" s="29">
        <f>D19*E19</f>
        <v>5220</v>
      </c>
      <c r="G19" s="29">
        <f>F19*0.0275%</f>
        <v>1.4355</v>
      </c>
      <c r="H19" s="29">
        <f>F19*0.0285%</f>
        <v>1.4877</v>
      </c>
      <c r="I19" s="29">
        <v>15.99</v>
      </c>
      <c r="J19" s="3">
        <f>I19*5%</f>
        <v>0.7995000000000001</v>
      </c>
      <c r="K19" s="3">
        <v>0.05</v>
      </c>
      <c r="L19" s="8"/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x14ac:dyDescent="0.25">
      <c r="A20" s="35">
        <f>SUM(A16:A19)</f>
        <v>160708</v>
      </c>
      <c r="B20" s="36">
        <f>SUM(B16:B19)</f>
        <v>5276</v>
      </c>
      <c r="C20" s="36" t="s">
        <v>1</v>
      </c>
      <c r="D20" s="36">
        <f t="shared" ref="D20:L20" si="1">SUM(D16:D19)</f>
        <v>500</v>
      </c>
      <c r="E20" s="32">
        <f t="shared" si="1"/>
        <v>43.8</v>
      </c>
      <c r="F20" s="36">
        <f t="shared" si="1"/>
        <v>11520</v>
      </c>
      <c r="G20" s="36" t="e">
        <f t="shared" si="1"/>
        <v>#VALUE!</v>
      </c>
      <c r="H20" s="36" t="e">
        <f t="shared" si="1"/>
        <v>#VALUE!</v>
      </c>
      <c r="I20" s="36">
        <f t="shared" si="1"/>
        <v>47.97</v>
      </c>
      <c r="J20" s="36">
        <f t="shared" si="1"/>
        <v>1.5990000000000002</v>
      </c>
      <c r="K20" s="37">
        <f t="shared" si="1"/>
        <v>-0.45</v>
      </c>
      <c r="L20" s="36" t="e">
        <f t="shared" si="1"/>
        <v>#VALUE!</v>
      </c>
      <c r="M20" s="6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13"/>
      <c r="M21" s="6"/>
    </row>
    <row r="22" spans="1:28" s="4" customFormat="1" x14ac:dyDescent="0.25">
      <c r="A22" s="14">
        <v>40177</v>
      </c>
      <c r="B22" s="17">
        <v>1368</v>
      </c>
      <c r="C22" s="17" t="s">
        <v>40</v>
      </c>
      <c r="D22" s="17">
        <v>500</v>
      </c>
      <c r="E22" s="12">
        <v>7.23</v>
      </c>
      <c r="F22" s="12">
        <f>D22*E22</f>
        <v>3615</v>
      </c>
      <c r="G22" s="12">
        <f>F22*0.0275%</f>
        <v>0.99412500000000004</v>
      </c>
      <c r="H22" s="12">
        <f>F22*0.0285%</f>
        <v>1.0302750000000001</v>
      </c>
      <c r="I22" s="12">
        <v>15.99</v>
      </c>
      <c r="J22" s="12">
        <f>I22*5%</f>
        <v>0.7995000000000001</v>
      </c>
      <c r="K22" s="12">
        <v>0</v>
      </c>
      <c r="L22" s="12">
        <f>F22+G22+H22+I22+J22</f>
        <v>3633.8139000000001</v>
      </c>
      <c r="M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x14ac:dyDescent="0.25">
      <c r="A23" s="5">
        <v>40177</v>
      </c>
      <c r="B23" s="4">
        <v>1368</v>
      </c>
      <c r="C23" s="4" t="s">
        <v>41</v>
      </c>
      <c r="D23" s="4">
        <v>200</v>
      </c>
      <c r="E23" s="3">
        <v>5.89</v>
      </c>
      <c r="F23" s="3">
        <f>D23*E23</f>
        <v>1178</v>
      </c>
      <c r="G23" s="3">
        <f>F23*0.0275%</f>
        <v>0.32395000000000002</v>
      </c>
      <c r="H23" s="3">
        <f>F23*0.0285%</f>
        <v>0.33572999999999997</v>
      </c>
      <c r="I23" s="3">
        <v>15.99</v>
      </c>
      <c r="J23" s="3">
        <f>I23*5%</f>
        <v>0.7995000000000001</v>
      </c>
      <c r="K23" s="3">
        <v>0</v>
      </c>
      <c r="L23" s="3">
        <f>F23+G23+H23+I23+J23</f>
        <v>1195.4491800000001</v>
      </c>
      <c r="M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x14ac:dyDescent="0.25">
      <c r="A24" s="23"/>
      <c r="E24" s="3"/>
      <c r="F24" s="7">
        <v>2437</v>
      </c>
      <c r="G24" s="7">
        <v>1.32</v>
      </c>
      <c r="H24" s="7">
        <v>1.37</v>
      </c>
      <c r="I24" s="7">
        <v>31.98</v>
      </c>
      <c r="J24" s="7">
        <v>1.6</v>
      </c>
      <c r="K24" s="7">
        <v>0</v>
      </c>
      <c r="L24" s="7">
        <v>2438.36</v>
      </c>
      <c r="M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x14ac:dyDescent="0.25">
      <c r="A25" s="5"/>
      <c r="E25" s="3"/>
      <c r="F25" s="7"/>
      <c r="G25" s="7"/>
      <c r="H25" s="7"/>
      <c r="I25" s="7"/>
      <c r="J25" s="7"/>
      <c r="K25" s="7"/>
      <c r="L25" s="7"/>
      <c r="M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x14ac:dyDescent="0.25">
      <c r="A26" s="5" t="s">
        <v>46</v>
      </c>
      <c r="B26" s="4">
        <v>903</v>
      </c>
      <c r="C26" s="4" t="s">
        <v>2</v>
      </c>
      <c r="D26" s="4">
        <v>200</v>
      </c>
      <c r="E26" s="3">
        <v>12.47</v>
      </c>
      <c r="F26" s="3">
        <f>D26*E26</f>
        <v>2494</v>
      </c>
      <c r="G26" s="3">
        <f>F26*0.0275%</f>
        <v>0.68585000000000007</v>
      </c>
      <c r="H26" s="3">
        <f>F26*0.0285%</f>
        <v>0.71078999999999992</v>
      </c>
      <c r="I26" s="3">
        <v>15.99</v>
      </c>
      <c r="J26" s="3">
        <f>I26*5%</f>
        <v>0.7995000000000001</v>
      </c>
      <c r="K26" s="3"/>
      <c r="L26" s="3">
        <f>F26+G26+H26+I26+J26</f>
        <v>2512.1861399999998</v>
      </c>
      <c r="M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x14ac:dyDescent="0.25">
      <c r="A27" s="5">
        <v>40177</v>
      </c>
      <c r="B27" s="4">
        <v>903</v>
      </c>
      <c r="C27" s="4" t="s">
        <v>1</v>
      </c>
      <c r="D27" s="4">
        <v>200</v>
      </c>
      <c r="E27" s="3">
        <v>26.1</v>
      </c>
      <c r="F27" s="3">
        <f>D27*E27</f>
        <v>5220</v>
      </c>
      <c r="G27" s="3">
        <f>F27*0.0275%</f>
        <v>1.4355</v>
      </c>
      <c r="H27" s="3">
        <f>F27*0.0285%</f>
        <v>1.4877</v>
      </c>
      <c r="I27" s="3">
        <v>15.99</v>
      </c>
      <c r="J27" s="3">
        <f>-I27*5%</f>
        <v>-0.7995000000000001</v>
      </c>
      <c r="K27" s="3"/>
      <c r="L27" s="3">
        <f>F27+G27+H27+I27+J27</f>
        <v>5238.113699999999</v>
      </c>
      <c r="M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9" customFormat="1" x14ac:dyDescent="0.25">
      <c r="A28" s="30">
        <v>40177</v>
      </c>
      <c r="B28" s="28">
        <v>903</v>
      </c>
      <c r="C28" s="28" t="s">
        <v>1</v>
      </c>
      <c r="D28" s="28">
        <v>200</v>
      </c>
      <c r="E28" s="29">
        <v>26.1</v>
      </c>
      <c r="F28" s="29">
        <f>D28*E28</f>
        <v>5220</v>
      </c>
      <c r="G28" s="29">
        <f>F28*0.0275%</f>
        <v>1.4355</v>
      </c>
      <c r="H28" s="29">
        <f>F28*0.0285%</f>
        <v>1.4877</v>
      </c>
      <c r="I28" s="29">
        <v>15.99</v>
      </c>
      <c r="J28" s="29">
        <f>I28*5%</f>
        <v>0.7995000000000001</v>
      </c>
      <c r="K28" s="29">
        <v>0.26</v>
      </c>
      <c r="L28" s="29">
        <f>F28-G28-H28-I28-J28</f>
        <v>5200.2873000000009</v>
      </c>
      <c r="M28" s="6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E29" s="3"/>
      <c r="F29" s="32">
        <f t="shared" ref="F29:L29" si="2">SUM(F26:F28)</f>
        <v>12934</v>
      </c>
      <c r="G29" s="34">
        <f t="shared" si="2"/>
        <v>3.5568499999999998</v>
      </c>
      <c r="H29" s="34">
        <f t="shared" si="2"/>
        <v>3.6861899999999999</v>
      </c>
      <c r="I29" s="32">
        <f t="shared" si="2"/>
        <v>47.97</v>
      </c>
      <c r="J29" s="32">
        <f t="shared" si="2"/>
        <v>0.7995000000000001</v>
      </c>
      <c r="K29" s="32">
        <f t="shared" si="2"/>
        <v>0.26</v>
      </c>
      <c r="L29" s="32">
        <f t="shared" si="2"/>
        <v>12950.58714</v>
      </c>
      <c r="M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x14ac:dyDescent="0.25">
      <c r="A30" s="5"/>
      <c r="E30" s="3"/>
      <c r="F30" s="7"/>
      <c r="G30" s="7"/>
      <c r="H30" s="7"/>
      <c r="I30" s="7"/>
      <c r="J30" s="7"/>
      <c r="K30" s="7"/>
      <c r="L30" s="7"/>
      <c r="M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x14ac:dyDescent="0.25">
      <c r="A31" s="5">
        <v>40177</v>
      </c>
      <c r="B31" s="4">
        <v>1368</v>
      </c>
      <c r="C31" s="4" t="s">
        <v>40</v>
      </c>
      <c r="D31" s="4">
        <v>500</v>
      </c>
      <c r="E31" s="3">
        <v>7.23</v>
      </c>
      <c r="F31" s="3">
        <f>D31*E31</f>
        <v>3615</v>
      </c>
      <c r="G31" s="3">
        <f>F31*0.0275%</f>
        <v>0.99412500000000004</v>
      </c>
      <c r="H31" s="3">
        <f>F31*0.0285%</f>
        <v>1.0302750000000001</v>
      </c>
      <c r="I31" s="3">
        <v>15.99</v>
      </c>
      <c r="J31" s="3">
        <f>I31*5%</f>
        <v>0.7995000000000001</v>
      </c>
      <c r="K31" s="3">
        <v>0</v>
      </c>
      <c r="L31" s="3">
        <f>F31+G31+H31+I31+J31</f>
        <v>3633.8139000000001</v>
      </c>
      <c r="M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x14ac:dyDescent="0.25">
      <c r="A32" s="5">
        <v>40177</v>
      </c>
      <c r="B32" s="4">
        <v>1368</v>
      </c>
      <c r="C32" s="4" t="s">
        <v>41</v>
      </c>
      <c r="D32" s="4">
        <v>200</v>
      </c>
      <c r="E32" s="3">
        <v>5.89</v>
      </c>
      <c r="F32" s="3">
        <f>D32*E32</f>
        <v>1178</v>
      </c>
      <c r="G32" s="3">
        <f>F32*0.0275%</f>
        <v>0.32395000000000002</v>
      </c>
      <c r="H32" s="3">
        <f>F32*0.0285%</f>
        <v>0.33572999999999997</v>
      </c>
      <c r="I32" s="3">
        <v>15.99</v>
      </c>
      <c r="J32" s="3">
        <f>I32*5%</f>
        <v>0.7995000000000001</v>
      </c>
      <c r="K32" s="3">
        <v>0</v>
      </c>
      <c r="L32" s="3">
        <f>F32+G32+H32+I32+J32</f>
        <v>1195.4491800000001</v>
      </c>
      <c r="M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x14ac:dyDescent="0.25">
      <c r="A33" s="23"/>
      <c r="E33" s="3"/>
      <c r="F33" s="32" t="str">
        <f>_xlfn.CONCAT("R$ ","4.793,OO")</f>
        <v>R$ 4.793,OO</v>
      </c>
      <c r="G33" s="32" t="str">
        <f>_xlfn.CONCAT("R$ ","l,32")</f>
        <v>R$ l,32</v>
      </c>
      <c r="H33" s="32" t="str">
        <f>_xlfn.CONCAT("R$ ","l,37")</f>
        <v>R$ l,37</v>
      </c>
      <c r="I33" s="32" t="str">
        <f>_xlfn.CONCAT("R$ ","3l,98")</f>
        <v>R$ 3l,98</v>
      </c>
      <c r="J33" s="32" t="str">
        <f>_xlfn.CONCAT("R$ ","1,6O")</f>
        <v>R$ 1,6O</v>
      </c>
      <c r="K33" s="32" t="str">
        <f>_xlfn.CONCAT("R$ ","O,OO")</f>
        <v>R$ O,OO</v>
      </c>
      <c r="L33" s="32" t="str">
        <f>_xlfn.CONCAT("R$ ","4.828,2E")</f>
        <v>R$ 4.828,2E</v>
      </c>
      <c r="M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x14ac:dyDescent="0.25">
      <c r="A34" s="5"/>
      <c r="E34" s="3"/>
      <c r="F34" s="7"/>
      <c r="G34" s="7"/>
      <c r="H34" s="7"/>
      <c r="I34" s="7"/>
      <c r="J34" s="7"/>
      <c r="K34" s="7"/>
      <c r="L34" s="7"/>
      <c r="M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9" customFormat="1" x14ac:dyDescent="0.25">
      <c r="A35" s="30">
        <v>40177</v>
      </c>
      <c r="B35" s="28">
        <v>1401</v>
      </c>
      <c r="C35" s="28" t="s">
        <v>40</v>
      </c>
      <c r="D35" s="28">
        <v>500</v>
      </c>
      <c r="E35" s="29">
        <v>8.58</v>
      </c>
      <c r="F35" s="29">
        <f>D35*E35</f>
        <v>4290</v>
      </c>
      <c r="G35" s="29">
        <f>F35*0.0275%</f>
        <v>1.1797500000000001</v>
      </c>
      <c r="H35" s="29">
        <f>F35*0.0285%</f>
        <v>1.22265</v>
      </c>
      <c r="I35" s="29">
        <v>15.99</v>
      </c>
      <c r="J35" s="29">
        <f>I35*5%</f>
        <v>0.7995000000000001</v>
      </c>
      <c r="K35" s="29">
        <v>0.21</v>
      </c>
      <c r="L35" s="29">
        <f>F35-G35-H35-I35-J35</f>
        <v>4270.8081000000002</v>
      </c>
      <c r="M35" s="6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9" customFormat="1" x14ac:dyDescent="0.25">
      <c r="A36" s="30">
        <v>40177</v>
      </c>
      <c r="B36" s="28">
        <v>1401</v>
      </c>
      <c r="C36" s="28" t="s">
        <v>2</v>
      </c>
      <c r="D36" s="28">
        <v>200</v>
      </c>
      <c r="E36" s="29">
        <v>14.54</v>
      </c>
      <c r="F36" s="29">
        <f>D36*E36</f>
        <v>2908</v>
      </c>
      <c r="G36" s="29">
        <f>F36*0.0275%</f>
        <v>0.79970000000000008</v>
      </c>
      <c r="H36" s="29">
        <f>F36*0.0285%</f>
        <v>0.82877999999999996</v>
      </c>
      <c r="I36" s="29">
        <v>15.99</v>
      </c>
      <c r="J36" s="29">
        <f>I36*5%</f>
        <v>0.7995000000000001</v>
      </c>
      <c r="K36" s="29">
        <v>0.14000000000000001</v>
      </c>
      <c r="L36" s="29">
        <f>F36-G36-H36-I36-J36</f>
        <v>2889.5820200000003</v>
      </c>
      <c r="M36" s="6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9" customFormat="1" x14ac:dyDescent="0.25">
      <c r="A37" s="10"/>
      <c r="E37" s="8"/>
      <c r="F37" s="7">
        <f t="shared" ref="F37:L37" si="3">SUM(F35:F36)</f>
        <v>7198</v>
      </c>
      <c r="G37" s="7">
        <f t="shared" si="3"/>
        <v>1.9794500000000002</v>
      </c>
      <c r="H37" s="7">
        <f t="shared" si="3"/>
        <v>2.0514299999999999</v>
      </c>
      <c r="I37" s="7">
        <f t="shared" si="3"/>
        <v>31.98</v>
      </c>
      <c r="J37" s="7">
        <f t="shared" si="3"/>
        <v>1.5990000000000002</v>
      </c>
      <c r="K37" s="7">
        <f t="shared" si="3"/>
        <v>0.35</v>
      </c>
      <c r="L37" s="27">
        <f t="shared" si="3"/>
        <v>7160.39012</v>
      </c>
      <c r="M37" s="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E38" s="3"/>
      <c r="F38" s="7"/>
      <c r="G38" s="7"/>
      <c r="H38" s="7"/>
      <c r="I38" s="7"/>
      <c r="J38" s="7"/>
      <c r="K38" s="7"/>
      <c r="L38" s="7"/>
      <c r="M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x14ac:dyDescent="0.25">
      <c r="A39" s="5">
        <v>40177</v>
      </c>
      <c r="C39" s="4" t="s">
        <v>2</v>
      </c>
      <c r="D39" s="4">
        <v>200</v>
      </c>
      <c r="E39" s="29">
        <v>12.47</v>
      </c>
      <c r="F39" s="29">
        <f>D39*E39</f>
        <v>2494</v>
      </c>
      <c r="G39" s="29">
        <f>F39*0.0275%</f>
        <v>0.68585000000000007</v>
      </c>
      <c r="H39" s="29">
        <f>F39*0.0285%</f>
        <v>0.71078999999999992</v>
      </c>
      <c r="I39" s="29">
        <v>15.99</v>
      </c>
      <c r="J39" s="3">
        <f>I39*5%</f>
        <v>0.7995000000000001</v>
      </c>
      <c r="K39" s="3"/>
      <c r="L39" s="3">
        <f>F39+G39+H39+I39+J39</f>
        <v>2512.1861399999998</v>
      </c>
      <c r="M39" s="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9" customFormat="1" x14ac:dyDescent="0.25">
      <c r="A40" s="30">
        <v>40177</v>
      </c>
      <c r="B40" s="28"/>
      <c r="C40" s="28" t="s">
        <v>1</v>
      </c>
      <c r="D40" s="28">
        <v>200</v>
      </c>
      <c r="E40" s="29">
        <v>26.1</v>
      </c>
      <c r="F40" s="12">
        <f>D40*E40</f>
        <v>5220</v>
      </c>
      <c r="G40" s="12">
        <f>F40*0.0275%</f>
        <v>1.4355</v>
      </c>
      <c r="H40" s="3">
        <f>F40*0.0285%</f>
        <v>1.4877</v>
      </c>
      <c r="I40" s="3">
        <v>15.99</v>
      </c>
      <c r="J40" s="3">
        <f>I40*5%</f>
        <v>0.7995000000000001</v>
      </c>
      <c r="K40" s="3"/>
      <c r="L40" s="3">
        <f>F40-G40-H40-I40-J40</f>
        <v>5200.2873000000009</v>
      </c>
      <c r="M40" s="6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E41" s="3"/>
      <c r="F41" s="7">
        <f>F40-F39</f>
        <v>2726</v>
      </c>
      <c r="G41" s="7">
        <f>SUM(G39:G40)</f>
        <v>2.1213500000000001</v>
      </c>
      <c r="H41" s="7">
        <f>SUM(H39:H40)</f>
        <v>2.1984900000000001</v>
      </c>
      <c r="I41" s="7">
        <f>SUM(I39:I40)</f>
        <v>31.98</v>
      </c>
      <c r="J41" s="7">
        <f>SUM(J39:J40)</f>
        <v>1.5990000000000002</v>
      </c>
      <c r="K41" s="7">
        <f>SUM(K39:K40)</f>
        <v>0</v>
      </c>
      <c r="L41" s="7">
        <f>L40-L39</f>
        <v>2688.1011600000011</v>
      </c>
      <c r="M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x14ac:dyDescent="0.25">
      <c r="A42" s="5"/>
      <c r="E42" s="3"/>
      <c r="F42" s="7"/>
      <c r="G42" s="7"/>
      <c r="H42" s="7"/>
      <c r="I42" s="7"/>
      <c r="J42" s="7"/>
      <c r="K42" s="7"/>
      <c r="L42" s="7"/>
      <c r="M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9" customFormat="1" x14ac:dyDescent="0.25">
      <c r="A43" s="30">
        <v>40177</v>
      </c>
      <c r="B43" s="28">
        <v>1401</v>
      </c>
      <c r="C43" s="28" t="s">
        <v>40</v>
      </c>
      <c r="D43" s="28">
        <v>500</v>
      </c>
      <c r="E43" s="29">
        <v>8.58</v>
      </c>
      <c r="F43" s="29">
        <f>D43*E43</f>
        <v>4290</v>
      </c>
      <c r="G43" s="29">
        <f>F43*0.0275%</f>
        <v>1.1797500000000001</v>
      </c>
      <c r="H43" s="29">
        <f>F43*0.0285%</f>
        <v>1.22265</v>
      </c>
      <c r="I43" s="29">
        <v>15.99</v>
      </c>
      <c r="J43" s="29">
        <f>I43*5%</f>
        <v>0.7995000000000001</v>
      </c>
      <c r="K43" s="29">
        <v>0.21</v>
      </c>
      <c r="L43" s="29">
        <f>F43-G43-H43-I43-J43</f>
        <v>4270.8081000000002</v>
      </c>
      <c r="M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9" customFormat="1" x14ac:dyDescent="0.25">
      <c r="A44" s="30">
        <v>40177</v>
      </c>
      <c r="B44" s="28">
        <v>1401</v>
      </c>
      <c r="C44" s="28" t="s">
        <v>2</v>
      </c>
      <c r="D44" s="28">
        <v>200</v>
      </c>
      <c r="E44" s="29">
        <v>14.54</v>
      </c>
      <c r="F44" s="29">
        <f>D44*E44</f>
        <v>2908</v>
      </c>
      <c r="G44" s="29">
        <f>F44*0.0275%</f>
        <v>0.79970000000000008</v>
      </c>
      <c r="H44" s="29">
        <f>F44*0.0285%</f>
        <v>0.82877999999999996</v>
      </c>
      <c r="I44" s="29">
        <v>15.99</v>
      </c>
      <c r="J44" s="29">
        <f>I44*5%</f>
        <v>0.7995000000000001</v>
      </c>
      <c r="K44" s="29">
        <v>0.14000000000000001</v>
      </c>
      <c r="L44" s="29">
        <f>F44-G44-H44-I44-J44</f>
        <v>2889.5820200000003</v>
      </c>
      <c r="M44" s="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9" customFormat="1" x14ac:dyDescent="0.25">
      <c r="A45" s="30"/>
      <c r="B45" s="28"/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9" customFormat="1" x14ac:dyDescent="0.25">
      <c r="A46" s="30">
        <v>40177</v>
      </c>
      <c r="B46" s="28">
        <v>1401</v>
      </c>
      <c r="C46" s="28" t="s">
        <v>40</v>
      </c>
      <c r="D46" s="28">
        <v>500</v>
      </c>
      <c r="E46" s="29">
        <v>8.58</v>
      </c>
      <c r="F46" s="29">
        <f>D46*E46</f>
        <v>4290</v>
      </c>
      <c r="G46" s="29">
        <f>F46*0.0275%</f>
        <v>1.1797500000000001</v>
      </c>
      <c r="H46" s="29">
        <f>F46*0.0285%</f>
        <v>1.22265</v>
      </c>
      <c r="I46" s="29">
        <v>15.99</v>
      </c>
      <c r="J46" s="29">
        <f>I46*5%</f>
        <v>0.7995000000000001</v>
      </c>
      <c r="K46" s="29">
        <v>0.21</v>
      </c>
      <c r="L46" s="29">
        <f>F46-G46-H46-I46-J46</f>
        <v>4270.8081000000002</v>
      </c>
      <c r="M46" s="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9" customFormat="1" x14ac:dyDescent="0.25">
      <c r="A47" s="30">
        <v>40177</v>
      </c>
      <c r="B47" s="28">
        <v>1401</v>
      </c>
      <c r="C47" s="28" t="s">
        <v>2</v>
      </c>
      <c r="D47" s="28">
        <v>200</v>
      </c>
      <c r="E47" s="29">
        <v>14.54</v>
      </c>
      <c r="F47" s="29">
        <f>D47*E47</f>
        <v>2908</v>
      </c>
      <c r="G47" s="29">
        <f>F47*0.0275%</f>
        <v>0.79970000000000008</v>
      </c>
      <c r="H47" s="29">
        <f>F47*0.0285%</f>
        <v>0.82877999999999996</v>
      </c>
      <c r="I47" s="29">
        <v>15.99</v>
      </c>
      <c r="J47" s="29">
        <f>I47*5%</f>
        <v>0.7995000000000001</v>
      </c>
      <c r="K47" s="29">
        <v>0.14000000000000001</v>
      </c>
      <c r="L47" s="29">
        <f>F47-G47-H47-I47-J47</f>
        <v>2889.5820200000003</v>
      </c>
      <c r="M47" s="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9" customFormat="1" x14ac:dyDescent="0.25">
      <c r="A48" s="30"/>
      <c r="B48" s="28"/>
      <c r="C48" s="28"/>
      <c r="D48" s="28"/>
      <c r="E48" s="29"/>
      <c r="F48" s="29"/>
      <c r="G48" s="29"/>
      <c r="H48" s="29"/>
      <c r="I48" s="29"/>
      <c r="J48" s="29"/>
      <c r="K48" s="29"/>
      <c r="L48" s="32">
        <f>SUM(L46:L47)</f>
        <v>7160.39012</v>
      </c>
      <c r="M48" s="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28"/>
      <c r="B49" s="28"/>
      <c r="C49" s="28"/>
      <c r="D49" s="28"/>
      <c r="E49" s="29"/>
      <c r="F49" s="29"/>
      <c r="G49" s="29"/>
      <c r="H49" s="29"/>
      <c r="I49" s="29"/>
      <c r="J49" s="29"/>
      <c r="K49" s="29"/>
      <c r="L49" s="29"/>
    </row>
    <row r="50" spans="1:28" s="9" customFormat="1" x14ac:dyDescent="0.25">
      <c r="A50" s="30">
        <v>40177</v>
      </c>
      <c r="B50" s="28">
        <v>1401</v>
      </c>
      <c r="C50" s="28" t="s">
        <v>40</v>
      </c>
      <c r="D50" s="28">
        <v>500</v>
      </c>
      <c r="E50" s="29">
        <v>8.58</v>
      </c>
      <c r="F50" s="29">
        <f>D50*E50</f>
        <v>4290</v>
      </c>
      <c r="G50" s="29">
        <f>F50*0.0275%</f>
        <v>1.1797500000000001</v>
      </c>
      <c r="H50" s="29">
        <f>F50*0.0285%</f>
        <v>1.22265</v>
      </c>
      <c r="I50" s="29">
        <v>15.99</v>
      </c>
      <c r="J50" s="29">
        <f>I50*5%</f>
        <v>0.7995000000000001</v>
      </c>
      <c r="K50" s="29">
        <v>0.21</v>
      </c>
      <c r="L50" s="29">
        <f>F50-G50-H50-I50-J50</f>
        <v>4270.8081000000002</v>
      </c>
      <c r="M50" s="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9" customFormat="1" x14ac:dyDescent="0.25">
      <c r="A51" s="30">
        <v>40177</v>
      </c>
      <c r="B51" s="28">
        <v>1401</v>
      </c>
      <c r="C51" s="28" t="s">
        <v>2</v>
      </c>
      <c r="D51" s="28">
        <v>200</v>
      </c>
      <c r="E51" s="29">
        <v>14.54</v>
      </c>
      <c r="F51" s="29">
        <f>D51*E51</f>
        <v>2908</v>
      </c>
      <c r="G51" s="29">
        <f>F51*0.0275%</f>
        <v>0.79970000000000008</v>
      </c>
      <c r="H51" s="29">
        <f>F51*0.0285%</f>
        <v>0.82877999999999996</v>
      </c>
      <c r="I51" s="29">
        <v>15.99</v>
      </c>
      <c r="J51" s="29">
        <f>I51*5%</f>
        <v>0.7995000000000001</v>
      </c>
      <c r="K51" s="29">
        <v>0.14000000000000001</v>
      </c>
      <c r="L51" s="29">
        <f>F51-G51-H51-I51-J51</f>
        <v>2889.5820200000003</v>
      </c>
      <c r="M51" s="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9" customFormat="1" x14ac:dyDescent="0.25">
      <c r="A52" s="30"/>
      <c r="B52" s="28"/>
      <c r="C52" s="28"/>
      <c r="D52" s="28"/>
      <c r="E52" s="29"/>
      <c r="F52" s="32">
        <f t="shared" ref="F52:K52" si="4">SUM(F50:F51)</f>
        <v>7198</v>
      </c>
      <c r="G52" s="32">
        <f t="shared" si="4"/>
        <v>1.9794500000000002</v>
      </c>
      <c r="H52" s="32">
        <f t="shared" si="4"/>
        <v>2.0514299999999999</v>
      </c>
      <c r="I52" s="32">
        <f t="shared" si="4"/>
        <v>31.98</v>
      </c>
      <c r="J52" s="32">
        <f t="shared" si="4"/>
        <v>1.5990000000000002</v>
      </c>
      <c r="K52" s="32">
        <f t="shared" si="4"/>
        <v>0.35</v>
      </c>
      <c r="L52" s="29"/>
      <c r="M52" s="6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17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4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2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17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4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2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12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3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29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1551.2266900000002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2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f>I2*5%</f>
        <v>0.7995000000000001</v>
      </c>
      <c r="K2" s="3">
        <v>0</v>
      </c>
      <c r="L2" s="3">
        <f>F2+G2+H2+I2+J2</f>
        <v>1551.21135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47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2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3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29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/>
      <c r="J2" s="3">
        <f>I2*5%</f>
        <v>0</v>
      </c>
      <c r="K2" s="3">
        <v>0</v>
      </c>
      <c r="L2" s="3">
        <f>F2+G2+H2+I2+J2</f>
        <v>1534.85904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-15.99</v>
      </c>
      <c r="J2" s="3">
        <f>I2*5%</f>
        <v>-0.7995000000000001</v>
      </c>
      <c r="K2" s="3">
        <v>0</v>
      </c>
      <c r="L2" s="3">
        <f>F2+G2+H2+I2+J2</f>
        <v>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8.425781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 t="s">
        <v>30</v>
      </c>
      <c r="J2" s="3" t="e">
        <f>I2*5%</f>
        <v>#VALUE!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12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3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/>
      <c r="K2" s="3">
        <v>0</v>
      </c>
      <c r="L2" s="3">
        <f>F2+G2+H2+I2+J2</f>
        <v>1550.8490400000001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-I2*5%</f>
        <v>-0.7995000000000001</v>
      </c>
      <c r="K2" s="3">
        <v>0</v>
      </c>
      <c r="L2" s="3">
        <f>F2+G2+H2+I2+J2</f>
        <v>1550.04954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 t="s">
        <v>31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12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29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 t="s">
        <v>32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12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14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3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29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s">
        <v>33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12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3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32E-230B-4094-BFCC-10DDA6566518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23F-5F70-4F53-8981-261F8E238FD8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12F6-3B26-4F33-9E38-927D2FBD04F7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/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 t="s">
        <v>34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/>
      <c r="H5" s="7">
        <f t="shared" ref="H5:K5" si="1">SUM(H2:H4)</f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ref="G4" si="1">F4*0.0275%</f>
        <v>0.75625000000000009</v>
      </c>
      <c r="H4" s="3">
        <f t="shared" ref="H4" si="2">F4*0.007%</f>
        <v>0.19250000000000003</v>
      </c>
      <c r="I4" s="3">
        <v>15.99</v>
      </c>
      <c r="J4" s="3">
        <f>I4*5%</f>
        <v>0.7995000000000001</v>
      </c>
      <c r="K4" s="3">
        <v>0</v>
      </c>
      <c r="L4" s="3">
        <f t="shared" si="0"/>
        <v>2767.7382499999999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 t="s">
        <v>35</v>
      </c>
      <c r="H5" s="7">
        <f t="shared" ref="H5:K5" si="3">SUM(H2:H4)</f>
        <v>2.0655199999999998</v>
      </c>
      <c r="I5" s="7">
        <f t="shared" si="3"/>
        <v>47.97</v>
      </c>
      <c r="J5" s="7">
        <f t="shared" si="3"/>
        <v>2.3985000000000003</v>
      </c>
      <c r="K5" s="7">
        <f t="shared" si="3"/>
        <v>0</v>
      </c>
      <c r="L5" s="7">
        <f>-SUM(L2:L4)</f>
        <v>-9376.9975699999995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/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 t="s">
        <v>36</v>
      </c>
      <c r="I5" s="7">
        <f t="shared" ref="I5:K5" si="1">SUM(I2:I4)</f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/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 t="s">
        <v>37</v>
      </c>
      <c r="J5" s="7">
        <f t="shared" ref="J5:K5" si="1">SUM(J2:J4)</f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3"/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 t="s">
        <v>38</v>
      </c>
      <c r="K5" s="7">
        <f t="shared" ref="K5" si="1">SUM(K2:K4)</f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 t="s">
        <v>32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>
        <f>SUM(K2:K4)</f>
        <v>0</v>
      </c>
      <c r="L5" s="22" t="s">
        <v>39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4" sqref="A4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/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/>
      <c r="L3" s="3">
        <f>F3+G3+H3+I3+J3</f>
        <v>11608.585500000001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1" bestFit="1" customWidth="1"/>
    <col min="2" max="2" width="5.28515625" style="11" bestFit="1" customWidth="1"/>
    <col min="3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31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K2" s="12">
        <v>0</v>
      </c>
      <c r="L2" s="12">
        <f>F2+G2+H2+I2+J2</f>
        <v>1551.6485400000001</v>
      </c>
    </row>
    <row r="3" spans="1:29" x14ac:dyDescent="0.25">
      <c r="A3" s="14">
        <v>40177</v>
      </c>
      <c r="B3" s="11">
        <v>1662</v>
      </c>
      <c r="C3" s="11" t="s">
        <v>1</v>
      </c>
      <c r="D3" s="11">
        <v>200</v>
      </c>
      <c r="E3" s="12">
        <v>25.19</v>
      </c>
      <c r="F3" s="12">
        <f>D3*E3</f>
        <v>5038</v>
      </c>
      <c r="G3" s="12">
        <f>F3*0.0275%</f>
        <v>1.3854500000000001</v>
      </c>
      <c r="H3" s="12">
        <f>F3*0.0285%</f>
        <v>1.4358299999999999</v>
      </c>
      <c r="I3" s="12">
        <v>15.99</v>
      </c>
      <c r="J3" s="12">
        <f>I3*5%</f>
        <v>0.7995000000000001</v>
      </c>
      <c r="K3" s="12">
        <v>0</v>
      </c>
      <c r="L3" s="12">
        <f t="shared" ref="L3:L4" si="0">F3+G3+H3+I3+J3</f>
        <v>5057.61078</v>
      </c>
    </row>
    <row r="4" spans="1:29" x14ac:dyDescent="0.25">
      <c r="A4" s="14">
        <v>40177</v>
      </c>
      <c r="B4" s="11">
        <v>1662</v>
      </c>
      <c r="C4" s="11" t="s">
        <v>4</v>
      </c>
      <c r="D4" s="11">
        <v>100</v>
      </c>
      <c r="E4" s="12">
        <v>27.5</v>
      </c>
      <c r="F4" s="12">
        <f>D4*E4</f>
        <v>2750</v>
      </c>
      <c r="G4" s="12">
        <f>F4*0.0275%</f>
        <v>0.75625000000000009</v>
      </c>
      <c r="H4" s="12">
        <f>F4*0.0285%</f>
        <v>0.78374999999999995</v>
      </c>
      <c r="I4" s="12">
        <v>15.99</v>
      </c>
      <c r="J4" s="12">
        <f>I4*5%</f>
        <v>0.7995000000000001</v>
      </c>
      <c r="K4" s="12">
        <v>0</v>
      </c>
      <c r="L4" s="12">
        <f t="shared" si="0"/>
        <v>2768.3294999999998</v>
      </c>
    </row>
    <row r="5" spans="1:29" x14ac:dyDescent="0.25">
      <c r="A5" s="14"/>
      <c r="F5" s="12">
        <f t="shared" ref="F5:L5" si="1">SUM(F2:F4)</f>
        <v>9322</v>
      </c>
      <c r="G5" s="12">
        <f t="shared" si="1"/>
        <v>2.5635500000000002</v>
      </c>
      <c r="H5" s="12">
        <f t="shared" si="1"/>
        <v>2.6567699999999999</v>
      </c>
      <c r="I5" s="12">
        <f t="shared" si="1"/>
        <v>47.97</v>
      </c>
      <c r="J5" s="12">
        <f t="shared" si="1"/>
        <v>2.3985000000000003</v>
      </c>
      <c r="K5" s="12">
        <f t="shared" si="1"/>
        <v>0</v>
      </c>
      <c r="L5" s="12">
        <f t="shared" si="1"/>
        <v>9377.5888200000009</v>
      </c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f>I7*5%</f>
        <v>0.7995000000000001</v>
      </c>
      <c r="K7" s="3">
        <v>0</v>
      </c>
      <c r="L7" s="3">
        <f>F7+G7+H7+I7+J7</f>
        <v>284.93957999999998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f>I8*5%</f>
        <v>0.7995000000000001</v>
      </c>
      <c r="K8" s="3">
        <v>0</v>
      </c>
      <c r="L8" s="3">
        <f>F8+G8+H8+I8+J8</f>
        <v>1537.6406999999999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f>I9*5%</f>
        <v>0.7995000000000001</v>
      </c>
      <c r="K9" s="3">
        <v>0</v>
      </c>
      <c r="L9" s="3">
        <f>F9+G9+H9+I9+J9</f>
        <v>786.2201399999999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2.3985000000000003</v>
      </c>
      <c r="K10" s="7">
        <f t="shared" si="1"/>
        <v>0</v>
      </c>
      <c r="L10" s="7">
        <f>-SUM(L7:L9)</f>
        <v>-2608.8004199999996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v>0.8</v>
      </c>
      <c r="K2" s="3">
        <v>0</v>
      </c>
      <c r="L2" s="3">
        <f>F2+G2+H2+I2+J2</f>
        <v>1551.64904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v>0.8</v>
      </c>
      <c r="K3" s="3">
        <v>0</v>
      </c>
      <c r="L3" s="3">
        <f>F3+G3+H3+I3+J3</f>
        <v>5057.6112800000001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v>0.8</v>
      </c>
      <c r="K4" s="3">
        <v>0</v>
      </c>
      <c r="L4" s="3">
        <f>F4+G4+H4+I4+J4</f>
        <v>2768.33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2.4000000000000004</v>
      </c>
      <c r="K5" s="7">
        <f t="shared" si="0"/>
        <v>0</v>
      </c>
      <c r="L5" s="7">
        <f>-SUM(L2:L4)</f>
        <v>-9377.5903199999993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v>0.8</v>
      </c>
      <c r="K7" s="3">
        <v>0</v>
      </c>
      <c r="L7" s="3">
        <f>F7+G7+H7+I7+J7</f>
        <v>284.94007999999997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v>0.8</v>
      </c>
      <c r="K8" s="3">
        <v>0</v>
      </c>
      <c r="L8" s="3">
        <f>F8+G8+H8+I8+J8</f>
        <v>1537.6411999999998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v>0.8</v>
      </c>
      <c r="K9" s="3">
        <v>0</v>
      </c>
      <c r="L9" s="3">
        <f>F9+G9+H9+I9+J9</f>
        <v>786.22063999999989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2.4000000000000004</v>
      </c>
      <c r="K10" s="7">
        <f t="shared" si="1"/>
        <v>0</v>
      </c>
      <c r="L10" s="7">
        <f>-SUM(L7:L9)</f>
        <v>-2608.8019199999999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30">
        <v>40177</v>
      </c>
      <c r="B12" s="28">
        <v>1462</v>
      </c>
      <c r="C12" s="28" t="s">
        <v>4</v>
      </c>
      <c r="D12" s="28">
        <v>200</v>
      </c>
      <c r="E12" s="29">
        <v>35.15</v>
      </c>
      <c r="F12" s="29">
        <f>D12*E12</f>
        <v>7030</v>
      </c>
      <c r="G12" s="29">
        <f>F12*0.0275%</f>
        <v>1.9332500000000001</v>
      </c>
      <c r="H12" s="29">
        <f>F12*0.0285%</f>
        <v>2.0035499999999997</v>
      </c>
      <c r="I12" s="29">
        <v>15.99</v>
      </c>
      <c r="J12" s="29">
        <v>0.8</v>
      </c>
      <c r="K12" s="29">
        <f>((F12 - G12 - H12 - I12 - J12) - (30.88 * D12)) * 0.005%</f>
        <v>4.1663659999999984E-2</v>
      </c>
      <c r="L12" s="29">
        <f>F12-G12-H12-I12-J12</f>
        <v>7009.2731999999996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30">
        <v>40177</v>
      </c>
      <c r="B13" s="28">
        <v>1462</v>
      </c>
      <c r="C13" s="28" t="s">
        <v>4</v>
      </c>
      <c r="D13" s="28">
        <v>200</v>
      </c>
      <c r="E13" s="29">
        <v>34.479999999999997</v>
      </c>
      <c r="F13" s="29">
        <f>D13*E13</f>
        <v>6895.9999999999991</v>
      </c>
      <c r="G13" s="29">
        <f>F13*0.0275%</f>
        <v>1.8963999999999999</v>
      </c>
      <c r="H13" s="29">
        <f>F13*0.0285%</f>
        <v>1.9653599999999996</v>
      </c>
      <c r="I13" s="29">
        <v>15.99</v>
      </c>
      <c r="J13" s="29">
        <v>0.8</v>
      </c>
      <c r="K13" s="29">
        <f>((F13 - G13 - H13 - I13 - J13) - (30.88 * D13)) * 0.005%</f>
        <v>3.4967411999999969E-2</v>
      </c>
      <c r="L13" s="29">
        <f t="shared" ref="L13:L14" si="2">F13-G13-H13-I13-J13</f>
        <v>6875.3482399999994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30">
        <v>40177</v>
      </c>
      <c r="B14" s="28">
        <v>1462</v>
      </c>
      <c r="C14" s="28" t="s">
        <v>4</v>
      </c>
      <c r="D14" s="28">
        <v>200</v>
      </c>
      <c r="E14" s="29">
        <v>31</v>
      </c>
      <c r="F14" s="29">
        <f>D14*E14</f>
        <v>6200</v>
      </c>
      <c r="G14" s="29">
        <f>F14*0.0275%</f>
        <v>1.7050000000000001</v>
      </c>
      <c r="H14" s="29">
        <f>F14*0.0285%</f>
        <v>1.7669999999999999</v>
      </c>
      <c r="I14" s="29">
        <v>15.99</v>
      </c>
      <c r="J14" s="29">
        <v>0.8</v>
      </c>
      <c r="K14" s="29">
        <f>((F14 - G14 - H14 - I14 - J14) - (30.88 * D14)) * 0.005%</f>
        <v>1.8690000000001419E-4</v>
      </c>
      <c r="L14" s="29">
        <f t="shared" si="2"/>
        <v>6179.7380000000003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30"/>
      <c r="B15" s="28"/>
      <c r="C15" s="28"/>
      <c r="D15" s="28"/>
      <c r="E15" s="29"/>
      <c r="F15" s="32">
        <f t="shared" ref="F15:L15" si="3">SUM(F12:F14)</f>
        <v>20126</v>
      </c>
      <c r="G15" s="32">
        <f t="shared" si="3"/>
        <v>5.5346500000000001</v>
      </c>
      <c r="H15" s="32">
        <f t="shared" si="3"/>
        <v>5.7359099999999987</v>
      </c>
      <c r="I15" s="32">
        <f t="shared" si="3"/>
        <v>47.97</v>
      </c>
      <c r="J15" s="32">
        <f t="shared" si="3"/>
        <v>2.4000000000000004</v>
      </c>
      <c r="K15" s="32">
        <f t="shared" si="3"/>
        <v>7.6817971999999971E-2</v>
      </c>
      <c r="L15" s="32">
        <f t="shared" si="3"/>
        <v>20064.35944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A16" s="28"/>
      <c r="B16" s="28"/>
      <c r="C16" s="28"/>
      <c r="D16" s="28"/>
      <c r="E16" s="29"/>
      <c r="F16" s="29"/>
      <c r="G16" s="29"/>
      <c r="H16" s="29"/>
      <c r="I16" s="29"/>
      <c r="J16" s="29"/>
      <c r="K16" s="29"/>
      <c r="L16" s="29"/>
    </row>
    <row r="17" spans="1:28" s="9" customFormat="1" x14ac:dyDescent="0.25">
      <c r="A17" s="30">
        <v>40177</v>
      </c>
      <c r="B17" s="28">
        <v>1171</v>
      </c>
      <c r="C17" s="28" t="s">
        <v>4</v>
      </c>
      <c r="D17" s="28">
        <v>500</v>
      </c>
      <c r="E17" s="29">
        <v>31</v>
      </c>
      <c r="F17" s="29">
        <f>D17*E17</f>
        <v>15500</v>
      </c>
      <c r="G17" s="29">
        <f>F17*0.0275%</f>
        <v>4.2625000000000002</v>
      </c>
      <c r="H17" s="29">
        <f>F17*0.0285%</f>
        <v>4.4174999999999995</v>
      </c>
      <c r="I17" s="29">
        <v>15.99</v>
      </c>
      <c r="J17" s="29">
        <v>0.8</v>
      </c>
      <c r="K17" s="29">
        <f>((F17 - G17 - H17 - I17 - J17) - (30.88 * D17)) * 0.005%</f>
        <v>1.7265000000000329E-3</v>
      </c>
      <c r="L17" s="29">
        <f>F17-G17-H17-I17-J17</f>
        <v>15474.53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1171</v>
      </c>
      <c r="C18" s="28" t="s">
        <v>4</v>
      </c>
      <c r="D18" s="28">
        <v>1000</v>
      </c>
      <c r="E18" s="29">
        <v>31</v>
      </c>
      <c r="F18" s="29">
        <f>D18*E18</f>
        <v>31000</v>
      </c>
      <c r="G18" s="29">
        <f>F18*0.0275%</f>
        <v>8.5250000000000004</v>
      </c>
      <c r="H18" s="29">
        <f>F18*0.0285%</f>
        <v>8.8349999999999991</v>
      </c>
      <c r="I18" s="29">
        <v>15.99</v>
      </c>
      <c r="J18" s="29">
        <v>0.8</v>
      </c>
      <c r="K18" s="29">
        <f>((F18 - G18 - H18 - I18 - J18) - (30.88 * D18)) * 0.005%</f>
        <v>4.2924999999999274E-3</v>
      </c>
      <c r="L18" s="29">
        <f>F18-G18-H18-I18-J18</f>
        <v>30965.85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/>
      <c r="B19" s="28"/>
      <c r="C19" s="28"/>
      <c r="D19" s="28"/>
      <c r="E19" s="29"/>
      <c r="F19" s="32">
        <f t="shared" ref="F19:L19" si="4">SUM(F17:F18)</f>
        <v>46500</v>
      </c>
      <c r="G19" s="32">
        <f t="shared" si="4"/>
        <v>12.787500000000001</v>
      </c>
      <c r="H19" s="32">
        <f t="shared" si="4"/>
        <v>13.252499999999998</v>
      </c>
      <c r="I19" s="32">
        <f t="shared" si="4"/>
        <v>31.98</v>
      </c>
      <c r="J19" s="32">
        <f t="shared" si="4"/>
        <v>1.6</v>
      </c>
      <c r="K19" s="32">
        <f t="shared" si="4"/>
        <v>6.0189999999999601E-3</v>
      </c>
      <c r="L19" s="32">
        <f t="shared" si="4"/>
        <v>46440.38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1430</v>
      </c>
      <c r="C2" s="28" t="s">
        <v>8</v>
      </c>
      <c r="D2" s="28">
        <v>200</v>
      </c>
      <c r="E2" s="29">
        <v>23.4</v>
      </c>
      <c r="F2" s="29">
        <f>D2*E2</f>
        <v>4680</v>
      </c>
      <c r="G2" s="29">
        <f>F2*0.0275%</f>
        <v>1.2870000000000001</v>
      </c>
      <c r="H2" s="29">
        <f>F2*0.0285%</f>
        <v>1.3337999999999999</v>
      </c>
      <c r="I2" s="29">
        <v>15.99</v>
      </c>
      <c r="J2" s="29">
        <f>I2*5%</f>
        <v>0.7995000000000001</v>
      </c>
      <c r="K2" s="29">
        <v>0.23</v>
      </c>
      <c r="L2" s="29">
        <f>F2-G2-H2-I2-J2</f>
        <v>4660.5896999999995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3"/>
      <c r="M3" s="6"/>
    </row>
    <row r="4" spans="1:29" s="9" customFormat="1" x14ac:dyDescent="0.25">
      <c r="A4" s="30">
        <v>40177</v>
      </c>
      <c r="B4" s="28">
        <v>1681</v>
      </c>
      <c r="C4" s="28" t="s">
        <v>1</v>
      </c>
      <c r="D4" s="28">
        <v>200</v>
      </c>
      <c r="E4" s="29">
        <v>34.04</v>
      </c>
      <c r="F4" s="29">
        <f>D4*E4</f>
        <v>6808</v>
      </c>
      <c r="G4" s="29">
        <f>F4*0.0275%</f>
        <v>1.8722000000000001</v>
      </c>
      <c r="H4" s="29">
        <f>F4*0.0285%</f>
        <v>1.94028</v>
      </c>
      <c r="I4" s="29">
        <v>15.99</v>
      </c>
      <c r="J4" s="29">
        <f>I4*5%</f>
        <v>0.7995000000000001</v>
      </c>
      <c r="K4" s="29">
        <v>0.34</v>
      </c>
      <c r="L4" s="29">
        <f>F4-G4-H4-I4-J4</f>
        <v>6787.3980200000005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3"/>
      <c r="M5" s="6"/>
    </row>
    <row r="6" spans="1:29" s="4" customFormat="1" x14ac:dyDescent="0.25">
      <c r="A6" s="5">
        <v>40177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F6*0.0285%</f>
        <v>0.94334999999999991</v>
      </c>
      <c r="I6" s="3">
        <v>15.99</v>
      </c>
      <c r="J6" s="3">
        <f>I6*5%</f>
        <v>0.7995000000000001</v>
      </c>
      <c r="K6" s="3"/>
      <c r="L6" s="3">
        <f>F6+G6+H6+I6+J6</f>
        <v>3328.6430999999998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v>7030.01</v>
      </c>
      <c r="G2" s="29">
        <f>F2*0.0275%</f>
        <v>1.9332527500000001</v>
      </c>
      <c r="H2" s="29">
        <f>F2*0.0285%</f>
        <v>2.0035528500000002</v>
      </c>
      <c r="I2" s="29">
        <v>15.99</v>
      </c>
      <c r="J2" s="29">
        <f>I2*5%</f>
        <v>0.7995000000000001</v>
      </c>
      <c r="K2" s="29">
        <v>0</v>
      </c>
      <c r="L2" s="29">
        <f>F2-G2-H2-I2-K2</f>
        <v>7010.0831944000001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v>0</v>
      </c>
      <c r="L3" s="29">
        <f>F3-G3-H3-I3-K3</f>
        <v>6876.1482399999995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v>0</v>
      </c>
      <c r="L4" s="29">
        <f>F4-G4-H4-I4-K4</f>
        <v>5470.9355999999998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19416.009999999998</v>
      </c>
      <c r="G5" s="32">
        <f t="shared" si="0"/>
        <v>5.3394027500000005</v>
      </c>
      <c r="H5" s="32">
        <f t="shared" si="0"/>
        <v>5.5335628499999991</v>
      </c>
      <c r="I5" s="32">
        <f t="shared" si="0"/>
        <v>47.97</v>
      </c>
      <c r="J5" s="32">
        <f t="shared" si="0"/>
        <v>2.3985000000000003</v>
      </c>
      <c r="K5" s="32">
        <f t="shared" si="0"/>
        <v>0</v>
      </c>
      <c r="L5" s="32">
        <f t="shared" si="0"/>
        <v>19357.167034400001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426A-3D46-41DF-A16C-05C4088EAC00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F2*0.0275%+0.01</f>
        <v>3.0350000000000001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6.2250000000000005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3024-D3D2-42ED-89D7-46484CCFCFD3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F2*0.0275%-0.01</f>
        <v>3.0150000000000006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6.205000000000001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3D02-66A6-4753-A9C6-3E3791A97AE5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F2*0.0275%+0.02</f>
        <v>3.0450000000000004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6.2350000000000012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F09-500A-46A5-9E10-E61F6C984927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F2*0.0275%-0.02</f>
        <v>3.0050000000000003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6.1950000000000003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C421-5919-49F9-B0AB-B63C5F71F641}">
  <dimension ref="A1:AB4"/>
  <sheetViews>
    <sheetView workbookViewId="0">
      <pane ySplit="1" topLeftCell="A2" activePane="bottomLeft" state="frozen"/>
      <selection activeCell="G2" sqref="G2"/>
      <selection pane="bottomLeft" activeCell="G2" sqref="G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30">
        <v>40177</v>
      </c>
      <c r="B2" s="28">
        <v>85060</v>
      </c>
      <c r="C2" s="28" t="s">
        <v>21</v>
      </c>
      <c r="D2" s="28">
        <v>400</v>
      </c>
      <c r="E2" s="29">
        <v>27.5</v>
      </c>
      <c r="F2" s="29">
        <f t="shared" ref="F2:F3" si="0">D2*E2</f>
        <v>11000</v>
      </c>
      <c r="G2" s="38">
        <f>F2*0.02%</f>
        <v>2.2000000000000002</v>
      </c>
      <c r="H2" s="29">
        <f>F2*0.0285%</f>
        <v>3.1349999999999998</v>
      </c>
      <c r="I2" s="29">
        <v>1.99</v>
      </c>
      <c r="J2" s="29">
        <f>I2*5%</f>
        <v>9.9500000000000005E-2</v>
      </c>
      <c r="K2" s="29">
        <v>0.55000000000000004</v>
      </c>
      <c r="L2" s="29">
        <f>F2-G2-H2-I2-J2</f>
        <v>10992.575499999999</v>
      </c>
    </row>
    <row r="3" spans="1:28" x14ac:dyDescent="0.25">
      <c r="A3" s="30">
        <v>40177</v>
      </c>
      <c r="B3" s="28">
        <v>85060</v>
      </c>
      <c r="C3" s="28" t="s">
        <v>22</v>
      </c>
      <c r="D3" s="28">
        <v>500</v>
      </c>
      <c r="E3" s="29">
        <v>23.2</v>
      </c>
      <c r="F3" s="29">
        <f t="shared" si="0"/>
        <v>11600</v>
      </c>
      <c r="G3" s="29">
        <f>F3*0.0275%</f>
        <v>3.1900000000000004</v>
      </c>
      <c r="H3" s="29">
        <f>F3*0.0285%</f>
        <v>3.306</v>
      </c>
      <c r="I3" s="29">
        <v>1.99</v>
      </c>
      <c r="J3" s="29">
        <f>I3*5%</f>
        <v>9.9500000000000005E-2</v>
      </c>
      <c r="K3" s="29">
        <v>0.57999999999999996</v>
      </c>
      <c r="L3" s="29">
        <f>F3-G3-H3-I3-J3</f>
        <v>11591.414499999999</v>
      </c>
    </row>
    <row r="4" spans="1:28" s="24" customFormat="1" x14ac:dyDescent="0.25">
      <c r="A4" s="30"/>
      <c r="B4" s="28"/>
      <c r="C4" s="28"/>
      <c r="D4" s="28"/>
      <c r="E4" s="29"/>
      <c r="F4" s="32">
        <f>SUM(F2:F3)</f>
        <v>22600</v>
      </c>
      <c r="G4" s="32">
        <f t="shared" ref="G4:K4" si="1">SUM(G2:G3)</f>
        <v>5.3900000000000006</v>
      </c>
      <c r="H4" s="32">
        <f t="shared" si="1"/>
        <v>6.4409999999999998</v>
      </c>
      <c r="I4" s="32">
        <f t="shared" si="1"/>
        <v>3.98</v>
      </c>
      <c r="J4" s="32">
        <f t="shared" si="1"/>
        <v>0.19900000000000001</v>
      </c>
      <c r="K4" s="32">
        <f t="shared" si="1"/>
        <v>1.1299999999999999</v>
      </c>
      <c r="L4" s="32">
        <f>SUM(L2:L3)</f>
        <v>22583.989999999998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127</vt:i4>
      </vt:variant>
    </vt:vector>
  </HeadingPairs>
  <TitlesOfParts>
    <vt:vector size="127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NonEmptyAttribsHalfOfEachColor</vt:lpstr>
      <vt:lpstr>ValidColoredAttribHalfEachColor</vt:lpstr>
      <vt:lpstr>NEValidColorAttrHalfEachColor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SettlementFeeExactMatch</vt:lpstr>
      <vt:lpstr>SettlementFeeWithinTolerance+</vt:lpstr>
      <vt:lpstr>SettlementFeeWithinTolerance-</vt:lpstr>
      <vt:lpstr>SettlementFeeAboveTolerance</vt:lpstr>
      <vt:lpstr>SettlementFeeBelowTolerance</vt:lpstr>
      <vt:lpstr>HighlightedDTradeSettlementFee</vt:lpstr>
      <vt:lpstr>HDTSettlementFeeAboveTolerance</vt:lpstr>
      <vt:lpstr>HDTSettlementFeeBelowTolerance</vt:lpstr>
      <vt:lpstr>NoVisualCueDTradeSettlementFee</vt:lpstr>
      <vt:lpstr>TradingFeesExactMatch</vt:lpstr>
      <vt:lpstr>TradingFeesWithinTolerance+</vt:lpstr>
      <vt:lpstr>TradingFeesWithinTolerance-</vt:lpstr>
      <vt:lpstr>TradingFeesAboveTolerance</vt:lpstr>
      <vt:lpstr>TradingFeesBelowTolerance</vt:lpstr>
      <vt:lpstr>ServiceTaxExactMatch</vt:lpstr>
      <vt:lpstr>ServiceTaxWithinTolerance+</vt:lpstr>
      <vt:lpstr>ServiceTaxWithinTolerance-</vt:lpstr>
      <vt:lpstr>ServiceTaxAboveTolerance</vt:lpstr>
      <vt:lpstr>ServiceTaxBelowTolerance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  <vt:lpstr>MultipleErrors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2022-06-14T15:31:08Z</dcterms:modified>
</cp:coreProperties>
</file>